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3631C8B-DB15-4637-9142-32D54D3848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DM 2022" sheetId="1" r:id="rId1"/>
    <sheet name="Synthèse " sheetId="4" r:id="rId2"/>
    <sheet name="Params" sheetId="3" r:id="rId3"/>
  </sheets>
  <definedNames>
    <definedName name="_xlnm._FilterDatabase" localSheetId="0" hidden="1">'BDM 2022'!$A$1:$BD$815</definedName>
    <definedName name="_xlnm._FilterDatabase" localSheetId="2" hidden="1">Params!$D$3:$L$31</definedName>
    <definedName name="AF" localSheetId="0">#REF!</definedName>
    <definedName name="AF">#REF!</definedName>
    <definedName name="brokeragefees" localSheetId="0">#REF!</definedName>
    <definedName name="brokeragefees">#REF!</definedName>
    <definedName name="div_2013" localSheetId="0">#REF!</definedName>
    <definedName name="div_2013">#REF!</definedName>
    <definedName name="div_2014" localSheetId="0">#REF!</definedName>
    <definedName name="div_2014">#REF!</definedName>
    <definedName name="div_2015" localSheetId="0">#REF!</definedName>
    <definedName name="div_2015">#REF!</definedName>
    <definedName name="div_2016" localSheetId="0">#REF!</definedName>
    <definedName name="div_2016">#REF!</definedName>
    <definedName name="div_2017" localSheetId="0">#REF!</definedName>
    <definedName name="div_2017">#REF!</definedName>
    <definedName name="gapril2013" localSheetId="0">#REF!</definedName>
    <definedName name="gapril2013">#REF!</definedName>
    <definedName name="gaugust2013" localSheetId="0">#REF!</definedName>
    <definedName name="gaugust2013">#REF!</definedName>
    <definedName name="gdecember2013" localSheetId="0">#REF!</definedName>
    <definedName name="gdecember2013">#REF!</definedName>
    <definedName name="gjuly2013" localSheetId="0">#REF!</definedName>
    <definedName name="gjuly2013">#REF!</definedName>
    <definedName name="gjune2013" localSheetId="0">#REF!</definedName>
    <definedName name="gjune2013">#REF!</definedName>
    <definedName name="gmarch2013" localSheetId="0">#REF!</definedName>
    <definedName name="gmarch2013">#REF!</definedName>
    <definedName name="gmarch2018" localSheetId="0">#REF!</definedName>
    <definedName name="gmarch2018">#REF!</definedName>
    <definedName name="gmay2013" localSheetId="0">#REF!</definedName>
    <definedName name="gmay2013">#REF!</definedName>
    <definedName name="gnovember2013" localSheetId="0">#REF!</definedName>
    <definedName name="gnovember2013">#REF!</definedName>
    <definedName name="goctober2013" localSheetId="0">#REF!</definedName>
    <definedName name="goctober2013">#REF!</definedName>
    <definedName name="gseptember2013" localSheetId="0">#REF!</definedName>
    <definedName name="gseptember2013">#REF!</definedName>
    <definedName name="minorityinterest" localSheetId="0">#REF!</definedName>
    <definedName name="minorityinterest">#REF!</definedName>
    <definedName name="RFQ_BGFIBANK" localSheetId="0">#REF!</definedName>
    <definedName name="RFQ_BGFIBANK">#REF!</definedName>
    <definedName name="Sheet1" localSheetId="0">#REF!</definedName>
    <definedName name="Sheet1">#REF!</definedName>
    <definedName name="Summary1" localSheetId="0">#REF!</definedName>
    <definedName name="Summary1">#REF!</definedName>
    <definedName name="taxrate" localSheetId="0">#REF!</definedName>
    <definedName name="taxrate">#REF!</definedName>
    <definedName name="WEQER" localSheetId="0">#REF!</definedName>
    <definedName name="WEQER">#REF!</definedName>
    <definedName name="Y" localSheetId="0">#REF!</definedName>
    <definedName name="Y">#REF!</definedName>
    <definedName name="Z_81C4162B_E068_42B1_B8E4_07E0CD16D1AC_.wvu.FilterData" localSheetId="0" hidden="1">'BDM 2022'!$A$1:$BD$814</definedName>
    <definedName name="Z_B49D6901_FDE8_41CC_9F7C_0E9E30E258C1_.wvu.FilterData" localSheetId="0" hidden="1">'BDM 2022'!$A$1:$BD$815</definedName>
    <definedName name="Z_DC680653_BE5C_45A3_A1A4_4F3B047CB886_.wvu.FilterData" localSheetId="0" hidden="1">'BDM 2022'!$A$1:$BC$815</definedName>
    <definedName name="Z_EA3B4D25_D105_4CCF_AF7C_0F9538323A0C_.wvu.FilterData" localSheetId="0" hidden="1">'BDM 2022'!$A$1:$BD$807</definedName>
    <definedName name="znovember2019" localSheetId="0">#REF!</definedName>
    <definedName name="znovember2019">#REF!</definedName>
  </definedNames>
  <calcPr calcId="191029"/>
  <customWorkbookViews>
    <customWorkbookView name="Vue de Victor" guid="{B49D6901-FDE8-41CC-9F7C-0E9E30E258C1}" maximized="1" windowWidth="0" windowHeight="0" activeSheetId="0"/>
    <customWorkbookView name="Apphia" guid="{EA3B4D25-D105-4CCF-AF7C-0F9538323A0C}" maximized="1" windowWidth="0" windowHeight="0" activeSheetId="0"/>
    <customWorkbookView name="Filtre Serge SULA" guid="{DC680653-BE5C-45A3-A1A4-4F3B047CB886}" maximized="1" windowWidth="0" windowHeight="0" activeSheetId="0"/>
    <customWorkbookView name="vue de David" guid="{81C4162B-E068-42B1-B8E4-07E0CD16D1AC}" maximized="1" windowWidth="0" windowHeight="0" activeSheetId="0"/>
  </customWorkbookViews>
  <pivotCaches>
    <pivotCache cacheId="12" r:id="rId4"/>
  </pivotCaches>
</workbook>
</file>

<file path=xl/calcChain.xml><?xml version="1.0" encoding="utf-8"?>
<calcChain xmlns="http://schemas.openxmlformats.org/spreadsheetml/2006/main">
  <c r="BD816" i="1" l="1"/>
  <c r="AW815" i="1"/>
  <c r="AB815" i="1"/>
  <c r="AE815" i="1" s="1"/>
  <c r="AH815" i="1" s="1"/>
  <c r="Z815" i="1"/>
  <c r="G815" i="1"/>
  <c r="AW814" i="1"/>
  <c r="AB814" i="1"/>
  <c r="AE814" i="1" s="1"/>
  <c r="Z814" i="1"/>
  <c r="G814" i="1"/>
  <c r="AW813" i="1"/>
  <c r="AB813" i="1"/>
  <c r="AE813" i="1" s="1"/>
  <c r="Z813" i="1"/>
  <c r="G813" i="1"/>
  <c r="AW311" i="1"/>
  <c r="AB311" i="1"/>
  <c r="AE311" i="1" s="1"/>
  <c r="Z311" i="1"/>
  <c r="G311" i="1"/>
  <c r="BA811" i="1"/>
  <c r="AW811" i="1"/>
  <c r="AC811" i="1"/>
  <c r="AB811" i="1"/>
  <c r="Z811" i="1"/>
  <c r="G811" i="1"/>
  <c r="AW576" i="1"/>
  <c r="AC576" i="1"/>
  <c r="AB576" i="1"/>
  <c r="Z576" i="1"/>
  <c r="G576" i="1"/>
  <c r="AW809" i="1"/>
  <c r="AC809" i="1"/>
  <c r="AB809" i="1"/>
  <c r="Z809" i="1"/>
  <c r="G809" i="1"/>
  <c r="AW601" i="1"/>
  <c r="AC601" i="1"/>
  <c r="AB601" i="1"/>
  <c r="Z601" i="1"/>
  <c r="G601" i="1"/>
  <c r="AW654" i="1"/>
  <c r="AD654" i="1"/>
  <c r="AC654" i="1"/>
  <c r="AB654" i="1"/>
  <c r="Z654" i="1"/>
  <c r="G654" i="1"/>
  <c r="BA506" i="1"/>
  <c r="AW506" i="1"/>
  <c r="AC506" i="1"/>
  <c r="AB506" i="1"/>
  <c r="Z506" i="1"/>
  <c r="G506" i="1"/>
  <c r="BA529" i="1"/>
  <c r="AW529" i="1"/>
  <c r="AC529" i="1"/>
  <c r="AB529" i="1"/>
  <c r="Z529" i="1"/>
  <c r="G529" i="1"/>
  <c r="BA504" i="1"/>
  <c r="AW504" i="1"/>
  <c r="AC504" i="1"/>
  <c r="AB504" i="1"/>
  <c r="Z504" i="1"/>
  <c r="G504" i="1"/>
  <c r="AW533" i="1"/>
  <c r="AB533" i="1"/>
  <c r="AE533" i="1" s="1"/>
  <c r="Z533" i="1"/>
  <c r="G533" i="1"/>
  <c r="AW424" i="1"/>
  <c r="AC424" i="1"/>
  <c r="AB424" i="1"/>
  <c r="Z424" i="1"/>
  <c r="G424" i="1"/>
  <c r="AW801" i="1"/>
  <c r="AB801" i="1"/>
  <c r="AE801" i="1" s="1"/>
  <c r="Z801" i="1"/>
  <c r="G801" i="1"/>
  <c r="AW800" i="1"/>
  <c r="AC800" i="1"/>
  <c r="AE800" i="1" s="1"/>
  <c r="AH800" i="1" s="1"/>
  <c r="AJ800" i="1" s="1"/>
  <c r="Z800" i="1"/>
  <c r="G800" i="1"/>
  <c r="AW799" i="1"/>
  <c r="AC799" i="1"/>
  <c r="AB799" i="1"/>
  <c r="Z799" i="1"/>
  <c r="G799" i="1"/>
  <c r="BA798" i="1"/>
  <c r="AW798" i="1"/>
  <c r="AB798" i="1"/>
  <c r="AE798" i="1" s="1"/>
  <c r="Z798" i="1"/>
  <c r="G798" i="1"/>
  <c r="BA797" i="1"/>
  <c r="AW797" i="1"/>
  <c r="AB797" i="1"/>
  <c r="AE797" i="1" s="1"/>
  <c r="AF797" i="1" s="1"/>
  <c r="AG797" i="1" s="1"/>
  <c r="AU797" i="1" s="1"/>
  <c r="AV797" i="1" s="1"/>
  <c r="Z797" i="1"/>
  <c r="G797" i="1"/>
  <c r="BA796" i="1"/>
  <c r="AW796" i="1"/>
  <c r="AB796" i="1"/>
  <c r="AE796" i="1" s="1"/>
  <c r="Z796" i="1"/>
  <c r="G796" i="1"/>
  <c r="BA804" i="1"/>
  <c r="AW804" i="1"/>
  <c r="AE804" i="1"/>
  <c r="AF804" i="1" s="1"/>
  <c r="AG804" i="1" s="1"/>
  <c r="AU804" i="1" s="1"/>
  <c r="AV804" i="1" s="1"/>
  <c r="Z804" i="1"/>
  <c r="G804" i="1"/>
  <c r="BA794" i="1"/>
  <c r="AW794" i="1"/>
  <c r="AB794" i="1"/>
  <c r="AE794" i="1" s="1"/>
  <c r="Z794" i="1"/>
  <c r="G794" i="1"/>
  <c r="BA793" i="1"/>
  <c r="AT793" i="1"/>
  <c r="AC793" i="1"/>
  <c r="AB793" i="1"/>
  <c r="Z793" i="1"/>
  <c r="G793" i="1"/>
  <c r="BA792" i="1"/>
  <c r="AW792" i="1"/>
  <c r="AB792" i="1"/>
  <c r="AE792" i="1" s="1"/>
  <c r="Z792" i="1"/>
  <c r="G792" i="1"/>
  <c r="BA791" i="1"/>
  <c r="AW791" i="1"/>
  <c r="AB791" i="1"/>
  <c r="AE791" i="1" s="1"/>
  <c r="Z791" i="1"/>
  <c r="G791" i="1"/>
  <c r="BA790" i="1"/>
  <c r="AW790" i="1"/>
  <c r="AB790" i="1"/>
  <c r="AE790" i="1" s="1"/>
  <c r="Z790" i="1"/>
  <c r="G790" i="1"/>
  <c r="BA789" i="1"/>
  <c r="AW789" i="1"/>
  <c r="AC789" i="1"/>
  <c r="AE789" i="1" s="1"/>
  <c r="AH789" i="1" s="1"/>
  <c r="AJ789" i="1" s="1"/>
  <c r="Z789" i="1"/>
  <c r="G789" i="1"/>
  <c r="BA788" i="1"/>
  <c r="AW788" i="1"/>
  <c r="AB788" i="1"/>
  <c r="AE788" i="1" s="1"/>
  <c r="Z788" i="1"/>
  <c r="G788" i="1"/>
  <c r="BA787" i="1"/>
  <c r="AW787" i="1"/>
  <c r="AB787" i="1"/>
  <c r="AE787" i="1" s="1"/>
  <c r="AH787" i="1" s="1"/>
  <c r="AJ787" i="1" s="1"/>
  <c r="Z787" i="1"/>
  <c r="G787" i="1"/>
  <c r="BA124" i="1"/>
  <c r="AW124" i="1"/>
  <c r="AD124" i="1"/>
  <c r="AB124" i="1"/>
  <c r="Z124" i="1"/>
  <c r="G124" i="1"/>
  <c r="BA785" i="1"/>
  <c r="AW785" i="1"/>
  <c r="AB785" i="1"/>
  <c r="AE785" i="1" s="1"/>
  <c r="Z785" i="1"/>
  <c r="G785" i="1"/>
  <c r="BA784" i="1"/>
  <c r="AW784" i="1"/>
  <c r="AB784" i="1"/>
  <c r="AE784" i="1" s="1"/>
  <c r="AH784" i="1" s="1"/>
  <c r="AJ784" i="1" s="1"/>
  <c r="Z784" i="1"/>
  <c r="G784" i="1"/>
  <c r="BA783" i="1"/>
  <c r="AW783" i="1"/>
  <c r="AB783" i="1"/>
  <c r="AE783" i="1" s="1"/>
  <c r="Z783" i="1"/>
  <c r="G783" i="1"/>
  <c r="BA782" i="1"/>
  <c r="AW782" i="1"/>
  <c r="AB782" i="1"/>
  <c r="AE782" i="1" s="1"/>
  <c r="Z782" i="1"/>
  <c r="G782" i="1"/>
  <c r="BA781" i="1"/>
  <c r="AW781" i="1"/>
  <c r="AB781" i="1"/>
  <c r="AE781" i="1" s="1"/>
  <c r="Z781" i="1"/>
  <c r="G781" i="1"/>
  <c r="BA780" i="1"/>
  <c r="AW780" i="1"/>
  <c r="AC780" i="1"/>
  <c r="AB780" i="1"/>
  <c r="Z780" i="1"/>
  <c r="G780" i="1"/>
  <c r="BA779" i="1"/>
  <c r="AW779" i="1"/>
  <c r="AC779" i="1"/>
  <c r="AB779" i="1"/>
  <c r="Z779" i="1"/>
  <c r="G779" i="1"/>
  <c r="BA708" i="1"/>
  <c r="AW708" i="1"/>
  <c r="AB708" i="1"/>
  <c r="AE708" i="1" s="1"/>
  <c r="AF708" i="1" s="1"/>
  <c r="AG708" i="1" s="1"/>
  <c r="AU708" i="1" s="1"/>
  <c r="AV708" i="1" s="1"/>
  <c r="Z708" i="1"/>
  <c r="G708" i="1"/>
  <c r="BA777" i="1"/>
  <c r="AW777" i="1"/>
  <c r="AB777" i="1"/>
  <c r="AE777" i="1" s="1"/>
  <c r="Z777" i="1"/>
  <c r="G777" i="1"/>
  <c r="BA776" i="1"/>
  <c r="AW776" i="1"/>
  <c r="AB776" i="1"/>
  <c r="AE776" i="1" s="1"/>
  <c r="AH776" i="1" s="1"/>
  <c r="AJ776" i="1" s="1"/>
  <c r="Z776" i="1"/>
  <c r="G776" i="1"/>
  <c r="BA375" i="1"/>
  <c r="AW375" i="1"/>
  <c r="AB375" i="1"/>
  <c r="AE375" i="1" s="1"/>
  <c r="Z375" i="1"/>
  <c r="G375" i="1"/>
  <c r="BA774" i="1"/>
  <c r="AW774" i="1"/>
  <c r="AC774" i="1"/>
  <c r="AB774" i="1"/>
  <c r="Z774" i="1"/>
  <c r="G774" i="1"/>
  <c r="BA773" i="1"/>
  <c r="AW773" i="1"/>
  <c r="AO773" i="1"/>
  <c r="AR773" i="1" s="1"/>
  <c r="AC773" i="1"/>
  <c r="AB773" i="1"/>
  <c r="Z773" i="1"/>
  <c r="G773" i="1"/>
  <c r="BA772" i="1"/>
  <c r="AW772" i="1"/>
  <c r="AB772" i="1"/>
  <c r="AE772" i="1" s="1"/>
  <c r="Z772" i="1"/>
  <c r="G772" i="1"/>
  <c r="BA771" i="1"/>
  <c r="AW771" i="1"/>
  <c r="AB771" i="1"/>
  <c r="AE771" i="1" s="1"/>
  <c r="AH771" i="1" s="1"/>
  <c r="AJ771" i="1" s="1"/>
  <c r="Z771" i="1"/>
  <c r="G771" i="1"/>
  <c r="BA770" i="1"/>
  <c r="AW770" i="1"/>
  <c r="AB770" i="1"/>
  <c r="AE770" i="1" s="1"/>
  <c r="Z770" i="1"/>
  <c r="G770" i="1"/>
  <c r="BA769" i="1"/>
  <c r="AW769" i="1"/>
  <c r="AC769" i="1"/>
  <c r="AB769" i="1"/>
  <c r="Z769" i="1"/>
  <c r="G769" i="1"/>
  <c r="BA768" i="1"/>
  <c r="AW768" i="1"/>
  <c r="AC768" i="1"/>
  <c r="AB768" i="1"/>
  <c r="Z768" i="1"/>
  <c r="G768" i="1"/>
  <c r="BA767" i="1"/>
  <c r="AW767" i="1"/>
  <c r="AB767" i="1"/>
  <c r="AE767" i="1" s="1"/>
  <c r="Z767" i="1"/>
  <c r="G767" i="1"/>
  <c r="BA766" i="1"/>
  <c r="AW766" i="1"/>
  <c r="AD766" i="1"/>
  <c r="AC766" i="1"/>
  <c r="AB766" i="1"/>
  <c r="Z766" i="1"/>
  <c r="G766" i="1"/>
  <c r="BA765" i="1"/>
  <c r="AW765" i="1"/>
  <c r="AC765" i="1"/>
  <c r="AB765" i="1"/>
  <c r="Z765" i="1"/>
  <c r="G765" i="1"/>
  <c r="BA764" i="1"/>
  <c r="AW764" i="1"/>
  <c r="AC764" i="1"/>
  <c r="AB764" i="1"/>
  <c r="Z764" i="1"/>
  <c r="G764" i="1"/>
  <c r="BA763" i="1"/>
  <c r="AW763" i="1"/>
  <c r="AB763" i="1"/>
  <c r="AE763" i="1" s="1"/>
  <c r="Z763" i="1"/>
  <c r="G763" i="1"/>
  <c r="BA762" i="1"/>
  <c r="AW762" i="1"/>
  <c r="AD762" i="1"/>
  <c r="AC762" i="1"/>
  <c r="AB762" i="1"/>
  <c r="Z762" i="1"/>
  <c r="G762" i="1"/>
  <c r="BA761" i="1"/>
  <c r="AW761" i="1"/>
  <c r="AB761" i="1"/>
  <c r="AE761" i="1" s="1"/>
  <c r="AH761" i="1" s="1"/>
  <c r="Z761" i="1"/>
  <c r="G761" i="1"/>
  <c r="BA760" i="1"/>
  <c r="AW760" i="1"/>
  <c r="AB760" i="1"/>
  <c r="AE760" i="1" s="1"/>
  <c r="Z760" i="1"/>
  <c r="G760" i="1"/>
  <c r="BA759" i="1"/>
  <c r="AW759" i="1"/>
  <c r="AB759" i="1"/>
  <c r="AE759" i="1" s="1"/>
  <c r="AH759" i="1" s="1"/>
  <c r="AJ759" i="1" s="1"/>
  <c r="Z759" i="1"/>
  <c r="G759" i="1"/>
  <c r="BA758" i="1"/>
  <c r="AW758" i="1"/>
  <c r="AC758" i="1"/>
  <c r="AB758" i="1"/>
  <c r="Z758" i="1"/>
  <c r="G758" i="1"/>
  <c r="BA749" i="1"/>
  <c r="AW749" i="1"/>
  <c r="AB749" i="1"/>
  <c r="AE749" i="1" s="1"/>
  <c r="Z749" i="1"/>
  <c r="G749" i="1"/>
  <c r="BA748" i="1"/>
  <c r="AW748" i="1"/>
  <c r="AB748" i="1"/>
  <c r="AE748" i="1" s="1"/>
  <c r="AH748" i="1" s="1"/>
  <c r="AJ748" i="1" s="1"/>
  <c r="Z748" i="1"/>
  <c r="G748" i="1"/>
  <c r="BA755" i="1"/>
  <c r="AW755" i="1"/>
  <c r="AB755" i="1"/>
  <c r="AE755" i="1" s="1"/>
  <c r="Z755" i="1"/>
  <c r="G755" i="1"/>
  <c r="BA754" i="1"/>
  <c r="AW754" i="1"/>
  <c r="AB754" i="1"/>
  <c r="AE754" i="1" s="1"/>
  <c r="AH754" i="1" s="1"/>
  <c r="AJ754" i="1" s="1"/>
  <c r="Z754" i="1"/>
  <c r="G754" i="1"/>
  <c r="BA753" i="1"/>
  <c r="AW753" i="1"/>
  <c r="AB753" i="1"/>
  <c r="AE753" i="1" s="1"/>
  <c r="AH753" i="1" s="1"/>
  <c r="AJ753" i="1" s="1"/>
  <c r="Z753" i="1"/>
  <c r="G753" i="1"/>
  <c r="BA795" i="1"/>
  <c r="AW795" i="1"/>
  <c r="AB795" i="1"/>
  <c r="AE795" i="1" s="1"/>
  <c r="Z795" i="1"/>
  <c r="G795" i="1"/>
  <c r="BA751" i="1"/>
  <c r="AW751" i="1"/>
  <c r="AB751" i="1"/>
  <c r="AE751" i="1" s="1"/>
  <c r="Z751" i="1"/>
  <c r="G751" i="1"/>
  <c r="BA750" i="1"/>
  <c r="AW750" i="1"/>
  <c r="AB750" i="1"/>
  <c r="AE750" i="1" s="1"/>
  <c r="AH750" i="1" s="1"/>
  <c r="AJ750" i="1" s="1"/>
  <c r="Z750" i="1"/>
  <c r="G750" i="1"/>
  <c r="BA423" i="1"/>
  <c r="AW423" i="1"/>
  <c r="AB423" i="1"/>
  <c r="AE423" i="1" s="1"/>
  <c r="AF423" i="1" s="1"/>
  <c r="AG423" i="1" s="1"/>
  <c r="AU423" i="1" s="1"/>
  <c r="AV423" i="1" s="1"/>
  <c r="Z423" i="1"/>
  <c r="G423" i="1"/>
  <c r="BA812" i="1"/>
  <c r="AW812" i="1"/>
  <c r="AB812" i="1"/>
  <c r="AE812" i="1" s="1"/>
  <c r="AH812" i="1" s="1"/>
  <c r="Z812" i="1"/>
  <c r="G812" i="1"/>
  <c r="BA810" i="1"/>
  <c r="AW810" i="1"/>
  <c r="AB810" i="1"/>
  <c r="AE810" i="1" s="1"/>
  <c r="Z810" i="1"/>
  <c r="G810" i="1"/>
  <c r="BA746" i="1"/>
  <c r="AW746" i="1"/>
  <c r="AB746" i="1"/>
  <c r="AE746" i="1" s="1"/>
  <c r="AH746" i="1" s="1"/>
  <c r="AJ746" i="1" s="1"/>
  <c r="Z746" i="1"/>
  <c r="G746" i="1"/>
  <c r="BA745" i="1"/>
  <c r="AW745" i="1"/>
  <c r="AB745" i="1"/>
  <c r="AE745" i="1" s="1"/>
  <c r="AF745" i="1" s="1"/>
  <c r="AG745" i="1" s="1"/>
  <c r="AU745" i="1" s="1"/>
  <c r="AV745" i="1" s="1"/>
  <c r="Z745" i="1"/>
  <c r="G745" i="1"/>
  <c r="BA744" i="1"/>
  <c r="AW744" i="1"/>
  <c r="AB744" i="1"/>
  <c r="AE744" i="1" s="1"/>
  <c r="Z744" i="1"/>
  <c r="G744" i="1"/>
  <c r="BA743" i="1"/>
  <c r="AW743" i="1"/>
  <c r="AC743" i="1"/>
  <c r="AB743" i="1"/>
  <c r="Z743" i="1"/>
  <c r="G743" i="1"/>
  <c r="AW742" i="1"/>
  <c r="AB742" i="1"/>
  <c r="AE742" i="1" s="1"/>
  <c r="AH742" i="1" s="1"/>
  <c r="AJ742" i="1" s="1"/>
  <c r="Z742" i="1"/>
  <c r="G742" i="1"/>
  <c r="BA741" i="1"/>
  <c r="AW741" i="1"/>
  <c r="AV741" i="1"/>
  <c r="AT741" i="1"/>
  <c r="AD741" i="1"/>
  <c r="AC741" i="1"/>
  <c r="AB741" i="1"/>
  <c r="Z741" i="1"/>
  <c r="G741" i="1"/>
  <c r="BA740" i="1"/>
  <c r="AW740" i="1"/>
  <c r="AB740" i="1"/>
  <c r="AE740" i="1" s="1"/>
  <c r="AF740" i="1" s="1"/>
  <c r="AG740" i="1" s="1"/>
  <c r="AU740" i="1" s="1"/>
  <c r="AV740" i="1" s="1"/>
  <c r="Z740" i="1"/>
  <c r="G740" i="1"/>
  <c r="BA739" i="1"/>
  <c r="AW739" i="1"/>
  <c r="AB739" i="1"/>
  <c r="AE739" i="1" s="1"/>
  <c r="AF739" i="1" s="1"/>
  <c r="AG739" i="1" s="1"/>
  <c r="AU739" i="1" s="1"/>
  <c r="AV739" i="1" s="1"/>
  <c r="Z739" i="1"/>
  <c r="G739" i="1"/>
  <c r="BA738" i="1"/>
  <c r="AW738" i="1"/>
  <c r="AB738" i="1"/>
  <c r="AE738" i="1" s="1"/>
  <c r="Z738" i="1"/>
  <c r="G738" i="1"/>
  <c r="BA737" i="1"/>
  <c r="AW737" i="1"/>
  <c r="AB737" i="1"/>
  <c r="AE737" i="1" s="1"/>
  <c r="Z737" i="1"/>
  <c r="G737" i="1"/>
  <c r="BA736" i="1"/>
  <c r="AW736" i="1"/>
  <c r="AB736" i="1"/>
  <c r="AE736" i="1" s="1"/>
  <c r="AH736" i="1" s="1"/>
  <c r="AJ736" i="1" s="1"/>
  <c r="Z736" i="1"/>
  <c r="G736" i="1"/>
  <c r="BA110" i="1"/>
  <c r="AW110" i="1"/>
  <c r="AT110" i="1"/>
  <c r="AC110" i="1"/>
  <c r="AB110" i="1"/>
  <c r="Z110" i="1"/>
  <c r="G110" i="1"/>
  <c r="BA734" i="1"/>
  <c r="AW734" i="1"/>
  <c r="AB734" i="1"/>
  <c r="AE734" i="1" s="1"/>
  <c r="AF734" i="1" s="1"/>
  <c r="AG734" i="1" s="1"/>
  <c r="AU734" i="1" s="1"/>
  <c r="AV734" i="1" s="1"/>
  <c r="Z734" i="1"/>
  <c r="G734" i="1"/>
  <c r="BA733" i="1"/>
  <c r="AW733" i="1"/>
  <c r="AB733" i="1"/>
  <c r="AE733" i="1" s="1"/>
  <c r="Z733" i="1"/>
  <c r="G733" i="1"/>
  <c r="BA732" i="1"/>
  <c r="AW732" i="1"/>
  <c r="AB732" i="1"/>
  <c r="AE732" i="1" s="1"/>
  <c r="Z732" i="1"/>
  <c r="G732" i="1"/>
  <c r="BA731" i="1"/>
  <c r="AW731" i="1"/>
  <c r="AB731" i="1"/>
  <c r="AE731" i="1" s="1"/>
  <c r="Z731" i="1"/>
  <c r="G731" i="1"/>
  <c r="BA730" i="1"/>
  <c r="AW730" i="1"/>
  <c r="AB730" i="1"/>
  <c r="AE730" i="1" s="1"/>
  <c r="AF730" i="1" s="1"/>
  <c r="AG730" i="1" s="1"/>
  <c r="AU730" i="1" s="1"/>
  <c r="AV730" i="1" s="1"/>
  <c r="Z730" i="1"/>
  <c r="G730" i="1"/>
  <c r="BA729" i="1"/>
  <c r="AW729" i="1"/>
  <c r="AB729" i="1"/>
  <c r="AE729" i="1" s="1"/>
  <c r="Z729" i="1"/>
  <c r="G729" i="1"/>
  <c r="BA728" i="1"/>
  <c r="AW728" i="1"/>
  <c r="AB728" i="1"/>
  <c r="AE728" i="1" s="1"/>
  <c r="Z728" i="1"/>
  <c r="G728" i="1"/>
  <c r="BA727" i="1"/>
  <c r="AW727" i="1"/>
  <c r="AC727" i="1"/>
  <c r="AE727" i="1" s="1"/>
  <c r="Z727" i="1"/>
  <c r="G727" i="1"/>
  <c r="BA726" i="1"/>
  <c r="AW726" i="1"/>
  <c r="AD726" i="1"/>
  <c r="AB726" i="1"/>
  <c r="Z726" i="1"/>
  <c r="G726" i="1"/>
  <c r="BA725" i="1"/>
  <c r="AW725" i="1"/>
  <c r="AT725" i="1"/>
  <c r="AD725" i="1"/>
  <c r="AB725" i="1"/>
  <c r="Z725" i="1"/>
  <c r="G725" i="1"/>
  <c r="BA724" i="1"/>
  <c r="AW724" i="1"/>
  <c r="AB724" i="1"/>
  <c r="AE724" i="1" s="1"/>
  <c r="AH724" i="1" s="1"/>
  <c r="AJ724" i="1" s="1"/>
  <c r="Z724" i="1"/>
  <c r="G724" i="1"/>
  <c r="BA723" i="1"/>
  <c r="AW723" i="1"/>
  <c r="AB723" i="1"/>
  <c r="AE723" i="1" s="1"/>
  <c r="AH723" i="1" s="1"/>
  <c r="AL723" i="1" s="1"/>
  <c r="AO723" i="1" s="1"/>
  <c r="AR723" i="1" s="1"/>
  <c r="Z723" i="1"/>
  <c r="G723" i="1"/>
  <c r="BA722" i="1"/>
  <c r="AW722" i="1"/>
  <c r="AB722" i="1"/>
  <c r="AE722" i="1" s="1"/>
  <c r="Z722" i="1"/>
  <c r="G722" i="1"/>
  <c r="BA721" i="1"/>
  <c r="AW721" i="1"/>
  <c r="AB721" i="1"/>
  <c r="AE721" i="1" s="1"/>
  <c r="Z721" i="1"/>
  <c r="G721" i="1"/>
  <c r="BA668" i="1"/>
  <c r="AW668" i="1"/>
  <c r="AB668" i="1"/>
  <c r="AE668" i="1" s="1"/>
  <c r="AF668" i="1" s="1"/>
  <c r="AG668" i="1" s="1"/>
  <c r="AU668" i="1" s="1"/>
  <c r="AV668" i="1" s="1"/>
  <c r="Z668" i="1"/>
  <c r="G668" i="1"/>
  <c r="BA719" i="1"/>
  <c r="AW719" i="1"/>
  <c r="AB719" i="1"/>
  <c r="AE719" i="1" s="1"/>
  <c r="Z719" i="1"/>
  <c r="G719" i="1"/>
  <c r="BA718" i="1"/>
  <c r="AW718" i="1"/>
  <c r="AB718" i="1"/>
  <c r="AE718" i="1" s="1"/>
  <c r="Z718" i="1"/>
  <c r="G718" i="1"/>
  <c r="BA807" i="1"/>
  <c r="AW807" i="1"/>
  <c r="AB807" i="1"/>
  <c r="AE807" i="1" s="1"/>
  <c r="AF807" i="1" s="1"/>
  <c r="AG807" i="1" s="1"/>
  <c r="AU807" i="1" s="1"/>
  <c r="AV807" i="1" s="1"/>
  <c r="Z807" i="1"/>
  <c r="G807" i="1"/>
  <c r="BA716" i="1"/>
  <c r="AW716" i="1"/>
  <c r="AB716" i="1"/>
  <c r="AE716" i="1" s="1"/>
  <c r="Z716" i="1"/>
  <c r="G716" i="1"/>
  <c r="BA715" i="1"/>
  <c r="AW715" i="1"/>
  <c r="AB715" i="1"/>
  <c r="AE715" i="1" s="1"/>
  <c r="AF715" i="1" s="1"/>
  <c r="AG715" i="1" s="1"/>
  <c r="AU715" i="1" s="1"/>
  <c r="AV715" i="1" s="1"/>
  <c r="Z715" i="1"/>
  <c r="G715" i="1"/>
  <c r="BA805" i="1"/>
  <c r="AW805" i="1"/>
  <c r="AB805" i="1"/>
  <c r="AE805" i="1" s="1"/>
  <c r="Z805" i="1"/>
  <c r="G805" i="1"/>
  <c r="BA713" i="1"/>
  <c r="AW713" i="1"/>
  <c r="AB713" i="1"/>
  <c r="AE713" i="1" s="1"/>
  <c r="AH713" i="1" s="1"/>
  <c r="AJ713" i="1" s="1"/>
  <c r="Z713" i="1"/>
  <c r="G713" i="1"/>
  <c r="BA712" i="1"/>
  <c r="AW712" i="1"/>
  <c r="AB712" i="1"/>
  <c r="AE712" i="1" s="1"/>
  <c r="AF712" i="1" s="1"/>
  <c r="AG712" i="1" s="1"/>
  <c r="AU712" i="1" s="1"/>
  <c r="AV712" i="1" s="1"/>
  <c r="Z712" i="1"/>
  <c r="G712" i="1"/>
  <c r="BA786" i="1"/>
  <c r="AW786" i="1"/>
  <c r="AB786" i="1"/>
  <c r="AE786" i="1" s="1"/>
  <c r="Z786" i="1"/>
  <c r="G786" i="1"/>
  <c r="BA710" i="1"/>
  <c r="AW710" i="1"/>
  <c r="AB710" i="1"/>
  <c r="AE710" i="1" s="1"/>
  <c r="Z710" i="1"/>
  <c r="G710" i="1"/>
  <c r="BA709" i="1"/>
  <c r="AW709" i="1"/>
  <c r="AB709" i="1"/>
  <c r="AE709" i="1" s="1"/>
  <c r="AH709" i="1" s="1"/>
  <c r="AJ709" i="1" s="1"/>
  <c r="Z709" i="1"/>
  <c r="G709" i="1"/>
  <c r="BA752" i="1"/>
  <c r="AW752" i="1"/>
  <c r="AB752" i="1"/>
  <c r="AE752" i="1" s="1"/>
  <c r="AF752" i="1" s="1"/>
  <c r="AG752" i="1" s="1"/>
  <c r="AU752" i="1" s="1"/>
  <c r="AV752" i="1" s="1"/>
  <c r="Z752" i="1"/>
  <c r="G752" i="1"/>
  <c r="BA707" i="1"/>
  <c r="AW707" i="1"/>
  <c r="AT707" i="1"/>
  <c r="AC707" i="1"/>
  <c r="AB707" i="1"/>
  <c r="Z707" i="1"/>
  <c r="G707" i="1"/>
  <c r="BA706" i="1"/>
  <c r="AW706" i="1"/>
  <c r="AB706" i="1"/>
  <c r="AE706" i="1" s="1"/>
  <c r="Z706" i="1"/>
  <c r="G706" i="1"/>
  <c r="BA705" i="1"/>
  <c r="AW705" i="1"/>
  <c r="AB705" i="1"/>
  <c r="AE705" i="1" s="1"/>
  <c r="Z705" i="1"/>
  <c r="G705" i="1"/>
  <c r="BA704" i="1"/>
  <c r="AW704" i="1"/>
  <c r="AB704" i="1"/>
  <c r="AE704" i="1" s="1"/>
  <c r="AH704" i="1" s="1"/>
  <c r="AJ704" i="1" s="1"/>
  <c r="Z704" i="1"/>
  <c r="G704" i="1"/>
  <c r="BA703" i="1"/>
  <c r="AW703" i="1"/>
  <c r="AB703" i="1"/>
  <c r="AE703" i="1" s="1"/>
  <c r="Z703" i="1"/>
  <c r="G703" i="1"/>
  <c r="BA702" i="1"/>
  <c r="AW702" i="1"/>
  <c r="AB702" i="1"/>
  <c r="AE702" i="1" s="1"/>
  <c r="Z702" i="1"/>
  <c r="G702" i="1"/>
  <c r="BA701" i="1"/>
  <c r="AW701" i="1"/>
  <c r="AB701" i="1"/>
  <c r="AE701" i="1" s="1"/>
  <c r="Z701" i="1"/>
  <c r="G701" i="1"/>
  <c r="BA700" i="1"/>
  <c r="AW700" i="1"/>
  <c r="AB700" i="1"/>
  <c r="AE700" i="1" s="1"/>
  <c r="Z700" i="1"/>
  <c r="G700" i="1"/>
  <c r="BA699" i="1"/>
  <c r="AW699" i="1"/>
  <c r="AB699" i="1"/>
  <c r="AE699" i="1" s="1"/>
  <c r="Z699" i="1"/>
  <c r="G699" i="1"/>
  <c r="BA698" i="1"/>
  <c r="AW698" i="1"/>
  <c r="AB698" i="1"/>
  <c r="AE698" i="1" s="1"/>
  <c r="Z698" i="1"/>
  <c r="G698" i="1"/>
  <c r="BA697" i="1"/>
  <c r="AW697" i="1"/>
  <c r="AB697" i="1"/>
  <c r="AE697" i="1" s="1"/>
  <c r="Z697" i="1"/>
  <c r="G697" i="1"/>
  <c r="BA696" i="1"/>
  <c r="AW696" i="1"/>
  <c r="AB696" i="1"/>
  <c r="AE696" i="1" s="1"/>
  <c r="Z696" i="1"/>
  <c r="G696" i="1"/>
  <c r="BA695" i="1"/>
  <c r="AW695" i="1"/>
  <c r="AB695" i="1"/>
  <c r="AE695" i="1" s="1"/>
  <c r="Z695" i="1"/>
  <c r="G695" i="1"/>
  <c r="BA694" i="1"/>
  <c r="AW694" i="1"/>
  <c r="AB694" i="1"/>
  <c r="AE694" i="1" s="1"/>
  <c r="AG694" i="1" s="1"/>
  <c r="AU694" i="1" s="1"/>
  <c r="AV694" i="1" s="1"/>
  <c r="Z694" i="1"/>
  <c r="X694" i="1"/>
  <c r="G694" i="1"/>
  <c r="BA693" i="1"/>
  <c r="AW693" i="1"/>
  <c r="AB693" i="1"/>
  <c r="AE693" i="1" s="1"/>
  <c r="Z693" i="1"/>
  <c r="G693" i="1"/>
  <c r="BA692" i="1"/>
  <c r="AW692" i="1"/>
  <c r="AD692" i="1"/>
  <c r="AB692" i="1"/>
  <c r="Z692" i="1"/>
  <c r="G692" i="1"/>
  <c r="BA691" i="1"/>
  <c r="AW691" i="1"/>
  <c r="AE691" i="1"/>
  <c r="AF691" i="1" s="1"/>
  <c r="AG691" i="1" s="1"/>
  <c r="AU691" i="1" s="1"/>
  <c r="AV691" i="1" s="1"/>
  <c r="Z691" i="1"/>
  <c r="G691" i="1"/>
  <c r="BA690" i="1"/>
  <c r="AW690" i="1"/>
  <c r="AE690" i="1"/>
  <c r="AH690" i="1" s="1"/>
  <c r="AJ690" i="1" s="1"/>
  <c r="Z690" i="1"/>
  <c r="G690" i="1"/>
  <c r="BA689" i="1"/>
  <c r="AW689" i="1"/>
  <c r="AC689" i="1"/>
  <c r="AE689" i="1" s="1"/>
  <c r="Z689" i="1"/>
  <c r="G689" i="1"/>
  <c r="BA688" i="1"/>
  <c r="AW688" i="1"/>
  <c r="AB688" i="1"/>
  <c r="AE688" i="1" s="1"/>
  <c r="Z688" i="1"/>
  <c r="G688" i="1"/>
  <c r="BA687" i="1"/>
  <c r="AW687" i="1"/>
  <c r="AB687" i="1"/>
  <c r="AE687" i="1" s="1"/>
  <c r="AH687" i="1" s="1"/>
  <c r="AJ687" i="1" s="1"/>
  <c r="Z687" i="1"/>
  <c r="G687" i="1"/>
  <c r="BA686" i="1"/>
  <c r="AW686" i="1"/>
  <c r="AC686" i="1"/>
  <c r="AB686" i="1"/>
  <c r="Z686" i="1"/>
  <c r="G686" i="1"/>
  <c r="BA685" i="1"/>
  <c r="AW685" i="1"/>
  <c r="AB685" i="1"/>
  <c r="AE685" i="1" s="1"/>
  <c r="Z685" i="1"/>
  <c r="G685" i="1"/>
  <c r="BA684" i="1"/>
  <c r="AW684" i="1"/>
  <c r="AB684" i="1"/>
  <c r="AE684" i="1" s="1"/>
  <c r="Z684" i="1"/>
  <c r="G684" i="1"/>
  <c r="BA683" i="1"/>
  <c r="AW683" i="1"/>
  <c r="AB683" i="1"/>
  <c r="AE683" i="1" s="1"/>
  <c r="Z683" i="1"/>
  <c r="G683" i="1"/>
  <c r="BA682" i="1"/>
  <c r="AW682" i="1"/>
  <c r="AB682" i="1"/>
  <c r="AE682" i="1" s="1"/>
  <c r="Z682" i="1"/>
  <c r="G682" i="1"/>
  <c r="BA681" i="1"/>
  <c r="AW681" i="1"/>
  <c r="AB681" i="1"/>
  <c r="AE681" i="1" s="1"/>
  <c r="Z681" i="1"/>
  <c r="G681" i="1"/>
  <c r="BA680" i="1"/>
  <c r="AW680" i="1"/>
  <c r="AB680" i="1"/>
  <c r="AE680" i="1" s="1"/>
  <c r="Z680" i="1"/>
  <c r="G680" i="1"/>
  <c r="BA679" i="1"/>
  <c r="AW679" i="1"/>
  <c r="AB679" i="1"/>
  <c r="AE679" i="1" s="1"/>
  <c r="Z679" i="1"/>
  <c r="G679" i="1"/>
  <c r="BA678" i="1"/>
  <c r="AW678" i="1"/>
  <c r="AB678" i="1"/>
  <c r="AE678" i="1" s="1"/>
  <c r="Z678" i="1"/>
  <c r="G678" i="1"/>
  <c r="BA677" i="1"/>
  <c r="AW677" i="1"/>
  <c r="AD677" i="1"/>
  <c r="AB677" i="1"/>
  <c r="Z677" i="1"/>
  <c r="G677" i="1"/>
  <c r="BA676" i="1"/>
  <c r="AW676" i="1"/>
  <c r="AB676" i="1"/>
  <c r="AE676" i="1" s="1"/>
  <c r="Z676" i="1"/>
  <c r="G676" i="1"/>
  <c r="BA675" i="1"/>
  <c r="AW675" i="1"/>
  <c r="AB675" i="1"/>
  <c r="AE675" i="1" s="1"/>
  <c r="Z675" i="1"/>
  <c r="G675" i="1"/>
  <c r="BA674" i="1"/>
  <c r="AW674" i="1"/>
  <c r="AB674" i="1"/>
  <c r="AE674" i="1" s="1"/>
  <c r="AF674" i="1" s="1"/>
  <c r="AG674" i="1" s="1"/>
  <c r="AU674" i="1" s="1"/>
  <c r="AV674" i="1" s="1"/>
  <c r="Z674" i="1"/>
  <c r="G674" i="1"/>
  <c r="BA673" i="1"/>
  <c r="AW673" i="1"/>
  <c r="AB673" i="1"/>
  <c r="AE673" i="1" s="1"/>
  <c r="Z673" i="1"/>
  <c r="G673" i="1"/>
  <c r="BA672" i="1"/>
  <c r="AW672" i="1"/>
  <c r="AB672" i="1"/>
  <c r="AE672" i="1" s="1"/>
  <c r="Z672" i="1"/>
  <c r="G672" i="1"/>
  <c r="BA671" i="1"/>
  <c r="AW671" i="1"/>
  <c r="AB671" i="1"/>
  <c r="AE671" i="1" s="1"/>
  <c r="Z671" i="1"/>
  <c r="G671" i="1"/>
  <c r="BA617" i="1"/>
  <c r="AW617" i="1"/>
  <c r="AB617" i="1"/>
  <c r="AE617" i="1" s="1"/>
  <c r="AH617" i="1" s="1"/>
  <c r="AJ617" i="1" s="1"/>
  <c r="Z617" i="1"/>
  <c r="G617" i="1"/>
  <c r="BA669" i="1"/>
  <c r="AW669" i="1"/>
  <c r="AB669" i="1"/>
  <c r="AE669" i="1" s="1"/>
  <c r="Z669" i="1"/>
  <c r="G669" i="1"/>
  <c r="BA662" i="1"/>
  <c r="AW662" i="1"/>
  <c r="AB662" i="1"/>
  <c r="AE662" i="1" s="1"/>
  <c r="AH662" i="1" s="1"/>
  <c r="AJ662" i="1" s="1"/>
  <c r="Z662" i="1"/>
  <c r="G662" i="1"/>
  <c r="BA667" i="1"/>
  <c r="AW667" i="1"/>
  <c r="AB667" i="1"/>
  <c r="AE667" i="1" s="1"/>
  <c r="Z667" i="1"/>
  <c r="G667" i="1"/>
  <c r="BA666" i="1"/>
  <c r="AW666" i="1"/>
  <c r="AB666" i="1"/>
  <c r="AE666" i="1" s="1"/>
  <c r="Z666" i="1"/>
  <c r="G666" i="1"/>
  <c r="BA665" i="1"/>
  <c r="AW665" i="1"/>
  <c r="AB665" i="1"/>
  <c r="AE665" i="1" s="1"/>
  <c r="AH665" i="1" s="1"/>
  <c r="AJ665" i="1" s="1"/>
  <c r="Z665" i="1"/>
  <c r="G665" i="1"/>
  <c r="BA664" i="1"/>
  <c r="AW664" i="1"/>
  <c r="AB664" i="1"/>
  <c r="AE664" i="1" s="1"/>
  <c r="Z664" i="1"/>
  <c r="G664" i="1"/>
  <c r="BA663" i="1"/>
  <c r="AW663" i="1"/>
  <c r="AB663" i="1"/>
  <c r="AE663" i="1" s="1"/>
  <c r="AH663" i="1" s="1"/>
  <c r="AJ663" i="1" s="1"/>
  <c r="Z663" i="1"/>
  <c r="G663" i="1"/>
  <c r="BA310" i="1"/>
  <c r="AW310" i="1"/>
  <c r="AB310" i="1"/>
  <c r="AE310" i="1" s="1"/>
  <c r="AH310" i="1" s="1"/>
  <c r="AJ310" i="1" s="1"/>
  <c r="Z310" i="1"/>
  <c r="G310" i="1"/>
  <c r="BA661" i="1"/>
  <c r="AW661" i="1"/>
  <c r="AB661" i="1"/>
  <c r="AE661" i="1" s="1"/>
  <c r="AH661" i="1" s="1"/>
  <c r="AJ661" i="1" s="1"/>
  <c r="Z661" i="1"/>
  <c r="G661" i="1"/>
  <c r="BA660" i="1"/>
  <c r="AW660" i="1"/>
  <c r="AB660" i="1"/>
  <c r="AE660" i="1" s="1"/>
  <c r="Z660" i="1"/>
  <c r="G660" i="1"/>
  <c r="BA659" i="1"/>
  <c r="AW659" i="1"/>
  <c r="AB659" i="1"/>
  <c r="AE659" i="1" s="1"/>
  <c r="Z659" i="1"/>
  <c r="G659" i="1"/>
  <c r="BA658" i="1"/>
  <c r="AW658" i="1"/>
  <c r="AB658" i="1"/>
  <c r="AE658" i="1" s="1"/>
  <c r="Z658" i="1"/>
  <c r="G658" i="1"/>
  <c r="BA657" i="1"/>
  <c r="AW657" i="1"/>
  <c r="AB657" i="1"/>
  <c r="AE657" i="1" s="1"/>
  <c r="Z657" i="1"/>
  <c r="G657" i="1"/>
  <c r="BA656" i="1"/>
  <c r="AW656" i="1"/>
  <c r="AB656" i="1"/>
  <c r="AE656" i="1" s="1"/>
  <c r="Z656" i="1"/>
  <c r="G656" i="1"/>
  <c r="BA655" i="1"/>
  <c r="AW655" i="1"/>
  <c r="AB655" i="1"/>
  <c r="AE655" i="1" s="1"/>
  <c r="Z655" i="1"/>
  <c r="G655" i="1"/>
  <c r="BA606" i="1"/>
  <c r="AW606" i="1"/>
  <c r="AB606" i="1"/>
  <c r="AE606" i="1" s="1"/>
  <c r="AF606" i="1" s="1"/>
  <c r="AG606" i="1" s="1"/>
  <c r="AU606" i="1" s="1"/>
  <c r="AV606" i="1" s="1"/>
  <c r="Z606" i="1"/>
  <c r="G606" i="1"/>
  <c r="BA612" i="1"/>
  <c r="AW612" i="1"/>
  <c r="AB612" i="1"/>
  <c r="AE612" i="1" s="1"/>
  <c r="AF612" i="1" s="1"/>
  <c r="AG612" i="1" s="1"/>
  <c r="AU612" i="1" s="1"/>
  <c r="AV612" i="1" s="1"/>
  <c r="Z612" i="1"/>
  <c r="G612" i="1"/>
  <c r="BA652" i="1"/>
  <c r="AW652" i="1"/>
  <c r="AB652" i="1"/>
  <c r="AE652" i="1" s="1"/>
  <c r="Z652" i="1"/>
  <c r="G652" i="1"/>
  <c r="BA651" i="1"/>
  <c r="AW651" i="1"/>
  <c r="AB651" i="1"/>
  <c r="AE651" i="1" s="1"/>
  <c r="Z651" i="1"/>
  <c r="G651" i="1"/>
  <c r="BA650" i="1"/>
  <c r="AW650" i="1"/>
  <c r="AB650" i="1"/>
  <c r="AE650" i="1" s="1"/>
  <c r="Z650" i="1"/>
  <c r="G650" i="1"/>
  <c r="BA649" i="1"/>
  <c r="AW649" i="1"/>
  <c r="AB649" i="1"/>
  <c r="AE649" i="1" s="1"/>
  <c r="Z649" i="1"/>
  <c r="G649" i="1"/>
  <c r="BA648" i="1"/>
  <c r="AW648" i="1"/>
  <c r="AB648" i="1"/>
  <c r="AE648" i="1" s="1"/>
  <c r="Z648" i="1"/>
  <c r="G648" i="1"/>
  <c r="BA647" i="1"/>
  <c r="AW647" i="1"/>
  <c r="AB647" i="1"/>
  <c r="AE647" i="1" s="1"/>
  <c r="Z647" i="1"/>
  <c r="G647" i="1"/>
  <c r="BA646" i="1"/>
  <c r="AW646" i="1"/>
  <c r="AB646" i="1"/>
  <c r="AE646" i="1" s="1"/>
  <c r="AF646" i="1" s="1"/>
  <c r="AG646" i="1" s="1"/>
  <c r="AU646" i="1" s="1"/>
  <c r="AV646" i="1" s="1"/>
  <c r="Z646" i="1"/>
  <c r="G646" i="1"/>
  <c r="BA645" i="1"/>
  <c r="AW645" i="1"/>
  <c r="AB645" i="1"/>
  <c r="AE645" i="1" s="1"/>
  <c r="Z645" i="1"/>
  <c r="G645" i="1"/>
  <c r="BA644" i="1"/>
  <c r="AW644" i="1"/>
  <c r="AB644" i="1"/>
  <c r="AE644" i="1" s="1"/>
  <c r="AH644" i="1" s="1"/>
  <c r="AJ644" i="1" s="1"/>
  <c r="Z644" i="1"/>
  <c r="G644" i="1"/>
  <c r="BA643" i="1"/>
  <c r="AW643" i="1"/>
  <c r="AB643" i="1"/>
  <c r="AE643" i="1" s="1"/>
  <c r="AH643" i="1" s="1"/>
  <c r="AJ643" i="1" s="1"/>
  <c r="Z643" i="1"/>
  <c r="G643" i="1"/>
  <c r="BA374" i="1"/>
  <c r="AW374" i="1"/>
  <c r="AB374" i="1"/>
  <c r="AE374" i="1" s="1"/>
  <c r="Z374" i="1"/>
  <c r="G374" i="1"/>
  <c r="BA641" i="1"/>
  <c r="AW641" i="1"/>
  <c r="AB641" i="1"/>
  <c r="AE641" i="1" s="1"/>
  <c r="AH641" i="1" s="1"/>
  <c r="AJ641" i="1" s="1"/>
  <c r="Z641" i="1"/>
  <c r="G641" i="1"/>
  <c r="BA640" i="1"/>
  <c r="AW640" i="1"/>
  <c r="AB640" i="1"/>
  <c r="AE640" i="1" s="1"/>
  <c r="AF640" i="1" s="1"/>
  <c r="AG640" i="1" s="1"/>
  <c r="AU640" i="1" s="1"/>
  <c r="AV640" i="1" s="1"/>
  <c r="Z640" i="1"/>
  <c r="G640" i="1"/>
  <c r="BA639" i="1"/>
  <c r="AW639" i="1"/>
  <c r="AB639" i="1"/>
  <c r="AE639" i="1" s="1"/>
  <c r="Z639" i="1"/>
  <c r="G639" i="1"/>
  <c r="BA638" i="1"/>
  <c r="AW638" i="1"/>
  <c r="AB638" i="1"/>
  <c r="AE638" i="1" s="1"/>
  <c r="Z638" i="1"/>
  <c r="G638" i="1"/>
  <c r="BA637" i="1"/>
  <c r="AW637" i="1"/>
  <c r="AB637" i="1"/>
  <c r="AE637" i="1" s="1"/>
  <c r="AH637" i="1" s="1"/>
  <c r="Z637" i="1"/>
  <c r="G637" i="1"/>
  <c r="BA636" i="1"/>
  <c r="AW636" i="1"/>
  <c r="AB636" i="1"/>
  <c r="AE636" i="1" s="1"/>
  <c r="AF636" i="1" s="1"/>
  <c r="AG636" i="1" s="1"/>
  <c r="AU636" i="1" s="1"/>
  <c r="AV636" i="1" s="1"/>
  <c r="Z636" i="1"/>
  <c r="G636" i="1"/>
  <c r="BA635" i="1"/>
  <c r="AW635" i="1"/>
  <c r="AB635" i="1"/>
  <c r="AE635" i="1" s="1"/>
  <c r="AH635" i="1" s="1"/>
  <c r="AJ635" i="1" s="1"/>
  <c r="Z635" i="1"/>
  <c r="G635" i="1"/>
  <c r="BA634" i="1"/>
  <c r="AW634" i="1"/>
  <c r="AB634" i="1"/>
  <c r="AE634" i="1" s="1"/>
  <c r="Z634" i="1"/>
  <c r="G634" i="1"/>
  <c r="BA633" i="1"/>
  <c r="AW633" i="1"/>
  <c r="AB633" i="1"/>
  <c r="AE633" i="1" s="1"/>
  <c r="Z633" i="1"/>
  <c r="G633" i="1"/>
  <c r="BA632" i="1"/>
  <c r="AW632" i="1"/>
  <c r="AB632" i="1"/>
  <c r="AE632" i="1" s="1"/>
  <c r="Z632" i="1"/>
  <c r="G632" i="1"/>
  <c r="BA631" i="1"/>
  <c r="AW631" i="1"/>
  <c r="AB631" i="1"/>
  <c r="AE631" i="1" s="1"/>
  <c r="Z631" i="1"/>
  <c r="G631" i="1"/>
  <c r="BA630" i="1"/>
  <c r="AW630" i="1"/>
  <c r="AB630" i="1"/>
  <c r="AE630" i="1" s="1"/>
  <c r="Z630" i="1"/>
  <c r="G630" i="1"/>
  <c r="BA629" i="1"/>
  <c r="AW629" i="1"/>
  <c r="AB629" i="1"/>
  <c r="AE629" i="1" s="1"/>
  <c r="AF629" i="1" s="1"/>
  <c r="AG629" i="1" s="1"/>
  <c r="AU629" i="1" s="1"/>
  <c r="AV629" i="1" s="1"/>
  <c r="Z629" i="1"/>
  <c r="G629" i="1"/>
  <c r="BA628" i="1"/>
  <c r="AW628" i="1"/>
  <c r="AB628" i="1"/>
  <c r="AE628" i="1" s="1"/>
  <c r="Z628" i="1"/>
  <c r="G628" i="1"/>
  <c r="BA627" i="1"/>
  <c r="AW627" i="1"/>
  <c r="AB627" i="1"/>
  <c r="AE627" i="1" s="1"/>
  <c r="Z627" i="1"/>
  <c r="G627" i="1"/>
  <c r="BA626" i="1"/>
  <c r="AW626" i="1"/>
  <c r="AB626" i="1"/>
  <c r="AE626" i="1" s="1"/>
  <c r="Z626" i="1"/>
  <c r="G626" i="1"/>
  <c r="BA625" i="1"/>
  <c r="AW625" i="1"/>
  <c r="AB625" i="1"/>
  <c r="AE625" i="1" s="1"/>
  <c r="AF625" i="1" s="1"/>
  <c r="AG625" i="1" s="1"/>
  <c r="AU625" i="1" s="1"/>
  <c r="AV625" i="1" s="1"/>
  <c r="Z625" i="1"/>
  <c r="G625" i="1"/>
  <c r="BA624" i="1"/>
  <c r="AW624" i="1"/>
  <c r="AB624" i="1"/>
  <c r="AE624" i="1" s="1"/>
  <c r="Z624" i="1"/>
  <c r="G624" i="1"/>
  <c r="BA623" i="1"/>
  <c r="AW623" i="1"/>
  <c r="AB623" i="1"/>
  <c r="AE623" i="1" s="1"/>
  <c r="AH623" i="1" s="1"/>
  <c r="AJ623" i="1" s="1"/>
  <c r="Z623" i="1"/>
  <c r="G623" i="1"/>
  <c r="BA622" i="1"/>
  <c r="AW622" i="1"/>
  <c r="AB622" i="1"/>
  <c r="AE622" i="1" s="1"/>
  <c r="Z622" i="1"/>
  <c r="G622" i="1"/>
  <c r="BA621" i="1"/>
  <c r="AW621" i="1"/>
  <c r="AB621" i="1"/>
  <c r="AE621" i="1" s="1"/>
  <c r="AH621" i="1" s="1"/>
  <c r="AJ621" i="1" s="1"/>
  <c r="Z621" i="1"/>
  <c r="G621" i="1"/>
  <c r="BA620" i="1"/>
  <c r="AW620" i="1"/>
  <c r="AB620" i="1"/>
  <c r="AE620" i="1" s="1"/>
  <c r="Z620" i="1"/>
  <c r="G620" i="1"/>
  <c r="BA619" i="1"/>
  <c r="AW619" i="1"/>
  <c r="AB619" i="1"/>
  <c r="AE619" i="1" s="1"/>
  <c r="Z619" i="1"/>
  <c r="G619" i="1"/>
  <c r="BA618" i="1"/>
  <c r="AW618" i="1"/>
  <c r="AB618" i="1"/>
  <c r="AE618" i="1" s="1"/>
  <c r="AF618" i="1" s="1"/>
  <c r="AG618" i="1" s="1"/>
  <c r="AU618" i="1" s="1"/>
  <c r="AV618" i="1" s="1"/>
  <c r="Z618" i="1"/>
  <c r="G618" i="1"/>
  <c r="BA331" i="1"/>
  <c r="AW331" i="1"/>
  <c r="AB331" i="1"/>
  <c r="AE331" i="1" s="1"/>
  <c r="Z331" i="1"/>
  <c r="G331" i="1"/>
  <c r="BA332" i="1"/>
  <c r="AW332" i="1"/>
  <c r="AB332" i="1"/>
  <c r="AE332" i="1" s="1"/>
  <c r="Z332" i="1"/>
  <c r="G332" i="1"/>
  <c r="BA314" i="1"/>
  <c r="AW314" i="1"/>
  <c r="AB314" i="1"/>
  <c r="AE314" i="1" s="1"/>
  <c r="Z314" i="1"/>
  <c r="G314" i="1"/>
  <c r="BA614" i="1"/>
  <c r="AW614" i="1"/>
  <c r="AB614" i="1"/>
  <c r="AE614" i="1" s="1"/>
  <c r="Z614" i="1"/>
  <c r="G614" i="1"/>
  <c r="BA613" i="1"/>
  <c r="AW613" i="1"/>
  <c r="AB613" i="1"/>
  <c r="AE613" i="1" s="1"/>
  <c r="Z613" i="1"/>
  <c r="G613" i="1"/>
  <c r="BA57" i="1"/>
  <c r="AW57" i="1"/>
  <c r="AB57" i="1"/>
  <c r="AE57" i="1" s="1"/>
  <c r="AF57" i="1" s="1"/>
  <c r="AG57" i="1" s="1"/>
  <c r="AU57" i="1" s="1"/>
  <c r="AV57" i="1" s="1"/>
  <c r="Z57" i="1"/>
  <c r="G57" i="1"/>
  <c r="BA611" i="1"/>
  <c r="AW611" i="1"/>
  <c r="AV611" i="1"/>
  <c r="AT611" i="1"/>
  <c r="AB611" i="1"/>
  <c r="AE611" i="1" s="1"/>
  <c r="Z611" i="1"/>
  <c r="G611" i="1"/>
  <c r="BA610" i="1"/>
  <c r="AW610" i="1"/>
  <c r="AB610" i="1"/>
  <c r="AE610" i="1" s="1"/>
  <c r="Z610" i="1"/>
  <c r="G610" i="1"/>
  <c r="BA609" i="1"/>
  <c r="AW609" i="1"/>
  <c r="AB609" i="1"/>
  <c r="AE609" i="1" s="1"/>
  <c r="Z609" i="1"/>
  <c r="G609" i="1"/>
  <c r="BA608" i="1"/>
  <c r="AW608" i="1"/>
  <c r="AB608" i="1"/>
  <c r="AE608" i="1" s="1"/>
  <c r="AH608" i="1" s="1"/>
  <c r="AJ608" i="1" s="1"/>
  <c r="Z608" i="1"/>
  <c r="G608" i="1"/>
  <c r="BA607" i="1"/>
  <c r="AW607" i="1"/>
  <c r="AB607" i="1"/>
  <c r="AE607" i="1" s="1"/>
  <c r="Z607" i="1"/>
  <c r="G607" i="1"/>
  <c r="BA167" i="1"/>
  <c r="AW167" i="1"/>
  <c r="AB167" i="1"/>
  <c r="AE167" i="1" s="1"/>
  <c r="Z167" i="1"/>
  <c r="G167" i="1"/>
  <c r="BA605" i="1"/>
  <c r="AW605" i="1"/>
  <c r="AB605" i="1"/>
  <c r="AE605" i="1" s="1"/>
  <c r="Z605" i="1"/>
  <c r="G605" i="1"/>
  <c r="BA604" i="1"/>
  <c r="AW604" i="1"/>
  <c r="AB604" i="1"/>
  <c r="AE604" i="1" s="1"/>
  <c r="AF604" i="1" s="1"/>
  <c r="AG604" i="1" s="1"/>
  <c r="AU604" i="1" s="1"/>
  <c r="AV604" i="1" s="1"/>
  <c r="Z604" i="1"/>
  <c r="G604" i="1"/>
  <c r="BA603" i="1"/>
  <c r="AW603" i="1"/>
  <c r="AB603" i="1"/>
  <c r="AE603" i="1" s="1"/>
  <c r="Z603" i="1"/>
  <c r="G603" i="1"/>
  <c r="BA602" i="1"/>
  <c r="AW602" i="1"/>
  <c r="AB602" i="1"/>
  <c r="AE602" i="1" s="1"/>
  <c r="AH602" i="1" s="1"/>
  <c r="AJ602" i="1" s="1"/>
  <c r="Z602" i="1"/>
  <c r="G602" i="1"/>
  <c r="BA121" i="1"/>
  <c r="AW121" i="1"/>
  <c r="AB121" i="1"/>
  <c r="AE121" i="1" s="1"/>
  <c r="Z121" i="1"/>
  <c r="G121" i="1"/>
  <c r="BA600" i="1"/>
  <c r="AW600" i="1"/>
  <c r="AB600" i="1"/>
  <c r="AE600" i="1" s="1"/>
  <c r="AF600" i="1" s="1"/>
  <c r="AG600" i="1" s="1"/>
  <c r="AU600" i="1" s="1"/>
  <c r="AV600" i="1" s="1"/>
  <c r="Z600" i="1"/>
  <c r="G600" i="1"/>
  <c r="BA599" i="1"/>
  <c r="AW599" i="1"/>
  <c r="AB599" i="1"/>
  <c r="AE599" i="1" s="1"/>
  <c r="AF599" i="1" s="1"/>
  <c r="AG599" i="1" s="1"/>
  <c r="AU599" i="1" s="1"/>
  <c r="AV599" i="1" s="1"/>
  <c r="Z599" i="1"/>
  <c r="G599" i="1"/>
  <c r="BA598" i="1"/>
  <c r="AW598" i="1"/>
  <c r="AB598" i="1"/>
  <c r="AE598" i="1" s="1"/>
  <c r="Z598" i="1"/>
  <c r="G598" i="1"/>
  <c r="BA597" i="1"/>
  <c r="AW597" i="1"/>
  <c r="AB597" i="1"/>
  <c r="AE597" i="1" s="1"/>
  <c r="Z597" i="1"/>
  <c r="G597" i="1"/>
  <c r="BA596" i="1"/>
  <c r="AW596" i="1"/>
  <c r="AC596" i="1"/>
  <c r="AB596" i="1"/>
  <c r="Z596" i="1"/>
  <c r="G596" i="1"/>
  <c r="BA595" i="1"/>
  <c r="AW595" i="1"/>
  <c r="AB595" i="1"/>
  <c r="AE595" i="1" s="1"/>
  <c r="Z595" i="1"/>
  <c r="G595" i="1"/>
  <c r="BA594" i="1"/>
  <c r="AW594" i="1"/>
  <c r="AB594" i="1"/>
  <c r="AE594" i="1" s="1"/>
  <c r="Z594" i="1"/>
  <c r="G594" i="1"/>
  <c r="BA593" i="1"/>
  <c r="AW593" i="1"/>
  <c r="AB593" i="1"/>
  <c r="AE593" i="1" s="1"/>
  <c r="Z593" i="1"/>
  <c r="G593" i="1"/>
  <c r="BA592" i="1"/>
  <c r="AW592" i="1"/>
  <c r="AB592" i="1"/>
  <c r="AE592" i="1" s="1"/>
  <c r="Z592" i="1"/>
  <c r="G592" i="1"/>
  <c r="BA591" i="1"/>
  <c r="AW591" i="1"/>
  <c r="AB591" i="1"/>
  <c r="AE591" i="1" s="1"/>
  <c r="Z591" i="1"/>
  <c r="G591" i="1"/>
  <c r="BA590" i="1"/>
  <c r="AW590" i="1"/>
  <c r="AB590" i="1"/>
  <c r="AE590" i="1" s="1"/>
  <c r="AH590" i="1" s="1"/>
  <c r="Z590" i="1"/>
  <c r="G590" i="1"/>
  <c r="BA589" i="1"/>
  <c r="AW589" i="1"/>
  <c r="AB589" i="1"/>
  <c r="AE589" i="1" s="1"/>
  <c r="Z589" i="1"/>
  <c r="G589" i="1"/>
  <c r="BA588" i="1"/>
  <c r="AW588" i="1"/>
  <c r="AB588" i="1"/>
  <c r="AE588" i="1" s="1"/>
  <c r="Z588" i="1"/>
  <c r="G588" i="1"/>
  <c r="BA587" i="1"/>
  <c r="AW587" i="1"/>
  <c r="AB587" i="1"/>
  <c r="AE587" i="1" s="1"/>
  <c r="Z587" i="1"/>
  <c r="G587" i="1"/>
  <c r="BA586" i="1"/>
  <c r="AW586" i="1"/>
  <c r="AB586" i="1"/>
  <c r="AE586" i="1" s="1"/>
  <c r="AF586" i="1" s="1"/>
  <c r="AG586" i="1" s="1"/>
  <c r="AU586" i="1" s="1"/>
  <c r="AV586" i="1" s="1"/>
  <c r="Z586" i="1"/>
  <c r="G586" i="1"/>
  <c r="BA585" i="1"/>
  <c r="AW585" i="1"/>
  <c r="AB585" i="1"/>
  <c r="AE585" i="1" s="1"/>
  <c r="AF585" i="1" s="1"/>
  <c r="AG585" i="1" s="1"/>
  <c r="AU585" i="1" s="1"/>
  <c r="AV585" i="1" s="1"/>
  <c r="Z585" i="1"/>
  <c r="G585" i="1"/>
  <c r="BA584" i="1"/>
  <c r="AW584" i="1"/>
  <c r="AB584" i="1"/>
  <c r="AE584" i="1" s="1"/>
  <c r="AF584" i="1" s="1"/>
  <c r="AG584" i="1" s="1"/>
  <c r="AU584" i="1" s="1"/>
  <c r="AV584" i="1" s="1"/>
  <c r="Z584" i="1"/>
  <c r="G584" i="1"/>
  <c r="BA583" i="1"/>
  <c r="AW583" i="1"/>
  <c r="AB583" i="1"/>
  <c r="AE583" i="1" s="1"/>
  <c r="Z583" i="1"/>
  <c r="G583" i="1"/>
  <c r="BA582" i="1"/>
  <c r="AW582" i="1"/>
  <c r="AB582" i="1"/>
  <c r="AE582" i="1" s="1"/>
  <c r="AF582" i="1" s="1"/>
  <c r="AG582" i="1" s="1"/>
  <c r="AU582" i="1" s="1"/>
  <c r="AV582" i="1" s="1"/>
  <c r="Z582" i="1"/>
  <c r="G582" i="1"/>
  <c r="BA581" i="1"/>
  <c r="AW581" i="1"/>
  <c r="AB581" i="1"/>
  <c r="AE581" i="1" s="1"/>
  <c r="Z581" i="1"/>
  <c r="G581" i="1"/>
  <c r="BA580" i="1"/>
  <c r="AW580" i="1"/>
  <c r="AD580" i="1"/>
  <c r="AB580" i="1"/>
  <c r="Z580" i="1"/>
  <c r="G580" i="1"/>
  <c r="BA579" i="1"/>
  <c r="AW579" i="1"/>
  <c r="AD579" i="1"/>
  <c r="AB579" i="1"/>
  <c r="Z579" i="1"/>
  <c r="G579" i="1"/>
  <c r="BA578" i="1"/>
  <c r="AW578" i="1"/>
  <c r="AD578" i="1"/>
  <c r="AB578" i="1"/>
  <c r="Z578" i="1"/>
  <c r="G578" i="1"/>
  <c r="BA577" i="1"/>
  <c r="AW577" i="1"/>
  <c r="AD577" i="1"/>
  <c r="AB577" i="1"/>
  <c r="Z577" i="1"/>
  <c r="G577" i="1"/>
  <c r="BA12" i="1"/>
  <c r="AW12" i="1"/>
  <c r="AB12" i="1"/>
  <c r="AE12" i="1" s="1"/>
  <c r="AH12" i="1" s="1"/>
  <c r="AJ12" i="1" s="1"/>
  <c r="Z12" i="1"/>
  <c r="G12" i="1"/>
  <c r="BA575" i="1"/>
  <c r="AW575" i="1"/>
  <c r="AB575" i="1"/>
  <c r="AE575" i="1" s="1"/>
  <c r="AH575" i="1" s="1"/>
  <c r="AJ575" i="1" s="1"/>
  <c r="Z575" i="1"/>
  <c r="G575" i="1"/>
  <c r="BA574" i="1"/>
  <c r="AW574" i="1"/>
  <c r="AB574" i="1"/>
  <c r="AE574" i="1" s="1"/>
  <c r="AH574" i="1" s="1"/>
  <c r="AJ574" i="1" s="1"/>
  <c r="Z574" i="1"/>
  <c r="G574" i="1"/>
  <c r="BA573" i="1"/>
  <c r="AW573" i="1"/>
  <c r="AB573" i="1"/>
  <c r="AE573" i="1" s="1"/>
  <c r="Z573" i="1"/>
  <c r="G573" i="1"/>
  <c r="BA572" i="1"/>
  <c r="AW572" i="1"/>
  <c r="AB572" i="1"/>
  <c r="AE572" i="1" s="1"/>
  <c r="AF572" i="1" s="1"/>
  <c r="AG572" i="1" s="1"/>
  <c r="AU572" i="1" s="1"/>
  <c r="AV572" i="1" s="1"/>
  <c r="Z572" i="1"/>
  <c r="G572" i="1"/>
  <c r="BA571" i="1"/>
  <c r="AW571" i="1"/>
  <c r="AB571" i="1"/>
  <c r="AE571" i="1" s="1"/>
  <c r="AH571" i="1" s="1"/>
  <c r="AJ571" i="1" s="1"/>
  <c r="Z571" i="1"/>
  <c r="G571" i="1"/>
  <c r="BA570" i="1"/>
  <c r="AW570" i="1"/>
  <c r="AB570" i="1"/>
  <c r="AE570" i="1" s="1"/>
  <c r="AF570" i="1" s="1"/>
  <c r="AG570" i="1" s="1"/>
  <c r="AU570" i="1" s="1"/>
  <c r="AV570" i="1" s="1"/>
  <c r="Z570" i="1"/>
  <c r="G570" i="1"/>
  <c r="BA569" i="1"/>
  <c r="AW569" i="1"/>
  <c r="AB569" i="1"/>
  <c r="AE569" i="1" s="1"/>
  <c r="Z569" i="1"/>
  <c r="G569" i="1"/>
  <c r="BA568" i="1"/>
  <c r="AW568" i="1"/>
  <c r="AB568" i="1"/>
  <c r="AE568" i="1" s="1"/>
  <c r="Z568" i="1"/>
  <c r="G568" i="1"/>
  <c r="BA567" i="1"/>
  <c r="AW567" i="1"/>
  <c r="AB567" i="1"/>
  <c r="AE567" i="1" s="1"/>
  <c r="AH567" i="1" s="1"/>
  <c r="AJ567" i="1" s="1"/>
  <c r="Z567" i="1"/>
  <c r="G567" i="1"/>
  <c r="BA566" i="1"/>
  <c r="AW566" i="1"/>
  <c r="AD566" i="1"/>
  <c r="AC566" i="1"/>
  <c r="Z566" i="1"/>
  <c r="G566" i="1"/>
  <c r="BA565" i="1"/>
  <c r="AW565" i="1"/>
  <c r="AB565" i="1"/>
  <c r="AE565" i="1" s="1"/>
  <c r="AH565" i="1" s="1"/>
  <c r="AJ565" i="1" s="1"/>
  <c r="Z565" i="1"/>
  <c r="G565" i="1"/>
  <c r="BA564" i="1"/>
  <c r="AW564" i="1"/>
  <c r="AB564" i="1"/>
  <c r="AE564" i="1" s="1"/>
  <c r="Z564" i="1"/>
  <c r="G564" i="1"/>
  <c r="BA563" i="1"/>
  <c r="AW563" i="1"/>
  <c r="AB563" i="1"/>
  <c r="AE563" i="1" s="1"/>
  <c r="Z563" i="1"/>
  <c r="G563" i="1"/>
  <c r="BA562" i="1"/>
  <c r="AW562" i="1"/>
  <c r="AB562" i="1"/>
  <c r="AE562" i="1" s="1"/>
  <c r="Z562" i="1"/>
  <c r="G562" i="1"/>
  <c r="BA561" i="1"/>
  <c r="AW561" i="1"/>
  <c r="AC561" i="1"/>
  <c r="AB561" i="1"/>
  <c r="Z561" i="1"/>
  <c r="G561" i="1"/>
  <c r="BA560" i="1"/>
  <c r="AW560" i="1"/>
  <c r="AB560" i="1"/>
  <c r="AE560" i="1" s="1"/>
  <c r="Z560" i="1"/>
  <c r="G560" i="1"/>
  <c r="BA559" i="1"/>
  <c r="AW559" i="1"/>
  <c r="AB559" i="1"/>
  <c r="AE559" i="1" s="1"/>
  <c r="Z559" i="1"/>
  <c r="G559" i="1"/>
  <c r="BA558" i="1"/>
  <c r="AW558" i="1"/>
  <c r="AB558" i="1"/>
  <c r="AE558" i="1" s="1"/>
  <c r="Z558" i="1"/>
  <c r="G558" i="1"/>
  <c r="BA557" i="1"/>
  <c r="AW557" i="1"/>
  <c r="AB557" i="1"/>
  <c r="AE557" i="1" s="1"/>
  <c r="Z557" i="1"/>
  <c r="G557" i="1"/>
  <c r="BA556" i="1"/>
  <c r="AW556" i="1"/>
  <c r="AB556" i="1"/>
  <c r="AE556" i="1" s="1"/>
  <c r="Z556" i="1"/>
  <c r="G556" i="1"/>
  <c r="BA555" i="1"/>
  <c r="AW555" i="1"/>
  <c r="AB555" i="1"/>
  <c r="AE555" i="1" s="1"/>
  <c r="AH555" i="1" s="1"/>
  <c r="AJ555" i="1" s="1"/>
  <c r="Z555" i="1"/>
  <c r="G555" i="1"/>
  <c r="BA554" i="1"/>
  <c r="AW554" i="1"/>
  <c r="AB554" i="1"/>
  <c r="AE554" i="1" s="1"/>
  <c r="AF554" i="1" s="1"/>
  <c r="AG554" i="1" s="1"/>
  <c r="AU554" i="1" s="1"/>
  <c r="AV554" i="1" s="1"/>
  <c r="Z554" i="1"/>
  <c r="G554" i="1"/>
  <c r="BA553" i="1"/>
  <c r="AW553" i="1"/>
  <c r="AB553" i="1"/>
  <c r="AE553" i="1" s="1"/>
  <c r="Z553" i="1"/>
  <c r="G553" i="1"/>
  <c r="BA552" i="1"/>
  <c r="AW552" i="1"/>
  <c r="AB552" i="1"/>
  <c r="AE552" i="1" s="1"/>
  <c r="AG552" i="1" s="1"/>
  <c r="AU552" i="1" s="1"/>
  <c r="AV552" i="1" s="1"/>
  <c r="Z552" i="1"/>
  <c r="G552" i="1"/>
  <c r="BA551" i="1"/>
  <c r="AB551" i="1"/>
  <c r="AE551" i="1" s="1"/>
  <c r="AG551" i="1" s="1"/>
  <c r="AU551" i="1" s="1"/>
  <c r="AV551" i="1" s="1"/>
  <c r="Z551" i="1"/>
  <c r="G551" i="1"/>
  <c r="BA550" i="1"/>
  <c r="AW550" i="1"/>
  <c r="AB550" i="1"/>
  <c r="AE550" i="1" s="1"/>
  <c r="AH550" i="1" s="1"/>
  <c r="AJ550" i="1" s="1"/>
  <c r="Z550" i="1"/>
  <c r="G550" i="1"/>
  <c r="BA549" i="1"/>
  <c r="AW549" i="1"/>
  <c r="AB549" i="1"/>
  <c r="AE549" i="1" s="1"/>
  <c r="AF549" i="1" s="1"/>
  <c r="AG549" i="1" s="1"/>
  <c r="AU549" i="1" s="1"/>
  <c r="AV549" i="1" s="1"/>
  <c r="Z549" i="1"/>
  <c r="G549" i="1"/>
  <c r="BA548" i="1"/>
  <c r="AW548" i="1"/>
  <c r="AC548" i="1"/>
  <c r="AB548" i="1"/>
  <c r="Z548" i="1"/>
  <c r="G548" i="1"/>
  <c r="BA547" i="1"/>
  <c r="AW547" i="1"/>
  <c r="AB547" i="1"/>
  <c r="AE547" i="1" s="1"/>
  <c r="Z547" i="1"/>
  <c r="G547" i="1"/>
  <c r="BA546" i="1"/>
  <c r="AW546" i="1"/>
  <c r="AB546" i="1"/>
  <c r="AE546" i="1" s="1"/>
  <c r="AH546" i="1" s="1"/>
  <c r="AJ546" i="1" s="1"/>
  <c r="Z546" i="1"/>
  <c r="G546" i="1"/>
  <c r="BA545" i="1"/>
  <c r="AW545" i="1"/>
  <c r="AB545" i="1"/>
  <c r="AE545" i="1" s="1"/>
  <c r="Z545" i="1"/>
  <c r="G545" i="1"/>
  <c r="BA544" i="1"/>
  <c r="AW544" i="1"/>
  <c r="AB544" i="1"/>
  <c r="AE544" i="1" s="1"/>
  <c r="Z544" i="1"/>
  <c r="G544" i="1"/>
  <c r="BA543" i="1"/>
  <c r="AW543" i="1"/>
  <c r="AB543" i="1"/>
  <c r="AE543" i="1" s="1"/>
  <c r="AH543" i="1" s="1"/>
  <c r="AJ543" i="1" s="1"/>
  <c r="Z543" i="1"/>
  <c r="G543" i="1"/>
  <c r="BA542" i="1"/>
  <c r="AW542" i="1"/>
  <c r="AB542" i="1"/>
  <c r="AE542" i="1" s="1"/>
  <c r="Z542" i="1"/>
  <c r="G542" i="1"/>
  <c r="BA541" i="1"/>
  <c r="AW541" i="1"/>
  <c r="AB541" i="1"/>
  <c r="AE541" i="1" s="1"/>
  <c r="Z541" i="1"/>
  <c r="G541" i="1"/>
  <c r="BA540" i="1"/>
  <c r="AW540" i="1"/>
  <c r="AB540" i="1"/>
  <c r="AE540" i="1" s="1"/>
  <c r="Z540" i="1"/>
  <c r="G540" i="1"/>
  <c r="BA539" i="1"/>
  <c r="AW539" i="1"/>
  <c r="AB539" i="1"/>
  <c r="AE539" i="1" s="1"/>
  <c r="Z539" i="1"/>
  <c r="G539" i="1"/>
  <c r="BA538" i="1"/>
  <c r="AW538" i="1"/>
  <c r="AB538" i="1"/>
  <c r="AE538" i="1" s="1"/>
  <c r="Z538" i="1"/>
  <c r="G538" i="1"/>
  <c r="BA537" i="1"/>
  <c r="AW537" i="1"/>
  <c r="AB537" i="1"/>
  <c r="AE537" i="1" s="1"/>
  <c r="AF537" i="1" s="1"/>
  <c r="AG537" i="1" s="1"/>
  <c r="AU537" i="1" s="1"/>
  <c r="AV537" i="1" s="1"/>
  <c r="Z537" i="1"/>
  <c r="G537" i="1"/>
  <c r="BA536" i="1"/>
  <c r="AW536" i="1"/>
  <c r="AB536" i="1"/>
  <c r="AE536" i="1" s="1"/>
  <c r="Z536" i="1"/>
  <c r="G536" i="1"/>
  <c r="BA535" i="1"/>
  <c r="AW535" i="1"/>
  <c r="AB535" i="1"/>
  <c r="AE535" i="1" s="1"/>
  <c r="Z535" i="1"/>
  <c r="G535" i="1"/>
  <c r="BA534" i="1"/>
  <c r="AW534" i="1"/>
  <c r="AB534" i="1"/>
  <c r="AE534" i="1" s="1"/>
  <c r="Z534" i="1"/>
  <c r="G534" i="1"/>
  <c r="BA808" i="1"/>
  <c r="AW808" i="1"/>
  <c r="AB808" i="1"/>
  <c r="AE808" i="1" s="1"/>
  <c r="Z808" i="1"/>
  <c r="G808" i="1"/>
  <c r="BA532" i="1"/>
  <c r="AW532" i="1"/>
  <c r="AB532" i="1"/>
  <c r="AE532" i="1" s="1"/>
  <c r="AH532" i="1" s="1"/>
  <c r="AJ532" i="1" s="1"/>
  <c r="Z532" i="1"/>
  <c r="G532" i="1"/>
  <c r="BA531" i="1"/>
  <c r="AW531" i="1"/>
  <c r="AB531" i="1"/>
  <c r="AE531" i="1" s="1"/>
  <c r="AF531" i="1" s="1"/>
  <c r="AG531" i="1" s="1"/>
  <c r="AU531" i="1" s="1"/>
  <c r="AV531" i="1" s="1"/>
  <c r="Z531" i="1"/>
  <c r="G531" i="1"/>
  <c r="BA530" i="1"/>
  <c r="AW530" i="1"/>
  <c r="AB530" i="1"/>
  <c r="AE530" i="1" s="1"/>
  <c r="Z530" i="1"/>
  <c r="G530" i="1"/>
  <c r="BA372" i="1"/>
  <c r="AW372" i="1"/>
  <c r="AB372" i="1"/>
  <c r="AE372" i="1" s="1"/>
  <c r="Z372" i="1"/>
  <c r="G372" i="1"/>
  <c r="BA528" i="1"/>
  <c r="AW528" i="1"/>
  <c r="AB528" i="1"/>
  <c r="AE528" i="1" s="1"/>
  <c r="Z528" i="1"/>
  <c r="G528" i="1"/>
  <c r="BA527" i="1"/>
  <c r="AW527" i="1"/>
  <c r="AT527" i="1"/>
  <c r="AV527" i="1" s="1"/>
  <c r="AD527" i="1"/>
  <c r="AC527" i="1"/>
  <c r="Z527" i="1"/>
  <c r="G527" i="1"/>
  <c r="BA526" i="1"/>
  <c r="AW526" i="1"/>
  <c r="AD526" i="1"/>
  <c r="AC526" i="1"/>
  <c r="Z526" i="1"/>
  <c r="G526" i="1"/>
  <c r="BA525" i="1"/>
  <c r="AW525" i="1"/>
  <c r="AB525" i="1"/>
  <c r="AE525" i="1" s="1"/>
  <c r="AH525" i="1" s="1"/>
  <c r="AL525" i="1" s="1"/>
  <c r="AO525" i="1" s="1"/>
  <c r="AR525" i="1" s="1"/>
  <c r="Z525" i="1"/>
  <c r="G525" i="1"/>
  <c r="BA524" i="1"/>
  <c r="AW524" i="1"/>
  <c r="AB524" i="1"/>
  <c r="AE524" i="1" s="1"/>
  <c r="Z524" i="1"/>
  <c r="G524" i="1"/>
  <c r="BA523" i="1"/>
  <c r="AW523" i="1"/>
  <c r="AB523" i="1"/>
  <c r="AE523" i="1" s="1"/>
  <c r="AH523" i="1" s="1"/>
  <c r="AJ523" i="1" s="1"/>
  <c r="Z523" i="1"/>
  <c r="G523" i="1"/>
  <c r="BA522" i="1"/>
  <c r="AW522" i="1"/>
  <c r="AB522" i="1"/>
  <c r="AE522" i="1" s="1"/>
  <c r="Z522" i="1"/>
  <c r="G522" i="1"/>
  <c r="BA521" i="1"/>
  <c r="AW521" i="1"/>
  <c r="AB521" i="1"/>
  <c r="AE521" i="1" s="1"/>
  <c r="Z521" i="1"/>
  <c r="G521" i="1"/>
  <c r="BA520" i="1"/>
  <c r="AW520" i="1"/>
  <c r="AB520" i="1"/>
  <c r="AE520" i="1" s="1"/>
  <c r="AF520" i="1" s="1"/>
  <c r="AG520" i="1" s="1"/>
  <c r="AU520" i="1" s="1"/>
  <c r="AV520" i="1" s="1"/>
  <c r="Z520" i="1"/>
  <c r="G520" i="1"/>
  <c r="BA519" i="1"/>
  <c r="AW519" i="1"/>
  <c r="AB519" i="1"/>
  <c r="AE519" i="1" s="1"/>
  <c r="AF519" i="1" s="1"/>
  <c r="AG519" i="1" s="1"/>
  <c r="AU519" i="1" s="1"/>
  <c r="AV519" i="1" s="1"/>
  <c r="Z519" i="1"/>
  <c r="G519" i="1"/>
  <c r="BA518" i="1"/>
  <c r="AW518" i="1"/>
  <c r="AB518" i="1"/>
  <c r="AE518" i="1" s="1"/>
  <c r="Z518" i="1"/>
  <c r="G518" i="1"/>
  <c r="BA517" i="1"/>
  <c r="AW517" i="1"/>
  <c r="AB517" i="1"/>
  <c r="AE517" i="1" s="1"/>
  <c r="Z517" i="1"/>
  <c r="G517" i="1"/>
  <c r="BA516" i="1"/>
  <c r="AW516" i="1"/>
  <c r="AB516" i="1"/>
  <c r="AE516" i="1" s="1"/>
  <c r="AF516" i="1" s="1"/>
  <c r="AG516" i="1" s="1"/>
  <c r="AU516" i="1" s="1"/>
  <c r="AV516" i="1" s="1"/>
  <c r="Z516" i="1"/>
  <c r="G516" i="1"/>
  <c r="BA515" i="1"/>
  <c r="AW515" i="1"/>
  <c r="AB515" i="1"/>
  <c r="AE515" i="1" s="1"/>
  <c r="AF515" i="1" s="1"/>
  <c r="AG515" i="1" s="1"/>
  <c r="AU515" i="1" s="1"/>
  <c r="AV515" i="1" s="1"/>
  <c r="Z515" i="1"/>
  <c r="G515" i="1"/>
  <c r="BA514" i="1"/>
  <c r="AW514" i="1"/>
  <c r="AB514" i="1"/>
  <c r="AE514" i="1" s="1"/>
  <c r="Z514" i="1"/>
  <c r="G514" i="1"/>
  <c r="BA513" i="1"/>
  <c r="AW513" i="1"/>
  <c r="AB513" i="1"/>
  <c r="AE513" i="1" s="1"/>
  <c r="Z513" i="1"/>
  <c r="G513" i="1"/>
  <c r="BA512" i="1"/>
  <c r="AW512" i="1"/>
  <c r="AB512" i="1"/>
  <c r="AE512" i="1" s="1"/>
  <c r="Z512" i="1"/>
  <c r="G512" i="1"/>
  <c r="BA511" i="1"/>
  <c r="AW511" i="1"/>
  <c r="AB511" i="1"/>
  <c r="AE511" i="1" s="1"/>
  <c r="Z511" i="1"/>
  <c r="G511" i="1"/>
  <c r="BA510" i="1"/>
  <c r="AW510" i="1"/>
  <c r="AB510" i="1"/>
  <c r="AE510" i="1" s="1"/>
  <c r="AG510" i="1" s="1"/>
  <c r="AU510" i="1" s="1"/>
  <c r="AV510" i="1" s="1"/>
  <c r="X510" i="1"/>
  <c r="W510" i="1"/>
  <c r="T510" i="1"/>
  <c r="Z510" i="1" s="1"/>
  <c r="G510" i="1"/>
  <c r="BA509" i="1"/>
  <c r="AW509" i="1"/>
  <c r="AB509" i="1"/>
  <c r="AE509" i="1" s="1"/>
  <c r="Z509" i="1"/>
  <c r="G509" i="1"/>
  <c r="BA508" i="1"/>
  <c r="AW508" i="1"/>
  <c r="AB508" i="1"/>
  <c r="AE508" i="1" s="1"/>
  <c r="Z508" i="1"/>
  <c r="G508" i="1"/>
  <c r="BA507" i="1"/>
  <c r="AW507" i="1"/>
  <c r="AE507" i="1"/>
  <c r="AF507" i="1" s="1"/>
  <c r="AG507" i="1" s="1"/>
  <c r="AU507" i="1" s="1"/>
  <c r="AV507" i="1" s="1"/>
  <c r="Z507" i="1"/>
  <c r="G507" i="1"/>
  <c r="BA653" i="1"/>
  <c r="AW653" i="1"/>
  <c r="AC653" i="1"/>
  <c r="AB653" i="1"/>
  <c r="AE653" i="1" s="1"/>
  <c r="AF653" i="1" s="1"/>
  <c r="AG653" i="1" s="1"/>
  <c r="AU653" i="1" s="1"/>
  <c r="AV653" i="1" s="1"/>
  <c r="Z653" i="1"/>
  <c r="G653" i="1"/>
  <c r="BA505" i="1"/>
  <c r="AW505" i="1"/>
  <c r="AV505" i="1"/>
  <c r="AT505" i="1"/>
  <c r="AC505" i="1"/>
  <c r="AB505" i="1"/>
  <c r="Z505" i="1"/>
  <c r="G505" i="1"/>
  <c r="BA720" i="1"/>
  <c r="AW720" i="1"/>
  <c r="AT720" i="1"/>
  <c r="AB720" i="1"/>
  <c r="AE720" i="1" s="1"/>
  <c r="Z720" i="1"/>
  <c r="G720" i="1"/>
  <c r="BA503" i="1"/>
  <c r="AW503" i="1"/>
  <c r="AB503" i="1"/>
  <c r="AE503" i="1" s="1"/>
  <c r="Z503" i="1"/>
  <c r="G503" i="1"/>
  <c r="BA502" i="1"/>
  <c r="AW502" i="1"/>
  <c r="AC502" i="1"/>
  <c r="AB502" i="1"/>
  <c r="Z502" i="1"/>
  <c r="G502" i="1"/>
  <c r="BA501" i="1"/>
  <c r="AW501" i="1"/>
  <c r="AC501" i="1"/>
  <c r="AB501" i="1"/>
  <c r="Z501" i="1"/>
  <c r="G501" i="1"/>
  <c r="BA500" i="1"/>
  <c r="AW500" i="1"/>
  <c r="AB500" i="1"/>
  <c r="AE500" i="1" s="1"/>
  <c r="Z500" i="1"/>
  <c r="G500" i="1"/>
  <c r="BA499" i="1"/>
  <c r="AW499" i="1"/>
  <c r="AB499" i="1"/>
  <c r="AE499" i="1" s="1"/>
  <c r="Z499" i="1"/>
  <c r="G499" i="1"/>
  <c r="BA498" i="1"/>
  <c r="AW498" i="1"/>
  <c r="AB498" i="1"/>
  <c r="AE498" i="1" s="1"/>
  <c r="Z498" i="1"/>
  <c r="G498" i="1"/>
  <c r="BA497" i="1"/>
  <c r="AW497" i="1"/>
  <c r="AB497" i="1"/>
  <c r="AE497" i="1" s="1"/>
  <c r="Z497" i="1"/>
  <c r="G497" i="1"/>
  <c r="BA496" i="1"/>
  <c r="AW496" i="1"/>
  <c r="AB496" i="1"/>
  <c r="AE496" i="1" s="1"/>
  <c r="Z496" i="1"/>
  <c r="G496" i="1"/>
  <c r="BA495" i="1"/>
  <c r="AW495" i="1"/>
  <c r="AB495" i="1"/>
  <c r="AE495" i="1" s="1"/>
  <c r="AH495" i="1" s="1"/>
  <c r="AJ495" i="1" s="1"/>
  <c r="Z495" i="1"/>
  <c r="G495" i="1"/>
  <c r="BA494" i="1"/>
  <c r="AW494" i="1"/>
  <c r="AB494" i="1"/>
  <c r="AE494" i="1" s="1"/>
  <c r="Z494" i="1"/>
  <c r="G494" i="1"/>
  <c r="BA493" i="1"/>
  <c r="AW493" i="1"/>
  <c r="AC493" i="1"/>
  <c r="AB493" i="1"/>
  <c r="Z493" i="1"/>
  <c r="G493" i="1"/>
  <c r="BA492" i="1"/>
  <c r="AW492" i="1"/>
  <c r="AC492" i="1"/>
  <c r="AB492" i="1"/>
  <c r="Z492" i="1"/>
  <c r="G492" i="1"/>
  <c r="BA491" i="1"/>
  <c r="AW491" i="1"/>
  <c r="AB491" i="1"/>
  <c r="AE491" i="1" s="1"/>
  <c r="Z491" i="1"/>
  <c r="G491" i="1"/>
  <c r="BA490" i="1"/>
  <c r="AW490" i="1"/>
  <c r="AB490" i="1"/>
  <c r="AE490" i="1" s="1"/>
  <c r="Z490" i="1"/>
  <c r="G490" i="1"/>
  <c r="BA489" i="1"/>
  <c r="AW489" i="1"/>
  <c r="AB489" i="1"/>
  <c r="AE489" i="1" s="1"/>
  <c r="Z489" i="1"/>
  <c r="G489" i="1"/>
  <c r="BA488" i="1"/>
  <c r="AW488" i="1"/>
  <c r="AB488" i="1"/>
  <c r="AE488" i="1" s="1"/>
  <c r="Z488" i="1"/>
  <c r="G488" i="1"/>
  <c r="BA487" i="1"/>
  <c r="AW487" i="1"/>
  <c r="AB487" i="1"/>
  <c r="AE487" i="1" s="1"/>
  <c r="Z487" i="1"/>
  <c r="G487" i="1"/>
  <c r="BA486" i="1"/>
  <c r="AW486" i="1"/>
  <c r="AC486" i="1"/>
  <c r="AB486" i="1"/>
  <c r="Z486" i="1"/>
  <c r="G486" i="1"/>
  <c r="BA485" i="1"/>
  <c r="AW485" i="1"/>
  <c r="AB485" i="1"/>
  <c r="AE485" i="1" s="1"/>
  <c r="Z485" i="1"/>
  <c r="G485" i="1"/>
  <c r="BA484" i="1"/>
  <c r="AW484" i="1"/>
  <c r="AC484" i="1"/>
  <c r="AB484" i="1"/>
  <c r="AE484" i="1" s="1"/>
  <c r="AF484" i="1" s="1"/>
  <c r="AG484" i="1" s="1"/>
  <c r="AU484" i="1" s="1"/>
  <c r="AV484" i="1" s="1"/>
  <c r="Z484" i="1"/>
  <c r="G484" i="1"/>
  <c r="BA483" i="1"/>
  <c r="AW483" i="1"/>
  <c r="AC483" i="1"/>
  <c r="AB483" i="1"/>
  <c r="Z483" i="1"/>
  <c r="G483" i="1"/>
  <c r="BA482" i="1"/>
  <c r="AW482" i="1"/>
  <c r="AC482" i="1"/>
  <c r="AB482" i="1"/>
  <c r="AE482" i="1" s="1"/>
  <c r="AF482" i="1" s="1"/>
  <c r="AG482" i="1" s="1"/>
  <c r="AU482" i="1" s="1"/>
  <c r="AV482" i="1" s="1"/>
  <c r="Z482" i="1"/>
  <c r="G482" i="1"/>
  <c r="BA481" i="1"/>
  <c r="AW481" i="1"/>
  <c r="AC481" i="1"/>
  <c r="AB481" i="1"/>
  <c r="Z481" i="1"/>
  <c r="G481" i="1"/>
  <c r="BA480" i="1"/>
  <c r="AW480" i="1"/>
  <c r="AB480" i="1"/>
  <c r="AE480" i="1" s="1"/>
  <c r="Z480" i="1"/>
  <c r="G480" i="1"/>
  <c r="BA479" i="1"/>
  <c r="AW479" i="1"/>
  <c r="AD479" i="1"/>
  <c r="AC479" i="1"/>
  <c r="AB479" i="1"/>
  <c r="Z479" i="1"/>
  <c r="G479" i="1"/>
  <c r="BA478" i="1"/>
  <c r="AW478" i="1"/>
  <c r="AB478" i="1"/>
  <c r="AE478" i="1" s="1"/>
  <c r="Z478" i="1"/>
  <c r="G478" i="1"/>
  <c r="BA477" i="1"/>
  <c r="AW477" i="1"/>
  <c r="AB477" i="1"/>
  <c r="AE477" i="1" s="1"/>
  <c r="Z477" i="1"/>
  <c r="G477" i="1"/>
  <c r="BA476" i="1"/>
  <c r="AW476" i="1"/>
  <c r="AD476" i="1"/>
  <c r="AC476" i="1"/>
  <c r="AB476" i="1"/>
  <c r="Z476" i="1"/>
  <c r="G476" i="1"/>
  <c r="BA475" i="1"/>
  <c r="AW475" i="1"/>
  <c r="AB475" i="1"/>
  <c r="AE475" i="1" s="1"/>
  <c r="Z475" i="1"/>
  <c r="G475" i="1"/>
  <c r="BA474" i="1"/>
  <c r="AW474" i="1"/>
  <c r="AB474" i="1"/>
  <c r="AE474" i="1" s="1"/>
  <c r="Z474" i="1"/>
  <c r="G474" i="1"/>
  <c r="BA473" i="1"/>
  <c r="AW473" i="1"/>
  <c r="AE473" i="1"/>
  <c r="AF473" i="1" s="1"/>
  <c r="AG473" i="1" s="1"/>
  <c r="AU473" i="1" s="1"/>
  <c r="AV473" i="1" s="1"/>
  <c r="Z473" i="1"/>
  <c r="G473" i="1"/>
  <c r="BA472" i="1"/>
  <c r="AW472" i="1"/>
  <c r="AB472" i="1"/>
  <c r="AE472" i="1" s="1"/>
  <c r="Z472" i="1"/>
  <c r="G472" i="1"/>
  <c r="BA471" i="1"/>
  <c r="AW471" i="1"/>
  <c r="AD471" i="1"/>
  <c r="AB471" i="1"/>
  <c r="Z471" i="1"/>
  <c r="G471" i="1"/>
  <c r="BA470" i="1"/>
  <c r="AW470" i="1"/>
  <c r="AD470" i="1"/>
  <c r="AB470" i="1"/>
  <c r="Z470" i="1"/>
  <c r="G470" i="1"/>
  <c r="BA469" i="1"/>
  <c r="AW469" i="1"/>
  <c r="AD469" i="1"/>
  <c r="AB469" i="1"/>
  <c r="Z469" i="1"/>
  <c r="G469" i="1"/>
  <c r="BA468" i="1"/>
  <c r="AW468" i="1"/>
  <c r="AD468" i="1"/>
  <c r="AB468" i="1"/>
  <c r="Z468" i="1"/>
  <c r="G468" i="1"/>
  <c r="BA467" i="1"/>
  <c r="AW467" i="1"/>
  <c r="AB467" i="1"/>
  <c r="AE467" i="1" s="1"/>
  <c r="AF467" i="1" s="1"/>
  <c r="AG467" i="1" s="1"/>
  <c r="AU467" i="1" s="1"/>
  <c r="AV467" i="1" s="1"/>
  <c r="Z467" i="1"/>
  <c r="G467" i="1"/>
  <c r="BA466" i="1"/>
  <c r="AW466" i="1"/>
  <c r="AB466" i="1"/>
  <c r="AE466" i="1" s="1"/>
  <c r="Z466" i="1"/>
  <c r="G466" i="1"/>
  <c r="BA465" i="1"/>
  <c r="AW465" i="1"/>
  <c r="AB465" i="1"/>
  <c r="AE465" i="1" s="1"/>
  <c r="Z465" i="1"/>
  <c r="G465" i="1"/>
  <c r="BA464" i="1"/>
  <c r="AW464" i="1"/>
  <c r="AB464" i="1"/>
  <c r="AE464" i="1" s="1"/>
  <c r="Z464" i="1"/>
  <c r="G464" i="1"/>
  <c r="BA463" i="1"/>
  <c r="AW463" i="1"/>
  <c r="AB463" i="1"/>
  <c r="AE463" i="1" s="1"/>
  <c r="AH463" i="1" s="1"/>
  <c r="AJ463" i="1" s="1"/>
  <c r="Z463" i="1"/>
  <c r="G463" i="1"/>
  <c r="BA462" i="1"/>
  <c r="AW462" i="1"/>
  <c r="AB462" i="1"/>
  <c r="AE462" i="1" s="1"/>
  <c r="Z462" i="1"/>
  <c r="G462" i="1"/>
  <c r="BA461" i="1"/>
  <c r="AW461" i="1"/>
  <c r="AB461" i="1"/>
  <c r="AE461" i="1" s="1"/>
  <c r="Z461" i="1"/>
  <c r="G461" i="1"/>
  <c r="BA460" i="1"/>
  <c r="AW460" i="1"/>
  <c r="AB460" i="1"/>
  <c r="AE460" i="1" s="1"/>
  <c r="Z460" i="1"/>
  <c r="G460" i="1"/>
  <c r="BA459" i="1"/>
  <c r="AW459" i="1"/>
  <c r="AB459" i="1"/>
  <c r="AE459" i="1" s="1"/>
  <c r="Z459" i="1"/>
  <c r="G459" i="1"/>
  <c r="BA458" i="1"/>
  <c r="AW458" i="1"/>
  <c r="AC458" i="1"/>
  <c r="AB458" i="1"/>
  <c r="Z458" i="1"/>
  <c r="G458" i="1"/>
  <c r="BA457" i="1"/>
  <c r="AW457" i="1"/>
  <c r="AB457" i="1"/>
  <c r="AE457" i="1" s="1"/>
  <c r="Z457" i="1"/>
  <c r="G457" i="1"/>
  <c r="BA456" i="1"/>
  <c r="AW456" i="1"/>
  <c r="AB456" i="1"/>
  <c r="AE456" i="1" s="1"/>
  <c r="Z456" i="1"/>
  <c r="G456" i="1"/>
  <c r="BA455" i="1"/>
  <c r="AW455" i="1"/>
  <c r="AT455" i="1"/>
  <c r="AD455" i="1"/>
  <c r="AC455" i="1"/>
  <c r="AB455" i="1"/>
  <c r="Z455" i="1"/>
  <c r="G455" i="1"/>
  <c r="BA454" i="1"/>
  <c r="AW454" i="1"/>
  <c r="AB454" i="1"/>
  <c r="AE454" i="1" s="1"/>
  <c r="Z454" i="1"/>
  <c r="G454" i="1"/>
  <c r="BA453" i="1"/>
  <c r="AW453" i="1"/>
  <c r="AB453" i="1"/>
  <c r="AE453" i="1" s="1"/>
  <c r="Z453" i="1"/>
  <c r="G453" i="1"/>
  <c r="BA452" i="1"/>
  <c r="AW452" i="1"/>
  <c r="AB452" i="1"/>
  <c r="AE452" i="1" s="1"/>
  <c r="Z452" i="1"/>
  <c r="G452" i="1"/>
  <c r="BA451" i="1"/>
  <c r="AW451" i="1"/>
  <c r="AB451" i="1"/>
  <c r="AE451" i="1" s="1"/>
  <c r="AH451" i="1" s="1"/>
  <c r="AJ451" i="1" s="1"/>
  <c r="Z451" i="1"/>
  <c r="G451" i="1"/>
  <c r="BA450" i="1"/>
  <c r="AW450" i="1"/>
  <c r="AB450" i="1"/>
  <c r="AE450" i="1" s="1"/>
  <c r="Z450" i="1"/>
  <c r="G450" i="1"/>
  <c r="BA449" i="1"/>
  <c r="AW449" i="1"/>
  <c r="AB449" i="1"/>
  <c r="Z449" i="1"/>
  <c r="U449" i="1"/>
  <c r="AC449" i="1" s="1"/>
  <c r="G449" i="1"/>
  <c r="BA448" i="1"/>
  <c r="AW448" i="1"/>
  <c r="AB448" i="1"/>
  <c r="AE448" i="1" s="1"/>
  <c r="AG448" i="1" s="1"/>
  <c r="AU448" i="1" s="1"/>
  <c r="AV448" i="1" s="1"/>
  <c r="Z448" i="1"/>
  <c r="G448" i="1"/>
  <c r="BA447" i="1"/>
  <c r="AW447" i="1"/>
  <c r="AB447" i="1"/>
  <c r="AE447" i="1" s="1"/>
  <c r="Z447" i="1"/>
  <c r="G447" i="1"/>
  <c r="BA446" i="1"/>
  <c r="AW446" i="1"/>
  <c r="AB446" i="1"/>
  <c r="AE446" i="1" s="1"/>
  <c r="Z446" i="1"/>
  <c r="G446" i="1"/>
  <c r="BA445" i="1"/>
  <c r="AW445" i="1"/>
  <c r="AB445" i="1"/>
  <c r="AE445" i="1" s="1"/>
  <c r="Z445" i="1"/>
  <c r="G445" i="1"/>
  <c r="BA444" i="1"/>
  <c r="AW444" i="1"/>
  <c r="AB444" i="1"/>
  <c r="AE444" i="1" s="1"/>
  <c r="Z444" i="1"/>
  <c r="G444" i="1"/>
  <c r="BA443" i="1"/>
  <c r="AW443" i="1"/>
  <c r="AB443" i="1"/>
  <c r="AE443" i="1" s="1"/>
  <c r="Z443" i="1"/>
  <c r="G443" i="1"/>
  <c r="BA442" i="1"/>
  <c r="AW442" i="1"/>
  <c r="AB442" i="1"/>
  <c r="AE442" i="1" s="1"/>
  <c r="AF442" i="1" s="1"/>
  <c r="AG442" i="1" s="1"/>
  <c r="AU442" i="1" s="1"/>
  <c r="AV442" i="1" s="1"/>
  <c r="Z442" i="1"/>
  <c r="G442" i="1"/>
  <c r="BA441" i="1"/>
  <c r="AW441" i="1"/>
  <c r="AB441" i="1"/>
  <c r="AE441" i="1" s="1"/>
  <c r="Z441" i="1"/>
  <c r="G441" i="1"/>
  <c r="BA440" i="1"/>
  <c r="AW440" i="1"/>
  <c r="AB440" i="1"/>
  <c r="AE440" i="1" s="1"/>
  <c r="Z440" i="1"/>
  <c r="G440" i="1"/>
  <c r="BA439" i="1"/>
  <c r="AW439" i="1"/>
  <c r="AB439" i="1"/>
  <c r="AE439" i="1" s="1"/>
  <c r="AH439" i="1" s="1"/>
  <c r="AJ439" i="1" s="1"/>
  <c r="Z439" i="1"/>
  <c r="G439" i="1"/>
  <c r="BA438" i="1"/>
  <c r="AW438" i="1"/>
  <c r="AB438" i="1"/>
  <c r="AE438" i="1" s="1"/>
  <c r="Z438" i="1"/>
  <c r="G438" i="1"/>
  <c r="BA437" i="1"/>
  <c r="AW437" i="1"/>
  <c r="AB437" i="1"/>
  <c r="AE437" i="1" s="1"/>
  <c r="Z437" i="1"/>
  <c r="G437" i="1"/>
  <c r="BA436" i="1"/>
  <c r="AW436" i="1"/>
  <c r="AB436" i="1"/>
  <c r="AE436" i="1" s="1"/>
  <c r="AH436" i="1" s="1"/>
  <c r="AJ436" i="1" s="1"/>
  <c r="Z436" i="1"/>
  <c r="G436" i="1"/>
  <c r="BA435" i="1"/>
  <c r="AW435" i="1"/>
  <c r="AC435" i="1"/>
  <c r="AB435" i="1"/>
  <c r="Z435" i="1"/>
  <c r="G435" i="1"/>
  <c r="BA434" i="1"/>
  <c r="AW434" i="1"/>
  <c r="AB434" i="1"/>
  <c r="AE434" i="1" s="1"/>
  <c r="AH434" i="1" s="1"/>
  <c r="AJ434" i="1" s="1"/>
  <c r="Z434" i="1"/>
  <c r="G434" i="1"/>
  <c r="BA433" i="1"/>
  <c r="AW433" i="1"/>
  <c r="AB433" i="1"/>
  <c r="AE433" i="1" s="1"/>
  <c r="Z433" i="1"/>
  <c r="G433" i="1"/>
  <c r="BA432" i="1"/>
  <c r="AW432" i="1"/>
  <c r="AB432" i="1"/>
  <c r="AE432" i="1" s="1"/>
  <c r="Z432" i="1"/>
  <c r="G432" i="1"/>
  <c r="BA431" i="1"/>
  <c r="AW431" i="1"/>
  <c r="AB431" i="1"/>
  <c r="AE431" i="1" s="1"/>
  <c r="Z431" i="1"/>
  <c r="G431" i="1"/>
  <c r="BA430" i="1"/>
  <c r="AW430" i="1"/>
  <c r="AB430" i="1"/>
  <c r="AE430" i="1" s="1"/>
  <c r="Z430" i="1"/>
  <c r="G430" i="1"/>
  <c r="BA429" i="1"/>
  <c r="AW429" i="1"/>
  <c r="AB429" i="1"/>
  <c r="AE429" i="1" s="1"/>
  <c r="Z429" i="1"/>
  <c r="G429" i="1"/>
  <c r="BA428" i="1"/>
  <c r="AW428" i="1"/>
  <c r="AV428" i="1"/>
  <c r="AT428" i="1"/>
  <c r="AB428" i="1"/>
  <c r="AE428" i="1" s="1"/>
  <c r="Z428" i="1"/>
  <c r="G428" i="1"/>
  <c r="BA427" i="1"/>
  <c r="AW427" i="1"/>
  <c r="AB427" i="1"/>
  <c r="AE427" i="1" s="1"/>
  <c r="AF427" i="1" s="1"/>
  <c r="AG427" i="1" s="1"/>
  <c r="AU427" i="1" s="1"/>
  <c r="AV427" i="1" s="1"/>
  <c r="Z427" i="1"/>
  <c r="G427" i="1"/>
  <c r="BA426" i="1"/>
  <c r="AW426" i="1"/>
  <c r="AB426" i="1"/>
  <c r="AE426" i="1" s="1"/>
  <c r="AH426" i="1" s="1"/>
  <c r="AJ426" i="1" s="1"/>
  <c r="Z426" i="1"/>
  <c r="G426" i="1"/>
  <c r="BA425" i="1"/>
  <c r="AW425" i="1"/>
  <c r="AB425" i="1"/>
  <c r="AE425" i="1" s="1"/>
  <c r="Z425" i="1"/>
  <c r="G425" i="1"/>
  <c r="BA422" i="1"/>
  <c r="AW422" i="1"/>
  <c r="AB422" i="1"/>
  <c r="AE422" i="1" s="1"/>
  <c r="Z422" i="1"/>
  <c r="G422" i="1"/>
  <c r="BA757" i="1"/>
  <c r="AW757" i="1"/>
  <c r="AB757" i="1"/>
  <c r="AE757" i="1" s="1"/>
  <c r="AF757" i="1" s="1"/>
  <c r="AG757" i="1" s="1"/>
  <c r="AU757" i="1" s="1"/>
  <c r="AV757" i="1" s="1"/>
  <c r="Z757" i="1"/>
  <c r="G757" i="1"/>
  <c r="BA806" i="1"/>
  <c r="AW806" i="1"/>
  <c r="AB806" i="1"/>
  <c r="AE806" i="1" s="1"/>
  <c r="Z806" i="1"/>
  <c r="G806" i="1"/>
  <c r="BA421" i="1"/>
  <c r="AW421" i="1"/>
  <c r="AB421" i="1"/>
  <c r="AE421" i="1" s="1"/>
  <c r="Z421" i="1"/>
  <c r="G421" i="1"/>
  <c r="BA420" i="1"/>
  <c r="AW420" i="1"/>
  <c r="AB420" i="1"/>
  <c r="AE420" i="1" s="1"/>
  <c r="Z420" i="1"/>
  <c r="G420" i="1"/>
  <c r="BA419" i="1"/>
  <c r="AW419" i="1"/>
  <c r="AB419" i="1"/>
  <c r="AE419" i="1" s="1"/>
  <c r="AF419" i="1" s="1"/>
  <c r="AG419" i="1" s="1"/>
  <c r="AU419" i="1" s="1"/>
  <c r="AV419" i="1" s="1"/>
  <c r="Z419" i="1"/>
  <c r="G419" i="1"/>
  <c r="BA418" i="1"/>
  <c r="AW418" i="1"/>
  <c r="AB418" i="1"/>
  <c r="AE418" i="1" s="1"/>
  <c r="Z418" i="1"/>
  <c r="G418" i="1"/>
  <c r="BA417" i="1"/>
  <c r="AW417" i="1"/>
  <c r="AB417" i="1"/>
  <c r="AE417" i="1" s="1"/>
  <c r="Z417" i="1"/>
  <c r="G417" i="1"/>
  <c r="BA416" i="1"/>
  <c r="AW416" i="1"/>
  <c r="AB416" i="1"/>
  <c r="AE416" i="1" s="1"/>
  <c r="Z416" i="1"/>
  <c r="G416" i="1"/>
  <c r="BA415" i="1"/>
  <c r="AW415" i="1"/>
  <c r="AB415" i="1"/>
  <c r="AE415" i="1" s="1"/>
  <c r="AH415" i="1" s="1"/>
  <c r="AJ415" i="1" s="1"/>
  <c r="Z415" i="1"/>
  <c r="G415" i="1"/>
  <c r="BA414" i="1"/>
  <c r="AW414" i="1"/>
  <c r="AB414" i="1"/>
  <c r="AE414" i="1" s="1"/>
  <c r="Z414" i="1"/>
  <c r="G414" i="1"/>
  <c r="BA413" i="1"/>
  <c r="AW413" i="1"/>
  <c r="AB413" i="1"/>
  <c r="AE413" i="1" s="1"/>
  <c r="AF413" i="1" s="1"/>
  <c r="AG413" i="1" s="1"/>
  <c r="AU413" i="1" s="1"/>
  <c r="AV413" i="1" s="1"/>
  <c r="Z413" i="1"/>
  <c r="G413" i="1"/>
  <c r="BA412" i="1"/>
  <c r="AW412" i="1"/>
  <c r="AB412" i="1"/>
  <c r="AE412" i="1" s="1"/>
  <c r="Z412" i="1"/>
  <c r="G412" i="1"/>
  <c r="BA411" i="1"/>
  <c r="AW411" i="1"/>
  <c r="AB411" i="1"/>
  <c r="AE411" i="1" s="1"/>
  <c r="Z411" i="1"/>
  <c r="G411" i="1"/>
  <c r="BA410" i="1"/>
  <c r="AW410" i="1"/>
  <c r="AB410" i="1"/>
  <c r="AE410" i="1" s="1"/>
  <c r="AF410" i="1" s="1"/>
  <c r="AG410" i="1" s="1"/>
  <c r="AU410" i="1" s="1"/>
  <c r="AV410" i="1" s="1"/>
  <c r="Z410" i="1"/>
  <c r="G410" i="1"/>
  <c r="BA409" i="1"/>
  <c r="AW409" i="1"/>
  <c r="AB409" i="1"/>
  <c r="AE409" i="1" s="1"/>
  <c r="Z409" i="1"/>
  <c r="G409" i="1"/>
  <c r="BA408" i="1"/>
  <c r="AW408" i="1"/>
  <c r="AB408" i="1"/>
  <c r="AE408" i="1" s="1"/>
  <c r="Z408" i="1"/>
  <c r="G408" i="1"/>
  <c r="BA407" i="1"/>
  <c r="AW407" i="1"/>
  <c r="AB407" i="1"/>
  <c r="AE407" i="1" s="1"/>
  <c r="Z407" i="1"/>
  <c r="G407" i="1"/>
  <c r="BA406" i="1"/>
  <c r="AW406" i="1"/>
  <c r="AB406" i="1"/>
  <c r="AE406" i="1" s="1"/>
  <c r="Z406" i="1"/>
  <c r="G406" i="1"/>
  <c r="BA405" i="1"/>
  <c r="AW405" i="1"/>
  <c r="AB405" i="1"/>
  <c r="AE405" i="1" s="1"/>
  <c r="Z405" i="1"/>
  <c r="G405" i="1"/>
  <c r="BA404" i="1"/>
  <c r="AW404" i="1"/>
  <c r="AB404" i="1"/>
  <c r="AE404" i="1" s="1"/>
  <c r="Z404" i="1"/>
  <c r="G404" i="1"/>
  <c r="BA403" i="1"/>
  <c r="AW403" i="1"/>
  <c r="AB403" i="1"/>
  <c r="AE403" i="1" s="1"/>
  <c r="Z403" i="1"/>
  <c r="G403" i="1"/>
  <c r="BA402" i="1"/>
  <c r="AW402" i="1"/>
  <c r="AB402" i="1"/>
  <c r="AE402" i="1" s="1"/>
  <c r="Z402" i="1"/>
  <c r="G402" i="1"/>
  <c r="BA401" i="1"/>
  <c r="AW401" i="1"/>
  <c r="AB401" i="1"/>
  <c r="AE401" i="1" s="1"/>
  <c r="AH401" i="1" s="1"/>
  <c r="AL401" i="1" s="1"/>
  <c r="AO401" i="1" s="1"/>
  <c r="AR401" i="1" s="1"/>
  <c r="Z401" i="1"/>
  <c r="G401" i="1"/>
  <c r="BA400" i="1"/>
  <c r="AW400" i="1"/>
  <c r="AB400" i="1"/>
  <c r="AE400" i="1" s="1"/>
  <c r="AF400" i="1" s="1"/>
  <c r="AG400" i="1" s="1"/>
  <c r="AU400" i="1" s="1"/>
  <c r="AV400" i="1" s="1"/>
  <c r="Z400" i="1"/>
  <c r="G400" i="1"/>
  <c r="BA399" i="1"/>
  <c r="AW399" i="1"/>
  <c r="AB399" i="1"/>
  <c r="AE399" i="1" s="1"/>
  <c r="Z399" i="1"/>
  <c r="G399" i="1"/>
  <c r="BA398" i="1"/>
  <c r="AW398" i="1"/>
  <c r="AB398" i="1"/>
  <c r="AE398" i="1" s="1"/>
  <c r="Z398" i="1"/>
  <c r="G398" i="1"/>
  <c r="BA397" i="1"/>
  <c r="AW397" i="1"/>
  <c r="AB397" i="1"/>
  <c r="AE397" i="1" s="1"/>
  <c r="AF397" i="1" s="1"/>
  <c r="AG397" i="1" s="1"/>
  <c r="AU397" i="1" s="1"/>
  <c r="AV397" i="1" s="1"/>
  <c r="Z397" i="1"/>
  <c r="G397" i="1"/>
  <c r="BA396" i="1"/>
  <c r="AW396" i="1"/>
  <c r="AB396" i="1"/>
  <c r="AE396" i="1" s="1"/>
  <c r="Z396" i="1"/>
  <c r="G396" i="1"/>
  <c r="BA395" i="1"/>
  <c r="AW395" i="1"/>
  <c r="AB395" i="1"/>
  <c r="AE395" i="1" s="1"/>
  <c r="Z395" i="1"/>
  <c r="G395" i="1"/>
  <c r="BA394" i="1"/>
  <c r="AW394" i="1"/>
  <c r="AB394" i="1"/>
  <c r="AE394" i="1" s="1"/>
  <c r="Z394" i="1"/>
  <c r="G394" i="1"/>
  <c r="BA393" i="1"/>
  <c r="AW393" i="1"/>
  <c r="AB393" i="1"/>
  <c r="AE393" i="1" s="1"/>
  <c r="AH393" i="1" s="1"/>
  <c r="AJ393" i="1" s="1"/>
  <c r="Z393" i="1"/>
  <c r="G393" i="1"/>
  <c r="BA392" i="1"/>
  <c r="AW392" i="1"/>
  <c r="AB392" i="1"/>
  <c r="AE392" i="1" s="1"/>
  <c r="AF392" i="1" s="1"/>
  <c r="AG392" i="1" s="1"/>
  <c r="AU392" i="1" s="1"/>
  <c r="AV392" i="1" s="1"/>
  <c r="Z392" i="1"/>
  <c r="G392" i="1"/>
  <c r="BA391" i="1"/>
  <c r="AW391" i="1"/>
  <c r="AB391" i="1"/>
  <c r="AE391" i="1" s="1"/>
  <c r="Z391" i="1"/>
  <c r="G391" i="1"/>
  <c r="BA390" i="1"/>
  <c r="AW390" i="1"/>
  <c r="AB390" i="1"/>
  <c r="AE390" i="1" s="1"/>
  <c r="AF390" i="1" s="1"/>
  <c r="AG390" i="1" s="1"/>
  <c r="AU390" i="1" s="1"/>
  <c r="AV390" i="1" s="1"/>
  <c r="Z390" i="1"/>
  <c r="G390" i="1"/>
  <c r="BA389" i="1"/>
  <c r="AW389" i="1"/>
  <c r="AB389" i="1"/>
  <c r="AE389" i="1" s="1"/>
  <c r="AF389" i="1" s="1"/>
  <c r="AG389" i="1" s="1"/>
  <c r="AU389" i="1" s="1"/>
  <c r="AV389" i="1" s="1"/>
  <c r="Z389" i="1"/>
  <c r="G389" i="1"/>
  <c r="BA388" i="1"/>
  <c r="AW388" i="1"/>
  <c r="AB388" i="1"/>
  <c r="AE388" i="1" s="1"/>
  <c r="Z388" i="1"/>
  <c r="G388" i="1"/>
  <c r="BA387" i="1"/>
  <c r="AW387" i="1"/>
  <c r="AB387" i="1"/>
  <c r="AE387" i="1" s="1"/>
  <c r="Z387" i="1"/>
  <c r="G387" i="1"/>
  <c r="BA386" i="1"/>
  <c r="AW386" i="1"/>
  <c r="AD386" i="1"/>
  <c r="AC386" i="1"/>
  <c r="AB386" i="1"/>
  <c r="Z386" i="1"/>
  <c r="G386" i="1"/>
  <c r="BA385" i="1"/>
  <c r="AW385" i="1"/>
  <c r="AB385" i="1"/>
  <c r="AE385" i="1" s="1"/>
  <c r="Z385" i="1"/>
  <c r="G385" i="1"/>
  <c r="BA384" i="1"/>
  <c r="AW384" i="1"/>
  <c r="AC384" i="1"/>
  <c r="AB384" i="1"/>
  <c r="Z384" i="1"/>
  <c r="G384" i="1"/>
  <c r="BA383" i="1"/>
  <c r="AW383" i="1"/>
  <c r="AC383" i="1"/>
  <c r="AB383" i="1"/>
  <c r="Z383" i="1"/>
  <c r="G383" i="1"/>
  <c r="BA382" i="1"/>
  <c r="AW382" i="1"/>
  <c r="AC382" i="1"/>
  <c r="AB382" i="1"/>
  <c r="Z382" i="1"/>
  <c r="G382" i="1"/>
  <c r="BA381" i="1"/>
  <c r="AW381" i="1"/>
  <c r="AB381" i="1"/>
  <c r="AE381" i="1" s="1"/>
  <c r="AF381" i="1" s="1"/>
  <c r="AG381" i="1" s="1"/>
  <c r="AU381" i="1" s="1"/>
  <c r="AV381" i="1" s="1"/>
  <c r="Z381" i="1"/>
  <c r="G381" i="1"/>
  <c r="BA380" i="1"/>
  <c r="AW380" i="1"/>
  <c r="AB380" i="1"/>
  <c r="AE380" i="1" s="1"/>
  <c r="Z380" i="1"/>
  <c r="G380" i="1"/>
  <c r="BA379" i="1"/>
  <c r="AW379" i="1"/>
  <c r="AB379" i="1"/>
  <c r="AE379" i="1" s="1"/>
  <c r="Z379" i="1"/>
  <c r="G379" i="1"/>
  <c r="BA378" i="1"/>
  <c r="AW378" i="1"/>
  <c r="AB378" i="1"/>
  <c r="AE378" i="1" s="1"/>
  <c r="Z378" i="1"/>
  <c r="G378" i="1"/>
  <c r="BA377" i="1"/>
  <c r="AW377" i="1"/>
  <c r="AB377" i="1"/>
  <c r="AE377" i="1" s="1"/>
  <c r="Z377" i="1"/>
  <c r="G377" i="1"/>
  <c r="BA376" i="1"/>
  <c r="AW376" i="1"/>
  <c r="AB376" i="1"/>
  <c r="AE376" i="1" s="1"/>
  <c r="AF376" i="1" s="1"/>
  <c r="AG376" i="1" s="1"/>
  <c r="AU376" i="1" s="1"/>
  <c r="AV376" i="1" s="1"/>
  <c r="Z376" i="1"/>
  <c r="G376" i="1"/>
  <c r="BA803" i="1"/>
  <c r="AW803" i="1"/>
  <c r="AT803" i="1"/>
  <c r="AD803" i="1"/>
  <c r="U803" i="1"/>
  <c r="AC803" i="1" s="1"/>
  <c r="T803" i="1"/>
  <c r="Z803" i="1" s="1"/>
  <c r="G803" i="1"/>
  <c r="BA642" i="1"/>
  <c r="AW642" i="1"/>
  <c r="AB642" i="1"/>
  <c r="AE642" i="1" s="1"/>
  <c r="Z642" i="1"/>
  <c r="G642" i="1"/>
  <c r="BA373" i="1"/>
  <c r="AW373" i="1"/>
  <c r="AB373" i="1"/>
  <c r="AE373" i="1" s="1"/>
  <c r="AH373" i="1" s="1"/>
  <c r="AJ373" i="1" s="1"/>
  <c r="Z373" i="1"/>
  <c r="G373" i="1"/>
  <c r="BA670" i="1"/>
  <c r="AW670" i="1"/>
  <c r="AB670" i="1"/>
  <c r="AE670" i="1" s="1"/>
  <c r="Z670" i="1"/>
  <c r="G670" i="1"/>
  <c r="BA371" i="1"/>
  <c r="AW371" i="1"/>
  <c r="AB371" i="1"/>
  <c r="AE371" i="1" s="1"/>
  <c r="Z371" i="1"/>
  <c r="G371" i="1"/>
  <c r="BA370" i="1"/>
  <c r="AW370" i="1"/>
  <c r="AB370" i="1"/>
  <c r="AE370" i="1" s="1"/>
  <c r="Z370" i="1"/>
  <c r="G370" i="1"/>
  <c r="BA369" i="1"/>
  <c r="AW369" i="1"/>
  <c r="AB369" i="1"/>
  <c r="AE369" i="1" s="1"/>
  <c r="Z369" i="1"/>
  <c r="G369" i="1"/>
  <c r="BA368" i="1"/>
  <c r="AW368" i="1"/>
  <c r="AB368" i="1"/>
  <c r="AE368" i="1" s="1"/>
  <c r="AF368" i="1" s="1"/>
  <c r="AG368" i="1" s="1"/>
  <c r="AU368" i="1" s="1"/>
  <c r="AV368" i="1" s="1"/>
  <c r="Z368" i="1"/>
  <c r="G368" i="1"/>
  <c r="BA367" i="1"/>
  <c r="AW367" i="1"/>
  <c r="AB367" i="1"/>
  <c r="AE367" i="1" s="1"/>
  <c r="Z367" i="1"/>
  <c r="G367" i="1"/>
  <c r="BA366" i="1"/>
  <c r="AW366" i="1"/>
  <c r="AD366" i="1"/>
  <c r="AB366" i="1"/>
  <c r="Z366" i="1"/>
  <c r="G366" i="1"/>
  <c r="BA365" i="1"/>
  <c r="AW365" i="1"/>
  <c r="AB365" i="1"/>
  <c r="AE365" i="1" s="1"/>
  <c r="Z365" i="1"/>
  <c r="G365" i="1"/>
  <c r="BA364" i="1"/>
  <c r="AW364" i="1"/>
  <c r="AB364" i="1"/>
  <c r="AE364" i="1" s="1"/>
  <c r="Z364" i="1"/>
  <c r="G364" i="1"/>
  <c r="BA363" i="1"/>
  <c r="AW363" i="1"/>
  <c r="AB363" i="1"/>
  <c r="AE363" i="1" s="1"/>
  <c r="Z363" i="1"/>
  <c r="G363" i="1"/>
  <c r="BA362" i="1"/>
  <c r="AW362" i="1"/>
  <c r="AB362" i="1"/>
  <c r="AE362" i="1" s="1"/>
  <c r="Z362" i="1"/>
  <c r="G362" i="1"/>
  <c r="BA361" i="1"/>
  <c r="AW361" i="1"/>
  <c r="AB361" i="1"/>
  <c r="AE361" i="1" s="1"/>
  <c r="Z361" i="1"/>
  <c r="G361" i="1"/>
  <c r="BA360" i="1"/>
  <c r="AW360" i="1"/>
  <c r="AB360" i="1"/>
  <c r="AE360" i="1" s="1"/>
  <c r="Z360" i="1"/>
  <c r="G360" i="1"/>
  <c r="BA359" i="1"/>
  <c r="AW359" i="1"/>
  <c r="AB359" i="1"/>
  <c r="AE359" i="1" s="1"/>
  <c r="Z359" i="1"/>
  <c r="G359" i="1"/>
  <c r="BA358" i="1"/>
  <c r="AW358" i="1"/>
  <c r="AT358" i="1"/>
  <c r="AD358" i="1"/>
  <c r="AC358" i="1"/>
  <c r="Z358" i="1"/>
  <c r="G358" i="1"/>
  <c r="BA357" i="1"/>
  <c r="AW357" i="1"/>
  <c r="AB357" i="1"/>
  <c r="AE357" i="1" s="1"/>
  <c r="Z357" i="1"/>
  <c r="G357" i="1"/>
  <c r="BA356" i="1"/>
  <c r="AW356" i="1"/>
  <c r="AB356" i="1"/>
  <c r="AE356" i="1" s="1"/>
  <c r="Z356" i="1"/>
  <c r="G356" i="1"/>
  <c r="BA355" i="1"/>
  <c r="AW355" i="1"/>
  <c r="AB355" i="1"/>
  <c r="AE355" i="1" s="1"/>
  <c r="Z355" i="1"/>
  <c r="G355" i="1"/>
  <c r="BA354" i="1"/>
  <c r="AW354" i="1"/>
  <c r="AB354" i="1"/>
  <c r="AE354" i="1" s="1"/>
  <c r="Z354" i="1"/>
  <c r="G354" i="1"/>
  <c r="BA353" i="1"/>
  <c r="AW353" i="1"/>
  <c r="AB353" i="1"/>
  <c r="AE353" i="1" s="1"/>
  <c r="Z353" i="1"/>
  <c r="G353" i="1"/>
  <c r="BA352" i="1"/>
  <c r="AW352" i="1"/>
  <c r="AB352" i="1"/>
  <c r="AE352" i="1" s="1"/>
  <c r="AF352" i="1" s="1"/>
  <c r="AG352" i="1" s="1"/>
  <c r="AU352" i="1" s="1"/>
  <c r="AV352" i="1" s="1"/>
  <c r="Z352" i="1"/>
  <c r="G352" i="1"/>
  <c r="BA351" i="1"/>
  <c r="AW351" i="1"/>
  <c r="AB351" i="1"/>
  <c r="AE351" i="1" s="1"/>
  <c r="AF351" i="1" s="1"/>
  <c r="AG351" i="1" s="1"/>
  <c r="AU351" i="1" s="1"/>
  <c r="AV351" i="1" s="1"/>
  <c r="Z351" i="1"/>
  <c r="G351" i="1"/>
  <c r="BA350" i="1"/>
  <c r="AW350" i="1"/>
  <c r="AB350" i="1"/>
  <c r="AE350" i="1" s="1"/>
  <c r="Z350" i="1"/>
  <c r="G350" i="1"/>
  <c r="BA349" i="1"/>
  <c r="AW349" i="1"/>
  <c r="AT349" i="1"/>
  <c r="AB349" i="1"/>
  <c r="AE349" i="1" s="1"/>
  <c r="Z349" i="1"/>
  <c r="G349" i="1"/>
  <c r="BA348" i="1"/>
  <c r="AW348" i="1"/>
  <c r="AB348" i="1"/>
  <c r="AE348" i="1" s="1"/>
  <c r="Z348" i="1"/>
  <c r="G348" i="1"/>
  <c r="BA347" i="1"/>
  <c r="AW347" i="1"/>
  <c r="AB347" i="1"/>
  <c r="AE347" i="1" s="1"/>
  <c r="AF347" i="1" s="1"/>
  <c r="AG347" i="1" s="1"/>
  <c r="AU347" i="1" s="1"/>
  <c r="AV347" i="1" s="1"/>
  <c r="Z347" i="1"/>
  <c r="G347" i="1"/>
  <c r="BA346" i="1"/>
  <c r="AW346" i="1"/>
  <c r="AB346" i="1"/>
  <c r="AE346" i="1" s="1"/>
  <c r="Z346" i="1"/>
  <c r="G346" i="1"/>
  <c r="BA345" i="1"/>
  <c r="AW345" i="1"/>
  <c r="AB345" i="1"/>
  <c r="AE345" i="1" s="1"/>
  <c r="AF345" i="1" s="1"/>
  <c r="AG345" i="1" s="1"/>
  <c r="AU345" i="1" s="1"/>
  <c r="AV345" i="1" s="1"/>
  <c r="Z345" i="1"/>
  <c r="G345" i="1"/>
  <c r="BA344" i="1"/>
  <c r="AW344" i="1"/>
  <c r="AB344" i="1"/>
  <c r="AE344" i="1" s="1"/>
  <c r="AF344" i="1" s="1"/>
  <c r="AG344" i="1" s="1"/>
  <c r="AU344" i="1" s="1"/>
  <c r="AV344" i="1" s="1"/>
  <c r="Z344" i="1"/>
  <c r="G344" i="1"/>
  <c r="BA343" i="1"/>
  <c r="AW343" i="1"/>
  <c r="AB343" i="1"/>
  <c r="AE343" i="1" s="1"/>
  <c r="Z343" i="1"/>
  <c r="G343" i="1"/>
  <c r="BA342" i="1"/>
  <c r="AW342" i="1"/>
  <c r="AB342" i="1"/>
  <c r="AE342" i="1" s="1"/>
  <c r="Z342" i="1"/>
  <c r="G342" i="1"/>
  <c r="BA341" i="1"/>
  <c r="AW341" i="1"/>
  <c r="AB341" i="1"/>
  <c r="AE341" i="1" s="1"/>
  <c r="Z341" i="1"/>
  <c r="G341" i="1"/>
  <c r="BA340" i="1"/>
  <c r="AW340" i="1"/>
  <c r="AB340" i="1"/>
  <c r="AE340" i="1" s="1"/>
  <c r="Z340" i="1"/>
  <c r="G340" i="1"/>
  <c r="BA339" i="1"/>
  <c r="AW339" i="1"/>
  <c r="AB339" i="1"/>
  <c r="AE339" i="1" s="1"/>
  <c r="AH339" i="1" s="1"/>
  <c r="AJ339" i="1" s="1"/>
  <c r="Z339" i="1"/>
  <c r="G339" i="1"/>
  <c r="BA338" i="1"/>
  <c r="AW338" i="1"/>
  <c r="AB338" i="1"/>
  <c r="AE338" i="1" s="1"/>
  <c r="AH338" i="1" s="1"/>
  <c r="Z338" i="1"/>
  <c r="G338" i="1"/>
  <c r="BA337" i="1"/>
  <c r="AW337" i="1"/>
  <c r="AB337" i="1"/>
  <c r="AE337" i="1" s="1"/>
  <c r="Z337" i="1"/>
  <c r="G337" i="1"/>
  <c r="BA336" i="1"/>
  <c r="AW336" i="1"/>
  <c r="AB336" i="1"/>
  <c r="AE336" i="1" s="1"/>
  <c r="AH336" i="1" s="1"/>
  <c r="AJ336" i="1" s="1"/>
  <c r="Z336" i="1"/>
  <c r="G336" i="1"/>
  <c r="BA335" i="1"/>
  <c r="AW335" i="1"/>
  <c r="AB335" i="1"/>
  <c r="AE335" i="1" s="1"/>
  <c r="AF335" i="1" s="1"/>
  <c r="AG335" i="1" s="1"/>
  <c r="AU335" i="1" s="1"/>
  <c r="AV335" i="1" s="1"/>
  <c r="Z335" i="1"/>
  <c r="G335" i="1"/>
  <c r="BA334" i="1"/>
  <c r="AW334" i="1"/>
  <c r="AB334" i="1"/>
  <c r="AE334" i="1" s="1"/>
  <c r="AH334" i="1" s="1"/>
  <c r="AJ334" i="1" s="1"/>
  <c r="Z334" i="1"/>
  <c r="G334" i="1"/>
  <c r="BA333" i="1"/>
  <c r="AW333" i="1"/>
  <c r="AB333" i="1"/>
  <c r="AE333" i="1" s="1"/>
  <c r="Z333" i="1"/>
  <c r="G333" i="1"/>
  <c r="BA747" i="1"/>
  <c r="AW747" i="1"/>
  <c r="AB747" i="1"/>
  <c r="AE747" i="1" s="1"/>
  <c r="AH747" i="1" s="1"/>
  <c r="AJ747" i="1" s="1"/>
  <c r="Z747" i="1"/>
  <c r="G747" i="1"/>
  <c r="BA735" i="1"/>
  <c r="AW735" i="1"/>
  <c r="AB735" i="1"/>
  <c r="AE735" i="1" s="1"/>
  <c r="Z735" i="1"/>
  <c r="G735" i="1"/>
  <c r="BA330" i="1"/>
  <c r="AW330" i="1"/>
  <c r="AB330" i="1"/>
  <c r="AE330" i="1" s="1"/>
  <c r="AH330" i="1" s="1"/>
  <c r="AL330" i="1" s="1"/>
  <c r="AO330" i="1" s="1"/>
  <c r="AR330" i="1" s="1"/>
  <c r="Z330" i="1"/>
  <c r="G330" i="1"/>
  <c r="BA329" i="1"/>
  <c r="AW329" i="1"/>
  <c r="AB329" i="1"/>
  <c r="AE329" i="1" s="1"/>
  <c r="Z329" i="1"/>
  <c r="G329" i="1"/>
  <c r="BA328" i="1"/>
  <c r="AW328" i="1"/>
  <c r="AB328" i="1"/>
  <c r="AE328" i="1" s="1"/>
  <c r="Z328" i="1"/>
  <c r="X328" i="1"/>
  <c r="G328" i="1"/>
  <c r="BA327" i="1"/>
  <c r="AW327" i="1"/>
  <c r="AB327" i="1"/>
  <c r="AE327" i="1" s="1"/>
  <c r="Z327" i="1"/>
  <c r="G327" i="1"/>
  <c r="BA326" i="1"/>
  <c r="AW326" i="1"/>
  <c r="AB326" i="1"/>
  <c r="AE326" i="1" s="1"/>
  <c r="AH326" i="1" s="1"/>
  <c r="AJ326" i="1" s="1"/>
  <c r="Z326" i="1"/>
  <c r="G326" i="1"/>
  <c r="BA325" i="1"/>
  <c r="AW325" i="1"/>
  <c r="AB325" i="1"/>
  <c r="AE325" i="1" s="1"/>
  <c r="AF325" i="1" s="1"/>
  <c r="AG325" i="1" s="1"/>
  <c r="AU325" i="1" s="1"/>
  <c r="AV325" i="1" s="1"/>
  <c r="Z325" i="1"/>
  <c r="G325" i="1"/>
  <c r="BA324" i="1"/>
  <c r="AW324" i="1"/>
  <c r="AB324" i="1"/>
  <c r="AE324" i="1" s="1"/>
  <c r="AH324" i="1" s="1"/>
  <c r="AJ324" i="1" s="1"/>
  <c r="Z324" i="1"/>
  <c r="G324" i="1"/>
  <c r="BA323" i="1"/>
  <c r="AW323" i="1"/>
  <c r="AB323" i="1"/>
  <c r="AE323" i="1" s="1"/>
  <c r="Z323" i="1"/>
  <c r="G323" i="1"/>
  <c r="BA322" i="1"/>
  <c r="AW322" i="1"/>
  <c r="AB322" i="1"/>
  <c r="AE322" i="1" s="1"/>
  <c r="Z322" i="1"/>
  <c r="G322" i="1"/>
  <c r="BA321" i="1"/>
  <c r="AW321" i="1"/>
  <c r="AB321" i="1"/>
  <c r="AE321" i="1" s="1"/>
  <c r="AF321" i="1" s="1"/>
  <c r="AG321" i="1" s="1"/>
  <c r="AU321" i="1" s="1"/>
  <c r="AV321" i="1" s="1"/>
  <c r="Z321" i="1"/>
  <c r="G321" i="1"/>
  <c r="BA320" i="1"/>
  <c r="AW320" i="1"/>
  <c r="AB320" i="1"/>
  <c r="AE320" i="1" s="1"/>
  <c r="Z320" i="1"/>
  <c r="G320" i="1"/>
  <c r="BA319" i="1"/>
  <c r="AW319" i="1"/>
  <c r="AB319" i="1"/>
  <c r="AE319" i="1" s="1"/>
  <c r="Z319" i="1"/>
  <c r="G319" i="1"/>
  <c r="BA318" i="1"/>
  <c r="AW318" i="1"/>
  <c r="AC318" i="1"/>
  <c r="AB318" i="1"/>
  <c r="Z318" i="1"/>
  <c r="G318" i="1"/>
  <c r="BA317" i="1"/>
  <c r="AW317" i="1"/>
  <c r="AB317" i="1"/>
  <c r="AE317" i="1" s="1"/>
  <c r="AF317" i="1" s="1"/>
  <c r="AG317" i="1" s="1"/>
  <c r="AU317" i="1" s="1"/>
  <c r="AV317" i="1" s="1"/>
  <c r="Z317" i="1"/>
  <c r="G317" i="1"/>
  <c r="BA316" i="1"/>
  <c r="AW316" i="1"/>
  <c r="AB316" i="1"/>
  <c r="AE316" i="1" s="1"/>
  <c r="Z316" i="1"/>
  <c r="G316" i="1"/>
  <c r="BA616" i="1"/>
  <c r="AW616" i="1"/>
  <c r="AB616" i="1"/>
  <c r="AE616" i="1" s="1"/>
  <c r="AF616" i="1" s="1"/>
  <c r="AG616" i="1" s="1"/>
  <c r="AU616" i="1" s="1"/>
  <c r="AV616" i="1" s="1"/>
  <c r="Z616" i="1"/>
  <c r="G616" i="1"/>
  <c r="BA615" i="1"/>
  <c r="AW615" i="1"/>
  <c r="AB615" i="1"/>
  <c r="AE615" i="1" s="1"/>
  <c r="Z615" i="1"/>
  <c r="G615" i="1"/>
  <c r="BA313" i="1"/>
  <c r="AW313" i="1"/>
  <c r="AD313" i="1"/>
  <c r="AB313" i="1"/>
  <c r="AE313" i="1" s="1"/>
  <c r="AF313" i="1" s="1"/>
  <c r="AG313" i="1" s="1"/>
  <c r="AU313" i="1" s="1"/>
  <c r="AV313" i="1" s="1"/>
  <c r="Z313" i="1"/>
  <c r="G313" i="1"/>
  <c r="BA312" i="1"/>
  <c r="AW312" i="1"/>
  <c r="AD312" i="1"/>
  <c r="AB312" i="1"/>
  <c r="Z312" i="1"/>
  <c r="G312" i="1"/>
  <c r="BA137" i="1"/>
  <c r="AW137" i="1"/>
  <c r="AB137" i="1"/>
  <c r="AE137" i="1" s="1"/>
  <c r="Z137" i="1"/>
  <c r="G137" i="1"/>
  <c r="BA134" i="1"/>
  <c r="AW134" i="1"/>
  <c r="AB134" i="1"/>
  <c r="AE134" i="1" s="1"/>
  <c r="AF134" i="1" s="1"/>
  <c r="AG134" i="1" s="1"/>
  <c r="AU134" i="1" s="1"/>
  <c r="AV134" i="1" s="1"/>
  <c r="Z134" i="1"/>
  <c r="G134" i="1"/>
  <c r="BA309" i="1"/>
  <c r="AW309" i="1"/>
  <c r="AB309" i="1"/>
  <c r="AE309" i="1" s="1"/>
  <c r="Z309" i="1"/>
  <c r="G309" i="1"/>
  <c r="BA308" i="1"/>
  <c r="AW308" i="1"/>
  <c r="AB308" i="1"/>
  <c r="AE308" i="1" s="1"/>
  <c r="AF308" i="1" s="1"/>
  <c r="AG308" i="1" s="1"/>
  <c r="AU308" i="1" s="1"/>
  <c r="AV308" i="1" s="1"/>
  <c r="Z308" i="1"/>
  <c r="G308" i="1"/>
  <c r="BA307" i="1"/>
  <c r="AW307" i="1"/>
  <c r="AD307" i="1"/>
  <c r="AB307" i="1"/>
  <c r="Z307" i="1"/>
  <c r="G307" i="1"/>
  <c r="BA306" i="1"/>
  <c r="AW306" i="1"/>
  <c r="AB306" i="1"/>
  <c r="AE306" i="1" s="1"/>
  <c r="AF306" i="1" s="1"/>
  <c r="AG306" i="1" s="1"/>
  <c r="AU306" i="1" s="1"/>
  <c r="AV306" i="1" s="1"/>
  <c r="Z306" i="1"/>
  <c r="G306" i="1"/>
  <c r="BA305" i="1"/>
  <c r="AW305" i="1"/>
  <c r="AD305" i="1"/>
  <c r="AB305" i="1"/>
  <c r="Z305" i="1"/>
  <c r="G305" i="1"/>
  <c r="BA304" i="1"/>
  <c r="AW304" i="1"/>
  <c r="AB304" i="1"/>
  <c r="AE304" i="1" s="1"/>
  <c r="Z304" i="1"/>
  <c r="G304" i="1"/>
  <c r="BA303" i="1"/>
  <c r="AW303" i="1"/>
  <c r="AB303" i="1"/>
  <c r="AE303" i="1" s="1"/>
  <c r="Z303" i="1"/>
  <c r="G303" i="1"/>
  <c r="BA302" i="1"/>
  <c r="AW302" i="1"/>
  <c r="AB302" i="1"/>
  <c r="AE302" i="1" s="1"/>
  <c r="Z302" i="1"/>
  <c r="G302" i="1"/>
  <c r="BA301" i="1"/>
  <c r="AW301" i="1"/>
  <c r="AB301" i="1"/>
  <c r="AE301" i="1" s="1"/>
  <c r="Z301" i="1"/>
  <c r="G301" i="1"/>
  <c r="BA300" i="1"/>
  <c r="AW300" i="1"/>
  <c r="AB300" i="1"/>
  <c r="AE300" i="1" s="1"/>
  <c r="AF300" i="1" s="1"/>
  <c r="AG300" i="1" s="1"/>
  <c r="AU300" i="1" s="1"/>
  <c r="AV300" i="1" s="1"/>
  <c r="Z300" i="1"/>
  <c r="G300" i="1"/>
  <c r="BA299" i="1"/>
  <c r="AW299" i="1"/>
  <c r="AB299" i="1"/>
  <c r="AE299" i="1" s="1"/>
  <c r="Z299" i="1"/>
  <c r="G299" i="1"/>
  <c r="BA298" i="1"/>
  <c r="AW298" i="1"/>
  <c r="AC298" i="1"/>
  <c r="AE298" i="1" s="1"/>
  <c r="AH298" i="1" s="1"/>
  <c r="AJ298" i="1" s="1"/>
  <c r="Z298" i="1"/>
  <c r="G298" i="1"/>
  <c r="BA297" i="1"/>
  <c r="AW297" i="1"/>
  <c r="AB297" i="1"/>
  <c r="AE297" i="1" s="1"/>
  <c r="Z297" i="1"/>
  <c r="G297" i="1"/>
  <c r="BA296" i="1"/>
  <c r="AW296" i="1"/>
  <c r="AB296" i="1"/>
  <c r="AE296" i="1" s="1"/>
  <c r="AF296" i="1" s="1"/>
  <c r="AG296" i="1" s="1"/>
  <c r="AU296" i="1" s="1"/>
  <c r="AV296" i="1" s="1"/>
  <c r="Z296" i="1"/>
  <c r="G296" i="1"/>
  <c r="BA295" i="1"/>
  <c r="AW295" i="1"/>
  <c r="AB295" i="1"/>
  <c r="AE295" i="1" s="1"/>
  <c r="Z295" i="1"/>
  <c r="G295" i="1"/>
  <c r="BA294" i="1"/>
  <c r="AW294" i="1"/>
  <c r="AB294" i="1"/>
  <c r="AE294" i="1" s="1"/>
  <c r="Z294" i="1"/>
  <c r="G294" i="1"/>
  <c r="BA293" i="1"/>
  <c r="AW293" i="1"/>
  <c r="AT293" i="1"/>
  <c r="AC293" i="1"/>
  <c r="Y293" i="1"/>
  <c r="X293" i="1"/>
  <c r="AB293" i="1" s="1"/>
  <c r="W293" i="1"/>
  <c r="U293" i="1"/>
  <c r="T293" i="1"/>
  <c r="Z293" i="1" s="1"/>
  <c r="G293" i="1"/>
  <c r="BA292" i="1"/>
  <c r="AW292" i="1"/>
  <c r="AC292" i="1"/>
  <c r="AB292" i="1"/>
  <c r="Z292" i="1"/>
  <c r="G292" i="1"/>
  <c r="BA291" i="1"/>
  <c r="AW291" i="1"/>
  <c r="AC291" i="1"/>
  <c r="AB291" i="1"/>
  <c r="Z291" i="1"/>
  <c r="G291" i="1"/>
  <c r="BA290" i="1"/>
  <c r="AW290" i="1"/>
  <c r="Y290" i="1"/>
  <c r="X290" i="1"/>
  <c r="AB290" i="1" s="1"/>
  <c r="AE290" i="1" s="1"/>
  <c r="W290" i="1"/>
  <c r="T290" i="1"/>
  <c r="S290" i="1"/>
  <c r="Z290" i="1" s="1"/>
  <c r="G290" i="1"/>
  <c r="BA289" i="1"/>
  <c r="AW289" i="1"/>
  <c r="AB289" i="1"/>
  <c r="AE289" i="1" s="1"/>
  <c r="Z289" i="1"/>
  <c r="G289" i="1"/>
  <c r="BA288" i="1"/>
  <c r="AW288" i="1"/>
  <c r="AB288" i="1"/>
  <c r="AE288" i="1" s="1"/>
  <c r="Z288" i="1"/>
  <c r="G288" i="1"/>
  <c r="BA287" i="1"/>
  <c r="AW287" i="1"/>
  <c r="AB287" i="1"/>
  <c r="AE287" i="1" s="1"/>
  <c r="Z287" i="1"/>
  <c r="G287" i="1"/>
  <c r="BA286" i="1"/>
  <c r="AW286" i="1"/>
  <c r="AB286" i="1"/>
  <c r="AE286" i="1" s="1"/>
  <c r="Z286" i="1"/>
  <c r="G286" i="1"/>
  <c r="BA285" i="1"/>
  <c r="AW285" i="1"/>
  <c r="AB285" i="1"/>
  <c r="AE285" i="1" s="1"/>
  <c r="Z285" i="1"/>
  <c r="G285" i="1"/>
  <c r="BA284" i="1"/>
  <c r="AW284" i="1"/>
  <c r="AB284" i="1"/>
  <c r="AE284" i="1" s="1"/>
  <c r="AF284" i="1" s="1"/>
  <c r="AG284" i="1" s="1"/>
  <c r="AU284" i="1" s="1"/>
  <c r="AV284" i="1" s="1"/>
  <c r="Z284" i="1"/>
  <c r="G284" i="1"/>
  <c r="BA283" i="1"/>
  <c r="AW283" i="1"/>
  <c r="AB283" i="1"/>
  <c r="AE283" i="1" s="1"/>
  <c r="Z283" i="1"/>
  <c r="G283" i="1"/>
  <c r="BA282" i="1"/>
  <c r="AW282" i="1"/>
  <c r="AB282" i="1"/>
  <c r="AE282" i="1" s="1"/>
  <c r="Z282" i="1"/>
  <c r="G282" i="1"/>
  <c r="BA281" i="1"/>
  <c r="AW281" i="1"/>
  <c r="AB281" i="1"/>
  <c r="AE281" i="1" s="1"/>
  <c r="Z281" i="1"/>
  <c r="G281" i="1"/>
  <c r="BA280" i="1"/>
  <c r="AW280" i="1"/>
  <c r="AT280" i="1"/>
  <c r="AB280" i="1"/>
  <c r="AE280" i="1" s="1"/>
  <c r="Z280" i="1"/>
  <c r="G280" i="1"/>
  <c r="BA279" i="1"/>
  <c r="AW279" i="1"/>
  <c r="AT279" i="1"/>
  <c r="AB279" i="1"/>
  <c r="AE279" i="1" s="1"/>
  <c r="Z279" i="1"/>
  <c r="G279" i="1"/>
  <c r="BA278" i="1"/>
  <c r="AW278" i="1"/>
  <c r="AT278" i="1"/>
  <c r="AV278" i="1" s="1"/>
  <c r="AB278" i="1"/>
  <c r="AE278" i="1" s="1"/>
  <c r="Z278" i="1"/>
  <c r="G278" i="1"/>
  <c r="BA277" i="1"/>
  <c r="AW277" i="1"/>
  <c r="AT277" i="1"/>
  <c r="AB277" i="1"/>
  <c r="AE277" i="1" s="1"/>
  <c r="AH277" i="1" s="1"/>
  <c r="AJ277" i="1" s="1"/>
  <c r="Z277" i="1"/>
  <c r="G277" i="1"/>
  <c r="BA276" i="1"/>
  <c r="AW276" i="1"/>
  <c r="AB276" i="1"/>
  <c r="AE276" i="1" s="1"/>
  <c r="AF276" i="1" s="1"/>
  <c r="AG276" i="1" s="1"/>
  <c r="AU276" i="1" s="1"/>
  <c r="AV276" i="1" s="1"/>
  <c r="Z276" i="1"/>
  <c r="G276" i="1"/>
  <c r="BA275" i="1"/>
  <c r="AW275" i="1"/>
  <c r="AB275" i="1"/>
  <c r="AE275" i="1" s="1"/>
  <c r="Z275" i="1"/>
  <c r="G275" i="1"/>
  <c r="BA274" i="1"/>
  <c r="AW274" i="1"/>
  <c r="AB274" i="1"/>
  <c r="AE274" i="1" s="1"/>
  <c r="AH274" i="1" s="1"/>
  <c r="AJ274" i="1" s="1"/>
  <c r="Z274" i="1"/>
  <c r="G274" i="1"/>
  <c r="BA273" i="1"/>
  <c r="AW273" i="1"/>
  <c r="AB273" i="1"/>
  <c r="AE273" i="1" s="1"/>
  <c r="AH273" i="1" s="1"/>
  <c r="AJ273" i="1" s="1"/>
  <c r="Z273" i="1"/>
  <c r="G273" i="1"/>
  <c r="BA272" i="1"/>
  <c r="AW272" i="1"/>
  <c r="AB272" i="1"/>
  <c r="AE272" i="1" s="1"/>
  <c r="AF272" i="1" s="1"/>
  <c r="AG272" i="1" s="1"/>
  <c r="AU272" i="1" s="1"/>
  <c r="AV272" i="1" s="1"/>
  <c r="Z272" i="1"/>
  <c r="G272" i="1"/>
  <c r="BA271" i="1"/>
  <c r="AW271" i="1"/>
  <c r="AB271" i="1"/>
  <c r="AE271" i="1" s="1"/>
  <c r="Z271" i="1"/>
  <c r="G271" i="1"/>
  <c r="BA270" i="1"/>
  <c r="AW270" i="1"/>
  <c r="AB270" i="1"/>
  <c r="AE270" i="1" s="1"/>
  <c r="Z270" i="1"/>
  <c r="G270" i="1"/>
  <c r="BA269" i="1"/>
  <c r="AW269" i="1"/>
  <c r="AB269" i="1"/>
  <c r="AE269" i="1" s="1"/>
  <c r="Z269" i="1"/>
  <c r="G269" i="1"/>
  <c r="BA268" i="1"/>
  <c r="AW268" i="1"/>
  <c r="AB268" i="1"/>
  <c r="AE268" i="1" s="1"/>
  <c r="Z268" i="1"/>
  <c r="G268" i="1"/>
  <c r="BA267" i="1"/>
  <c r="AW267" i="1"/>
  <c r="AB267" i="1"/>
  <c r="AE267" i="1" s="1"/>
  <c r="AF267" i="1" s="1"/>
  <c r="AG267" i="1" s="1"/>
  <c r="AU267" i="1" s="1"/>
  <c r="AV267" i="1" s="1"/>
  <c r="Z267" i="1"/>
  <c r="Y267" i="1"/>
  <c r="G267" i="1"/>
  <c r="BA266" i="1"/>
  <c r="AW266" i="1"/>
  <c r="AB266" i="1"/>
  <c r="AE266" i="1" s="1"/>
  <c r="Z266" i="1"/>
  <c r="G266" i="1"/>
  <c r="BA265" i="1"/>
  <c r="AW265" i="1"/>
  <c r="AB265" i="1"/>
  <c r="AE265" i="1" s="1"/>
  <c r="AH265" i="1" s="1"/>
  <c r="AJ265" i="1" s="1"/>
  <c r="Z265" i="1"/>
  <c r="G265" i="1"/>
  <c r="BA264" i="1"/>
  <c r="AW264" i="1"/>
  <c r="AD264" i="1"/>
  <c r="AB264" i="1"/>
  <c r="Z264" i="1"/>
  <c r="G264" i="1"/>
  <c r="BA263" i="1"/>
  <c r="AW263" i="1"/>
  <c r="AB263" i="1"/>
  <c r="AE263" i="1" s="1"/>
  <c r="Z263" i="1"/>
  <c r="G263" i="1"/>
  <c r="BA262" i="1"/>
  <c r="AW262" i="1"/>
  <c r="AB262" i="1"/>
  <c r="AE262" i="1" s="1"/>
  <c r="Z262" i="1"/>
  <c r="G262" i="1"/>
  <c r="BA261" i="1"/>
  <c r="AW261" i="1"/>
  <c r="AB261" i="1"/>
  <c r="AE261" i="1" s="1"/>
  <c r="Z261" i="1"/>
  <c r="G261" i="1"/>
  <c r="BA260" i="1"/>
  <c r="AW260" i="1"/>
  <c r="AB260" i="1"/>
  <c r="AE260" i="1" s="1"/>
  <c r="AF260" i="1" s="1"/>
  <c r="AG260" i="1" s="1"/>
  <c r="AU260" i="1" s="1"/>
  <c r="AV260" i="1" s="1"/>
  <c r="Z260" i="1"/>
  <c r="Y260" i="1"/>
  <c r="W260" i="1"/>
  <c r="G260" i="1"/>
  <c r="BA259" i="1"/>
  <c r="AW259" i="1"/>
  <c r="AB259" i="1"/>
  <c r="AE259" i="1" s="1"/>
  <c r="Z259" i="1"/>
  <c r="G259" i="1"/>
  <c r="BA258" i="1"/>
  <c r="AW258" i="1"/>
  <c r="AT258" i="1"/>
  <c r="AV258" i="1" s="1"/>
  <c r="AD258" i="1"/>
  <c r="AB258" i="1"/>
  <c r="Z258" i="1"/>
  <c r="G258" i="1"/>
  <c r="BA257" i="1"/>
  <c r="AW257" i="1"/>
  <c r="AT257" i="1"/>
  <c r="AD257" i="1"/>
  <c r="AB257" i="1"/>
  <c r="Z257" i="1"/>
  <c r="G257" i="1"/>
  <c r="BA256" i="1"/>
  <c r="AW256" i="1"/>
  <c r="AB256" i="1"/>
  <c r="AE256" i="1" s="1"/>
  <c r="AF256" i="1" s="1"/>
  <c r="AG256" i="1" s="1"/>
  <c r="AU256" i="1" s="1"/>
  <c r="AV256" i="1" s="1"/>
  <c r="Z256" i="1"/>
  <c r="G256" i="1"/>
  <c r="BA255" i="1"/>
  <c r="AW255" i="1"/>
  <c r="AB255" i="1"/>
  <c r="AE255" i="1" s="1"/>
  <c r="Z255" i="1"/>
  <c r="G255" i="1"/>
  <c r="BA254" i="1"/>
  <c r="AW254" i="1"/>
  <c r="AD254" i="1"/>
  <c r="AB254" i="1"/>
  <c r="Z254" i="1"/>
  <c r="G254" i="1"/>
  <c r="BA253" i="1"/>
  <c r="AW253" i="1"/>
  <c r="AT253" i="1"/>
  <c r="AC253" i="1"/>
  <c r="AB253" i="1"/>
  <c r="T253" i="1"/>
  <c r="Z253" i="1" s="1"/>
  <c r="G253" i="1"/>
  <c r="BA252" i="1"/>
  <c r="AW252" i="1"/>
  <c r="AT252" i="1"/>
  <c r="AB252" i="1"/>
  <c r="AE252" i="1" s="1"/>
  <c r="Y252" i="1"/>
  <c r="X252" i="1"/>
  <c r="W252" i="1"/>
  <c r="T252" i="1"/>
  <c r="Z252" i="1" s="1"/>
  <c r="S252" i="1"/>
  <c r="G252" i="1"/>
  <c r="BA251" i="1"/>
  <c r="AW251" i="1"/>
  <c r="AB251" i="1"/>
  <c r="AE251" i="1" s="1"/>
  <c r="Z251" i="1"/>
  <c r="G251" i="1"/>
  <c r="BA250" i="1"/>
  <c r="AW250" i="1"/>
  <c r="AB250" i="1"/>
  <c r="AE250" i="1" s="1"/>
  <c r="Z250" i="1"/>
  <c r="G250" i="1"/>
  <c r="BA249" i="1"/>
  <c r="AW249" i="1"/>
  <c r="AB249" i="1"/>
  <c r="AE249" i="1" s="1"/>
  <c r="AF249" i="1" s="1"/>
  <c r="AG249" i="1" s="1"/>
  <c r="AU249" i="1" s="1"/>
  <c r="AV249" i="1" s="1"/>
  <c r="Z249" i="1"/>
  <c r="G249" i="1"/>
  <c r="BA248" i="1"/>
  <c r="AW248" i="1"/>
  <c r="AB248" i="1"/>
  <c r="AE248" i="1" s="1"/>
  <c r="AH248" i="1" s="1"/>
  <c r="AJ248" i="1" s="1"/>
  <c r="Z248" i="1"/>
  <c r="G248" i="1"/>
  <c r="BA247" i="1"/>
  <c r="AW247" i="1"/>
  <c r="AB247" i="1"/>
  <c r="AE247" i="1" s="1"/>
  <c r="AF247" i="1" s="1"/>
  <c r="AG247" i="1" s="1"/>
  <c r="AU247" i="1" s="1"/>
  <c r="AV247" i="1" s="1"/>
  <c r="Z247" i="1"/>
  <c r="G247" i="1"/>
  <c r="BA246" i="1"/>
  <c r="AW246" i="1"/>
  <c r="AB246" i="1"/>
  <c r="AE246" i="1" s="1"/>
  <c r="Z246" i="1"/>
  <c r="G246" i="1"/>
  <c r="BA245" i="1"/>
  <c r="AW245" i="1"/>
  <c r="AB245" i="1"/>
  <c r="AE245" i="1" s="1"/>
  <c r="AF245" i="1" s="1"/>
  <c r="AG245" i="1" s="1"/>
  <c r="AU245" i="1" s="1"/>
  <c r="AV245" i="1" s="1"/>
  <c r="Z245" i="1"/>
  <c r="G245" i="1"/>
  <c r="BA244" i="1"/>
  <c r="AW244" i="1"/>
  <c r="AB244" i="1"/>
  <c r="AE244" i="1" s="1"/>
  <c r="Z244" i="1"/>
  <c r="G244" i="1"/>
  <c r="BA243" i="1"/>
  <c r="AW243" i="1"/>
  <c r="AB243" i="1"/>
  <c r="AE243" i="1" s="1"/>
  <c r="Z243" i="1"/>
  <c r="G243" i="1"/>
  <c r="BA242" i="1"/>
  <c r="AW242" i="1"/>
  <c r="AB242" i="1"/>
  <c r="AE242" i="1" s="1"/>
  <c r="Z242" i="1"/>
  <c r="G242" i="1"/>
  <c r="BA241" i="1"/>
  <c r="AW241" i="1"/>
  <c r="AB241" i="1"/>
  <c r="AE241" i="1" s="1"/>
  <c r="Z241" i="1"/>
  <c r="G241" i="1"/>
  <c r="BA240" i="1"/>
  <c r="AW240" i="1"/>
  <c r="AB240" i="1"/>
  <c r="AE240" i="1" s="1"/>
  <c r="Z240" i="1"/>
  <c r="G240" i="1"/>
  <c r="BA239" i="1"/>
  <c r="AW239" i="1"/>
  <c r="AB239" i="1"/>
  <c r="AE239" i="1" s="1"/>
  <c r="Z239" i="1"/>
  <c r="G239" i="1"/>
  <c r="BA238" i="1"/>
  <c r="AW238" i="1"/>
  <c r="AB238" i="1"/>
  <c r="AE238" i="1" s="1"/>
  <c r="Z238" i="1"/>
  <c r="G238" i="1"/>
  <c r="BA237" i="1"/>
  <c r="AW237" i="1"/>
  <c r="AB237" i="1"/>
  <c r="AE237" i="1" s="1"/>
  <c r="AH237" i="1" s="1"/>
  <c r="AJ237" i="1" s="1"/>
  <c r="Z237" i="1"/>
  <c r="G237" i="1"/>
  <c r="BA236" i="1"/>
  <c r="AW236" i="1"/>
  <c r="AB236" i="1"/>
  <c r="AE236" i="1" s="1"/>
  <c r="AF236" i="1" s="1"/>
  <c r="AG236" i="1" s="1"/>
  <c r="AU236" i="1" s="1"/>
  <c r="AV236" i="1" s="1"/>
  <c r="Z236" i="1"/>
  <c r="G236" i="1"/>
  <c r="BA235" i="1"/>
  <c r="AW235" i="1"/>
  <c r="AB235" i="1"/>
  <c r="AE235" i="1" s="1"/>
  <c r="AH235" i="1" s="1"/>
  <c r="AJ235" i="1" s="1"/>
  <c r="Z235" i="1"/>
  <c r="G235" i="1"/>
  <c r="BA234" i="1"/>
  <c r="AW234" i="1"/>
  <c r="AB234" i="1"/>
  <c r="AE234" i="1" s="1"/>
  <c r="Z234" i="1"/>
  <c r="G234" i="1"/>
  <c r="BA233" i="1"/>
  <c r="AW233" i="1"/>
  <c r="AB233" i="1"/>
  <c r="AE233" i="1" s="1"/>
  <c r="Z233" i="1"/>
  <c r="G233" i="1"/>
  <c r="BA232" i="1"/>
  <c r="AW232" i="1"/>
  <c r="AB232" i="1"/>
  <c r="AE232" i="1" s="1"/>
  <c r="Z232" i="1"/>
  <c r="G232" i="1"/>
  <c r="BA231" i="1"/>
  <c r="AW231" i="1"/>
  <c r="AB231" i="1"/>
  <c r="AE231" i="1" s="1"/>
  <c r="AF231" i="1" s="1"/>
  <c r="AG231" i="1" s="1"/>
  <c r="AU231" i="1" s="1"/>
  <c r="AV231" i="1" s="1"/>
  <c r="Z231" i="1"/>
  <c r="G231" i="1"/>
  <c r="BA230" i="1"/>
  <c r="AW230" i="1"/>
  <c r="AB230" i="1"/>
  <c r="AE230" i="1" s="1"/>
  <c r="AF230" i="1" s="1"/>
  <c r="AG230" i="1" s="1"/>
  <c r="AU230" i="1" s="1"/>
  <c r="AV230" i="1" s="1"/>
  <c r="Z230" i="1"/>
  <c r="G230" i="1"/>
  <c r="BA229" i="1"/>
  <c r="AW229" i="1"/>
  <c r="AB229" i="1"/>
  <c r="AE229" i="1" s="1"/>
  <c r="AF229" i="1" s="1"/>
  <c r="AG229" i="1" s="1"/>
  <c r="AU229" i="1" s="1"/>
  <c r="AV229" i="1" s="1"/>
  <c r="Z229" i="1"/>
  <c r="G229" i="1"/>
  <c r="BA228" i="1"/>
  <c r="AW228" i="1"/>
  <c r="AC228" i="1"/>
  <c r="AB228" i="1"/>
  <c r="Z228" i="1"/>
  <c r="G228" i="1"/>
  <c r="BA227" i="1"/>
  <c r="AW227" i="1"/>
  <c r="AB227" i="1"/>
  <c r="AE227" i="1" s="1"/>
  <c r="Z227" i="1"/>
  <c r="G227" i="1"/>
  <c r="BA226" i="1"/>
  <c r="AW226" i="1"/>
  <c r="AB226" i="1"/>
  <c r="AE226" i="1" s="1"/>
  <c r="Z226" i="1"/>
  <c r="G226" i="1"/>
  <c r="BA225" i="1"/>
  <c r="AW225" i="1"/>
  <c r="AB225" i="1"/>
  <c r="AE225" i="1" s="1"/>
  <c r="Z225" i="1"/>
  <c r="G225" i="1"/>
  <c r="BA224" i="1"/>
  <c r="AW224" i="1"/>
  <c r="AC224" i="1"/>
  <c r="AE224" i="1" s="1"/>
  <c r="AF224" i="1" s="1"/>
  <c r="AG224" i="1" s="1"/>
  <c r="AU224" i="1" s="1"/>
  <c r="AV224" i="1" s="1"/>
  <c r="Z224" i="1"/>
  <c r="G224" i="1"/>
  <c r="BA223" i="1"/>
  <c r="AW223" i="1"/>
  <c r="AC223" i="1"/>
  <c r="AE223" i="1" s="1"/>
  <c r="AH223" i="1" s="1"/>
  <c r="AJ223" i="1" s="1"/>
  <c r="Z223" i="1"/>
  <c r="G223" i="1"/>
  <c r="BA222" i="1"/>
  <c r="AW222" i="1"/>
  <c r="AC222" i="1"/>
  <c r="AE222" i="1" s="1"/>
  <c r="Z222" i="1"/>
  <c r="U222" i="1"/>
  <c r="T222" i="1"/>
  <c r="G222" i="1"/>
  <c r="BA221" i="1"/>
  <c r="AW221" i="1"/>
  <c r="AB221" i="1"/>
  <c r="AE221" i="1" s="1"/>
  <c r="Z221" i="1"/>
  <c r="G221" i="1"/>
  <c r="BA220" i="1"/>
  <c r="AW220" i="1"/>
  <c r="AB220" i="1"/>
  <c r="AE220" i="1" s="1"/>
  <c r="Z220" i="1"/>
  <c r="G220" i="1"/>
  <c r="BA219" i="1"/>
  <c r="AW219" i="1"/>
  <c r="AB219" i="1"/>
  <c r="AE219" i="1" s="1"/>
  <c r="Z219" i="1"/>
  <c r="G219" i="1"/>
  <c r="BA218" i="1"/>
  <c r="AW218" i="1"/>
  <c r="AB218" i="1"/>
  <c r="AE218" i="1" s="1"/>
  <c r="Z218" i="1"/>
  <c r="Y218" i="1"/>
  <c r="G218" i="1"/>
  <c r="BA217" i="1"/>
  <c r="AW217" i="1"/>
  <c r="AB217" i="1"/>
  <c r="AE217" i="1" s="1"/>
  <c r="Z217" i="1"/>
  <c r="Y217" i="1"/>
  <c r="G217" i="1"/>
  <c r="BA216" i="1"/>
  <c r="AW216" i="1"/>
  <c r="AB216" i="1"/>
  <c r="AE216" i="1" s="1"/>
  <c r="Z216" i="1"/>
  <c r="Y216" i="1"/>
  <c r="G216" i="1"/>
  <c r="BA215" i="1"/>
  <c r="AW215" i="1"/>
  <c r="AD215" i="1"/>
  <c r="AB215" i="1"/>
  <c r="Z215" i="1"/>
  <c r="G215" i="1"/>
  <c r="BA214" i="1"/>
  <c r="AW214" i="1"/>
  <c r="AB214" i="1"/>
  <c r="AE214" i="1" s="1"/>
  <c r="Z214" i="1"/>
  <c r="G214" i="1"/>
  <c r="BA213" i="1"/>
  <c r="AW213" i="1"/>
  <c r="AB213" i="1"/>
  <c r="AE213" i="1" s="1"/>
  <c r="AF213" i="1" s="1"/>
  <c r="AG213" i="1" s="1"/>
  <c r="AU213" i="1" s="1"/>
  <c r="AV213" i="1" s="1"/>
  <c r="Z213" i="1"/>
  <c r="G213" i="1"/>
  <c r="BA212" i="1"/>
  <c r="AW212" i="1"/>
  <c r="AB212" i="1"/>
  <c r="AE212" i="1" s="1"/>
  <c r="Z212" i="1"/>
  <c r="G212" i="1"/>
  <c r="BA211" i="1"/>
  <c r="AW211" i="1"/>
  <c r="AB211" i="1"/>
  <c r="AE211" i="1" s="1"/>
  <c r="Z211" i="1"/>
  <c r="G211" i="1"/>
  <c r="BA210" i="1"/>
  <c r="AW210" i="1"/>
  <c r="AB210" i="1"/>
  <c r="AE210" i="1" s="1"/>
  <c r="AH210" i="1" s="1"/>
  <c r="AJ210" i="1" s="1"/>
  <c r="Z210" i="1"/>
  <c r="G210" i="1"/>
  <c r="BA209" i="1"/>
  <c r="AW209" i="1"/>
  <c r="AB209" i="1"/>
  <c r="AE209" i="1" s="1"/>
  <c r="AH209" i="1" s="1"/>
  <c r="Z209" i="1"/>
  <c r="G209" i="1"/>
  <c r="BA208" i="1"/>
  <c r="AW208" i="1"/>
  <c r="AB208" i="1"/>
  <c r="AE208" i="1" s="1"/>
  <c r="Z208" i="1"/>
  <c r="G208" i="1"/>
  <c r="BA207" i="1"/>
  <c r="AW207" i="1"/>
  <c r="AB207" i="1"/>
  <c r="AE207" i="1" s="1"/>
  <c r="Z207" i="1"/>
  <c r="G207" i="1"/>
  <c r="BA206" i="1"/>
  <c r="AW206" i="1"/>
  <c r="AB206" i="1"/>
  <c r="AE206" i="1" s="1"/>
  <c r="Z206" i="1"/>
  <c r="G206" i="1"/>
  <c r="BA205" i="1"/>
  <c r="AW205" i="1"/>
  <c r="AB205" i="1"/>
  <c r="AE205" i="1" s="1"/>
  <c r="Z205" i="1"/>
  <c r="G205" i="1"/>
  <c r="BA204" i="1"/>
  <c r="AW204" i="1"/>
  <c r="AB204" i="1"/>
  <c r="AE204" i="1" s="1"/>
  <c r="Z204" i="1"/>
  <c r="G204" i="1"/>
  <c r="BA203" i="1"/>
  <c r="AW203" i="1"/>
  <c r="AB203" i="1"/>
  <c r="AE203" i="1" s="1"/>
  <c r="Z203" i="1"/>
  <c r="G203" i="1"/>
  <c r="BA202" i="1"/>
  <c r="AW202" i="1"/>
  <c r="AB202" i="1"/>
  <c r="AE202" i="1" s="1"/>
  <c r="AF202" i="1" s="1"/>
  <c r="AG202" i="1" s="1"/>
  <c r="AU202" i="1" s="1"/>
  <c r="AV202" i="1" s="1"/>
  <c r="Z202" i="1"/>
  <c r="G202" i="1"/>
  <c r="BA201" i="1"/>
  <c r="AW201" i="1"/>
  <c r="AB201" i="1"/>
  <c r="AE201" i="1" s="1"/>
  <c r="AF201" i="1" s="1"/>
  <c r="AG201" i="1" s="1"/>
  <c r="AU201" i="1" s="1"/>
  <c r="AV201" i="1" s="1"/>
  <c r="Z201" i="1"/>
  <c r="G201" i="1"/>
  <c r="BA200" i="1"/>
  <c r="AW200" i="1"/>
  <c r="AB200" i="1"/>
  <c r="AE200" i="1" s="1"/>
  <c r="Z200" i="1"/>
  <c r="G200" i="1"/>
  <c r="BA199" i="1"/>
  <c r="AW199" i="1"/>
  <c r="AB199" i="1"/>
  <c r="AE199" i="1" s="1"/>
  <c r="AH199" i="1" s="1"/>
  <c r="AJ199" i="1" s="1"/>
  <c r="Z199" i="1"/>
  <c r="G199" i="1"/>
  <c r="BA198" i="1"/>
  <c r="AW198" i="1"/>
  <c r="AB198" i="1"/>
  <c r="AE198" i="1" s="1"/>
  <c r="Z198" i="1"/>
  <c r="G198" i="1"/>
  <c r="BA197" i="1"/>
  <c r="AW197" i="1"/>
  <c r="AB197" i="1"/>
  <c r="AE197" i="1" s="1"/>
  <c r="Z197" i="1"/>
  <c r="G197" i="1"/>
  <c r="BA196" i="1"/>
  <c r="AW196" i="1"/>
  <c r="AB196" i="1"/>
  <c r="AE196" i="1" s="1"/>
  <c r="Z196" i="1"/>
  <c r="G196" i="1"/>
  <c r="BA195" i="1"/>
  <c r="AW195" i="1"/>
  <c r="AB195" i="1"/>
  <c r="AE195" i="1" s="1"/>
  <c r="Z195" i="1"/>
  <c r="G195" i="1"/>
  <c r="BA194" i="1"/>
  <c r="AW194" i="1"/>
  <c r="AB194" i="1"/>
  <c r="AE194" i="1" s="1"/>
  <c r="AH194" i="1" s="1"/>
  <c r="AJ194" i="1" s="1"/>
  <c r="Z194" i="1"/>
  <c r="G194" i="1"/>
  <c r="BA193" i="1"/>
  <c r="AW193" i="1"/>
  <c r="AH193" i="1"/>
  <c r="AJ193" i="1" s="1"/>
  <c r="AB193" i="1"/>
  <c r="AE193" i="1" s="1"/>
  <c r="Z193" i="1"/>
  <c r="G193" i="1"/>
  <c r="BA192" i="1"/>
  <c r="AW192" i="1"/>
  <c r="AB192" i="1"/>
  <c r="AE192" i="1" s="1"/>
  <c r="AH192" i="1" s="1"/>
  <c r="AJ192" i="1" s="1"/>
  <c r="Z192" i="1"/>
  <c r="G192" i="1"/>
  <c r="BA191" i="1"/>
  <c r="AW191" i="1"/>
  <c r="AB191" i="1"/>
  <c r="AE191" i="1" s="1"/>
  <c r="Z191" i="1"/>
  <c r="G191" i="1"/>
  <c r="BA190" i="1"/>
  <c r="AW190" i="1"/>
  <c r="AB190" i="1"/>
  <c r="AE190" i="1" s="1"/>
  <c r="Z190" i="1"/>
  <c r="G190" i="1"/>
  <c r="BA189" i="1"/>
  <c r="AW189" i="1"/>
  <c r="AB189" i="1"/>
  <c r="AE189" i="1" s="1"/>
  <c r="AH189" i="1" s="1"/>
  <c r="AJ189" i="1" s="1"/>
  <c r="Z189" i="1"/>
  <c r="G189" i="1"/>
  <c r="BA188" i="1"/>
  <c r="AW188" i="1"/>
  <c r="AB188" i="1"/>
  <c r="AE188" i="1" s="1"/>
  <c r="Z188" i="1"/>
  <c r="G188" i="1"/>
  <c r="BA187" i="1"/>
  <c r="AW187" i="1"/>
  <c r="AB187" i="1"/>
  <c r="AE187" i="1" s="1"/>
  <c r="AH187" i="1" s="1"/>
  <c r="AJ187" i="1" s="1"/>
  <c r="Z187" i="1"/>
  <c r="G187" i="1"/>
  <c r="BA186" i="1"/>
  <c r="AW186" i="1"/>
  <c r="AB186" i="1"/>
  <c r="AE186" i="1" s="1"/>
  <c r="Z186" i="1"/>
  <c r="G186" i="1"/>
  <c r="BA185" i="1"/>
  <c r="AW185" i="1"/>
  <c r="AB185" i="1"/>
  <c r="AE185" i="1" s="1"/>
  <c r="Z185" i="1"/>
  <c r="G185" i="1"/>
  <c r="BA184" i="1"/>
  <c r="AW184" i="1"/>
  <c r="AB184" i="1"/>
  <c r="AE184" i="1" s="1"/>
  <c r="AH184" i="1" s="1"/>
  <c r="AJ184" i="1" s="1"/>
  <c r="Z184" i="1"/>
  <c r="G184" i="1"/>
  <c r="BA183" i="1"/>
  <c r="AW183" i="1"/>
  <c r="AB183" i="1"/>
  <c r="AE183" i="1" s="1"/>
  <c r="Z183" i="1"/>
  <c r="G183" i="1"/>
  <c r="BA182" i="1"/>
  <c r="AW182" i="1"/>
  <c r="AB182" i="1"/>
  <c r="AE182" i="1" s="1"/>
  <c r="Z182" i="1"/>
  <c r="G182" i="1"/>
  <c r="BA181" i="1"/>
  <c r="AW181" i="1"/>
  <c r="AB181" i="1"/>
  <c r="AE181" i="1" s="1"/>
  <c r="Z181" i="1"/>
  <c r="G181" i="1"/>
  <c r="BA180" i="1"/>
  <c r="AW180" i="1"/>
  <c r="AB180" i="1"/>
  <c r="AE180" i="1" s="1"/>
  <c r="Z180" i="1"/>
  <c r="G180" i="1"/>
  <c r="BA179" i="1"/>
  <c r="AW179" i="1"/>
  <c r="AB179" i="1"/>
  <c r="AE179" i="1" s="1"/>
  <c r="AH179" i="1" s="1"/>
  <c r="AJ179" i="1" s="1"/>
  <c r="Z179" i="1"/>
  <c r="G179" i="1"/>
  <c r="BA178" i="1"/>
  <c r="AW178" i="1"/>
  <c r="AB178" i="1"/>
  <c r="AE178" i="1" s="1"/>
  <c r="AF178" i="1" s="1"/>
  <c r="AG178" i="1" s="1"/>
  <c r="AU178" i="1" s="1"/>
  <c r="AV178" i="1" s="1"/>
  <c r="Z178" i="1"/>
  <c r="G178" i="1"/>
  <c r="BA177" i="1"/>
  <c r="AW177" i="1"/>
  <c r="AB177" i="1"/>
  <c r="AE177" i="1" s="1"/>
  <c r="AF177" i="1" s="1"/>
  <c r="AG177" i="1" s="1"/>
  <c r="AU177" i="1" s="1"/>
  <c r="AV177" i="1" s="1"/>
  <c r="Z177" i="1"/>
  <c r="G177" i="1"/>
  <c r="BA176" i="1"/>
  <c r="AW176" i="1"/>
  <c r="AB176" i="1"/>
  <c r="AE176" i="1" s="1"/>
  <c r="Z176" i="1"/>
  <c r="G176" i="1"/>
  <c r="BA175" i="1"/>
  <c r="AW175" i="1"/>
  <c r="AT175" i="1"/>
  <c r="AD175" i="1"/>
  <c r="AC175" i="1"/>
  <c r="Z175" i="1"/>
  <c r="G175" i="1"/>
  <c r="BA174" i="1"/>
  <c r="AW174" i="1"/>
  <c r="AB174" i="1"/>
  <c r="AE174" i="1" s="1"/>
  <c r="AH174" i="1" s="1"/>
  <c r="AJ174" i="1" s="1"/>
  <c r="Z174" i="1"/>
  <c r="G174" i="1"/>
  <c r="BA173" i="1"/>
  <c r="AW173" i="1"/>
  <c r="AB173" i="1"/>
  <c r="AE173" i="1" s="1"/>
  <c r="AF173" i="1" s="1"/>
  <c r="AG173" i="1" s="1"/>
  <c r="AU173" i="1" s="1"/>
  <c r="AV173" i="1" s="1"/>
  <c r="Z173" i="1"/>
  <c r="G173" i="1"/>
  <c r="BA172" i="1"/>
  <c r="AW172" i="1"/>
  <c r="AB172" i="1"/>
  <c r="AE172" i="1" s="1"/>
  <c r="Z172" i="1"/>
  <c r="G172" i="1"/>
  <c r="BA171" i="1"/>
  <c r="AW171" i="1"/>
  <c r="AB171" i="1"/>
  <c r="AE171" i="1" s="1"/>
  <c r="Z171" i="1"/>
  <c r="G171" i="1"/>
  <c r="BA170" i="1"/>
  <c r="AW170" i="1"/>
  <c r="AB170" i="1"/>
  <c r="AE170" i="1" s="1"/>
  <c r="Z170" i="1"/>
  <c r="G170" i="1"/>
  <c r="BA169" i="1"/>
  <c r="AW169" i="1"/>
  <c r="AB169" i="1"/>
  <c r="AE169" i="1" s="1"/>
  <c r="AH169" i="1" s="1"/>
  <c r="Z169" i="1"/>
  <c r="G169" i="1"/>
  <c r="BA168" i="1"/>
  <c r="AW168" i="1"/>
  <c r="AB168" i="1"/>
  <c r="AE168" i="1" s="1"/>
  <c r="AH168" i="1" s="1"/>
  <c r="AJ168" i="1" s="1"/>
  <c r="Z168" i="1"/>
  <c r="G168" i="1"/>
  <c r="BA88" i="1"/>
  <c r="AT88" i="1"/>
  <c r="AD88" i="1"/>
  <c r="AC88" i="1"/>
  <c r="Z88" i="1"/>
  <c r="G88" i="1"/>
  <c r="BA166" i="1"/>
  <c r="AW166" i="1"/>
  <c r="AB166" i="1"/>
  <c r="AE166" i="1" s="1"/>
  <c r="AF166" i="1" s="1"/>
  <c r="AG166" i="1" s="1"/>
  <c r="AU166" i="1" s="1"/>
  <c r="AV166" i="1" s="1"/>
  <c r="Z166" i="1"/>
  <c r="G166" i="1"/>
  <c r="BA165" i="1"/>
  <c r="AW165" i="1"/>
  <c r="AC165" i="1"/>
  <c r="AE165" i="1" s="1"/>
  <c r="Z165" i="1"/>
  <c r="G165" i="1"/>
  <c r="BA164" i="1"/>
  <c r="AW164" i="1"/>
  <c r="AB164" i="1"/>
  <c r="AE164" i="1" s="1"/>
  <c r="AF164" i="1" s="1"/>
  <c r="AG164" i="1" s="1"/>
  <c r="AU164" i="1" s="1"/>
  <c r="AV164" i="1" s="1"/>
  <c r="Z164" i="1"/>
  <c r="G164" i="1"/>
  <c r="BA163" i="1"/>
  <c r="AW163" i="1"/>
  <c r="AB163" i="1"/>
  <c r="AE163" i="1" s="1"/>
  <c r="AH163" i="1" s="1"/>
  <c r="AJ163" i="1" s="1"/>
  <c r="Z163" i="1"/>
  <c r="G163" i="1"/>
  <c r="BA162" i="1"/>
  <c r="AW162" i="1"/>
  <c r="AB162" i="1"/>
  <c r="AE162" i="1" s="1"/>
  <c r="AH162" i="1" s="1"/>
  <c r="AJ162" i="1" s="1"/>
  <c r="Z162" i="1"/>
  <c r="G162" i="1"/>
  <c r="BA161" i="1"/>
  <c r="AW161" i="1"/>
  <c r="AB161" i="1"/>
  <c r="AE161" i="1" s="1"/>
  <c r="AH161" i="1" s="1"/>
  <c r="AJ161" i="1" s="1"/>
  <c r="Z161" i="1"/>
  <c r="G161" i="1"/>
  <c r="BA160" i="1"/>
  <c r="AW160" i="1"/>
  <c r="AB160" i="1"/>
  <c r="AE160" i="1" s="1"/>
  <c r="AF160" i="1" s="1"/>
  <c r="AG160" i="1" s="1"/>
  <c r="AU160" i="1" s="1"/>
  <c r="AV160" i="1" s="1"/>
  <c r="Z160" i="1"/>
  <c r="G160" i="1"/>
  <c r="BA159" i="1"/>
  <c r="AW159" i="1"/>
  <c r="AB159" i="1"/>
  <c r="AE159" i="1" s="1"/>
  <c r="Z159" i="1"/>
  <c r="G159" i="1"/>
  <c r="BA158" i="1"/>
  <c r="AW158" i="1"/>
  <c r="AB158" i="1"/>
  <c r="AE158" i="1" s="1"/>
  <c r="Z158" i="1"/>
  <c r="G158" i="1"/>
  <c r="BA157" i="1"/>
  <c r="AW157" i="1"/>
  <c r="AB157" i="1"/>
  <c r="AE157" i="1" s="1"/>
  <c r="Z157" i="1"/>
  <c r="G157" i="1"/>
  <c r="BA156" i="1"/>
  <c r="AW156" i="1"/>
  <c r="AB156" i="1"/>
  <c r="AE156" i="1" s="1"/>
  <c r="Z156" i="1"/>
  <c r="G156" i="1"/>
  <c r="BA155" i="1"/>
  <c r="AW155" i="1"/>
  <c r="AB155" i="1"/>
  <c r="AE155" i="1" s="1"/>
  <c r="Z155" i="1"/>
  <c r="G155" i="1"/>
  <c r="BA154" i="1"/>
  <c r="AW154" i="1"/>
  <c r="AB154" i="1"/>
  <c r="AE154" i="1" s="1"/>
  <c r="AF154" i="1" s="1"/>
  <c r="AG154" i="1" s="1"/>
  <c r="AU154" i="1" s="1"/>
  <c r="AV154" i="1" s="1"/>
  <c r="Z154" i="1"/>
  <c r="G154" i="1"/>
  <c r="BA153" i="1"/>
  <c r="AW153" i="1"/>
  <c r="AB153" i="1"/>
  <c r="AE153" i="1" s="1"/>
  <c r="AH153" i="1" s="1"/>
  <c r="AJ153" i="1" s="1"/>
  <c r="Z153" i="1"/>
  <c r="G153" i="1"/>
  <c r="BA152" i="1"/>
  <c r="AW152" i="1"/>
  <c r="AB152" i="1"/>
  <c r="AE152" i="1" s="1"/>
  <c r="Z152" i="1"/>
  <c r="G152" i="1"/>
  <c r="BA151" i="1"/>
  <c r="AW151" i="1"/>
  <c r="AB151" i="1"/>
  <c r="AE151" i="1" s="1"/>
  <c r="Z151" i="1"/>
  <c r="G151" i="1"/>
  <c r="BA150" i="1"/>
  <c r="AW150" i="1"/>
  <c r="AB150" i="1"/>
  <c r="AE150" i="1" s="1"/>
  <c r="Z150" i="1"/>
  <c r="G150" i="1"/>
  <c r="BA149" i="1"/>
  <c r="AW149" i="1"/>
  <c r="AB149" i="1"/>
  <c r="AE149" i="1" s="1"/>
  <c r="Z149" i="1"/>
  <c r="G149" i="1"/>
  <c r="BA148" i="1"/>
  <c r="AW148" i="1"/>
  <c r="AB148" i="1"/>
  <c r="AE148" i="1" s="1"/>
  <c r="AH148" i="1" s="1"/>
  <c r="AJ148" i="1" s="1"/>
  <c r="Z148" i="1"/>
  <c r="G148" i="1"/>
  <c r="BA147" i="1"/>
  <c r="AW147" i="1"/>
  <c r="AB147" i="1"/>
  <c r="AE147" i="1" s="1"/>
  <c r="Z147" i="1"/>
  <c r="G147" i="1"/>
  <c r="BA146" i="1"/>
  <c r="AW146" i="1"/>
  <c r="AB146" i="1"/>
  <c r="AE146" i="1" s="1"/>
  <c r="AH146" i="1" s="1"/>
  <c r="AJ146" i="1" s="1"/>
  <c r="Z146" i="1"/>
  <c r="G146" i="1"/>
  <c r="BA145" i="1"/>
  <c r="AW145" i="1"/>
  <c r="AB145" i="1"/>
  <c r="AE145" i="1" s="1"/>
  <c r="AH145" i="1" s="1"/>
  <c r="AJ145" i="1" s="1"/>
  <c r="Z145" i="1"/>
  <c r="G145" i="1"/>
  <c r="BA144" i="1"/>
  <c r="AW144" i="1"/>
  <c r="AB144" i="1"/>
  <c r="AE144" i="1" s="1"/>
  <c r="AH144" i="1" s="1"/>
  <c r="Z144" i="1"/>
  <c r="G144" i="1"/>
  <c r="BA143" i="1"/>
  <c r="AW143" i="1"/>
  <c r="AB143" i="1"/>
  <c r="AE143" i="1" s="1"/>
  <c r="AH143" i="1" s="1"/>
  <c r="AL143" i="1" s="1"/>
  <c r="AO143" i="1" s="1"/>
  <c r="AR143" i="1" s="1"/>
  <c r="Z143" i="1"/>
  <c r="G143" i="1"/>
  <c r="BA142" i="1"/>
  <c r="AW142" i="1"/>
  <c r="AB142" i="1"/>
  <c r="AE142" i="1" s="1"/>
  <c r="Z142" i="1"/>
  <c r="G142" i="1"/>
  <c r="BA141" i="1"/>
  <c r="AW141" i="1"/>
  <c r="AB141" i="1"/>
  <c r="AE141" i="1" s="1"/>
  <c r="Z141" i="1"/>
  <c r="G141" i="1"/>
  <c r="BA140" i="1"/>
  <c r="AW140" i="1"/>
  <c r="AB140" i="1"/>
  <c r="AE140" i="1" s="1"/>
  <c r="Z140" i="1"/>
  <c r="G140" i="1"/>
  <c r="BA139" i="1"/>
  <c r="AW139" i="1"/>
  <c r="AB139" i="1"/>
  <c r="AE139" i="1" s="1"/>
  <c r="AF139" i="1" s="1"/>
  <c r="AG139" i="1" s="1"/>
  <c r="AU139" i="1" s="1"/>
  <c r="AV139" i="1" s="1"/>
  <c r="Z139" i="1"/>
  <c r="G139" i="1"/>
  <c r="BA138" i="1"/>
  <c r="AW138" i="1"/>
  <c r="AB138" i="1"/>
  <c r="AE138" i="1" s="1"/>
  <c r="AF138" i="1" s="1"/>
  <c r="AG138" i="1" s="1"/>
  <c r="AU138" i="1" s="1"/>
  <c r="AV138" i="1" s="1"/>
  <c r="Z138" i="1"/>
  <c r="G138" i="1"/>
  <c r="BA802" i="1"/>
  <c r="AW802" i="1"/>
  <c r="AB802" i="1"/>
  <c r="AE802" i="1" s="1"/>
  <c r="AH802" i="1" s="1"/>
  <c r="AJ802" i="1" s="1"/>
  <c r="Z802" i="1"/>
  <c r="G802" i="1"/>
  <c r="BA136" i="1"/>
  <c r="AW136" i="1"/>
  <c r="AB136" i="1"/>
  <c r="AE136" i="1" s="1"/>
  <c r="Z136" i="1"/>
  <c r="G136" i="1"/>
  <c r="BA135" i="1"/>
  <c r="AW135" i="1"/>
  <c r="AB135" i="1"/>
  <c r="AE135" i="1" s="1"/>
  <c r="Z135" i="1"/>
  <c r="G135" i="1"/>
  <c r="BA315" i="1"/>
  <c r="AW315" i="1"/>
  <c r="AB315" i="1"/>
  <c r="AE315" i="1" s="1"/>
  <c r="AF315" i="1" s="1"/>
  <c r="AG315" i="1" s="1"/>
  <c r="AU315" i="1" s="1"/>
  <c r="AV315" i="1" s="1"/>
  <c r="Z315" i="1"/>
  <c r="G315" i="1"/>
  <c r="BA133" i="1"/>
  <c r="AW133" i="1"/>
  <c r="AB133" i="1"/>
  <c r="AE133" i="1" s="1"/>
  <c r="Z133" i="1"/>
  <c r="G133" i="1"/>
  <c r="BA132" i="1"/>
  <c r="AW132" i="1"/>
  <c r="AB132" i="1"/>
  <c r="AE132" i="1" s="1"/>
  <c r="AH132" i="1" s="1"/>
  <c r="AJ132" i="1" s="1"/>
  <c r="Z132" i="1"/>
  <c r="G132" i="1"/>
  <c r="BA131" i="1"/>
  <c r="AW131" i="1"/>
  <c r="AB131" i="1"/>
  <c r="AE131" i="1" s="1"/>
  <c r="Z131" i="1"/>
  <c r="G131" i="1"/>
  <c r="BA130" i="1"/>
  <c r="AW130" i="1"/>
  <c r="AB130" i="1"/>
  <c r="AE130" i="1" s="1"/>
  <c r="Z130" i="1"/>
  <c r="G130" i="1"/>
  <c r="BA129" i="1"/>
  <c r="AW129" i="1"/>
  <c r="AB129" i="1"/>
  <c r="AE129" i="1" s="1"/>
  <c r="AF129" i="1" s="1"/>
  <c r="AG129" i="1" s="1"/>
  <c r="AU129" i="1" s="1"/>
  <c r="AV129" i="1" s="1"/>
  <c r="Z129" i="1"/>
  <c r="G129" i="1"/>
  <c r="BA128" i="1"/>
  <c r="AW128" i="1"/>
  <c r="AB128" i="1"/>
  <c r="AE128" i="1" s="1"/>
  <c r="Z128" i="1"/>
  <c r="G128" i="1"/>
  <c r="BA127" i="1"/>
  <c r="AW127" i="1"/>
  <c r="AB127" i="1"/>
  <c r="AE127" i="1" s="1"/>
  <c r="Z127" i="1"/>
  <c r="G127" i="1"/>
  <c r="BA126" i="1"/>
  <c r="AW126" i="1"/>
  <c r="AB126" i="1"/>
  <c r="AE126" i="1" s="1"/>
  <c r="Z126" i="1"/>
  <c r="G126" i="1"/>
  <c r="BA125" i="1"/>
  <c r="AW125" i="1"/>
  <c r="AB125" i="1"/>
  <c r="AE125" i="1" s="1"/>
  <c r="Z125" i="1"/>
  <c r="G125" i="1"/>
  <c r="BA756" i="1"/>
  <c r="AW756" i="1"/>
  <c r="AB756" i="1"/>
  <c r="AE756" i="1" s="1"/>
  <c r="AH756" i="1" s="1"/>
  <c r="AJ756" i="1" s="1"/>
  <c r="Z756" i="1"/>
  <c r="G756" i="1"/>
  <c r="BA123" i="1"/>
  <c r="AW123" i="1"/>
  <c r="AB123" i="1"/>
  <c r="AE123" i="1" s="1"/>
  <c r="Z123" i="1"/>
  <c r="G123" i="1"/>
  <c r="BA122" i="1"/>
  <c r="AW122" i="1"/>
  <c r="AB122" i="1"/>
  <c r="AE122" i="1" s="1"/>
  <c r="Z122" i="1"/>
  <c r="G122" i="1"/>
  <c r="BA714" i="1"/>
  <c r="AW714" i="1"/>
  <c r="AB714" i="1"/>
  <c r="AE714" i="1" s="1"/>
  <c r="Z714" i="1"/>
  <c r="G714" i="1"/>
  <c r="BA120" i="1"/>
  <c r="AW120" i="1"/>
  <c r="AB120" i="1"/>
  <c r="AE120" i="1" s="1"/>
  <c r="AF120" i="1" s="1"/>
  <c r="AG120" i="1" s="1"/>
  <c r="AU120" i="1" s="1"/>
  <c r="AV120" i="1" s="1"/>
  <c r="Z120" i="1"/>
  <c r="G120" i="1"/>
  <c r="BA119" i="1"/>
  <c r="AW119" i="1"/>
  <c r="AB119" i="1"/>
  <c r="AE119" i="1" s="1"/>
  <c r="Z119" i="1"/>
  <c r="G119" i="1"/>
  <c r="BA118" i="1"/>
  <c r="AW118" i="1"/>
  <c r="AB118" i="1"/>
  <c r="AE118" i="1" s="1"/>
  <c r="Z118" i="1"/>
  <c r="G118" i="1"/>
  <c r="BA117" i="1"/>
  <c r="AW117" i="1"/>
  <c r="AB117" i="1"/>
  <c r="AE117" i="1" s="1"/>
  <c r="Z117" i="1"/>
  <c r="G117" i="1"/>
  <c r="BA116" i="1"/>
  <c r="AW116" i="1"/>
  <c r="AD116" i="1"/>
  <c r="AB116" i="1"/>
  <c r="Z116" i="1"/>
  <c r="G116" i="1"/>
  <c r="BA115" i="1"/>
  <c r="AW115" i="1"/>
  <c r="AB115" i="1"/>
  <c r="AE115" i="1" s="1"/>
  <c r="AF115" i="1" s="1"/>
  <c r="AG115" i="1" s="1"/>
  <c r="AU115" i="1" s="1"/>
  <c r="AV115" i="1" s="1"/>
  <c r="Z115" i="1"/>
  <c r="G115" i="1"/>
  <c r="BA114" i="1"/>
  <c r="AW114" i="1"/>
  <c r="AB114" i="1"/>
  <c r="AE114" i="1" s="1"/>
  <c r="AF114" i="1" s="1"/>
  <c r="AG114" i="1" s="1"/>
  <c r="AU114" i="1" s="1"/>
  <c r="AV114" i="1" s="1"/>
  <c r="Z114" i="1"/>
  <c r="G114" i="1"/>
  <c r="BA113" i="1"/>
  <c r="AW113" i="1"/>
  <c r="AB113" i="1"/>
  <c r="AE113" i="1" s="1"/>
  <c r="Z113" i="1"/>
  <c r="G113" i="1"/>
  <c r="BA112" i="1"/>
  <c r="AW112" i="1"/>
  <c r="AB112" i="1"/>
  <c r="AE112" i="1" s="1"/>
  <c r="AH112" i="1" s="1"/>
  <c r="AJ112" i="1" s="1"/>
  <c r="Z112" i="1"/>
  <c r="G112" i="1"/>
  <c r="BA111" i="1"/>
  <c r="AW111" i="1"/>
  <c r="AB111" i="1"/>
  <c r="AE111" i="1" s="1"/>
  <c r="Z111" i="1"/>
  <c r="G111" i="1"/>
  <c r="BA711" i="1"/>
  <c r="AW711" i="1"/>
  <c r="AB711" i="1"/>
  <c r="AE711" i="1" s="1"/>
  <c r="AF711" i="1" s="1"/>
  <c r="AG711" i="1" s="1"/>
  <c r="AU711" i="1" s="1"/>
  <c r="AV711" i="1" s="1"/>
  <c r="Z711" i="1"/>
  <c r="G711" i="1"/>
  <c r="BA109" i="1"/>
  <c r="AW109" i="1"/>
  <c r="AD109" i="1"/>
  <c r="AB109" i="1"/>
  <c r="Z109" i="1"/>
  <c r="G109" i="1"/>
  <c r="BA108" i="1"/>
  <c r="AW108" i="1"/>
  <c r="AB108" i="1"/>
  <c r="AE108" i="1" s="1"/>
  <c r="AF108" i="1" s="1"/>
  <c r="AG108" i="1" s="1"/>
  <c r="AU108" i="1" s="1"/>
  <c r="AV108" i="1" s="1"/>
  <c r="Z108" i="1"/>
  <c r="G108" i="1"/>
  <c r="BA107" i="1"/>
  <c r="AW107" i="1"/>
  <c r="AB107" i="1"/>
  <c r="AE107" i="1" s="1"/>
  <c r="Z107" i="1"/>
  <c r="G107" i="1"/>
  <c r="BA106" i="1"/>
  <c r="AW106" i="1"/>
  <c r="AB106" i="1"/>
  <c r="AE106" i="1" s="1"/>
  <c r="AF106" i="1" s="1"/>
  <c r="AG106" i="1" s="1"/>
  <c r="AU106" i="1" s="1"/>
  <c r="AV106" i="1" s="1"/>
  <c r="Z106" i="1"/>
  <c r="G106" i="1"/>
  <c r="BA105" i="1"/>
  <c r="AW105" i="1"/>
  <c r="AB105" i="1"/>
  <c r="AE105" i="1" s="1"/>
  <c r="Z105" i="1"/>
  <c r="G105" i="1"/>
  <c r="BA104" i="1"/>
  <c r="AW104" i="1"/>
  <c r="AB104" i="1"/>
  <c r="AE104" i="1" s="1"/>
  <c r="AF104" i="1" s="1"/>
  <c r="AG104" i="1" s="1"/>
  <c r="AU104" i="1" s="1"/>
  <c r="AV104" i="1" s="1"/>
  <c r="Z104" i="1"/>
  <c r="G104" i="1"/>
  <c r="BA103" i="1"/>
  <c r="AW103" i="1"/>
  <c r="AD103" i="1"/>
  <c r="AB103" i="1"/>
  <c r="Z103" i="1"/>
  <c r="G103" i="1"/>
  <c r="BA102" i="1"/>
  <c r="AW102" i="1"/>
  <c r="AC102" i="1"/>
  <c r="AE102" i="1" s="1"/>
  <c r="Z102" i="1"/>
  <c r="G102" i="1"/>
  <c r="BA101" i="1"/>
  <c r="AW101" i="1"/>
  <c r="AB101" i="1"/>
  <c r="AE101" i="1" s="1"/>
  <c r="Z101" i="1"/>
  <c r="G101" i="1"/>
  <c r="BA100" i="1"/>
  <c r="AW100" i="1"/>
  <c r="AB100" i="1"/>
  <c r="AE100" i="1" s="1"/>
  <c r="Z100" i="1"/>
  <c r="G100" i="1"/>
  <c r="BA99" i="1"/>
  <c r="AW99" i="1"/>
  <c r="AB99" i="1"/>
  <c r="AE99" i="1" s="1"/>
  <c r="AH99" i="1" s="1"/>
  <c r="AJ99" i="1" s="1"/>
  <c r="Z99" i="1"/>
  <c r="G99" i="1"/>
  <c r="BA98" i="1"/>
  <c r="AW98" i="1"/>
  <c r="AB98" i="1"/>
  <c r="AE98" i="1" s="1"/>
  <c r="AF98" i="1" s="1"/>
  <c r="AG98" i="1" s="1"/>
  <c r="AU98" i="1" s="1"/>
  <c r="AV98" i="1" s="1"/>
  <c r="Z98" i="1"/>
  <c r="G98" i="1"/>
  <c r="BA97" i="1"/>
  <c r="AW97" i="1"/>
  <c r="AD97" i="1"/>
  <c r="AB97" i="1"/>
  <c r="Z97" i="1"/>
  <c r="G97" i="1"/>
  <c r="BA96" i="1"/>
  <c r="AW96" i="1"/>
  <c r="AD96" i="1"/>
  <c r="AB96" i="1"/>
  <c r="Z96" i="1"/>
  <c r="G96" i="1"/>
  <c r="BA95" i="1"/>
  <c r="AW95" i="1"/>
  <c r="AB95" i="1"/>
  <c r="AE95" i="1" s="1"/>
  <c r="Z95" i="1"/>
  <c r="G95" i="1"/>
  <c r="BA94" i="1"/>
  <c r="AW94" i="1"/>
  <c r="AB94" i="1"/>
  <c r="AE94" i="1" s="1"/>
  <c r="AH94" i="1" s="1"/>
  <c r="AJ94" i="1" s="1"/>
  <c r="Z94" i="1"/>
  <c r="G94" i="1"/>
  <c r="BA93" i="1"/>
  <c r="AW93" i="1"/>
  <c r="AB93" i="1"/>
  <c r="AE93" i="1" s="1"/>
  <c r="Z93" i="1"/>
  <c r="G93" i="1"/>
  <c r="BA92" i="1"/>
  <c r="AW92" i="1"/>
  <c r="AB92" i="1"/>
  <c r="AE92" i="1" s="1"/>
  <c r="Z92" i="1"/>
  <c r="G92" i="1"/>
  <c r="BA91" i="1"/>
  <c r="AW91" i="1"/>
  <c r="AB91" i="1"/>
  <c r="AE91" i="1" s="1"/>
  <c r="Z91" i="1"/>
  <c r="G91" i="1"/>
  <c r="BA778" i="1"/>
  <c r="AW778" i="1"/>
  <c r="AB778" i="1"/>
  <c r="AE778" i="1" s="1"/>
  <c r="AH778" i="1" s="1"/>
  <c r="AJ778" i="1" s="1"/>
  <c r="Z778" i="1"/>
  <c r="G778" i="1"/>
  <c r="BA89" i="1"/>
  <c r="AW89" i="1"/>
  <c r="AB89" i="1"/>
  <c r="AE89" i="1" s="1"/>
  <c r="Z89" i="1"/>
  <c r="G89" i="1"/>
  <c r="BA775" i="1"/>
  <c r="AW775" i="1"/>
  <c r="AB775" i="1"/>
  <c r="AE775" i="1" s="1"/>
  <c r="Z775" i="1"/>
  <c r="G775" i="1"/>
  <c r="BA87" i="1"/>
  <c r="AW87" i="1"/>
  <c r="AB87" i="1"/>
  <c r="AE87" i="1" s="1"/>
  <c r="Z87" i="1"/>
  <c r="G87" i="1"/>
  <c r="BA86" i="1"/>
  <c r="AW86" i="1"/>
  <c r="AB86" i="1"/>
  <c r="AE86" i="1" s="1"/>
  <c r="Z86" i="1"/>
  <c r="G86" i="1"/>
  <c r="BA85" i="1"/>
  <c r="AW85" i="1"/>
  <c r="AB85" i="1"/>
  <c r="AE85" i="1" s="1"/>
  <c r="Z85" i="1"/>
  <c r="G85" i="1"/>
  <c r="BA84" i="1"/>
  <c r="AW84" i="1"/>
  <c r="AB84" i="1"/>
  <c r="AE84" i="1" s="1"/>
  <c r="Z84" i="1"/>
  <c r="G84" i="1"/>
  <c r="BA83" i="1"/>
  <c r="AW83" i="1"/>
  <c r="AB83" i="1"/>
  <c r="AE83" i="1" s="1"/>
  <c r="Z83" i="1"/>
  <c r="G83" i="1"/>
  <c r="BA82" i="1"/>
  <c r="AW82" i="1"/>
  <c r="AB82" i="1"/>
  <c r="AE82" i="1" s="1"/>
  <c r="AF82" i="1" s="1"/>
  <c r="AG82" i="1" s="1"/>
  <c r="AU82" i="1" s="1"/>
  <c r="AV82" i="1" s="1"/>
  <c r="Z82" i="1"/>
  <c r="G82" i="1"/>
  <c r="BA81" i="1"/>
  <c r="AW81" i="1"/>
  <c r="AB81" i="1"/>
  <c r="AE81" i="1" s="1"/>
  <c r="Z81" i="1"/>
  <c r="G81" i="1"/>
  <c r="BA80" i="1"/>
  <c r="AW80" i="1"/>
  <c r="AB80" i="1"/>
  <c r="AE80" i="1" s="1"/>
  <c r="AH80" i="1" s="1"/>
  <c r="AJ80" i="1" s="1"/>
  <c r="Z80" i="1"/>
  <c r="G80" i="1"/>
  <c r="BA79" i="1"/>
  <c r="AW79" i="1"/>
  <c r="AB79" i="1"/>
  <c r="AE79" i="1" s="1"/>
  <c r="Z79" i="1"/>
  <c r="G79" i="1"/>
  <c r="BA78" i="1"/>
  <c r="AW78" i="1"/>
  <c r="AB78" i="1"/>
  <c r="AE78" i="1" s="1"/>
  <c r="AF78" i="1" s="1"/>
  <c r="AG78" i="1" s="1"/>
  <c r="AU78" i="1" s="1"/>
  <c r="AV78" i="1" s="1"/>
  <c r="Z78" i="1"/>
  <c r="G78" i="1"/>
  <c r="BA77" i="1"/>
  <c r="AW77" i="1"/>
  <c r="AB77" i="1"/>
  <c r="AE77" i="1" s="1"/>
  <c r="Z77" i="1"/>
  <c r="G77" i="1"/>
  <c r="BA76" i="1"/>
  <c r="AW76" i="1"/>
  <c r="AB76" i="1"/>
  <c r="AE76" i="1" s="1"/>
  <c r="AH76" i="1" s="1"/>
  <c r="AJ76" i="1" s="1"/>
  <c r="Z76" i="1"/>
  <c r="G76" i="1"/>
  <c r="BA75" i="1"/>
  <c r="AW75" i="1"/>
  <c r="AB75" i="1"/>
  <c r="AE75" i="1" s="1"/>
  <c r="Z75" i="1"/>
  <c r="G75" i="1"/>
  <c r="BA74" i="1"/>
  <c r="AW74" i="1"/>
  <c r="AB74" i="1"/>
  <c r="AE74" i="1" s="1"/>
  <c r="AF74" i="1" s="1"/>
  <c r="AG74" i="1" s="1"/>
  <c r="AU74" i="1" s="1"/>
  <c r="AV74" i="1" s="1"/>
  <c r="Z74" i="1"/>
  <c r="G74" i="1"/>
  <c r="BA73" i="1"/>
  <c r="AW73" i="1"/>
  <c r="AB73" i="1"/>
  <c r="AE73" i="1" s="1"/>
  <c r="Z73" i="1"/>
  <c r="G73" i="1"/>
  <c r="BA72" i="1"/>
  <c r="AW72" i="1"/>
  <c r="AB72" i="1"/>
  <c r="AE72" i="1" s="1"/>
  <c r="AH72" i="1" s="1"/>
  <c r="AJ72" i="1" s="1"/>
  <c r="Z72" i="1"/>
  <c r="G72" i="1"/>
  <c r="BA71" i="1"/>
  <c r="AW71" i="1"/>
  <c r="AB71" i="1"/>
  <c r="AE71" i="1" s="1"/>
  <c r="Z71" i="1"/>
  <c r="G71" i="1"/>
  <c r="BA70" i="1"/>
  <c r="AW70" i="1"/>
  <c r="AB70" i="1"/>
  <c r="AE70" i="1" s="1"/>
  <c r="Z70" i="1"/>
  <c r="G70" i="1"/>
  <c r="BA69" i="1"/>
  <c r="AW69" i="1"/>
  <c r="AB69" i="1"/>
  <c r="AE69" i="1" s="1"/>
  <c r="Z69" i="1"/>
  <c r="G69" i="1"/>
  <c r="BA68" i="1"/>
  <c r="AW68" i="1"/>
  <c r="AB68" i="1"/>
  <c r="AE68" i="1" s="1"/>
  <c r="Z68" i="1"/>
  <c r="G68" i="1"/>
  <c r="BA67" i="1"/>
  <c r="AW67" i="1"/>
  <c r="AB67" i="1"/>
  <c r="AE67" i="1" s="1"/>
  <c r="Z67" i="1"/>
  <c r="G67" i="1"/>
  <c r="BA66" i="1"/>
  <c r="AW66" i="1"/>
  <c r="AB66" i="1"/>
  <c r="AE66" i="1" s="1"/>
  <c r="AF66" i="1" s="1"/>
  <c r="AG66" i="1" s="1"/>
  <c r="AU66" i="1" s="1"/>
  <c r="AV66" i="1" s="1"/>
  <c r="Z66" i="1"/>
  <c r="G66" i="1"/>
  <c r="BA65" i="1"/>
  <c r="AW65" i="1"/>
  <c r="AB65" i="1"/>
  <c r="AE65" i="1" s="1"/>
  <c r="Z65" i="1"/>
  <c r="G65" i="1"/>
  <c r="BA64" i="1"/>
  <c r="AW64" i="1"/>
  <c r="AB64" i="1"/>
  <c r="AE64" i="1" s="1"/>
  <c r="Z64" i="1"/>
  <c r="G64" i="1"/>
  <c r="BA63" i="1"/>
  <c r="AW63" i="1"/>
  <c r="AB63" i="1"/>
  <c r="AE63" i="1" s="1"/>
  <c r="Z63" i="1"/>
  <c r="G63" i="1"/>
  <c r="BA62" i="1"/>
  <c r="AW62" i="1"/>
  <c r="AB62" i="1"/>
  <c r="AE62" i="1" s="1"/>
  <c r="AF62" i="1" s="1"/>
  <c r="AG62" i="1" s="1"/>
  <c r="AU62" i="1" s="1"/>
  <c r="AV62" i="1" s="1"/>
  <c r="Z62" i="1"/>
  <c r="G62" i="1"/>
  <c r="BA61" i="1"/>
  <c r="AW61" i="1"/>
  <c r="AB61" i="1"/>
  <c r="AE61" i="1" s="1"/>
  <c r="Z61" i="1"/>
  <c r="G61" i="1"/>
  <c r="BA60" i="1"/>
  <c r="AW60" i="1"/>
  <c r="AB60" i="1"/>
  <c r="AE60" i="1" s="1"/>
  <c r="Z60" i="1"/>
  <c r="G60" i="1"/>
  <c r="BA59" i="1"/>
  <c r="AW59" i="1"/>
  <c r="AB59" i="1"/>
  <c r="AE59" i="1" s="1"/>
  <c r="Z59" i="1"/>
  <c r="G59" i="1"/>
  <c r="BA58" i="1"/>
  <c r="AW58" i="1"/>
  <c r="AB58" i="1"/>
  <c r="AE58" i="1" s="1"/>
  <c r="AF58" i="1" s="1"/>
  <c r="AG58" i="1" s="1"/>
  <c r="AU58" i="1" s="1"/>
  <c r="AV58" i="1" s="1"/>
  <c r="Z58" i="1"/>
  <c r="G58" i="1"/>
  <c r="BA717" i="1"/>
  <c r="AW717" i="1"/>
  <c r="AB717" i="1"/>
  <c r="AE717" i="1" s="1"/>
  <c r="Z717" i="1"/>
  <c r="G717" i="1"/>
  <c r="BA56" i="1"/>
  <c r="AW56" i="1"/>
  <c r="AB56" i="1"/>
  <c r="AE56" i="1" s="1"/>
  <c r="Z56" i="1"/>
  <c r="G56" i="1"/>
  <c r="BA55" i="1"/>
  <c r="AW55" i="1"/>
  <c r="AB55" i="1"/>
  <c r="AE55" i="1" s="1"/>
  <c r="Z55" i="1"/>
  <c r="G55" i="1"/>
  <c r="BA54" i="1"/>
  <c r="AW54" i="1"/>
  <c r="AC54" i="1"/>
  <c r="AE54" i="1" s="1"/>
  <c r="AF54" i="1" s="1"/>
  <c r="AG54" i="1" s="1"/>
  <c r="AU54" i="1" s="1"/>
  <c r="AV54" i="1" s="1"/>
  <c r="Z54" i="1"/>
  <c r="G54" i="1"/>
  <c r="BA53" i="1"/>
  <c r="AW53" i="1"/>
  <c r="AB53" i="1"/>
  <c r="AE53" i="1" s="1"/>
  <c r="Z53" i="1"/>
  <c r="G53" i="1"/>
  <c r="BA52" i="1"/>
  <c r="AW52" i="1"/>
  <c r="AB52" i="1"/>
  <c r="AE52" i="1" s="1"/>
  <c r="Z52" i="1"/>
  <c r="G52" i="1"/>
  <c r="BA51" i="1"/>
  <c r="AW51" i="1"/>
  <c r="AB51" i="1"/>
  <c r="AE51" i="1" s="1"/>
  <c r="Z51" i="1"/>
  <c r="G51" i="1"/>
  <c r="BA50" i="1"/>
  <c r="AW50" i="1"/>
  <c r="AB50" i="1"/>
  <c r="AE50" i="1" s="1"/>
  <c r="AF50" i="1" s="1"/>
  <c r="AG50" i="1" s="1"/>
  <c r="AU50" i="1" s="1"/>
  <c r="AV50" i="1" s="1"/>
  <c r="Z50" i="1"/>
  <c r="G50" i="1"/>
  <c r="BA49" i="1"/>
  <c r="AW49" i="1"/>
  <c r="AB49" i="1"/>
  <c r="AE49" i="1" s="1"/>
  <c r="Z49" i="1"/>
  <c r="G49" i="1"/>
  <c r="BA48" i="1"/>
  <c r="AW48" i="1"/>
  <c r="AB48" i="1"/>
  <c r="AE48" i="1" s="1"/>
  <c r="Z48" i="1"/>
  <c r="G48" i="1"/>
  <c r="BA47" i="1"/>
  <c r="AW47" i="1"/>
  <c r="AB47" i="1"/>
  <c r="AE47" i="1" s="1"/>
  <c r="Z47" i="1"/>
  <c r="G47" i="1"/>
  <c r="BA46" i="1"/>
  <c r="AW46" i="1"/>
  <c r="AT46" i="1"/>
  <c r="AD46" i="1"/>
  <c r="AB46" i="1"/>
  <c r="U46" i="1"/>
  <c r="AC46" i="1" s="1"/>
  <c r="T46" i="1"/>
  <c r="Z46" i="1" s="1"/>
  <c r="G46" i="1"/>
  <c r="BA45" i="1"/>
  <c r="AW45" i="1"/>
  <c r="AB45" i="1"/>
  <c r="AE45" i="1" s="1"/>
  <c r="AH45" i="1" s="1"/>
  <c r="AJ45" i="1" s="1"/>
  <c r="Z45" i="1"/>
  <c r="G45" i="1"/>
  <c r="BA44" i="1"/>
  <c r="AW44" i="1"/>
  <c r="AB44" i="1"/>
  <c r="AE44" i="1" s="1"/>
  <c r="AF44" i="1" s="1"/>
  <c r="AG44" i="1" s="1"/>
  <c r="AU44" i="1" s="1"/>
  <c r="AV44" i="1" s="1"/>
  <c r="Z44" i="1"/>
  <c r="G44" i="1"/>
  <c r="BA43" i="1"/>
  <c r="AW43" i="1"/>
  <c r="AB43" i="1"/>
  <c r="AE43" i="1" s="1"/>
  <c r="AH43" i="1" s="1"/>
  <c r="AJ43" i="1" s="1"/>
  <c r="Z43" i="1"/>
  <c r="G43" i="1"/>
  <c r="BA42" i="1"/>
  <c r="AW42" i="1"/>
  <c r="AB42" i="1"/>
  <c r="AE42" i="1" s="1"/>
  <c r="Z42" i="1"/>
  <c r="G42" i="1"/>
  <c r="BA41" i="1"/>
  <c r="AW41" i="1"/>
  <c r="AB41" i="1"/>
  <c r="AE41" i="1" s="1"/>
  <c r="AF41" i="1" s="1"/>
  <c r="AG41" i="1" s="1"/>
  <c r="AU41" i="1" s="1"/>
  <c r="AV41" i="1" s="1"/>
  <c r="Z41" i="1"/>
  <c r="G41" i="1"/>
  <c r="BA40" i="1"/>
  <c r="AW40" i="1"/>
  <c r="AC40" i="1"/>
  <c r="AE40" i="1" s="1"/>
  <c r="AF40" i="1" s="1"/>
  <c r="AG40" i="1" s="1"/>
  <c r="AU40" i="1" s="1"/>
  <c r="AV40" i="1" s="1"/>
  <c r="Z40" i="1"/>
  <c r="G40" i="1"/>
  <c r="BA39" i="1"/>
  <c r="AW39" i="1"/>
  <c r="AB39" i="1"/>
  <c r="AE39" i="1" s="1"/>
  <c r="AH39" i="1" s="1"/>
  <c r="AJ39" i="1" s="1"/>
  <c r="Z39" i="1"/>
  <c r="G39" i="1"/>
  <c r="BA38" i="1"/>
  <c r="AW38" i="1"/>
  <c r="AB38" i="1"/>
  <c r="AE38" i="1" s="1"/>
  <c r="Z38" i="1"/>
  <c r="G38" i="1"/>
  <c r="BA37" i="1"/>
  <c r="AW37" i="1"/>
  <c r="AB37" i="1"/>
  <c r="AE37" i="1" s="1"/>
  <c r="Z37" i="1"/>
  <c r="G37" i="1"/>
  <c r="BA36" i="1"/>
  <c r="AW36" i="1"/>
  <c r="AC36" i="1"/>
  <c r="AE36" i="1" s="1"/>
  <c r="Z36" i="1"/>
  <c r="G36" i="1"/>
  <c r="BA35" i="1"/>
  <c r="AW35" i="1"/>
  <c r="AE35" i="1"/>
  <c r="AF35" i="1" s="1"/>
  <c r="AG35" i="1" s="1"/>
  <c r="AU35" i="1" s="1"/>
  <c r="AV35" i="1" s="1"/>
  <c r="Z35" i="1"/>
  <c r="G35" i="1"/>
  <c r="BA34" i="1"/>
  <c r="AW34" i="1"/>
  <c r="AB34" i="1"/>
  <c r="AE34" i="1" s="1"/>
  <c r="Z34" i="1"/>
  <c r="G34" i="1"/>
  <c r="BA33" i="1"/>
  <c r="AW33" i="1"/>
  <c r="AB33" i="1"/>
  <c r="AE33" i="1" s="1"/>
  <c r="AH33" i="1" s="1"/>
  <c r="AJ33" i="1" s="1"/>
  <c r="Z33" i="1"/>
  <c r="G33" i="1"/>
  <c r="BA32" i="1"/>
  <c r="AW32" i="1"/>
  <c r="AB32" i="1"/>
  <c r="AE32" i="1" s="1"/>
  <c r="AF32" i="1" s="1"/>
  <c r="AG32" i="1" s="1"/>
  <c r="AU32" i="1" s="1"/>
  <c r="AV32" i="1" s="1"/>
  <c r="Z32" i="1"/>
  <c r="G32" i="1"/>
  <c r="BA31" i="1"/>
  <c r="AW31" i="1"/>
  <c r="AB31" i="1"/>
  <c r="AE31" i="1" s="1"/>
  <c r="Z31" i="1"/>
  <c r="G31" i="1"/>
  <c r="BA30" i="1"/>
  <c r="AW30" i="1"/>
  <c r="AB30" i="1"/>
  <c r="AE30" i="1" s="1"/>
  <c r="Z30" i="1"/>
  <c r="G30" i="1"/>
  <c r="BA29" i="1"/>
  <c r="AW29" i="1"/>
  <c r="AB29" i="1"/>
  <c r="AE29" i="1" s="1"/>
  <c r="Z29" i="1"/>
  <c r="G29" i="1"/>
  <c r="BA28" i="1"/>
  <c r="AW28" i="1"/>
  <c r="AB28" i="1"/>
  <c r="AE28" i="1" s="1"/>
  <c r="Z28" i="1"/>
  <c r="G28" i="1"/>
  <c r="BA27" i="1"/>
  <c r="AW27" i="1"/>
  <c r="AB27" i="1"/>
  <c r="AE27" i="1" s="1"/>
  <c r="AF27" i="1" s="1"/>
  <c r="AG27" i="1" s="1"/>
  <c r="AU27" i="1" s="1"/>
  <c r="AV27" i="1" s="1"/>
  <c r="Z27" i="1"/>
  <c r="G27" i="1"/>
  <c r="BA26" i="1"/>
  <c r="AW26" i="1"/>
  <c r="AB26" i="1"/>
  <c r="AE26" i="1" s="1"/>
  <c r="Z26" i="1"/>
  <c r="G26" i="1"/>
  <c r="BA25" i="1"/>
  <c r="AW25" i="1"/>
  <c r="AB25" i="1"/>
  <c r="AE25" i="1" s="1"/>
  <c r="Z25" i="1"/>
  <c r="G25" i="1"/>
  <c r="BA24" i="1"/>
  <c r="AW24" i="1"/>
  <c r="AB24" i="1"/>
  <c r="AE24" i="1" s="1"/>
  <c r="Z24" i="1"/>
  <c r="G24" i="1"/>
  <c r="BA23" i="1"/>
  <c r="AW23" i="1"/>
  <c r="AB23" i="1"/>
  <c r="AE23" i="1" s="1"/>
  <c r="Z23" i="1"/>
  <c r="G23" i="1"/>
  <c r="BA22" i="1"/>
  <c r="AW22" i="1"/>
  <c r="AB22" i="1"/>
  <c r="AE22" i="1" s="1"/>
  <c r="AF22" i="1" s="1"/>
  <c r="AG22" i="1" s="1"/>
  <c r="AU22" i="1" s="1"/>
  <c r="AV22" i="1" s="1"/>
  <c r="Z22" i="1"/>
  <c r="G22" i="1"/>
  <c r="BA21" i="1"/>
  <c r="AW21" i="1"/>
  <c r="AB21" i="1"/>
  <c r="AE21" i="1" s="1"/>
  <c r="Z21" i="1"/>
  <c r="G21" i="1"/>
  <c r="BA20" i="1"/>
  <c r="AW20" i="1"/>
  <c r="AB20" i="1"/>
  <c r="AE20" i="1" s="1"/>
  <c r="Z20" i="1"/>
  <c r="G20" i="1"/>
  <c r="BA19" i="1"/>
  <c r="AW19" i="1"/>
  <c r="AB19" i="1"/>
  <c r="AE19" i="1" s="1"/>
  <c r="Z19" i="1"/>
  <c r="G19" i="1"/>
  <c r="BA18" i="1"/>
  <c r="AW18" i="1"/>
  <c r="U18" i="1"/>
  <c r="AC18" i="1" s="1"/>
  <c r="AE18" i="1" s="1"/>
  <c r="T18" i="1"/>
  <c r="Z18" i="1" s="1"/>
  <c r="G18" i="1"/>
  <c r="BA17" i="1"/>
  <c r="AW17" i="1"/>
  <c r="AE17" i="1"/>
  <c r="AF17" i="1" s="1"/>
  <c r="AG17" i="1" s="1"/>
  <c r="AU17" i="1" s="1"/>
  <c r="AV17" i="1" s="1"/>
  <c r="Z17" i="1"/>
  <c r="G17" i="1"/>
  <c r="BA16" i="1"/>
  <c r="AW16" i="1"/>
  <c r="AE16" i="1"/>
  <c r="AH16" i="1" s="1"/>
  <c r="AJ16" i="1" s="1"/>
  <c r="Z16" i="1"/>
  <c r="G16" i="1"/>
  <c r="BA15" i="1"/>
  <c r="AW15" i="1"/>
  <c r="AE15" i="1"/>
  <c r="AF15" i="1" s="1"/>
  <c r="AG15" i="1" s="1"/>
  <c r="AU15" i="1" s="1"/>
  <c r="AV15" i="1" s="1"/>
  <c r="Z15" i="1"/>
  <c r="G15" i="1"/>
  <c r="BA14" i="1"/>
  <c r="AW14" i="1"/>
  <c r="AB14" i="1"/>
  <c r="AE14" i="1" s="1"/>
  <c r="AH14" i="1" s="1"/>
  <c r="AJ14" i="1" s="1"/>
  <c r="Z14" i="1"/>
  <c r="G14" i="1"/>
  <c r="BA13" i="1"/>
  <c r="AW13" i="1"/>
  <c r="AB13" i="1"/>
  <c r="AE13" i="1" s="1"/>
  <c r="Z13" i="1"/>
  <c r="G13" i="1"/>
  <c r="BA90" i="1"/>
  <c r="AW90" i="1"/>
  <c r="AB90" i="1"/>
  <c r="AE90" i="1" s="1"/>
  <c r="AH90" i="1" s="1"/>
  <c r="AJ90" i="1" s="1"/>
  <c r="Z90" i="1"/>
  <c r="G90" i="1"/>
  <c r="BA11" i="1"/>
  <c r="AW11" i="1"/>
  <c r="AB11" i="1"/>
  <c r="AE11" i="1" s="1"/>
  <c r="Z11" i="1"/>
  <c r="G11" i="1"/>
  <c r="BA10" i="1"/>
  <c r="AW10" i="1"/>
  <c r="AB10" i="1"/>
  <c r="AE10" i="1" s="1"/>
  <c r="Z10" i="1"/>
  <c r="G10" i="1"/>
  <c r="BA9" i="1"/>
  <c r="AW9" i="1"/>
  <c r="AB9" i="1"/>
  <c r="AE9" i="1" s="1"/>
  <c r="AH9" i="1" s="1"/>
  <c r="AJ9" i="1" s="1"/>
  <c r="Z9" i="1"/>
  <c r="G9" i="1"/>
  <c r="BA8" i="1"/>
  <c r="AW8" i="1"/>
  <c r="AB8" i="1"/>
  <c r="AE8" i="1" s="1"/>
  <c r="Z8" i="1"/>
  <c r="G8" i="1"/>
  <c r="BA7" i="1"/>
  <c r="AW7" i="1"/>
  <c r="AB7" i="1"/>
  <c r="AE7" i="1" s="1"/>
  <c r="Z7" i="1"/>
  <c r="G7" i="1"/>
  <c r="BA6" i="1"/>
  <c r="AW6" i="1"/>
  <c r="AB6" i="1"/>
  <c r="AE6" i="1" s="1"/>
  <c r="Z6" i="1"/>
  <c r="G6" i="1"/>
  <c r="BA5" i="1"/>
  <c r="AW5" i="1"/>
  <c r="AB5" i="1"/>
  <c r="AE5" i="1" s="1"/>
  <c r="Z5" i="1"/>
  <c r="G5" i="1"/>
  <c r="BA4" i="1"/>
  <c r="AW4" i="1"/>
  <c r="AB4" i="1"/>
  <c r="AE4" i="1" s="1"/>
  <c r="Z4" i="1"/>
  <c r="G4" i="1"/>
  <c r="BA3" i="1"/>
  <c r="AW3" i="1"/>
  <c r="AC3" i="1"/>
  <c r="AB3" i="1"/>
  <c r="Z3" i="1"/>
  <c r="G3" i="1"/>
  <c r="BA2" i="1"/>
  <c r="AW2" i="1"/>
  <c r="AC2" i="1"/>
  <c r="AB2" i="1"/>
  <c r="Z2" i="1"/>
  <c r="G2" i="1"/>
  <c r="AE3" i="1" l="1"/>
  <c r="AE124" i="1"/>
  <c r="AE526" i="1"/>
  <c r="AE799" i="1"/>
  <c r="AE254" i="1"/>
  <c r="AF254" i="1" s="1"/>
  <c r="AG254" i="1" s="1"/>
  <c r="AU254" i="1" s="1"/>
  <c r="AV254" i="1" s="1"/>
  <c r="AE479" i="1"/>
  <c r="AF479" i="1" s="1"/>
  <c r="AG479" i="1" s="1"/>
  <c r="AU479" i="1" s="1"/>
  <c r="AV479" i="1" s="1"/>
  <c r="AE481" i="1"/>
  <c r="AF481" i="1" s="1"/>
  <c r="AG481" i="1" s="1"/>
  <c r="AU481" i="1" s="1"/>
  <c r="AV481" i="1" s="1"/>
  <c r="AE577" i="1"/>
  <c r="AH577" i="1" s="1"/>
  <c r="AJ577" i="1" s="1"/>
  <c r="AE579" i="1"/>
  <c r="AF579" i="1" s="1"/>
  <c r="AG579" i="1" s="1"/>
  <c r="AU579" i="1" s="1"/>
  <c r="AV579" i="1" s="1"/>
  <c r="AH173" i="1"/>
  <c r="AL173" i="1" s="1"/>
  <c r="AO173" i="1" s="1"/>
  <c r="AR173" i="1" s="1"/>
  <c r="AE383" i="1"/>
  <c r="AH383" i="1" s="1"/>
  <c r="AJ383" i="1" s="1"/>
  <c r="AE435" i="1"/>
  <c r="AE312" i="1"/>
  <c r="AH312" i="1" s="1"/>
  <c r="AJ312" i="1" s="1"/>
  <c r="AE257" i="1"/>
  <c r="AL339" i="1"/>
  <c r="AO339" i="1" s="1"/>
  <c r="AR339" i="1" s="1"/>
  <c r="AF324" i="1"/>
  <c r="AG324" i="1" s="1"/>
  <c r="AU324" i="1" s="1"/>
  <c r="AV324" i="1" s="1"/>
  <c r="AE96" i="1"/>
  <c r="AH96" i="1" s="1"/>
  <c r="AJ96" i="1" s="1"/>
  <c r="AE253" i="1"/>
  <c r="AH253" i="1" s="1"/>
  <c r="AJ253" i="1" s="1"/>
  <c r="AE686" i="1"/>
  <c r="AF686" i="1" s="1"/>
  <c r="AG686" i="1" s="1"/>
  <c r="AU686" i="1" s="1"/>
  <c r="AV686" i="1" s="1"/>
  <c r="AH554" i="1"/>
  <c r="AL554" i="1" s="1"/>
  <c r="AO554" i="1" s="1"/>
  <c r="AR554" i="1" s="1"/>
  <c r="AH570" i="1"/>
  <c r="AJ570" i="1" s="1"/>
  <c r="AH390" i="1"/>
  <c r="AL390" i="1" s="1"/>
  <c r="AO390" i="1" s="1"/>
  <c r="AR390" i="1" s="1"/>
  <c r="AH519" i="1"/>
  <c r="AJ519" i="1" s="1"/>
  <c r="AE764" i="1"/>
  <c r="AH764" i="1" s="1"/>
  <c r="AJ764" i="1" s="1"/>
  <c r="AE258" i="1"/>
  <c r="AH258" i="1" s="1"/>
  <c r="AJ258" i="1" s="1"/>
  <c r="AL162" i="1"/>
  <c r="AO162" i="1" s="1"/>
  <c r="AR162" i="1" s="1"/>
  <c r="AF187" i="1"/>
  <c r="AG187" i="1" s="1"/>
  <c r="AU187" i="1" s="1"/>
  <c r="AV187" i="1" s="1"/>
  <c r="AE366" i="1"/>
  <c r="AH366" i="1" s="1"/>
  <c r="AJ366" i="1" s="1"/>
  <c r="AE725" i="1"/>
  <c r="AH725" i="1" s="1"/>
  <c r="AJ725" i="1" s="1"/>
  <c r="AF602" i="1"/>
  <c r="AG602" i="1" s="1"/>
  <c r="AU602" i="1" s="1"/>
  <c r="AV602" i="1" s="1"/>
  <c r="AH362" i="1"/>
  <c r="AJ362" i="1" s="1"/>
  <c r="AF362" i="1"/>
  <c r="AG362" i="1" s="1"/>
  <c r="AU362" i="1" s="1"/>
  <c r="AV362" i="1" s="1"/>
  <c r="AF475" i="1"/>
  <c r="AG475" i="1" s="1"/>
  <c r="AU475" i="1" s="1"/>
  <c r="AV475" i="1" s="1"/>
  <c r="AH475" i="1"/>
  <c r="AJ475" i="1" s="1"/>
  <c r="AH370" i="1"/>
  <c r="AJ370" i="1" s="1"/>
  <c r="AF370" i="1"/>
  <c r="AG370" i="1" s="1"/>
  <c r="AU370" i="1" s="1"/>
  <c r="AV370" i="1" s="1"/>
  <c r="AF297" i="1"/>
  <c r="AG297" i="1" s="1"/>
  <c r="AU297" i="1" s="1"/>
  <c r="AV297" i="1" s="1"/>
  <c r="AH297" i="1"/>
  <c r="AJ297" i="1" s="1"/>
  <c r="AF650" i="1"/>
  <c r="AG650" i="1" s="1"/>
  <c r="AU650" i="1" s="1"/>
  <c r="AV650" i="1" s="1"/>
  <c r="AH650" i="1"/>
  <c r="AJ650" i="1" s="1"/>
  <c r="AF669" i="1"/>
  <c r="AG669" i="1" s="1"/>
  <c r="AU669" i="1" s="1"/>
  <c r="AV669" i="1" s="1"/>
  <c r="AH669" i="1"/>
  <c r="AL669" i="1" s="1"/>
  <c r="AO669" i="1" s="1"/>
  <c r="AR669" i="1" s="1"/>
  <c r="AH160" i="1"/>
  <c r="AL160" i="1" s="1"/>
  <c r="AO160" i="1" s="1"/>
  <c r="AR160" i="1" s="1"/>
  <c r="AE215" i="1"/>
  <c r="AH215" i="1" s="1"/>
  <c r="AH256" i="1"/>
  <c r="AJ256" i="1" s="1"/>
  <c r="AE501" i="1"/>
  <c r="AH501" i="1" s="1"/>
  <c r="AJ501" i="1" s="1"/>
  <c r="AE566" i="1"/>
  <c r="AF566" i="1" s="1"/>
  <c r="AG566" i="1" s="1"/>
  <c r="AU566" i="1" s="1"/>
  <c r="AV566" i="1" s="1"/>
  <c r="AE766" i="1"/>
  <c r="AF766" i="1" s="1"/>
  <c r="AG766" i="1" s="1"/>
  <c r="AU766" i="1" s="1"/>
  <c r="AV766" i="1" s="1"/>
  <c r="AE768" i="1"/>
  <c r="AF768" i="1" s="1"/>
  <c r="AG768" i="1" s="1"/>
  <c r="AU768" i="1" s="1"/>
  <c r="AV768" i="1" s="1"/>
  <c r="AE779" i="1"/>
  <c r="AH507" i="1"/>
  <c r="AL507" i="1" s="1"/>
  <c r="AO507" i="1" s="1"/>
  <c r="AR507" i="1" s="1"/>
  <c r="AL753" i="1"/>
  <c r="AO753" i="1" s="1"/>
  <c r="AR753" i="1" s="1"/>
  <c r="AE424" i="1"/>
  <c r="AH424" i="1" s="1"/>
  <c r="AJ424" i="1" s="1"/>
  <c r="AE116" i="1"/>
  <c r="AH116" i="1" s="1"/>
  <c r="AJ116" i="1" s="1"/>
  <c r="AF144" i="1"/>
  <c r="AG144" i="1" s="1"/>
  <c r="AU144" i="1" s="1"/>
  <c r="AV144" i="1" s="1"/>
  <c r="AF274" i="1"/>
  <c r="AG274" i="1" s="1"/>
  <c r="AU274" i="1" s="1"/>
  <c r="AV274" i="1" s="1"/>
  <c r="AE384" i="1"/>
  <c r="AH384" i="1" s="1"/>
  <c r="AJ384" i="1" s="1"/>
  <c r="AE773" i="1"/>
  <c r="AH773" i="1" s="1"/>
  <c r="AJ773" i="1" s="1"/>
  <c r="AE809" i="1"/>
  <c r="AF809" i="1" s="1"/>
  <c r="AG809" i="1" s="1"/>
  <c r="AU809" i="1" s="1"/>
  <c r="AV809" i="1" s="1"/>
  <c r="AL326" i="1"/>
  <c r="AO326" i="1" s="1"/>
  <c r="AR326" i="1" s="1"/>
  <c r="AH224" i="1"/>
  <c r="AJ224" i="1" s="1"/>
  <c r="AF434" i="1"/>
  <c r="AG434" i="1" s="1"/>
  <c r="AU434" i="1" s="1"/>
  <c r="AV434" i="1" s="1"/>
  <c r="AF723" i="1"/>
  <c r="AG723" i="1" s="1"/>
  <c r="AU723" i="1" s="1"/>
  <c r="AV723" i="1" s="1"/>
  <c r="AF784" i="1"/>
  <c r="AG784" i="1" s="1"/>
  <c r="AU784" i="1" s="1"/>
  <c r="AV784" i="1" s="1"/>
  <c r="AF209" i="1"/>
  <c r="AG209" i="1" s="1"/>
  <c r="AU209" i="1" s="1"/>
  <c r="AV209" i="1" s="1"/>
  <c r="AE292" i="1"/>
  <c r="AH292" i="1" s="1"/>
  <c r="AJ292" i="1" s="1"/>
  <c r="AL434" i="1"/>
  <c r="AO434" i="1" s="1"/>
  <c r="AR434" i="1" s="1"/>
  <c r="AF687" i="1"/>
  <c r="AG687" i="1" s="1"/>
  <c r="AU687" i="1" s="1"/>
  <c r="AV687" i="1" s="1"/>
  <c r="AE769" i="1"/>
  <c r="AF769" i="1" s="1"/>
  <c r="AG769" i="1" s="1"/>
  <c r="AU769" i="1" s="1"/>
  <c r="AV769" i="1" s="1"/>
  <c r="AL784" i="1"/>
  <c r="AO784" i="1" s="1"/>
  <c r="AR784" i="1" s="1"/>
  <c r="AE793" i="1"/>
  <c r="AH793" i="1" s="1"/>
  <c r="AJ793" i="1" s="1"/>
  <c r="AF169" i="1"/>
  <c r="AG169" i="1" s="1"/>
  <c r="AU169" i="1" s="1"/>
  <c r="AV169" i="1" s="1"/>
  <c r="AF661" i="1"/>
  <c r="AG661" i="1" s="1"/>
  <c r="AU661" i="1" s="1"/>
  <c r="AV661" i="1" s="1"/>
  <c r="AE741" i="1"/>
  <c r="AE97" i="1"/>
  <c r="AH97" i="1" s="1"/>
  <c r="AH515" i="1"/>
  <c r="AF453" i="1"/>
  <c r="AG453" i="1" s="1"/>
  <c r="AU453" i="1" s="1"/>
  <c r="AV453" i="1" s="1"/>
  <c r="AH453" i="1"/>
  <c r="AJ453" i="1" s="1"/>
  <c r="AH481" i="1"/>
  <c r="AJ481" i="1" s="1"/>
  <c r="AF785" i="1"/>
  <c r="AG785" i="1" s="1"/>
  <c r="AU785" i="1" s="1"/>
  <c r="AV785" i="1" s="1"/>
  <c r="AH785" i="1"/>
  <c r="AJ785" i="1" s="1"/>
  <c r="AH86" i="1"/>
  <c r="AL86" i="1" s="1"/>
  <c r="AO86" i="1" s="1"/>
  <c r="AR86" i="1" s="1"/>
  <c r="AF86" i="1"/>
  <c r="AG86" i="1" s="1"/>
  <c r="AU86" i="1" s="1"/>
  <c r="AV86" i="1" s="1"/>
  <c r="AF770" i="1"/>
  <c r="AG770" i="1" s="1"/>
  <c r="AU770" i="1" s="1"/>
  <c r="AV770" i="1" s="1"/>
  <c r="AH770" i="1"/>
  <c r="AL770" i="1" s="1"/>
  <c r="AO770" i="1" s="1"/>
  <c r="AR770" i="1" s="1"/>
  <c r="AF371" i="1"/>
  <c r="AG371" i="1" s="1"/>
  <c r="AU371" i="1" s="1"/>
  <c r="AV371" i="1" s="1"/>
  <c r="AH371" i="1"/>
  <c r="AJ371" i="1" s="1"/>
  <c r="AF689" i="1"/>
  <c r="AG689" i="1" s="1"/>
  <c r="AU689" i="1" s="1"/>
  <c r="AV689" i="1" s="1"/>
  <c r="AH689" i="1"/>
  <c r="AJ689" i="1" s="1"/>
  <c r="AH671" i="1"/>
  <c r="AJ671" i="1" s="1"/>
  <c r="AF671" i="1"/>
  <c r="AG671" i="1" s="1"/>
  <c r="AU671" i="1" s="1"/>
  <c r="AV671" i="1" s="1"/>
  <c r="AH425" i="1"/>
  <c r="AL425" i="1" s="1"/>
  <c r="AO425" i="1" s="1"/>
  <c r="AR425" i="1" s="1"/>
  <c r="AF425" i="1"/>
  <c r="AG425" i="1" s="1"/>
  <c r="AU425" i="1" s="1"/>
  <c r="AV425" i="1" s="1"/>
  <c r="AH664" i="1"/>
  <c r="AL664" i="1" s="1"/>
  <c r="AO664" i="1" s="1"/>
  <c r="AR664" i="1" s="1"/>
  <c r="AF664" i="1"/>
  <c r="AG664" i="1" s="1"/>
  <c r="AU664" i="1" s="1"/>
  <c r="AV664" i="1" s="1"/>
  <c r="AH443" i="1"/>
  <c r="AJ443" i="1" s="1"/>
  <c r="AF443" i="1"/>
  <c r="AG443" i="1" s="1"/>
  <c r="AU443" i="1" s="1"/>
  <c r="AV443" i="1" s="1"/>
  <c r="AH478" i="1"/>
  <c r="AJ478" i="1" s="1"/>
  <c r="AF478" i="1"/>
  <c r="AG478" i="1" s="1"/>
  <c r="AU478" i="1" s="1"/>
  <c r="AV478" i="1" s="1"/>
  <c r="AF622" i="1"/>
  <c r="AG622" i="1" s="1"/>
  <c r="AU622" i="1" s="1"/>
  <c r="AV622" i="1" s="1"/>
  <c r="AH622" i="1"/>
  <c r="AJ622" i="1" s="1"/>
  <c r="AH721" i="1"/>
  <c r="AJ721" i="1" s="1"/>
  <c r="AH323" i="1"/>
  <c r="AL323" i="1" s="1"/>
  <c r="AO323" i="1" s="1"/>
  <c r="AR323" i="1" s="1"/>
  <c r="AF323" i="1"/>
  <c r="AG323" i="1" s="1"/>
  <c r="AU323" i="1" s="1"/>
  <c r="AV323" i="1" s="1"/>
  <c r="AH795" i="1"/>
  <c r="AL795" i="1" s="1"/>
  <c r="AO795" i="1" s="1"/>
  <c r="AR795" i="1" s="1"/>
  <c r="AF795" i="1"/>
  <c r="AG795" i="1" s="1"/>
  <c r="AU795" i="1" s="1"/>
  <c r="AV795" i="1" s="1"/>
  <c r="AF763" i="1"/>
  <c r="AG763" i="1" s="1"/>
  <c r="AU763" i="1" s="1"/>
  <c r="AV763" i="1" s="1"/>
  <c r="AH763" i="1"/>
  <c r="AJ763" i="1" s="1"/>
  <c r="AH767" i="1"/>
  <c r="AJ767" i="1" s="1"/>
  <c r="AF767" i="1"/>
  <c r="AG767" i="1" s="1"/>
  <c r="AU767" i="1" s="1"/>
  <c r="AV767" i="1" s="1"/>
  <c r="AH346" i="1"/>
  <c r="AJ346" i="1" s="1"/>
  <c r="AF346" i="1"/>
  <c r="AG346" i="1" s="1"/>
  <c r="AU346" i="1" s="1"/>
  <c r="AV346" i="1" s="1"/>
  <c r="AH421" i="1"/>
  <c r="AJ421" i="1" s="1"/>
  <c r="AF421" i="1"/>
  <c r="AG421" i="1" s="1"/>
  <c r="AU421" i="1" s="1"/>
  <c r="AV421" i="1" s="1"/>
  <c r="AH234" i="1"/>
  <c r="AL234" i="1" s="1"/>
  <c r="AO234" i="1" s="1"/>
  <c r="AR234" i="1" s="1"/>
  <c r="AF234" i="1"/>
  <c r="AG234" i="1" s="1"/>
  <c r="AU234" i="1" s="1"/>
  <c r="AV234" i="1" s="1"/>
  <c r="AH457" i="1"/>
  <c r="AJ457" i="1" s="1"/>
  <c r="AF457" i="1"/>
  <c r="AG457" i="1" s="1"/>
  <c r="AU457" i="1" s="1"/>
  <c r="AV457" i="1" s="1"/>
  <c r="AH231" i="1"/>
  <c r="AJ231" i="1" s="1"/>
  <c r="AH376" i="1"/>
  <c r="AJ376" i="1" s="1"/>
  <c r="AH691" i="1"/>
  <c r="AJ691" i="1" s="1"/>
  <c r="AH484" i="1"/>
  <c r="AJ484" i="1" s="1"/>
  <c r="AH57" i="1"/>
  <c r="AJ57" i="1" s="1"/>
  <c r="AJ723" i="1"/>
  <c r="AL800" i="1"/>
  <c r="AO800" i="1" s="1"/>
  <c r="AR800" i="1" s="1"/>
  <c r="AH139" i="1"/>
  <c r="AJ139" i="1" s="1"/>
  <c r="AE88" i="1"/>
  <c r="AF265" i="1"/>
  <c r="AG265" i="1" s="1"/>
  <c r="AU265" i="1" s="1"/>
  <c r="AV265" i="1" s="1"/>
  <c r="AH276" i="1"/>
  <c r="AL276" i="1" s="1"/>
  <c r="AO276" i="1" s="1"/>
  <c r="AR276" i="1" s="1"/>
  <c r="AH300" i="1"/>
  <c r="AJ300" i="1" s="1"/>
  <c r="AH410" i="1"/>
  <c r="AL410" i="1" s="1"/>
  <c r="AO410" i="1" s="1"/>
  <c r="AR410" i="1" s="1"/>
  <c r="AF688" i="1"/>
  <c r="AG688" i="1" s="1"/>
  <c r="AU688" i="1" s="1"/>
  <c r="AV688" i="1" s="1"/>
  <c r="AE654" i="1"/>
  <c r="AF654" i="1" s="1"/>
  <c r="AG654" i="1" s="1"/>
  <c r="AU654" i="1" s="1"/>
  <c r="AV654" i="1" s="1"/>
  <c r="AF565" i="1"/>
  <c r="AG565" i="1" s="1"/>
  <c r="AU565" i="1" s="1"/>
  <c r="AV565" i="1" s="1"/>
  <c r="AF401" i="1"/>
  <c r="AG401" i="1" s="1"/>
  <c r="AU401" i="1" s="1"/>
  <c r="AV401" i="1" s="1"/>
  <c r="AH284" i="1"/>
  <c r="AL284" i="1" s="1"/>
  <c r="AO284" i="1" s="1"/>
  <c r="AR284" i="1" s="1"/>
  <c r="AF426" i="1"/>
  <c r="AG426" i="1" s="1"/>
  <c r="AU426" i="1" s="1"/>
  <c r="AV426" i="1" s="1"/>
  <c r="AF571" i="1"/>
  <c r="AG571" i="1" s="1"/>
  <c r="AU571" i="1" s="1"/>
  <c r="AV571" i="1" s="1"/>
  <c r="AF575" i="1"/>
  <c r="AG575" i="1" s="1"/>
  <c r="AU575" i="1" s="1"/>
  <c r="AV575" i="1" s="1"/>
  <c r="AJ143" i="1"/>
  <c r="AF43" i="1"/>
  <c r="AG43" i="1" s="1"/>
  <c r="AU43" i="1" s="1"/>
  <c r="AV43" i="1" s="1"/>
  <c r="AF778" i="1"/>
  <c r="AG778" i="1" s="1"/>
  <c r="AU778" i="1" s="1"/>
  <c r="AV778" i="1" s="1"/>
  <c r="AF163" i="1"/>
  <c r="AG163" i="1" s="1"/>
  <c r="AU163" i="1" s="1"/>
  <c r="AV163" i="1" s="1"/>
  <c r="AF393" i="1"/>
  <c r="AG393" i="1" s="1"/>
  <c r="AU393" i="1" s="1"/>
  <c r="AV393" i="1" s="1"/>
  <c r="AE493" i="1"/>
  <c r="AF493" i="1" s="1"/>
  <c r="AG493" i="1" s="1"/>
  <c r="AU493" i="1" s="1"/>
  <c r="AV493" i="1" s="1"/>
  <c r="AF495" i="1"/>
  <c r="AG495" i="1" s="1"/>
  <c r="AU495" i="1" s="1"/>
  <c r="AV495" i="1" s="1"/>
  <c r="AE505" i="1"/>
  <c r="AF505" i="1" s="1"/>
  <c r="AG505" i="1" s="1"/>
  <c r="AE527" i="1"/>
  <c r="AH527" i="1" s="1"/>
  <c r="AJ527" i="1" s="1"/>
  <c r="AH572" i="1"/>
  <c r="AJ572" i="1" s="1"/>
  <c r="AF574" i="1"/>
  <c r="AG574" i="1" s="1"/>
  <c r="AU574" i="1" s="1"/>
  <c r="AV574" i="1" s="1"/>
  <c r="AE596" i="1"/>
  <c r="AH596" i="1" s="1"/>
  <c r="AJ596" i="1" s="1"/>
  <c r="AH688" i="1"/>
  <c r="AJ688" i="1" s="1"/>
  <c r="AL43" i="1"/>
  <c r="AO43" i="1" s="1"/>
  <c r="AR43" i="1" s="1"/>
  <c r="AL778" i="1"/>
  <c r="AO778" i="1" s="1"/>
  <c r="AR778" i="1" s="1"/>
  <c r="AE103" i="1"/>
  <c r="AH103" i="1" s="1"/>
  <c r="AJ103" i="1" s="1"/>
  <c r="AH129" i="1"/>
  <c r="AL129" i="1" s="1"/>
  <c r="AO129" i="1" s="1"/>
  <c r="AR129" i="1" s="1"/>
  <c r="AF148" i="1"/>
  <c r="AG148" i="1" s="1"/>
  <c r="AU148" i="1" s="1"/>
  <c r="AV148" i="1" s="1"/>
  <c r="AE175" i="1"/>
  <c r="AH175" i="1" s="1"/>
  <c r="AJ175" i="1" s="1"/>
  <c r="AE307" i="1"/>
  <c r="AF307" i="1" s="1"/>
  <c r="AG307" i="1" s="1"/>
  <c r="AU307" i="1" s="1"/>
  <c r="AV307" i="1" s="1"/>
  <c r="AE483" i="1"/>
  <c r="AF483" i="1" s="1"/>
  <c r="AG483" i="1" s="1"/>
  <c r="AU483" i="1" s="1"/>
  <c r="AV483" i="1" s="1"/>
  <c r="AL495" i="1"/>
  <c r="AO495" i="1" s="1"/>
  <c r="AR495" i="1" s="1"/>
  <c r="AL574" i="1"/>
  <c r="AO574" i="1" s="1"/>
  <c r="AR574" i="1" s="1"/>
  <c r="AE762" i="1"/>
  <c r="AH762" i="1" s="1"/>
  <c r="AJ762" i="1" s="1"/>
  <c r="AE774" i="1"/>
  <c r="AH774" i="1" s="1"/>
  <c r="AH74" i="1"/>
  <c r="AL74" i="1" s="1"/>
  <c r="AO74" i="1" s="1"/>
  <c r="AR74" i="1" s="1"/>
  <c r="AE455" i="1"/>
  <c r="AH455" i="1" s="1"/>
  <c r="AF603" i="1"/>
  <c r="AG603" i="1" s="1"/>
  <c r="AU603" i="1" s="1"/>
  <c r="AV603" i="1" s="1"/>
  <c r="AE811" i="1"/>
  <c r="AF811" i="1" s="1"/>
  <c r="AG811" i="1" s="1"/>
  <c r="AU811" i="1" s="1"/>
  <c r="AV811" i="1" s="1"/>
  <c r="AH740" i="1"/>
  <c r="AJ740" i="1" s="1"/>
  <c r="AE305" i="1"/>
  <c r="AH305" i="1" s="1"/>
  <c r="AJ305" i="1" s="1"/>
  <c r="AE458" i="1"/>
  <c r="AH458" i="1" s="1"/>
  <c r="AJ458" i="1" s="1"/>
  <c r="AE765" i="1"/>
  <c r="AF765" i="1" s="1"/>
  <c r="AG765" i="1" s="1"/>
  <c r="AU765" i="1" s="1"/>
  <c r="AV765" i="1" s="1"/>
  <c r="AE504" i="1"/>
  <c r="AH504" i="1" s="1"/>
  <c r="AJ504" i="1" s="1"/>
  <c r="AH599" i="1"/>
  <c r="AL599" i="1" s="1"/>
  <c r="AO599" i="1" s="1"/>
  <c r="AR599" i="1" s="1"/>
  <c r="AH510" i="1"/>
  <c r="AJ510" i="1" s="1"/>
  <c r="AH603" i="1"/>
  <c r="AJ603" i="1" s="1"/>
  <c r="AL168" i="1"/>
  <c r="AO168" i="1" s="1"/>
  <c r="AR168" i="1" s="1"/>
  <c r="AE293" i="1"/>
  <c r="AF293" i="1" s="1"/>
  <c r="AG293" i="1" s="1"/>
  <c r="AU293" i="1" s="1"/>
  <c r="AV293" i="1" s="1"/>
  <c r="AF800" i="1"/>
  <c r="AG800" i="1" s="1"/>
  <c r="AU800" i="1" s="1"/>
  <c r="AV800" i="1" s="1"/>
  <c r="AG99" i="1"/>
  <c r="AU99" i="1" s="1"/>
  <c r="AV99" i="1" s="1"/>
  <c r="AF162" i="1"/>
  <c r="AG162" i="1" s="1"/>
  <c r="AU162" i="1" s="1"/>
  <c r="AV162" i="1" s="1"/>
  <c r="AH245" i="1"/>
  <c r="AH467" i="1"/>
  <c r="AE492" i="1"/>
  <c r="AE110" i="1"/>
  <c r="AH110" i="1" s="1"/>
  <c r="AJ110" i="1" s="1"/>
  <c r="AE743" i="1"/>
  <c r="AH743" i="1" s="1"/>
  <c r="AJ743" i="1" s="1"/>
  <c r="AF753" i="1"/>
  <c r="AG753" i="1" s="1"/>
  <c r="AU753" i="1" s="1"/>
  <c r="AV753" i="1" s="1"/>
  <c r="AF720" i="1"/>
  <c r="AG720" i="1" s="1"/>
  <c r="AU720" i="1" s="1"/>
  <c r="AV720" i="1" s="1"/>
  <c r="AH720" i="1"/>
  <c r="AJ720" i="1" s="1"/>
  <c r="AF128" i="1"/>
  <c r="AG128" i="1" s="1"/>
  <c r="AU128" i="1" s="1"/>
  <c r="AV128" i="1" s="1"/>
  <c r="AH128" i="1"/>
  <c r="AJ128" i="1" s="1"/>
  <c r="AH91" i="1"/>
  <c r="AJ91" i="1" s="1"/>
  <c r="AF102" i="1"/>
  <c r="AG102" i="1" s="1"/>
  <c r="AU102" i="1" s="1"/>
  <c r="AV102" i="1" s="1"/>
  <c r="AH102" i="1"/>
  <c r="AL102" i="1" s="1"/>
  <c r="AO102" i="1" s="1"/>
  <c r="AR102" i="1" s="1"/>
  <c r="AH147" i="1"/>
  <c r="AJ147" i="1" s="1"/>
  <c r="AF147" i="1"/>
  <c r="AG147" i="1" s="1"/>
  <c r="AU147" i="1" s="1"/>
  <c r="AV147" i="1" s="1"/>
  <c r="AH172" i="1"/>
  <c r="AJ172" i="1" s="1"/>
  <c r="AF172" i="1"/>
  <c r="AG172" i="1" s="1"/>
  <c r="AU172" i="1" s="1"/>
  <c r="AV172" i="1" s="1"/>
  <c r="AF70" i="1"/>
  <c r="AG70" i="1" s="1"/>
  <c r="AU70" i="1" s="1"/>
  <c r="AV70" i="1" s="1"/>
  <c r="AH70" i="1"/>
  <c r="AL70" i="1" s="1"/>
  <c r="AO70" i="1" s="1"/>
  <c r="AR70" i="1" s="1"/>
  <c r="AF107" i="1"/>
  <c r="AG107" i="1" s="1"/>
  <c r="AU107" i="1" s="1"/>
  <c r="AV107" i="1" s="1"/>
  <c r="AH107" i="1"/>
  <c r="AJ107" i="1" s="1"/>
  <c r="AH113" i="1"/>
  <c r="AJ113" i="1" s="1"/>
  <c r="AF113" i="1"/>
  <c r="AG113" i="1" s="1"/>
  <c r="AU113" i="1" s="1"/>
  <c r="AV113" i="1" s="1"/>
  <c r="AF117" i="1"/>
  <c r="AG117" i="1" s="1"/>
  <c r="AU117" i="1" s="1"/>
  <c r="AV117" i="1" s="1"/>
  <c r="AH117" i="1"/>
  <c r="AL117" i="1" s="1"/>
  <c r="AO117" i="1" s="1"/>
  <c r="AR117" i="1" s="1"/>
  <c r="AH374" i="1"/>
  <c r="AJ374" i="1" s="1"/>
  <c r="AF374" i="1"/>
  <c r="AG374" i="1" s="1"/>
  <c r="AU374" i="1" s="1"/>
  <c r="AV374" i="1" s="1"/>
  <c r="AH79" i="1"/>
  <c r="AJ79" i="1" s="1"/>
  <c r="AF79" i="1"/>
  <c r="AG79" i="1" s="1"/>
  <c r="AU79" i="1" s="1"/>
  <c r="AV79" i="1" s="1"/>
  <c r="AH159" i="1"/>
  <c r="AL159" i="1" s="1"/>
  <c r="AO159" i="1" s="1"/>
  <c r="AR159" i="1" s="1"/>
  <c r="AF159" i="1"/>
  <c r="AG159" i="1" s="1"/>
  <c r="AU159" i="1" s="1"/>
  <c r="AV159" i="1" s="1"/>
  <c r="AF250" i="1"/>
  <c r="AG250" i="1" s="1"/>
  <c r="AU250" i="1" s="1"/>
  <c r="AV250" i="1" s="1"/>
  <c r="AH250" i="1"/>
  <c r="AL250" i="1" s="1"/>
  <c r="AO250" i="1" s="1"/>
  <c r="AR250" i="1" s="1"/>
  <c r="AF355" i="1"/>
  <c r="AG355" i="1" s="1"/>
  <c r="AU355" i="1" s="1"/>
  <c r="AV355" i="1" s="1"/>
  <c r="AH355" i="1"/>
  <c r="AJ355" i="1" s="1"/>
  <c r="AH131" i="1"/>
  <c r="AJ131" i="1" s="1"/>
  <c r="AF131" i="1"/>
  <c r="AG131" i="1" s="1"/>
  <c r="AU131" i="1" s="1"/>
  <c r="AV131" i="1" s="1"/>
  <c r="AH322" i="1"/>
  <c r="AJ322" i="1" s="1"/>
  <c r="AH445" i="1"/>
  <c r="AJ445" i="1" s="1"/>
  <c r="AF445" i="1"/>
  <c r="AG445" i="1" s="1"/>
  <c r="AU445" i="1" s="1"/>
  <c r="AV445" i="1" s="1"/>
  <c r="AH456" i="1"/>
  <c r="AJ456" i="1" s="1"/>
  <c r="AF456" i="1"/>
  <c r="AG456" i="1" s="1"/>
  <c r="AU456" i="1" s="1"/>
  <c r="AV456" i="1" s="1"/>
  <c r="AF71" i="1"/>
  <c r="AG71" i="1" s="1"/>
  <c r="AU71" i="1" s="1"/>
  <c r="AV71" i="1" s="1"/>
  <c r="AH71" i="1"/>
  <c r="AJ71" i="1" s="1"/>
  <c r="AH118" i="1"/>
  <c r="AJ118" i="1" s="1"/>
  <c r="AF118" i="1"/>
  <c r="AG118" i="1" s="1"/>
  <c r="AU118" i="1" s="1"/>
  <c r="AV118" i="1" s="1"/>
  <c r="AF94" i="1"/>
  <c r="AG94" i="1" s="1"/>
  <c r="AU94" i="1" s="1"/>
  <c r="AV94" i="1" s="1"/>
  <c r="AH260" i="1"/>
  <c r="AL260" i="1" s="1"/>
  <c r="AO260" i="1" s="1"/>
  <c r="AR260" i="1" s="1"/>
  <c r="AH645" i="1"/>
  <c r="AJ645" i="1" s="1"/>
  <c r="AF645" i="1"/>
  <c r="AG645" i="1" s="1"/>
  <c r="AU645" i="1" s="1"/>
  <c r="AV645" i="1" s="1"/>
  <c r="AF409" i="1"/>
  <c r="AG409" i="1" s="1"/>
  <c r="AU409" i="1" s="1"/>
  <c r="AV409" i="1" s="1"/>
  <c r="AH409" i="1"/>
  <c r="AJ409" i="1" s="1"/>
  <c r="AF559" i="1"/>
  <c r="AG559" i="1" s="1"/>
  <c r="AU559" i="1" s="1"/>
  <c r="AV559" i="1" s="1"/>
  <c r="AH559" i="1"/>
  <c r="AJ559" i="1" s="1"/>
  <c r="AL94" i="1"/>
  <c r="AO94" i="1" s="1"/>
  <c r="AR94" i="1" s="1"/>
  <c r="AH106" i="1"/>
  <c r="AJ106" i="1" s="1"/>
  <c r="AH616" i="1"/>
  <c r="AF338" i="1"/>
  <c r="AG338" i="1" s="1"/>
  <c r="AU338" i="1" s="1"/>
  <c r="AV338" i="1" s="1"/>
  <c r="AH379" i="1"/>
  <c r="AL379" i="1" s="1"/>
  <c r="AO379" i="1" s="1"/>
  <c r="AR379" i="1" s="1"/>
  <c r="AF379" i="1"/>
  <c r="AG379" i="1" s="1"/>
  <c r="AU379" i="1" s="1"/>
  <c r="AV379" i="1" s="1"/>
  <c r="AH438" i="1"/>
  <c r="AL438" i="1" s="1"/>
  <c r="AO438" i="1" s="1"/>
  <c r="AR438" i="1" s="1"/>
  <c r="AF438" i="1"/>
  <c r="AG438" i="1" s="1"/>
  <c r="AU438" i="1" s="1"/>
  <c r="AV438" i="1" s="1"/>
  <c r="AH375" i="1"/>
  <c r="AJ375" i="1" s="1"/>
  <c r="AF375" i="1"/>
  <c r="AG375" i="1" s="1"/>
  <c r="AU375" i="1" s="1"/>
  <c r="AV375" i="1" s="1"/>
  <c r="AH98" i="1"/>
  <c r="AJ98" i="1" s="1"/>
  <c r="AE109" i="1"/>
  <c r="AF109" i="1" s="1"/>
  <c r="AG109" i="1" s="1"/>
  <c r="AU109" i="1" s="1"/>
  <c r="AV109" i="1" s="1"/>
  <c r="AL132" i="1"/>
  <c r="AO132" i="1" s="1"/>
  <c r="AR132" i="1" s="1"/>
  <c r="AE2" i="1"/>
  <c r="AF33" i="1"/>
  <c r="AG33" i="1" s="1"/>
  <c r="AU33" i="1" s="1"/>
  <c r="AV33" i="1" s="1"/>
  <c r="AH82" i="1"/>
  <c r="AL82" i="1" s="1"/>
  <c r="AO82" i="1" s="1"/>
  <c r="AR82" i="1" s="1"/>
  <c r="AL99" i="1"/>
  <c r="AO99" i="1" s="1"/>
  <c r="AR99" i="1" s="1"/>
  <c r="AF143" i="1"/>
  <c r="AG143" i="1" s="1"/>
  <c r="AU143" i="1" s="1"/>
  <c r="AV143" i="1" s="1"/>
  <c r="AF179" i="1"/>
  <c r="AG179" i="1" s="1"/>
  <c r="AU179" i="1" s="1"/>
  <c r="AV179" i="1" s="1"/>
  <c r="AH270" i="1"/>
  <c r="AJ270" i="1" s="1"/>
  <c r="AF270" i="1"/>
  <c r="AG270" i="1" s="1"/>
  <c r="AU270" i="1" s="1"/>
  <c r="AV270" i="1" s="1"/>
  <c r="AL334" i="1"/>
  <c r="AO334" i="1" s="1"/>
  <c r="AR334" i="1" s="1"/>
  <c r="AH364" i="1"/>
  <c r="AJ364" i="1" s="1"/>
  <c r="AF364" i="1"/>
  <c r="AG364" i="1" s="1"/>
  <c r="AU364" i="1" s="1"/>
  <c r="AV364" i="1" s="1"/>
  <c r="AF488" i="1"/>
  <c r="AG488" i="1" s="1"/>
  <c r="AU488" i="1" s="1"/>
  <c r="AV488" i="1" s="1"/>
  <c r="AH488" i="1"/>
  <c r="AL488" i="1" s="1"/>
  <c r="AO488" i="1" s="1"/>
  <c r="AR488" i="1" s="1"/>
  <c r="AH573" i="1"/>
  <c r="AJ573" i="1" s="1"/>
  <c r="AJ169" i="1"/>
  <c r="AL169" i="1"/>
  <c r="AO169" i="1" s="1"/>
  <c r="AR169" i="1" s="1"/>
  <c r="AF122" i="1"/>
  <c r="AG122" i="1" s="1"/>
  <c r="AU122" i="1" s="1"/>
  <c r="AV122" i="1" s="1"/>
  <c r="AF199" i="1"/>
  <c r="AG199" i="1" s="1"/>
  <c r="AU199" i="1" s="1"/>
  <c r="AV199" i="1" s="1"/>
  <c r="AH201" i="1"/>
  <c r="AJ201" i="1" s="1"/>
  <c r="AH229" i="1"/>
  <c r="AL229" i="1" s="1"/>
  <c r="AO229" i="1" s="1"/>
  <c r="AR229" i="1" s="1"/>
  <c r="AF277" i="1"/>
  <c r="AG277" i="1" s="1"/>
  <c r="AU277" i="1" s="1"/>
  <c r="AV277" i="1" s="1"/>
  <c r="AL393" i="1"/>
  <c r="AO393" i="1" s="1"/>
  <c r="AR393" i="1" s="1"/>
  <c r="AH399" i="1"/>
  <c r="AJ399" i="1" s="1"/>
  <c r="AF399" i="1"/>
  <c r="AG399" i="1" s="1"/>
  <c r="AU399" i="1" s="1"/>
  <c r="AV399" i="1" s="1"/>
  <c r="AH553" i="1"/>
  <c r="AJ553" i="1" s="1"/>
  <c r="AG553" i="1"/>
  <c r="AU553" i="1" s="1"/>
  <c r="AV553" i="1" s="1"/>
  <c r="AH672" i="1"/>
  <c r="AJ672" i="1" s="1"/>
  <c r="AF672" i="1"/>
  <c r="AG672" i="1" s="1"/>
  <c r="AU672" i="1" s="1"/>
  <c r="AV672" i="1" s="1"/>
  <c r="AH744" i="1"/>
  <c r="AJ744" i="1" s="1"/>
  <c r="AF744" i="1"/>
  <c r="AG744" i="1" s="1"/>
  <c r="AU744" i="1" s="1"/>
  <c r="AV744" i="1" s="1"/>
  <c r="AH207" i="1"/>
  <c r="AJ207" i="1" s="1"/>
  <c r="AH540" i="1"/>
  <c r="AJ540" i="1" s="1"/>
  <c r="AF207" i="1"/>
  <c r="AG207" i="1" s="1"/>
  <c r="AU207" i="1" s="1"/>
  <c r="AV207" i="1" s="1"/>
  <c r="AF521" i="1"/>
  <c r="AG521" i="1" s="1"/>
  <c r="AU521" i="1" s="1"/>
  <c r="AV521" i="1" s="1"/>
  <c r="AH521" i="1"/>
  <c r="AJ521" i="1" s="1"/>
  <c r="AH40" i="1"/>
  <c r="AL40" i="1" s="1"/>
  <c r="AO40" i="1" s="1"/>
  <c r="AR40" i="1" s="1"/>
  <c r="AF685" i="1"/>
  <c r="AG685" i="1" s="1"/>
  <c r="AU685" i="1" s="1"/>
  <c r="AV685" i="1" s="1"/>
  <c r="AH685" i="1"/>
  <c r="AJ685" i="1" s="1"/>
  <c r="AH44" i="1"/>
  <c r="AL44" i="1" s="1"/>
  <c r="AO44" i="1" s="1"/>
  <c r="AR44" i="1" s="1"/>
  <c r="AH50" i="1"/>
  <c r="AL50" i="1" s="1"/>
  <c r="AO50" i="1" s="1"/>
  <c r="AR50" i="1" s="1"/>
  <c r="AH122" i="1"/>
  <c r="AJ122" i="1" s="1"/>
  <c r="AF155" i="1"/>
  <c r="AG155" i="1" s="1"/>
  <c r="AU155" i="1" s="1"/>
  <c r="AV155" i="1" s="1"/>
  <c r="AE46" i="1"/>
  <c r="AF46" i="1" s="1"/>
  <c r="AG46" i="1" s="1"/>
  <c r="AU46" i="1" s="1"/>
  <c r="AV46" i="1" s="1"/>
  <c r="AH155" i="1"/>
  <c r="AJ155" i="1" s="1"/>
  <c r="AH259" i="1"/>
  <c r="AJ259" i="1" s="1"/>
  <c r="AF259" i="1"/>
  <c r="AG259" i="1" s="1"/>
  <c r="AU259" i="1" s="1"/>
  <c r="AV259" i="1" s="1"/>
  <c r="AH351" i="1"/>
  <c r="AJ351" i="1" s="1"/>
  <c r="AF541" i="1"/>
  <c r="AG541" i="1" s="1"/>
  <c r="AU541" i="1" s="1"/>
  <c r="AV541" i="1" s="1"/>
  <c r="AH541" i="1"/>
  <c r="AJ541" i="1" s="1"/>
  <c r="AH667" i="1"/>
  <c r="AJ667" i="1" s="1"/>
  <c r="AF667" i="1"/>
  <c r="AG667" i="1" s="1"/>
  <c r="AU667" i="1" s="1"/>
  <c r="AV667" i="1" s="1"/>
  <c r="AH718" i="1"/>
  <c r="AJ718" i="1" s="1"/>
  <c r="AF718" i="1"/>
  <c r="AG718" i="1" s="1"/>
  <c r="AU718" i="1" s="1"/>
  <c r="AV718" i="1" s="1"/>
  <c r="AH722" i="1"/>
  <c r="AJ722" i="1" s="1"/>
  <c r="AL209" i="1"/>
  <c r="AO209" i="1" s="1"/>
  <c r="AR209" i="1" s="1"/>
  <c r="AJ209" i="1"/>
  <c r="AH54" i="1"/>
  <c r="AJ54" i="1" s="1"/>
  <c r="AJ812" i="1"/>
  <c r="AL812" i="1"/>
  <c r="AO812" i="1" s="1"/>
  <c r="AR812" i="1" s="1"/>
  <c r="AL9" i="1"/>
  <c r="AO9" i="1" s="1"/>
  <c r="AR9" i="1" s="1"/>
  <c r="AH363" i="1"/>
  <c r="AJ363" i="1" s="1"/>
  <c r="AF363" i="1"/>
  <c r="AG363" i="1" s="1"/>
  <c r="AU363" i="1" s="1"/>
  <c r="AV363" i="1" s="1"/>
  <c r="AF405" i="1"/>
  <c r="AG405" i="1" s="1"/>
  <c r="AU405" i="1" s="1"/>
  <c r="AV405" i="1" s="1"/>
  <c r="AH405" i="1"/>
  <c r="AJ405" i="1" s="1"/>
  <c r="AH514" i="1"/>
  <c r="AJ514" i="1" s="1"/>
  <c r="AH598" i="1"/>
  <c r="AJ598" i="1" s="1"/>
  <c r="AF598" i="1"/>
  <c r="AG598" i="1" s="1"/>
  <c r="AU598" i="1" s="1"/>
  <c r="AV598" i="1" s="1"/>
  <c r="AH633" i="1"/>
  <c r="AJ633" i="1" s="1"/>
  <c r="AF633" i="1"/>
  <c r="AG633" i="1" s="1"/>
  <c r="AU633" i="1" s="1"/>
  <c r="AV633" i="1" s="1"/>
  <c r="AH319" i="1"/>
  <c r="AJ319" i="1" s="1"/>
  <c r="AF319" i="1"/>
  <c r="AG319" i="1" s="1"/>
  <c r="AU319" i="1" s="1"/>
  <c r="AV319" i="1" s="1"/>
  <c r="AH350" i="1"/>
  <c r="AG350" i="1"/>
  <c r="AU350" i="1" s="1"/>
  <c r="AV350" i="1" s="1"/>
  <c r="AF331" i="1"/>
  <c r="AG331" i="1" s="1"/>
  <c r="AU331" i="1" s="1"/>
  <c r="AV331" i="1" s="1"/>
  <c r="AH331" i="1"/>
  <c r="AL331" i="1" s="1"/>
  <c r="AO331" i="1" s="1"/>
  <c r="AR331" i="1" s="1"/>
  <c r="AH213" i="1"/>
  <c r="AJ213" i="1" s="1"/>
  <c r="AF511" i="1"/>
  <c r="AG511" i="1" s="1"/>
  <c r="AU511" i="1" s="1"/>
  <c r="AV511" i="1" s="1"/>
  <c r="AH511" i="1"/>
  <c r="AJ511" i="1" s="1"/>
  <c r="AF203" i="1"/>
  <c r="AG203" i="1" s="1"/>
  <c r="AU203" i="1" s="1"/>
  <c r="AV203" i="1" s="1"/>
  <c r="AH203" i="1"/>
  <c r="AJ203" i="1" s="1"/>
  <c r="AH296" i="1"/>
  <c r="AF31" i="1"/>
  <c r="AG31" i="1" s="1"/>
  <c r="AU31" i="1" s="1"/>
  <c r="AV31" i="1" s="1"/>
  <c r="AH31" i="1"/>
  <c r="AJ31" i="1" s="1"/>
  <c r="AF39" i="1"/>
  <c r="AG39" i="1" s="1"/>
  <c r="AU39" i="1" s="1"/>
  <c r="AV39" i="1" s="1"/>
  <c r="AH78" i="1"/>
  <c r="AL78" i="1" s="1"/>
  <c r="AO78" i="1" s="1"/>
  <c r="AR78" i="1" s="1"/>
  <c r="AH206" i="1"/>
  <c r="AJ206" i="1" s="1"/>
  <c r="AF206" i="1"/>
  <c r="AG206" i="1" s="1"/>
  <c r="AU206" i="1" s="1"/>
  <c r="AV206" i="1" s="1"/>
  <c r="AF210" i="1"/>
  <c r="AG210" i="1" s="1"/>
  <c r="AU210" i="1" s="1"/>
  <c r="AV210" i="1" s="1"/>
  <c r="AH212" i="1"/>
  <c r="AJ212" i="1" s="1"/>
  <c r="AF212" i="1"/>
  <c r="AG212" i="1" s="1"/>
  <c r="AU212" i="1" s="1"/>
  <c r="AV212" i="1" s="1"/>
  <c r="AH216" i="1"/>
  <c r="AJ216" i="1" s="1"/>
  <c r="AF216" i="1"/>
  <c r="AG216" i="1" s="1"/>
  <c r="AU216" i="1" s="1"/>
  <c r="AV216" i="1" s="1"/>
  <c r="AG499" i="1"/>
  <c r="AU499" i="1" s="1"/>
  <c r="AV499" i="1" s="1"/>
  <c r="AH499" i="1"/>
  <c r="AJ499" i="1" s="1"/>
  <c r="AH522" i="1"/>
  <c r="AJ522" i="1" s="1"/>
  <c r="AH539" i="1"/>
  <c r="AJ539" i="1" s="1"/>
  <c r="AH266" i="1"/>
  <c r="AJ266" i="1" s="1"/>
  <c r="AF266" i="1"/>
  <c r="AG266" i="1" s="1"/>
  <c r="AU266" i="1" s="1"/>
  <c r="AV266" i="1" s="1"/>
  <c r="AH735" i="1"/>
  <c r="AJ735" i="1" s="1"/>
  <c r="AL39" i="1"/>
  <c r="AO39" i="1" s="1"/>
  <c r="AR39" i="1" s="1"/>
  <c r="AH130" i="1"/>
  <c r="AF130" i="1"/>
  <c r="AG130" i="1" s="1"/>
  <c r="AU130" i="1" s="1"/>
  <c r="AV130" i="1" s="1"/>
  <c r="AL210" i="1"/>
  <c r="AO210" i="1" s="1"/>
  <c r="AR210" i="1" s="1"/>
  <c r="AL235" i="1"/>
  <c r="AO235" i="1" s="1"/>
  <c r="AR235" i="1" s="1"/>
  <c r="AF235" i="1"/>
  <c r="AG235" i="1" s="1"/>
  <c r="AU235" i="1" s="1"/>
  <c r="AV235" i="1" s="1"/>
  <c r="AH247" i="1"/>
  <c r="AJ247" i="1" s="1"/>
  <c r="AH342" i="1"/>
  <c r="AJ342" i="1" s="1"/>
  <c r="AF342" i="1"/>
  <c r="AG342" i="1" s="1"/>
  <c r="AU342" i="1" s="1"/>
  <c r="AV342" i="1" s="1"/>
  <c r="AF806" i="1"/>
  <c r="AG806" i="1" s="1"/>
  <c r="AU806" i="1" s="1"/>
  <c r="AV806" i="1" s="1"/>
  <c r="AH806" i="1"/>
  <c r="AJ806" i="1" s="1"/>
  <c r="AF594" i="1"/>
  <c r="AG594" i="1" s="1"/>
  <c r="AU594" i="1" s="1"/>
  <c r="AV594" i="1" s="1"/>
  <c r="AH594" i="1"/>
  <c r="AL594" i="1" s="1"/>
  <c r="AO594" i="1" s="1"/>
  <c r="AR594" i="1" s="1"/>
  <c r="AH640" i="1"/>
  <c r="AJ640" i="1" s="1"/>
  <c r="AF634" i="1"/>
  <c r="AG634" i="1" s="1"/>
  <c r="AU634" i="1" s="1"/>
  <c r="AV634" i="1" s="1"/>
  <c r="AH634" i="1"/>
  <c r="AJ634" i="1" s="1"/>
  <c r="AH749" i="1"/>
  <c r="AL749" i="1" s="1"/>
  <c r="AO749" i="1" s="1"/>
  <c r="AR749" i="1" s="1"/>
  <c r="AF749" i="1"/>
  <c r="AG749" i="1" s="1"/>
  <c r="AU749" i="1" s="1"/>
  <c r="AV749" i="1" s="1"/>
  <c r="AH190" i="1"/>
  <c r="AJ190" i="1" s="1"/>
  <c r="AF190" i="1"/>
  <c r="AG190" i="1" s="1"/>
  <c r="AU190" i="1" s="1"/>
  <c r="AV190" i="1" s="1"/>
  <c r="AF132" i="1"/>
  <c r="AG132" i="1" s="1"/>
  <c r="AU132" i="1" s="1"/>
  <c r="AV132" i="1" s="1"/>
  <c r="AH607" i="1"/>
  <c r="AJ607" i="1" s="1"/>
  <c r="AF607" i="1"/>
  <c r="AG607" i="1" s="1"/>
  <c r="AU607" i="1" s="1"/>
  <c r="AV607" i="1" s="1"/>
  <c r="AH226" i="1"/>
  <c r="AJ226" i="1" s="1"/>
  <c r="AF226" i="1"/>
  <c r="AG226" i="1" s="1"/>
  <c r="AU226" i="1" s="1"/>
  <c r="AV226" i="1" s="1"/>
  <c r="AH400" i="1"/>
  <c r="AJ400" i="1" s="1"/>
  <c r="AH649" i="1"/>
  <c r="AL649" i="1" s="1"/>
  <c r="AO649" i="1" s="1"/>
  <c r="AR649" i="1" s="1"/>
  <c r="AF649" i="1"/>
  <c r="AG649" i="1" s="1"/>
  <c r="AU649" i="1" s="1"/>
  <c r="AV649" i="1" s="1"/>
  <c r="AH799" i="1"/>
  <c r="AJ799" i="1" s="1"/>
  <c r="AE228" i="1"/>
  <c r="AE386" i="1"/>
  <c r="AF386" i="1" s="1"/>
  <c r="AG386" i="1" s="1"/>
  <c r="AU386" i="1" s="1"/>
  <c r="AV386" i="1" s="1"/>
  <c r="AH613" i="1"/>
  <c r="AF613" i="1"/>
  <c r="AG613" i="1" s="1"/>
  <c r="AU613" i="1" s="1"/>
  <c r="AV613" i="1" s="1"/>
  <c r="AF693" i="1"/>
  <c r="AG693" i="1" s="1"/>
  <c r="AU693" i="1" s="1"/>
  <c r="AV693" i="1" s="1"/>
  <c r="AH693" i="1"/>
  <c r="AL693" i="1" s="1"/>
  <c r="AO693" i="1" s="1"/>
  <c r="AR693" i="1" s="1"/>
  <c r="AF583" i="1"/>
  <c r="AG583" i="1" s="1"/>
  <c r="AU583" i="1" s="1"/>
  <c r="AV583" i="1" s="1"/>
  <c r="AH583" i="1"/>
  <c r="AJ583" i="1" s="1"/>
  <c r="AL590" i="1"/>
  <c r="AO590" i="1" s="1"/>
  <c r="AR590" i="1" s="1"/>
  <c r="AJ590" i="1"/>
  <c r="AF700" i="1"/>
  <c r="AG700" i="1" s="1"/>
  <c r="AU700" i="1" s="1"/>
  <c r="AV700" i="1" s="1"/>
  <c r="AH700" i="1"/>
  <c r="AL700" i="1" s="1"/>
  <c r="AO700" i="1" s="1"/>
  <c r="AR700" i="1" s="1"/>
  <c r="AE291" i="1"/>
  <c r="AF291" i="1" s="1"/>
  <c r="AG291" i="1" s="1"/>
  <c r="AU291" i="1" s="1"/>
  <c r="AV291" i="1" s="1"/>
  <c r="AF388" i="1"/>
  <c r="AG388" i="1" s="1"/>
  <c r="AU388" i="1" s="1"/>
  <c r="AV388" i="1" s="1"/>
  <c r="AH389" i="1"/>
  <c r="AJ389" i="1" s="1"/>
  <c r="AF404" i="1"/>
  <c r="AG404" i="1" s="1"/>
  <c r="AU404" i="1" s="1"/>
  <c r="AV404" i="1" s="1"/>
  <c r="AF415" i="1"/>
  <c r="AG415" i="1" s="1"/>
  <c r="AU415" i="1" s="1"/>
  <c r="AV415" i="1" s="1"/>
  <c r="AF503" i="1"/>
  <c r="AG503" i="1" s="1"/>
  <c r="AU503" i="1" s="1"/>
  <c r="AV503" i="1" s="1"/>
  <c r="AL748" i="1"/>
  <c r="AO748" i="1" s="1"/>
  <c r="AR748" i="1" s="1"/>
  <c r="AH388" i="1"/>
  <c r="AJ388" i="1" s="1"/>
  <c r="AH404" i="1"/>
  <c r="AJ404" i="1" s="1"/>
  <c r="AF417" i="1"/>
  <c r="AG417" i="1" s="1"/>
  <c r="AU417" i="1" s="1"/>
  <c r="AV417" i="1" s="1"/>
  <c r="AF429" i="1"/>
  <c r="AG429" i="1" s="1"/>
  <c r="AU429" i="1" s="1"/>
  <c r="AV429" i="1" s="1"/>
  <c r="AH503" i="1"/>
  <c r="AJ503" i="1" s="1"/>
  <c r="AH653" i="1"/>
  <c r="AJ653" i="1" s="1"/>
  <c r="AH600" i="1"/>
  <c r="AJ600" i="1" s="1"/>
  <c r="AH610" i="1"/>
  <c r="AJ610" i="1" s="1"/>
  <c r="AF610" i="1"/>
  <c r="AG610" i="1" s="1"/>
  <c r="AU610" i="1" s="1"/>
  <c r="AV610" i="1" s="1"/>
  <c r="AF781" i="1"/>
  <c r="AG781" i="1" s="1"/>
  <c r="AU781" i="1" s="1"/>
  <c r="AV781" i="1" s="1"/>
  <c r="AH781" i="1"/>
  <c r="AJ781" i="1" s="1"/>
  <c r="AH791" i="1"/>
  <c r="AJ791" i="1" s="1"/>
  <c r="AH230" i="1"/>
  <c r="AJ230" i="1" s="1"/>
  <c r="AF246" i="1"/>
  <c r="AG246" i="1" s="1"/>
  <c r="AU246" i="1" s="1"/>
  <c r="AV246" i="1" s="1"/>
  <c r="AL274" i="1"/>
  <c r="AO274" i="1" s="1"/>
  <c r="AR274" i="1" s="1"/>
  <c r="AF298" i="1"/>
  <c r="AG298" i="1" s="1"/>
  <c r="AU298" i="1" s="1"/>
  <c r="AV298" i="1" s="1"/>
  <c r="AH335" i="1"/>
  <c r="AJ335" i="1" s="1"/>
  <c r="AH437" i="1"/>
  <c r="AF437" i="1"/>
  <c r="AG437" i="1" s="1"/>
  <c r="AU437" i="1" s="1"/>
  <c r="AV437" i="1" s="1"/>
  <c r="AH520" i="1"/>
  <c r="AH593" i="1"/>
  <c r="AF593" i="1"/>
  <c r="AG593" i="1" s="1"/>
  <c r="AU593" i="1" s="1"/>
  <c r="AV593" i="1" s="1"/>
  <c r="AH797" i="1"/>
  <c r="AJ797" i="1" s="1"/>
  <c r="AH246" i="1"/>
  <c r="AJ246" i="1" s="1"/>
  <c r="AE318" i="1"/>
  <c r="AF318" i="1" s="1"/>
  <c r="AG318" i="1" s="1"/>
  <c r="AU318" i="1" s="1"/>
  <c r="AV318" i="1" s="1"/>
  <c r="AE358" i="1"/>
  <c r="AH358" i="1" s="1"/>
  <c r="AH417" i="1"/>
  <c r="AJ417" i="1" s="1"/>
  <c r="AH429" i="1"/>
  <c r="AJ429" i="1" s="1"/>
  <c r="AH496" i="1"/>
  <c r="AF496" i="1"/>
  <c r="AG496" i="1" s="1"/>
  <c r="AU496" i="1" s="1"/>
  <c r="AV496" i="1" s="1"/>
  <c r="AF500" i="1"/>
  <c r="AG500" i="1" s="1"/>
  <c r="AU500" i="1" s="1"/>
  <c r="AV500" i="1" s="1"/>
  <c r="AH500" i="1"/>
  <c r="AL500" i="1" s="1"/>
  <c r="AO500" i="1" s="1"/>
  <c r="AR500" i="1" s="1"/>
  <c r="AF12" i="1"/>
  <c r="AG12" i="1" s="1"/>
  <c r="AU12" i="1" s="1"/>
  <c r="AV12" i="1" s="1"/>
  <c r="AH582" i="1"/>
  <c r="AF786" i="1"/>
  <c r="AG786" i="1" s="1"/>
  <c r="AU786" i="1" s="1"/>
  <c r="AV786" i="1" s="1"/>
  <c r="AH786" i="1"/>
  <c r="AJ786" i="1" s="1"/>
  <c r="AF394" i="1"/>
  <c r="AG394" i="1" s="1"/>
  <c r="AU394" i="1" s="1"/>
  <c r="AV394" i="1" s="1"/>
  <c r="AH394" i="1"/>
  <c r="AH454" i="1"/>
  <c r="AJ454" i="1" s="1"/>
  <c r="AF454" i="1"/>
  <c r="AG454" i="1" s="1"/>
  <c r="AU454" i="1" s="1"/>
  <c r="AV454" i="1" s="1"/>
  <c r="AH556" i="1"/>
  <c r="AJ556" i="1" s="1"/>
  <c r="AF556" i="1"/>
  <c r="AG556" i="1" s="1"/>
  <c r="AU556" i="1" s="1"/>
  <c r="AV556" i="1" s="1"/>
  <c r="AE469" i="1"/>
  <c r="AH469" i="1" s="1"/>
  <c r="AJ469" i="1" s="1"/>
  <c r="AE449" i="1"/>
  <c r="AE578" i="1"/>
  <c r="AH578" i="1" s="1"/>
  <c r="AL661" i="1"/>
  <c r="AO661" i="1" s="1"/>
  <c r="AR661" i="1" s="1"/>
  <c r="AE692" i="1"/>
  <c r="AE758" i="1"/>
  <c r="AH758" i="1" s="1"/>
  <c r="AJ758" i="1" s="1"/>
  <c r="AE803" i="1"/>
  <c r="AF803" i="1" s="1"/>
  <c r="AG803" i="1" s="1"/>
  <c r="AU803" i="1" s="1"/>
  <c r="AV803" i="1" s="1"/>
  <c r="AL565" i="1"/>
  <c r="AO565" i="1" s="1"/>
  <c r="AR565" i="1" s="1"/>
  <c r="AE580" i="1"/>
  <c r="AH580" i="1" s="1"/>
  <c r="AJ580" i="1" s="1"/>
  <c r="AL687" i="1"/>
  <c r="AO687" i="1" s="1"/>
  <c r="AR687" i="1" s="1"/>
  <c r="AH668" i="1"/>
  <c r="AE780" i="1"/>
  <c r="AF780" i="1" s="1"/>
  <c r="AG780" i="1" s="1"/>
  <c r="AU780" i="1" s="1"/>
  <c r="AV780" i="1" s="1"/>
  <c r="AL789" i="1"/>
  <c r="AO789" i="1" s="1"/>
  <c r="AR789" i="1" s="1"/>
  <c r="AE726" i="1"/>
  <c r="AH726" i="1" s="1"/>
  <c r="AJ726" i="1" s="1"/>
  <c r="AF789" i="1"/>
  <c r="AG789" i="1" s="1"/>
  <c r="AU789" i="1" s="1"/>
  <c r="AV789" i="1" s="1"/>
  <c r="AE529" i="1"/>
  <c r="AH529" i="1" s="1"/>
  <c r="AJ529" i="1" s="1"/>
  <c r="AE476" i="1"/>
  <c r="AF476" i="1" s="1"/>
  <c r="AG476" i="1" s="1"/>
  <c r="AU476" i="1" s="1"/>
  <c r="AV476" i="1" s="1"/>
  <c r="AL602" i="1"/>
  <c r="AO602" i="1" s="1"/>
  <c r="AR602" i="1" s="1"/>
  <c r="AL621" i="1"/>
  <c r="AO621" i="1" s="1"/>
  <c r="AR621" i="1" s="1"/>
  <c r="AF310" i="1"/>
  <c r="AG310" i="1" s="1"/>
  <c r="AU310" i="1" s="1"/>
  <c r="AV310" i="1" s="1"/>
  <c r="AE576" i="1"/>
  <c r="AF576" i="1" s="1"/>
  <c r="AG576" i="1" s="1"/>
  <c r="AU576" i="1" s="1"/>
  <c r="AV576" i="1" s="1"/>
  <c r="AE502" i="1"/>
  <c r="AH502" i="1" s="1"/>
  <c r="AJ502" i="1" s="1"/>
  <c r="AH531" i="1"/>
  <c r="AF621" i="1"/>
  <c r="AG621" i="1" s="1"/>
  <c r="AU621" i="1" s="1"/>
  <c r="AV621" i="1" s="1"/>
  <c r="AE677" i="1"/>
  <c r="AF677" i="1" s="1"/>
  <c r="AG677" i="1" s="1"/>
  <c r="AU677" i="1" s="1"/>
  <c r="AV677" i="1" s="1"/>
  <c r="AF690" i="1"/>
  <c r="AG690" i="1" s="1"/>
  <c r="AU690" i="1" s="1"/>
  <c r="AV690" i="1" s="1"/>
  <c r="AF812" i="1"/>
  <c r="AG812" i="1" s="1"/>
  <c r="AU812" i="1" s="1"/>
  <c r="AV812" i="1" s="1"/>
  <c r="AF748" i="1"/>
  <c r="AG748" i="1" s="1"/>
  <c r="AU748" i="1" s="1"/>
  <c r="AV748" i="1" s="1"/>
  <c r="AF761" i="1"/>
  <c r="AG761" i="1" s="1"/>
  <c r="AU761" i="1" s="1"/>
  <c r="AV761" i="1" s="1"/>
  <c r="AE506" i="1"/>
  <c r="AH506" i="1" s="1"/>
  <c r="AJ506" i="1" s="1"/>
  <c r="AE601" i="1"/>
  <c r="AF601" i="1" s="1"/>
  <c r="AG601" i="1" s="1"/>
  <c r="AU601" i="1" s="1"/>
  <c r="AV601" i="1" s="1"/>
  <c r="AH4" i="1"/>
  <c r="AJ4" i="1" s="1"/>
  <c r="AF4" i="1"/>
  <c r="AG4" i="1" s="1"/>
  <c r="AU4" i="1" s="1"/>
  <c r="AV4" i="1" s="1"/>
  <c r="AH60" i="1"/>
  <c r="AJ60" i="1" s="1"/>
  <c r="AF60" i="1"/>
  <c r="AG60" i="1" s="1"/>
  <c r="AU60" i="1" s="1"/>
  <c r="AV60" i="1" s="1"/>
  <c r="AH13" i="1"/>
  <c r="AJ13" i="1" s="1"/>
  <c r="AG13" i="1"/>
  <c r="AU13" i="1" s="1"/>
  <c r="AV13" i="1" s="1"/>
  <c r="AH20" i="1"/>
  <c r="AJ20" i="1" s="1"/>
  <c r="AF20" i="1"/>
  <c r="AG20" i="1" s="1"/>
  <c r="AU20" i="1" s="1"/>
  <c r="AV20" i="1" s="1"/>
  <c r="AF51" i="1"/>
  <c r="AG51" i="1" s="1"/>
  <c r="AU51" i="1" s="1"/>
  <c r="AV51" i="1" s="1"/>
  <c r="AH51" i="1"/>
  <c r="AJ51" i="1" s="1"/>
  <c r="AH85" i="1"/>
  <c r="AJ85" i="1" s="1"/>
  <c r="AF85" i="1"/>
  <c r="AG85" i="1" s="1"/>
  <c r="AU85" i="1" s="1"/>
  <c r="AV85" i="1" s="1"/>
  <c r="AF92" i="1"/>
  <c r="AG92" i="1" s="1"/>
  <c r="AU92" i="1" s="1"/>
  <c r="AV92" i="1" s="1"/>
  <c r="AH92" i="1"/>
  <c r="AJ92" i="1" s="1"/>
  <c r="AF119" i="1"/>
  <c r="AG119" i="1" s="1"/>
  <c r="AU119" i="1" s="1"/>
  <c r="AV119" i="1" s="1"/>
  <c r="AH119" i="1"/>
  <c r="AJ119" i="1" s="1"/>
  <c r="AH7" i="1"/>
  <c r="AJ7" i="1" s="1"/>
  <c r="AF7" i="1"/>
  <c r="AG7" i="1" s="1"/>
  <c r="AU7" i="1" s="1"/>
  <c r="AV7" i="1" s="1"/>
  <c r="AH42" i="1"/>
  <c r="AJ42" i="1" s="1"/>
  <c r="AF42" i="1"/>
  <c r="AG42" i="1" s="1"/>
  <c r="AU42" i="1" s="1"/>
  <c r="AV42" i="1" s="1"/>
  <c r="AF61" i="1"/>
  <c r="AG61" i="1" s="1"/>
  <c r="AU61" i="1" s="1"/>
  <c r="AV61" i="1" s="1"/>
  <c r="AH61" i="1"/>
  <c r="AJ61" i="1" s="1"/>
  <c r="AH11" i="1"/>
  <c r="AJ11" i="1" s="1"/>
  <c r="AG11" i="1"/>
  <c r="AU11" i="1" s="1"/>
  <c r="AV11" i="1" s="1"/>
  <c r="AH25" i="1"/>
  <c r="AJ25" i="1" s="1"/>
  <c r="AF25" i="1"/>
  <c r="AG25" i="1" s="1"/>
  <c r="AU25" i="1" s="1"/>
  <c r="AV25" i="1" s="1"/>
  <c r="AH81" i="1"/>
  <c r="AJ81" i="1" s="1"/>
  <c r="AF81" i="1"/>
  <c r="AG81" i="1" s="1"/>
  <c r="AU81" i="1" s="1"/>
  <c r="AV81" i="1" s="1"/>
  <c r="AH89" i="1"/>
  <c r="AJ89" i="1" s="1"/>
  <c r="AF89" i="1"/>
  <c r="AG89" i="1" s="1"/>
  <c r="AU89" i="1" s="1"/>
  <c r="AV89" i="1" s="1"/>
  <c r="AF18" i="1"/>
  <c r="AG18" i="1" s="1"/>
  <c r="AU18" i="1" s="1"/>
  <c r="AV18" i="1" s="1"/>
  <c r="AH18" i="1"/>
  <c r="AJ18" i="1" s="1"/>
  <c r="AH38" i="1"/>
  <c r="AJ38" i="1" s="1"/>
  <c r="AF38" i="1"/>
  <c r="AG38" i="1" s="1"/>
  <c r="AU38" i="1" s="1"/>
  <c r="AV38" i="1" s="1"/>
  <c r="AF65" i="1"/>
  <c r="AG65" i="1" s="1"/>
  <c r="AU65" i="1" s="1"/>
  <c r="AV65" i="1" s="1"/>
  <c r="AH65" i="1"/>
  <c r="AJ65" i="1" s="1"/>
  <c r="AH69" i="1"/>
  <c r="AJ69" i="1" s="1"/>
  <c r="AF69" i="1"/>
  <c r="AG69" i="1" s="1"/>
  <c r="AU69" i="1" s="1"/>
  <c r="AV69" i="1" s="1"/>
  <c r="AF241" i="1"/>
  <c r="AG241" i="1" s="1"/>
  <c r="AU241" i="1" s="1"/>
  <c r="AV241" i="1" s="1"/>
  <c r="AH241" i="1"/>
  <c r="AJ241" i="1" s="1"/>
  <c r="AH28" i="1"/>
  <c r="AJ28" i="1" s="1"/>
  <c r="AF28" i="1"/>
  <c r="AG28" i="1" s="1"/>
  <c r="AU28" i="1" s="1"/>
  <c r="AV28" i="1" s="1"/>
  <c r="AH3" i="1"/>
  <c r="AJ3" i="1" s="1"/>
  <c r="AF3" i="1"/>
  <c r="AG3" i="1" s="1"/>
  <c r="AU3" i="1" s="1"/>
  <c r="AV3" i="1" s="1"/>
  <c r="AH21" i="1"/>
  <c r="AJ21" i="1" s="1"/>
  <c r="AF21" i="1"/>
  <c r="AG21" i="1" s="1"/>
  <c r="AU21" i="1" s="1"/>
  <c r="AV21" i="1" s="1"/>
  <c r="AH52" i="1"/>
  <c r="AJ52" i="1" s="1"/>
  <c r="AF52" i="1"/>
  <c r="AG52" i="1" s="1"/>
  <c r="AU52" i="1" s="1"/>
  <c r="AV52" i="1" s="1"/>
  <c r="AH93" i="1"/>
  <c r="AJ93" i="1" s="1"/>
  <c r="AF93" i="1"/>
  <c r="AG93" i="1" s="1"/>
  <c r="AU93" i="1" s="1"/>
  <c r="AV93" i="1" s="1"/>
  <c r="AH56" i="1"/>
  <c r="AJ56" i="1" s="1"/>
  <c r="AF56" i="1"/>
  <c r="AG56" i="1" s="1"/>
  <c r="AU56" i="1" s="1"/>
  <c r="AV56" i="1" s="1"/>
  <c r="AH59" i="1"/>
  <c r="AJ59" i="1" s="1"/>
  <c r="AF59" i="1"/>
  <c r="AG59" i="1" s="1"/>
  <c r="AU59" i="1" s="1"/>
  <c r="AV59" i="1" s="1"/>
  <c r="AH73" i="1"/>
  <c r="AJ73" i="1" s="1"/>
  <c r="AF73" i="1"/>
  <c r="AG73" i="1" s="1"/>
  <c r="AU73" i="1" s="1"/>
  <c r="AV73" i="1" s="1"/>
  <c r="AF84" i="1"/>
  <c r="AG84" i="1" s="1"/>
  <c r="AU84" i="1" s="1"/>
  <c r="AV84" i="1" s="1"/>
  <c r="AH84" i="1"/>
  <c r="AJ84" i="1" s="1"/>
  <c r="AH47" i="1"/>
  <c r="AJ47" i="1" s="1"/>
  <c r="AF47" i="1"/>
  <c r="AG47" i="1" s="1"/>
  <c r="AU47" i="1" s="1"/>
  <c r="AV47" i="1" s="1"/>
  <c r="AF19" i="1"/>
  <c r="AG19" i="1" s="1"/>
  <c r="AU19" i="1" s="1"/>
  <c r="AV19" i="1" s="1"/>
  <c r="AH19" i="1"/>
  <c r="AJ19" i="1" s="1"/>
  <c r="AF10" i="1"/>
  <c r="AG10" i="1" s="1"/>
  <c r="AU10" i="1" s="1"/>
  <c r="AV10" i="1" s="1"/>
  <c r="AH10" i="1"/>
  <c r="AJ10" i="1" s="1"/>
  <c r="AH24" i="1"/>
  <c r="AJ24" i="1" s="1"/>
  <c r="AF24" i="1"/>
  <c r="AG24" i="1" s="1"/>
  <c r="AU24" i="1" s="1"/>
  <c r="AV24" i="1" s="1"/>
  <c r="AH48" i="1"/>
  <c r="AJ48" i="1" s="1"/>
  <c r="AF48" i="1"/>
  <c r="AG48" i="1" s="1"/>
  <c r="AU48" i="1" s="1"/>
  <c r="AV48" i="1" s="1"/>
  <c r="AH77" i="1"/>
  <c r="AJ77" i="1" s="1"/>
  <c r="AF77" i="1"/>
  <c r="AG77" i="1" s="1"/>
  <c r="AU77" i="1" s="1"/>
  <c r="AV77" i="1" s="1"/>
  <c r="AF775" i="1"/>
  <c r="AG775" i="1" s="1"/>
  <c r="AU775" i="1" s="1"/>
  <c r="AV775" i="1" s="1"/>
  <c r="AH775" i="1"/>
  <c r="AJ775" i="1" s="1"/>
  <c r="AF23" i="1"/>
  <c r="AG23" i="1" s="1"/>
  <c r="AU23" i="1" s="1"/>
  <c r="AV23" i="1" s="1"/>
  <c r="AH23" i="1"/>
  <c r="AJ23" i="1" s="1"/>
  <c r="AF197" i="1"/>
  <c r="AG197" i="1" s="1"/>
  <c r="AU197" i="1" s="1"/>
  <c r="AV197" i="1" s="1"/>
  <c r="AH197" i="1"/>
  <c r="AJ197" i="1" s="1"/>
  <c r="AH29" i="1"/>
  <c r="AJ29" i="1" s="1"/>
  <c r="AF29" i="1"/>
  <c r="AG29" i="1" s="1"/>
  <c r="AU29" i="1" s="1"/>
  <c r="AV29" i="1" s="1"/>
  <c r="AH37" i="1"/>
  <c r="AJ37" i="1" s="1"/>
  <c r="AF37" i="1"/>
  <c r="AG37" i="1" s="1"/>
  <c r="AU37" i="1" s="1"/>
  <c r="AV37" i="1" s="1"/>
  <c r="AH64" i="1"/>
  <c r="AJ64" i="1" s="1"/>
  <c r="AF64" i="1"/>
  <c r="AG64" i="1" s="1"/>
  <c r="AU64" i="1" s="1"/>
  <c r="AV64" i="1" s="1"/>
  <c r="AH8" i="1"/>
  <c r="AJ8" i="1" s="1"/>
  <c r="AG8" i="1"/>
  <c r="AU8" i="1" s="1"/>
  <c r="AV8" i="1" s="1"/>
  <c r="AF55" i="1"/>
  <c r="AG55" i="1" s="1"/>
  <c r="AU55" i="1" s="1"/>
  <c r="AV55" i="1" s="1"/>
  <c r="AH55" i="1"/>
  <c r="AJ55" i="1" s="1"/>
  <c r="AH105" i="1"/>
  <c r="AJ105" i="1" s="1"/>
  <c r="AF105" i="1"/>
  <c r="AG105" i="1" s="1"/>
  <c r="AU105" i="1" s="1"/>
  <c r="AV105" i="1" s="1"/>
  <c r="AF87" i="1"/>
  <c r="AG87" i="1" s="1"/>
  <c r="AU87" i="1" s="1"/>
  <c r="AV87" i="1" s="1"/>
  <c r="AH114" i="1"/>
  <c r="AJ114" i="1" s="1"/>
  <c r="AF756" i="1"/>
  <c r="AG756" i="1" s="1"/>
  <c r="AU756" i="1" s="1"/>
  <c r="AV756" i="1" s="1"/>
  <c r="AH151" i="1"/>
  <c r="AJ151" i="1" s="1"/>
  <c r="AF151" i="1"/>
  <c r="AG151" i="1" s="1"/>
  <c r="AU151" i="1" s="1"/>
  <c r="AV151" i="1" s="1"/>
  <c r="AH156" i="1"/>
  <c r="AF156" i="1"/>
  <c r="AG156" i="1" s="1"/>
  <c r="AU156" i="1" s="1"/>
  <c r="AV156" i="1" s="1"/>
  <c r="AH166" i="1"/>
  <c r="AJ166" i="1" s="1"/>
  <c r="AF171" i="1"/>
  <c r="AG171" i="1" s="1"/>
  <c r="AU171" i="1" s="1"/>
  <c r="AV171" i="1" s="1"/>
  <c r="AF189" i="1"/>
  <c r="AG189" i="1" s="1"/>
  <c r="AU189" i="1" s="1"/>
  <c r="AV189" i="1" s="1"/>
  <c r="AL189" i="1"/>
  <c r="AO189" i="1" s="1"/>
  <c r="AR189" i="1" s="1"/>
  <c r="AH220" i="1"/>
  <c r="AF220" i="1"/>
  <c r="AG220" i="1" s="1"/>
  <c r="AU220" i="1" s="1"/>
  <c r="AV220" i="1" s="1"/>
  <c r="AF290" i="1"/>
  <c r="AG290" i="1" s="1"/>
  <c r="AU290" i="1" s="1"/>
  <c r="AV290" i="1" s="1"/>
  <c r="AH290" i="1"/>
  <c r="AJ290" i="1" s="1"/>
  <c r="AH101" i="1"/>
  <c r="AJ101" i="1" s="1"/>
  <c r="AF101" i="1"/>
  <c r="AG101" i="1" s="1"/>
  <c r="AU101" i="1" s="1"/>
  <c r="AV101" i="1" s="1"/>
  <c r="AL756" i="1"/>
  <c r="AO756" i="1" s="1"/>
  <c r="AR756" i="1" s="1"/>
  <c r="AJ144" i="1"/>
  <c r="AL144" i="1"/>
  <c r="AO144" i="1" s="1"/>
  <c r="AR144" i="1" s="1"/>
  <c r="AF181" i="1"/>
  <c r="AG181" i="1" s="1"/>
  <c r="AU181" i="1" s="1"/>
  <c r="AV181" i="1" s="1"/>
  <c r="AH195" i="1"/>
  <c r="AJ195" i="1" s="1"/>
  <c r="AF195" i="1"/>
  <c r="AG195" i="1" s="1"/>
  <c r="AU195" i="1" s="1"/>
  <c r="AV195" i="1" s="1"/>
  <c r="AH225" i="1"/>
  <c r="AJ225" i="1" s="1"/>
  <c r="AF225" i="1"/>
  <c r="AG225" i="1" s="1"/>
  <c r="AU225" i="1" s="1"/>
  <c r="AV225" i="1" s="1"/>
  <c r="AH240" i="1"/>
  <c r="AJ240" i="1" s="1"/>
  <c r="AF240" i="1"/>
  <c r="AG240" i="1" s="1"/>
  <c r="AU240" i="1" s="1"/>
  <c r="AV240" i="1" s="1"/>
  <c r="AH200" i="1"/>
  <c r="AJ200" i="1" s="1"/>
  <c r="AF200" i="1"/>
  <c r="AG200" i="1" s="1"/>
  <c r="AU200" i="1" s="1"/>
  <c r="AV200" i="1" s="1"/>
  <c r="AH15" i="1"/>
  <c r="AJ15" i="1" s="1"/>
  <c r="AF16" i="1"/>
  <c r="AG16" i="1" s="1"/>
  <c r="AU16" i="1" s="1"/>
  <c r="AV16" i="1" s="1"/>
  <c r="AG36" i="1"/>
  <c r="AU36" i="1" s="1"/>
  <c r="AV36" i="1" s="1"/>
  <c r="AH41" i="1"/>
  <c r="AJ41" i="1" s="1"/>
  <c r="AL79" i="1"/>
  <c r="AO79" i="1" s="1"/>
  <c r="AR79" i="1" s="1"/>
  <c r="AH87" i="1"/>
  <c r="AJ87" i="1" s="1"/>
  <c r="AF95" i="1"/>
  <c r="AG95" i="1" s="1"/>
  <c r="AU95" i="1" s="1"/>
  <c r="AV95" i="1" s="1"/>
  <c r="AF123" i="1"/>
  <c r="AG123" i="1" s="1"/>
  <c r="AU123" i="1" s="1"/>
  <c r="AV123" i="1" s="1"/>
  <c r="AH126" i="1"/>
  <c r="AJ126" i="1" s="1"/>
  <c r="AF126" i="1"/>
  <c r="AG126" i="1" s="1"/>
  <c r="AU126" i="1" s="1"/>
  <c r="AV126" i="1" s="1"/>
  <c r="AL148" i="1"/>
  <c r="AO148" i="1" s="1"/>
  <c r="AR148" i="1" s="1"/>
  <c r="AH158" i="1"/>
  <c r="AJ158" i="1" s="1"/>
  <c r="AF158" i="1"/>
  <c r="AG158" i="1" s="1"/>
  <c r="AU158" i="1" s="1"/>
  <c r="AV158" i="1" s="1"/>
  <c r="AH171" i="1"/>
  <c r="AJ171" i="1" s="1"/>
  <c r="AH181" i="1"/>
  <c r="AJ181" i="1" s="1"/>
  <c r="AH422" i="1"/>
  <c r="AJ422" i="1" s="1"/>
  <c r="AF422" i="1"/>
  <c r="AG422" i="1" s="1"/>
  <c r="AU422" i="1" s="1"/>
  <c r="AV422" i="1" s="1"/>
  <c r="AH30" i="1"/>
  <c r="AJ30" i="1" s="1"/>
  <c r="AF30" i="1"/>
  <c r="AG30" i="1" s="1"/>
  <c r="AU30" i="1" s="1"/>
  <c r="AV30" i="1" s="1"/>
  <c r="AH36" i="1"/>
  <c r="AJ36" i="1" s="1"/>
  <c r="AF68" i="1"/>
  <c r="AG68" i="1" s="1"/>
  <c r="AU68" i="1" s="1"/>
  <c r="AV68" i="1" s="1"/>
  <c r="AL76" i="1"/>
  <c r="AO76" i="1" s="1"/>
  <c r="AR76" i="1" s="1"/>
  <c r="AF76" i="1"/>
  <c r="AG76" i="1" s="1"/>
  <c r="AU76" i="1" s="1"/>
  <c r="AV76" i="1" s="1"/>
  <c r="AH108" i="1"/>
  <c r="AJ108" i="1" s="1"/>
  <c r="AF714" i="1"/>
  <c r="AG714" i="1" s="1"/>
  <c r="AU714" i="1" s="1"/>
  <c r="AV714" i="1" s="1"/>
  <c r="AH714" i="1"/>
  <c r="AJ714" i="1" s="1"/>
  <c r="AH135" i="1"/>
  <c r="AJ135" i="1" s="1"/>
  <c r="AF135" i="1"/>
  <c r="AG135" i="1" s="1"/>
  <c r="AU135" i="1" s="1"/>
  <c r="AV135" i="1" s="1"/>
  <c r="AH140" i="1"/>
  <c r="AF140" i="1"/>
  <c r="AG140" i="1" s="1"/>
  <c r="AU140" i="1" s="1"/>
  <c r="AV140" i="1" s="1"/>
  <c r="AL163" i="1"/>
  <c r="AO163" i="1" s="1"/>
  <c r="AR163" i="1" s="1"/>
  <c r="AH35" i="1"/>
  <c r="AJ35" i="1" s="1"/>
  <c r="AH95" i="1"/>
  <c r="AJ95" i="1" s="1"/>
  <c r="AH100" i="1"/>
  <c r="AJ100" i="1" s="1"/>
  <c r="AH123" i="1"/>
  <c r="AJ123" i="1" s="1"/>
  <c r="AH150" i="1"/>
  <c r="AJ150" i="1" s="1"/>
  <c r="AF170" i="1"/>
  <c r="AG170" i="1" s="1"/>
  <c r="AU170" i="1" s="1"/>
  <c r="AV170" i="1" s="1"/>
  <c r="AH186" i="1"/>
  <c r="AJ186" i="1" s="1"/>
  <c r="AF186" i="1"/>
  <c r="AG186" i="1" s="1"/>
  <c r="AU186" i="1" s="1"/>
  <c r="AV186" i="1" s="1"/>
  <c r="AH208" i="1"/>
  <c r="AJ208" i="1" s="1"/>
  <c r="AF208" i="1"/>
  <c r="AG208" i="1" s="1"/>
  <c r="AU208" i="1" s="1"/>
  <c r="AV208" i="1" s="1"/>
  <c r="AH211" i="1"/>
  <c r="AJ211" i="1" s="1"/>
  <c r="AF211" i="1"/>
  <c r="AG211" i="1" s="1"/>
  <c r="AU211" i="1" s="1"/>
  <c r="AV211" i="1" s="1"/>
  <c r="AF217" i="1"/>
  <c r="AG217" i="1" s="1"/>
  <c r="AU217" i="1" s="1"/>
  <c r="AV217" i="1" s="1"/>
  <c r="AH217" i="1"/>
  <c r="AF227" i="1"/>
  <c r="AG227" i="1" s="1"/>
  <c r="AU227" i="1" s="1"/>
  <c r="AV227" i="1" s="1"/>
  <c r="AH227" i="1"/>
  <c r="AJ227" i="1" s="1"/>
  <c r="AH279" i="1"/>
  <c r="AG279" i="1"/>
  <c r="AU279" i="1" s="1"/>
  <c r="AV279" i="1" s="1"/>
  <c r="AH403" i="1"/>
  <c r="AJ403" i="1" s="1"/>
  <c r="AF403" i="1"/>
  <c r="AG403" i="1" s="1"/>
  <c r="AU403" i="1" s="1"/>
  <c r="AV403" i="1" s="1"/>
  <c r="AH62" i="1"/>
  <c r="AJ62" i="1" s="1"/>
  <c r="AH66" i="1"/>
  <c r="AJ66" i="1" s="1"/>
  <c r="AF67" i="1"/>
  <c r="AG67" i="1" s="1"/>
  <c r="AU67" i="1" s="1"/>
  <c r="AV67" i="1" s="1"/>
  <c r="AH68" i="1"/>
  <c r="AJ68" i="1" s="1"/>
  <c r="AF75" i="1"/>
  <c r="AG75" i="1" s="1"/>
  <c r="AU75" i="1" s="1"/>
  <c r="AV75" i="1" s="1"/>
  <c r="AF83" i="1"/>
  <c r="AG83" i="1" s="1"/>
  <c r="AU83" i="1" s="1"/>
  <c r="AV83" i="1" s="1"/>
  <c r="AF100" i="1"/>
  <c r="AG100" i="1" s="1"/>
  <c r="AU100" i="1" s="1"/>
  <c r="AV100" i="1" s="1"/>
  <c r="AH111" i="1"/>
  <c r="AJ111" i="1" s="1"/>
  <c r="AF111" i="1"/>
  <c r="AG111" i="1" s="1"/>
  <c r="AU111" i="1" s="1"/>
  <c r="AV111" i="1" s="1"/>
  <c r="AH142" i="1"/>
  <c r="AJ142" i="1" s="1"/>
  <c r="AF142" i="1"/>
  <c r="AG142" i="1" s="1"/>
  <c r="AU142" i="1" s="1"/>
  <c r="AV142" i="1" s="1"/>
  <c r="AF150" i="1"/>
  <c r="AG150" i="1" s="1"/>
  <c r="AU150" i="1" s="1"/>
  <c r="AV150" i="1" s="1"/>
  <c r="AF165" i="1"/>
  <c r="AG165" i="1" s="1"/>
  <c r="AU165" i="1" s="1"/>
  <c r="AV165" i="1" s="1"/>
  <c r="AH170" i="1"/>
  <c r="AJ170" i="1" s="1"/>
  <c r="AF183" i="1"/>
  <c r="AG183" i="1" s="1"/>
  <c r="AU183" i="1" s="1"/>
  <c r="AV183" i="1" s="1"/>
  <c r="AF191" i="1"/>
  <c r="AG191" i="1" s="1"/>
  <c r="AU191" i="1" s="1"/>
  <c r="AV191" i="1" s="1"/>
  <c r="AH191" i="1"/>
  <c r="AJ191" i="1" s="1"/>
  <c r="AH472" i="1"/>
  <c r="AJ472" i="1" s="1"/>
  <c r="AF472" i="1"/>
  <c r="AG472" i="1" s="1"/>
  <c r="AU472" i="1" s="1"/>
  <c r="AV472" i="1" s="1"/>
  <c r="AF133" i="1"/>
  <c r="AG133" i="1" s="1"/>
  <c r="AU133" i="1" s="1"/>
  <c r="AV133" i="1" s="1"/>
  <c r="AH133" i="1"/>
  <c r="AJ133" i="1" s="1"/>
  <c r="AH271" i="1"/>
  <c r="AJ271" i="1" s="1"/>
  <c r="AF271" i="1"/>
  <c r="AG271" i="1" s="1"/>
  <c r="AU271" i="1" s="1"/>
  <c r="AV271" i="1" s="1"/>
  <c r="AH34" i="1"/>
  <c r="AJ34" i="1" s="1"/>
  <c r="AF34" i="1"/>
  <c r="AG34" i="1" s="1"/>
  <c r="AU34" i="1" s="1"/>
  <c r="AV34" i="1" s="1"/>
  <c r="AL16" i="1"/>
  <c r="AO16" i="1" s="1"/>
  <c r="AR16" i="1" s="1"/>
  <c r="AL33" i="1"/>
  <c r="AO33" i="1" s="1"/>
  <c r="AR33" i="1" s="1"/>
  <c r="AH717" i="1"/>
  <c r="AJ717" i="1" s="1"/>
  <c r="AF717" i="1"/>
  <c r="AG717" i="1" s="1"/>
  <c r="AU717" i="1" s="1"/>
  <c r="AV717" i="1" s="1"/>
  <c r="AF63" i="1"/>
  <c r="AG63" i="1" s="1"/>
  <c r="AU63" i="1" s="1"/>
  <c r="AV63" i="1" s="1"/>
  <c r="AF125" i="1"/>
  <c r="AG125" i="1" s="1"/>
  <c r="AU125" i="1" s="1"/>
  <c r="AV125" i="1" s="1"/>
  <c r="AF146" i="1"/>
  <c r="AG146" i="1" s="1"/>
  <c r="AU146" i="1" s="1"/>
  <c r="AV146" i="1" s="1"/>
  <c r="AF152" i="1"/>
  <c r="AG152" i="1" s="1"/>
  <c r="AU152" i="1" s="1"/>
  <c r="AV152" i="1" s="1"/>
  <c r="AH165" i="1"/>
  <c r="AJ165" i="1" s="1"/>
  <c r="AH183" i="1"/>
  <c r="AJ183" i="1" s="1"/>
  <c r="AL199" i="1"/>
  <c r="AO199" i="1" s="1"/>
  <c r="AR199" i="1" s="1"/>
  <c r="AH221" i="1"/>
  <c r="AJ221" i="1" s="1"/>
  <c r="AF221" i="1"/>
  <c r="AG221" i="1" s="1"/>
  <c r="AU221" i="1" s="1"/>
  <c r="AV221" i="1" s="1"/>
  <c r="AH263" i="1"/>
  <c r="AJ263" i="1" s="1"/>
  <c r="AF263" i="1"/>
  <c r="AG263" i="1" s="1"/>
  <c r="AU263" i="1" s="1"/>
  <c r="AV263" i="1" s="1"/>
  <c r="AH327" i="1"/>
  <c r="AJ327" i="1" s="1"/>
  <c r="AF327" i="1"/>
  <c r="AG327" i="1" s="1"/>
  <c r="AU327" i="1" s="1"/>
  <c r="AV327" i="1" s="1"/>
  <c r="AL14" i="1"/>
  <c r="AO14" i="1" s="1"/>
  <c r="AR14" i="1" s="1"/>
  <c r="AF6" i="1"/>
  <c r="AG6" i="1" s="1"/>
  <c r="AU6" i="1" s="1"/>
  <c r="AV6" i="1" s="1"/>
  <c r="AH32" i="1"/>
  <c r="AJ32" i="1" s="1"/>
  <c r="AH22" i="1"/>
  <c r="AJ22" i="1" s="1"/>
  <c r="AH58" i="1"/>
  <c r="AH67" i="1"/>
  <c r="AJ67" i="1" s="1"/>
  <c r="AH75" i="1"/>
  <c r="AJ75" i="1" s="1"/>
  <c r="AH83" i="1"/>
  <c r="AJ83" i="1" s="1"/>
  <c r="AF91" i="1"/>
  <c r="AG91" i="1" s="1"/>
  <c r="AU91" i="1" s="1"/>
  <c r="AV91" i="1" s="1"/>
  <c r="AH125" i="1"/>
  <c r="AJ125" i="1" s="1"/>
  <c r="AH315" i="1"/>
  <c r="AJ315" i="1" s="1"/>
  <c r="AH152" i="1"/>
  <c r="AJ152" i="1" s="1"/>
  <c r="AF157" i="1"/>
  <c r="AG157" i="1" s="1"/>
  <c r="AU157" i="1" s="1"/>
  <c r="AV157" i="1" s="1"/>
  <c r="AH157" i="1"/>
  <c r="AJ157" i="1" s="1"/>
  <c r="AF180" i="1"/>
  <c r="AG180" i="1" s="1"/>
  <c r="AU180" i="1" s="1"/>
  <c r="AV180" i="1" s="1"/>
  <c r="AH180" i="1"/>
  <c r="AJ180" i="1" s="1"/>
  <c r="AF219" i="1"/>
  <c r="AG219" i="1" s="1"/>
  <c r="AU219" i="1" s="1"/>
  <c r="AV219" i="1" s="1"/>
  <c r="AH219" i="1"/>
  <c r="AJ219" i="1" s="1"/>
  <c r="AF14" i="1"/>
  <c r="AG14" i="1" s="1"/>
  <c r="AU14" i="1" s="1"/>
  <c r="AV14" i="1" s="1"/>
  <c r="AF5" i="1"/>
  <c r="AG5" i="1" s="1"/>
  <c r="AU5" i="1" s="1"/>
  <c r="AV5" i="1" s="1"/>
  <c r="AH5" i="1"/>
  <c r="AJ5" i="1" s="1"/>
  <c r="AH17" i="1"/>
  <c r="AJ17" i="1" s="1"/>
  <c r="AH26" i="1"/>
  <c r="AJ26" i="1" s="1"/>
  <c r="AF26" i="1"/>
  <c r="AG26" i="1" s="1"/>
  <c r="AU26" i="1" s="1"/>
  <c r="AV26" i="1" s="1"/>
  <c r="AH27" i="1"/>
  <c r="AJ27" i="1" s="1"/>
  <c r="AH6" i="1"/>
  <c r="AJ6" i="1" s="1"/>
  <c r="AG9" i="1"/>
  <c r="AU9" i="1" s="1"/>
  <c r="AV9" i="1" s="1"/>
  <c r="AH53" i="1"/>
  <c r="AJ53" i="1" s="1"/>
  <c r="AF53" i="1"/>
  <c r="AG53" i="1" s="1"/>
  <c r="AU53" i="1" s="1"/>
  <c r="AV53" i="1" s="1"/>
  <c r="AH63" i="1"/>
  <c r="AJ63" i="1" s="1"/>
  <c r="AH104" i="1"/>
  <c r="AJ104" i="1" s="1"/>
  <c r="AH711" i="1"/>
  <c r="AJ711" i="1" s="1"/>
  <c r="AL146" i="1"/>
  <c r="AO146" i="1" s="1"/>
  <c r="AR146" i="1" s="1"/>
  <c r="AF149" i="1"/>
  <c r="AG149" i="1" s="1"/>
  <c r="AU149" i="1" s="1"/>
  <c r="AV149" i="1" s="1"/>
  <c r="AH149" i="1"/>
  <c r="AJ149" i="1" s="1"/>
  <c r="AH164" i="1"/>
  <c r="AJ164" i="1" s="1"/>
  <c r="AH243" i="1"/>
  <c r="AJ243" i="1" s="1"/>
  <c r="AF243" i="1"/>
  <c r="AG243" i="1" s="1"/>
  <c r="AU243" i="1" s="1"/>
  <c r="AV243" i="1" s="1"/>
  <c r="AH257" i="1"/>
  <c r="AJ257" i="1" s="1"/>
  <c r="AF257" i="1"/>
  <c r="AG257" i="1" s="1"/>
  <c r="AU257" i="1" s="1"/>
  <c r="AV257" i="1" s="1"/>
  <c r="AL90" i="1"/>
  <c r="AO90" i="1" s="1"/>
  <c r="AR90" i="1" s="1"/>
  <c r="AF90" i="1"/>
  <c r="AG90" i="1" s="1"/>
  <c r="AU90" i="1" s="1"/>
  <c r="AV90" i="1" s="1"/>
  <c r="AL45" i="1"/>
  <c r="AO45" i="1" s="1"/>
  <c r="AR45" i="1" s="1"/>
  <c r="AL72" i="1"/>
  <c r="AO72" i="1" s="1"/>
  <c r="AR72" i="1" s="1"/>
  <c r="AF72" i="1"/>
  <c r="AG72" i="1" s="1"/>
  <c r="AU72" i="1" s="1"/>
  <c r="AV72" i="1" s="1"/>
  <c r="AL80" i="1"/>
  <c r="AO80" i="1" s="1"/>
  <c r="AR80" i="1" s="1"/>
  <c r="AF80" i="1"/>
  <c r="AG80" i="1" s="1"/>
  <c r="AU80" i="1" s="1"/>
  <c r="AV80" i="1" s="1"/>
  <c r="AH185" i="1"/>
  <c r="AJ185" i="1" s="1"/>
  <c r="AF185" i="1"/>
  <c r="AG185" i="1" s="1"/>
  <c r="AU185" i="1" s="1"/>
  <c r="AV185" i="1" s="1"/>
  <c r="AH198" i="1"/>
  <c r="AJ198" i="1" s="1"/>
  <c r="AG278" i="1"/>
  <c r="AH278" i="1"/>
  <c r="AJ278" i="1" s="1"/>
  <c r="AH340" i="1"/>
  <c r="AJ340" i="1" s="1"/>
  <c r="AF340" i="1"/>
  <c r="AG340" i="1" s="1"/>
  <c r="AU340" i="1" s="1"/>
  <c r="AV340" i="1" s="1"/>
  <c r="AF136" i="1"/>
  <c r="AG136" i="1" s="1"/>
  <c r="AU136" i="1" s="1"/>
  <c r="AV136" i="1" s="1"/>
  <c r="AF45" i="1"/>
  <c r="AG45" i="1" s="1"/>
  <c r="AU45" i="1" s="1"/>
  <c r="AV45" i="1" s="1"/>
  <c r="AH49" i="1"/>
  <c r="AF49" i="1"/>
  <c r="AG49" i="1" s="1"/>
  <c r="AU49" i="1" s="1"/>
  <c r="AV49" i="1" s="1"/>
  <c r="AH127" i="1"/>
  <c r="AF127" i="1"/>
  <c r="AG127" i="1" s="1"/>
  <c r="AU127" i="1" s="1"/>
  <c r="AV127" i="1" s="1"/>
  <c r="AH136" i="1"/>
  <c r="AJ136" i="1" s="1"/>
  <c r="AF141" i="1"/>
  <c r="AG141" i="1" s="1"/>
  <c r="AU141" i="1" s="1"/>
  <c r="AV141" i="1" s="1"/>
  <c r="AH141" i="1"/>
  <c r="AJ141" i="1" s="1"/>
  <c r="AH182" i="1"/>
  <c r="AF182" i="1"/>
  <c r="AG182" i="1" s="1"/>
  <c r="AU182" i="1" s="1"/>
  <c r="AV182" i="1" s="1"/>
  <c r="AF198" i="1"/>
  <c r="AG198" i="1" s="1"/>
  <c r="AU198" i="1" s="1"/>
  <c r="AV198" i="1" s="1"/>
  <c r="AH204" i="1"/>
  <c r="AJ204" i="1" s="1"/>
  <c r="AF204" i="1"/>
  <c r="AG204" i="1" s="1"/>
  <c r="AU204" i="1" s="1"/>
  <c r="AV204" i="1" s="1"/>
  <c r="AH261" i="1"/>
  <c r="AJ261" i="1" s="1"/>
  <c r="AF261" i="1"/>
  <c r="AG261" i="1" s="1"/>
  <c r="AU261" i="1" s="1"/>
  <c r="AV261" i="1" s="1"/>
  <c r="AL802" i="1"/>
  <c r="AO802" i="1" s="1"/>
  <c r="AR802" i="1" s="1"/>
  <c r="AF802" i="1"/>
  <c r="AG802" i="1" s="1"/>
  <c r="AU802" i="1" s="1"/>
  <c r="AV802" i="1" s="1"/>
  <c r="AL153" i="1"/>
  <c r="AO153" i="1" s="1"/>
  <c r="AR153" i="1" s="1"/>
  <c r="AF153" i="1"/>
  <c r="AG153" i="1" s="1"/>
  <c r="AU153" i="1" s="1"/>
  <c r="AV153" i="1" s="1"/>
  <c r="AF188" i="1"/>
  <c r="AG188" i="1" s="1"/>
  <c r="AU188" i="1" s="1"/>
  <c r="AV188" i="1" s="1"/>
  <c r="AH188" i="1"/>
  <c r="AJ188" i="1" s="1"/>
  <c r="AH214" i="1"/>
  <c r="AF214" i="1"/>
  <c r="AG214" i="1" s="1"/>
  <c r="AU214" i="1" s="1"/>
  <c r="AV214" i="1" s="1"/>
  <c r="AF223" i="1"/>
  <c r="AG223" i="1" s="1"/>
  <c r="AU223" i="1" s="1"/>
  <c r="AV223" i="1" s="1"/>
  <c r="AL223" i="1"/>
  <c r="AO223" i="1" s="1"/>
  <c r="AR223" i="1" s="1"/>
  <c r="AH232" i="1"/>
  <c r="AJ232" i="1" s="1"/>
  <c r="AF232" i="1"/>
  <c r="AG232" i="1" s="1"/>
  <c r="AU232" i="1" s="1"/>
  <c r="AV232" i="1" s="1"/>
  <c r="AH302" i="1"/>
  <c r="AJ302" i="1" s="1"/>
  <c r="AF302" i="1"/>
  <c r="AG302" i="1" s="1"/>
  <c r="AU302" i="1" s="1"/>
  <c r="AV302" i="1" s="1"/>
  <c r="AF316" i="1"/>
  <c r="AG316" i="1" s="1"/>
  <c r="AU316" i="1" s="1"/>
  <c r="AV316" i="1" s="1"/>
  <c r="AH316" i="1"/>
  <c r="AJ316" i="1" s="1"/>
  <c r="AF196" i="1"/>
  <c r="AG196" i="1" s="1"/>
  <c r="AU196" i="1" s="1"/>
  <c r="AV196" i="1" s="1"/>
  <c r="AH196" i="1"/>
  <c r="AJ196" i="1" s="1"/>
  <c r="AH238" i="1"/>
  <c r="AJ238" i="1" s="1"/>
  <c r="AF238" i="1"/>
  <c r="AG238" i="1" s="1"/>
  <c r="AU238" i="1" s="1"/>
  <c r="AV238" i="1" s="1"/>
  <c r="AL248" i="1"/>
  <c r="AO248" i="1" s="1"/>
  <c r="AR248" i="1" s="1"/>
  <c r="AF248" i="1"/>
  <c r="AG248" i="1" s="1"/>
  <c r="AU248" i="1" s="1"/>
  <c r="AV248" i="1" s="1"/>
  <c r="AL273" i="1"/>
  <c r="AO273" i="1" s="1"/>
  <c r="AR273" i="1" s="1"/>
  <c r="AF273" i="1"/>
  <c r="AG273" i="1" s="1"/>
  <c r="AU273" i="1" s="1"/>
  <c r="AV273" i="1" s="1"/>
  <c r="AH517" i="1"/>
  <c r="AJ517" i="1" s="1"/>
  <c r="AF517" i="1"/>
  <c r="AG517" i="1" s="1"/>
  <c r="AU517" i="1" s="1"/>
  <c r="AV517" i="1" s="1"/>
  <c r="AH138" i="1"/>
  <c r="AJ138" i="1" s="1"/>
  <c r="AH154" i="1"/>
  <c r="AJ154" i="1" s="1"/>
  <c r="AF176" i="1"/>
  <c r="AG176" i="1" s="1"/>
  <c r="AU176" i="1" s="1"/>
  <c r="AV176" i="1" s="1"/>
  <c r="AH177" i="1"/>
  <c r="AJ177" i="1" s="1"/>
  <c r="AH178" i="1"/>
  <c r="AJ178" i="1" s="1"/>
  <c r="AL179" i="1"/>
  <c r="AO179" i="1" s="1"/>
  <c r="AR179" i="1" s="1"/>
  <c r="AL193" i="1"/>
  <c r="AO193" i="1" s="1"/>
  <c r="AR193" i="1" s="1"/>
  <c r="AL194" i="1"/>
  <c r="AO194" i="1" s="1"/>
  <c r="AR194" i="1" s="1"/>
  <c r="AH115" i="1"/>
  <c r="AJ115" i="1" s="1"/>
  <c r="AH120" i="1"/>
  <c r="AJ120" i="1" s="1"/>
  <c r="AF174" i="1"/>
  <c r="AG174" i="1" s="1"/>
  <c r="AU174" i="1" s="1"/>
  <c r="AV174" i="1" s="1"/>
  <c r="AL174" i="1"/>
  <c r="AO174" i="1" s="1"/>
  <c r="AR174" i="1" s="1"/>
  <c r="AH176" i="1"/>
  <c r="AJ176" i="1" s="1"/>
  <c r="AL184" i="1"/>
  <c r="AO184" i="1" s="1"/>
  <c r="AR184" i="1" s="1"/>
  <c r="AF184" i="1"/>
  <c r="AG184" i="1" s="1"/>
  <c r="AU184" i="1" s="1"/>
  <c r="AV184" i="1" s="1"/>
  <c r="AL187" i="1"/>
  <c r="AO187" i="1" s="1"/>
  <c r="AR187" i="1" s="1"/>
  <c r="AF193" i="1"/>
  <c r="AG193" i="1" s="1"/>
  <c r="AU193" i="1" s="1"/>
  <c r="AV193" i="1" s="1"/>
  <c r="AF194" i="1"/>
  <c r="AG194" i="1" s="1"/>
  <c r="AU194" i="1" s="1"/>
  <c r="AV194" i="1" s="1"/>
  <c r="AH202" i="1"/>
  <c r="AH251" i="1"/>
  <c r="AF251" i="1"/>
  <c r="AG251" i="1" s="1"/>
  <c r="AU251" i="1" s="1"/>
  <c r="AV251" i="1" s="1"/>
  <c r="AH262" i="1"/>
  <c r="AJ262" i="1" s="1"/>
  <c r="AF262" i="1"/>
  <c r="AG262" i="1" s="1"/>
  <c r="AU262" i="1" s="1"/>
  <c r="AV262" i="1" s="1"/>
  <c r="AL265" i="1"/>
  <c r="AO265" i="1" s="1"/>
  <c r="AR265" i="1" s="1"/>
  <c r="AF289" i="1"/>
  <c r="AG289" i="1" s="1"/>
  <c r="AU289" i="1" s="1"/>
  <c r="AV289" i="1" s="1"/>
  <c r="AH289" i="1"/>
  <c r="AJ289" i="1" s="1"/>
  <c r="AH294" i="1"/>
  <c r="AJ294" i="1" s="1"/>
  <c r="AF294" i="1"/>
  <c r="AG294" i="1" s="1"/>
  <c r="AU294" i="1" s="1"/>
  <c r="AV294" i="1" s="1"/>
  <c r="AL192" i="1"/>
  <c r="AO192" i="1" s="1"/>
  <c r="AR192" i="1" s="1"/>
  <c r="AF192" i="1"/>
  <c r="AG192" i="1" s="1"/>
  <c r="AU192" i="1" s="1"/>
  <c r="AV192" i="1" s="1"/>
  <c r="AF218" i="1"/>
  <c r="AG218" i="1" s="1"/>
  <c r="AU218" i="1" s="1"/>
  <c r="AV218" i="1" s="1"/>
  <c r="AH218" i="1"/>
  <c r="AH222" i="1"/>
  <c r="AJ222" i="1" s="1"/>
  <c r="AF222" i="1"/>
  <c r="AG222" i="1" s="1"/>
  <c r="AU222" i="1" s="1"/>
  <c r="AV222" i="1" s="1"/>
  <c r="AH252" i="1"/>
  <c r="AJ252" i="1" s="1"/>
  <c r="AF252" i="1"/>
  <c r="AG252" i="1" s="1"/>
  <c r="AU252" i="1" s="1"/>
  <c r="AV252" i="1" s="1"/>
  <c r="AH267" i="1"/>
  <c r="AJ267" i="1" s="1"/>
  <c r="AL277" i="1"/>
  <c r="AO277" i="1" s="1"/>
  <c r="AR277" i="1" s="1"/>
  <c r="AH287" i="1"/>
  <c r="AJ287" i="1" s="1"/>
  <c r="AL112" i="1"/>
  <c r="AO112" i="1" s="1"/>
  <c r="AR112" i="1" s="1"/>
  <c r="AL145" i="1"/>
  <c r="AO145" i="1" s="1"/>
  <c r="AR145" i="1" s="1"/>
  <c r="AF145" i="1"/>
  <c r="AG145" i="1" s="1"/>
  <c r="AU145" i="1" s="1"/>
  <c r="AV145" i="1" s="1"/>
  <c r="AL161" i="1"/>
  <c r="AO161" i="1" s="1"/>
  <c r="AR161" i="1" s="1"/>
  <c r="AF161" i="1"/>
  <c r="AG161" i="1" s="1"/>
  <c r="AU161" i="1" s="1"/>
  <c r="AV161" i="1" s="1"/>
  <c r="AH205" i="1"/>
  <c r="AF205" i="1"/>
  <c r="AG205" i="1" s="1"/>
  <c r="AU205" i="1" s="1"/>
  <c r="AV205" i="1" s="1"/>
  <c r="AL237" i="1"/>
  <c r="AO237" i="1" s="1"/>
  <c r="AR237" i="1" s="1"/>
  <c r="AF237" i="1"/>
  <c r="AG237" i="1" s="1"/>
  <c r="AU237" i="1" s="1"/>
  <c r="AV237" i="1" s="1"/>
  <c r="AH255" i="1"/>
  <c r="AJ255" i="1" s="1"/>
  <c r="AF255" i="1"/>
  <c r="AG255" i="1" s="1"/>
  <c r="AU255" i="1" s="1"/>
  <c r="AV255" i="1" s="1"/>
  <c r="AH285" i="1"/>
  <c r="AJ285" i="1" s="1"/>
  <c r="AF285" i="1"/>
  <c r="AG285" i="1" s="1"/>
  <c r="AU285" i="1" s="1"/>
  <c r="AV285" i="1" s="1"/>
  <c r="AF287" i="1"/>
  <c r="AG287" i="1" s="1"/>
  <c r="AU287" i="1" s="1"/>
  <c r="AV287" i="1" s="1"/>
  <c r="AF112" i="1"/>
  <c r="AG112" i="1" s="1"/>
  <c r="AU112" i="1" s="1"/>
  <c r="AV112" i="1" s="1"/>
  <c r="AF168" i="1"/>
  <c r="AG168" i="1" s="1"/>
  <c r="AU168" i="1" s="1"/>
  <c r="AV168" i="1" s="1"/>
  <c r="AF239" i="1"/>
  <c r="AG239" i="1" s="1"/>
  <c r="AU239" i="1" s="1"/>
  <c r="AV239" i="1" s="1"/>
  <c r="AH239" i="1"/>
  <c r="AJ239" i="1" s="1"/>
  <c r="AH242" i="1"/>
  <c r="AJ242" i="1" s="1"/>
  <c r="AF242" i="1"/>
  <c r="AG242" i="1" s="1"/>
  <c r="AU242" i="1" s="1"/>
  <c r="AV242" i="1" s="1"/>
  <c r="AF269" i="1"/>
  <c r="AG269" i="1" s="1"/>
  <c r="AU269" i="1" s="1"/>
  <c r="AV269" i="1" s="1"/>
  <c r="AH269" i="1"/>
  <c r="AJ269" i="1" s="1"/>
  <c r="AH329" i="1"/>
  <c r="AJ329" i="1" s="1"/>
  <c r="AF329" i="1"/>
  <c r="AG329" i="1" s="1"/>
  <c r="AU329" i="1" s="1"/>
  <c r="AV329" i="1" s="1"/>
  <c r="AH275" i="1"/>
  <c r="AJ275" i="1" s="1"/>
  <c r="AF275" i="1"/>
  <c r="AG275" i="1" s="1"/>
  <c r="AU275" i="1" s="1"/>
  <c r="AV275" i="1" s="1"/>
  <c r="AH295" i="1"/>
  <c r="AJ295" i="1" s="1"/>
  <c r="AF295" i="1"/>
  <c r="AG295" i="1" s="1"/>
  <c r="AU295" i="1" s="1"/>
  <c r="AV295" i="1" s="1"/>
  <c r="AH359" i="1"/>
  <c r="AJ359" i="1" s="1"/>
  <c r="AF359" i="1"/>
  <c r="AG359" i="1" s="1"/>
  <c r="AU359" i="1" s="1"/>
  <c r="AV359" i="1" s="1"/>
  <c r="AF670" i="1"/>
  <c r="AG670" i="1" s="1"/>
  <c r="AU670" i="1" s="1"/>
  <c r="AV670" i="1" s="1"/>
  <c r="AH418" i="1"/>
  <c r="AJ418" i="1" s="1"/>
  <c r="AF418" i="1"/>
  <c r="AG418" i="1" s="1"/>
  <c r="AU418" i="1" s="1"/>
  <c r="AV418" i="1" s="1"/>
  <c r="AH427" i="1"/>
  <c r="AJ427" i="1" s="1"/>
  <c r="AF444" i="1"/>
  <c r="AG444" i="1" s="1"/>
  <c r="AU444" i="1" s="1"/>
  <c r="AV444" i="1" s="1"/>
  <c r="AH444" i="1"/>
  <c r="AJ444" i="1" s="1"/>
  <c r="AF474" i="1"/>
  <c r="AG474" i="1" s="1"/>
  <c r="AU474" i="1" s="1"/>
  <c r="AV474" i="1" s="1"/>
  <c r="AH474" i="1"/>
  <c r="AJ474" i="1" s="1"/>
  <c r="AH670" i="1"/>
  <c r="AJ670" i="1" s="1"/>
  <c r="AH377" i="1"/>
  <c r="AJ377" i="1" s="1"/>
  <c r="AF377" i="1"/>
  <c r="AG377" i="1" s="1"/>
  <c r="AU377" i="1" s="1"/>
  <c r="AV377" i="1" s="1"/>
  <c r="AF385" i="1"/>
  <c r="AG385" i="1" s="1"/>
  <c r="AU385" i="1" s="1"/>
  <c r="AV385" i="1" s="1"/>
  <c r="AH385" i="1"/>
  <c r="AJ385" i="1" s="1"/>
  <c r="AL451" i="1"/>
  <c r="AO451" i="1" s="1"/>
  <c r="AR451" i="1" s="1"/>
  <c r="AF451" i="1"/>
  <c r="AG451" i="1" s="1"/>
  <c r="AU451" i="1" s="1"/>
  <c r="AV451" i="1" s="1"/>
  <c r="AH528" i="1"/>
  <c r="AJ528" i="1" s="1"/>
  <c r="AF528" i="1"/>
  <c r="AG528" i="1" s="1"/>
  <c r="AU528" i="1" s="1"/>
  <c r="AV528" i="1" s="1"/>
  <c r="AF356" i="1"/>
  <c r="AG356" i="1" s="1"/>
  <c r="AU356" i="1" s="1"/>
  <c r="AV356" i="1" s="1"/>
  <c r="AH356" i="1"/>
  <c r="AJ356" i="1" s="1"/>
  <c r="AH367" i="1"/>
  <c r="AJ367" i="1" s="1"/>
  <c r="AF367" i="1"/>
  <c r="AG367" i="1" s="1"/>
  <c r="AU367" i="1" s="1"/>
  <c r="AV367" i="1" s="1"/>
  <c r="AH642" i="1"/>
  <c r="AJ642" i="1" s="1"/>
  <c r="AF642" i="1"/>
  <c r="AG642" i="1" s="1"/>
  <c r="AU642" i="1" s="1"/>
  <c r="AV642" i="1" s="1"/>
  <c r="AH391" i="1"/>
  <c r="AJ391" i="1" s="1"/>
  <c r="AF391" i="1"/>
  <c r="AG391" i="1" s="1"/>
  <c r="AU391" i="1" s="1"/>
  <c r="AV391" i="1" s="1"/>
  <c r="AF395" i="1"/>
  <c r="AG395" i="1" s="1"/>
  <c r="AU395" i="1" s="1"/>
  <c r="AV395" i="1" s="1"/>
  <c r="AH395" i="1"/>
  <c r="AJ395" i="1" s="1"/>
  <c r="AH412" i="1"/>
  <c r="AJ412" i="1" s="1"/>
  <c r="AF412" i="1"/>
  <c r="AG412" i="1" s="1"/>
  <c r="AU412" i="1" s="1"/>
  <c r="AV412" i="1" s="1"/>
  <c r="AH512" i="1"/>
  <c r="AJ512" i="1" s="1"/>
  <c r="AF512" i="1"/>
  <c r="AG512" i="1" s="1"/>
  <c r="AU512" i="1" s="1"/>
  <c r="AV512" i="1" s="1"/>
  <c r="AH233" i="1"/>
  <c r="AJ233" i="1" s="1"/>
  <c r="AH282" i="1"/>
  <c r="AF282" i="1"/>
  <c r="AG282" i="1" s="1"/>
  <c r="AU282" i="1" s="1"/>
  <c r="AV282" i="1" s="1"/>
  <c r="AF286" i="1"/>
  <c r="AG286" i="1" s="1"/>
  <c r="AU286" i="1" s="1"/>
  <c r="AV286" i="1" s="1"/>
  <c r="AH301" i="1"/>
  <c r="AF301" i="1"/>
  <c r="AG301" i="1" s="1"/>
  <c r="AU301" i="1" s="1"/>
  <c r="AV301" i="1" s="1"/>
  <c r="AH615" i="1"/>
  <c r="AJ615" i="1" s="1"/>
  <c r="AF615" i="1"/>
  <c r="AG615" i="1" s="1"/>
  <c r="AU615" i="1" s="1"/>
  <c r="AV615" i="1" s="1"/>
  <c r="AH387" i="1"/>
  <c r="AJ387" i="1" s="1"/>
  <c r="AF387" i="1"/>
  <c r="AG387" i="1" s="1"/>
  <c r="AU387" i="1" s="1"/>
  <c r="AV387" i="1" s="1"/>
  <c r="AH402" i="1"/>
  <c r="AJ402" i="1" s="1"/>
  <c r="AF402" i="1"/>
  <c r="AG402" i="1" s="1"/>
  <c r="AU402" i="1" s="1"/>
  <c r="AV402" i="1" s="1"/>
  <c r="AF233" i="1"/>
  <c r="AG233" i="1" s="1"/>
  <c r="AU233" i="1" s="1"/>
  <c r="AV233" i="1" s="1"/>
  <c r="AF304" i="1"/>
  <c r="AG304" i="1" s="1"/>
  <c r="AU304" i="1" s="1"/>
  <c r="AV304" i="1" s="1"/>
  <c r="AH304" i="1"/>
  <c r="AJ304" i="1" s="1"/>
  <c r="AH309" i="1"/>
  <c r="AJ309" i="1" s="1"/>
  <c r="AF309" i="1"/>
  <c r="AG309" i="1" s="1"/>
  <c r="AU309" i="1" s="1"/>
  <c r="AV309" i="1" s="1"/>
  <c r="AF137" i="1"/>
  <c r="AG137" i="1" s="1"/>
  <c r="AU137" i="1" s="1"/>
  <c r="AV137" i="1" s="1"/>
  <c r="AH137" i="1"/>
  <c r="AL336" i="1"/>
  <c r="AO336" i="1" s="1"/>
  <c r="AR336" i="1" s="1"/>
  <c r="AF336" i="1"/>
  <c r="AG336" i="1" s="1"/>
  <c r="AU336" i="1" s="1"/>
  <c r="AV336" i="1" s="1"/>
  <c r="AH341" i="1"/>
  <c r="AJ341" i="1" s="1"/>
  <c r="AF341" i="1"/>
  <c r="AG341" i="1" s="1"/>
  <c r="AU341" i="1" s="1"/>
  <c r="AV341" i="1" s="1"/>
  <c r="AH344" i="1"/>
  <c r="AJ344" i="1" s="1"/>
  <c r="AH249" i="1"/>
  <c r="AJ249" i="1" s="1"/>
  <c r="AH286" i="1"/>
  <c r="AJ286" i="1" s="1"/>
  <c r="AH325" i="1"/>
  <c r="AJ325" i="1" s="1"/>
  <c r="AH328" i="1"/>
  <c r="AJ328" i="1" s="1"/>
  <c r="AG328" i="1"/>
  <c r="AU328" i="1" s="1"/>
  <c r="AV328" i="1" s="1"/>
  <c r="AH497" i="1"/>
  <c r="AJ497" i="1" s="1"/>
  <c r="AF497" i="1"/>
  <c r="AG497" i="1" s="1"/>
  <c r="AU497" i="1" s="1"/>
  <c r="AV497" i="1" s="1"/>
  <c r="AH281" i="1"/>
  <c r="AJ281" i="1" s="1"/>
  <c r="AF281" i="1"/>
  <c r="AG281" i="1" s="1"/>
  <c r="AU281" i="1" s="1"/>
  <c r="AV281" i="1" s="1"/>
  <c r="AH288" i="1"/>
  <c r="AJ288" i="1" s="1"/>
  <c r="AH349" i="1"/>
  <c r="AJ349" i="1" s="1"/>
  <c r="AH360" i="1"/>
  <c r="AJ360" i="1" s="1"/>
  <c r="AF360" i="1"/>
  <c r="AG360" i="1" s="1"/>
  <c r="AU360" i="1" s="1"/>
  <c r="AV360" i="1" s="1"/>
  <c r="AH428" i="1"/>
  <c r="AJ428" i="1" s="1"/>
  <c r="AF428" i="1"/>
  <c r="AG428" i="1" s="1"/>
  <c r="AH433" i="1"/>
  <c r="AJ433" i="1" s="1"/>
  <c r="AF433" i="1"/>
  <c r="AG433" i="1" s="1"/>
  <c r="AU433" i="1" s="1"/>
  <c r="AV433" i="1" s="1"/>
  <c r="AH447" i="1"/>
  <c r="AJ447" i="1" s="1"/>
  <c r="AG447" i="1"/>
  <c r="AU447" i="1" s="1"/>
  <c r="AV447" i="1" s="1"/>
  <c r="AF288" i="1"/>
  <c r="AG288" i="1" s="1"/>
  <c r="AU288" i="1" s="1"/>
  <c r="AV288" i="1" s="1"/>
  <c r="AJ330" i="1"/>
  <c r="AH333" i="1"/>
  <c r="AJ333" i="1" s="1"/>
  <c r="AF333" i="1"/>
  <c r="AG333" i="1" s="1"/>
  <c r="AU333" i="1" s="1"/>
  <c r="AV333" i="1" s="1"/>
  <c r="AL338" i="1"/>
  <c r="AO338" i="1" s="1"/>
  <c r="AR338" i="1" s="1"/>
  <c r="AJ338" i="1"/>
  <c r="AF349" i="1"/>
  <c r="AG349" i="1" s="1"/>
  <c r="AU349" i="1" s="1"/>
  <c r="AV349" i="1" s="1"/>
  <c r="AF378" i="1"/>
  <c r="AG378" i="1" s="1"/>
  <c r="AU378" i="1" s="1"/>
  <c r="AV378" i="1" s="1"/>
  <c r="AH378" i="1"/>
  <c r="AJ378" i="1" s="1"/>
  <c r="AH431" i="1"/>
  <c r="AJ431" i="1" s="1"/>
  <c r="AF431" i="1"/>
  <c r="AG431" i="1" s="1"/>
  <c r="AU431" i="1" s="1"/>
  <c r="AV431" i="1" s="1"/>
  <c r="AH236" i="1"/>
  <c r="AJ236" i="1" s="1"/>
  <c r="AH268" i="1"/>
  <c r="AJ268" i="1" s="1"/>
  <c r="AF268" i="1"/>
  <c r="AG268" i="1" s="1"/>
  <c r="AU268" i="1" s="1"/>
  <c r="AV268" i="1" s="1"/>
  <c r="AH272" i="1"/>
  <c r="AJ272" i="1" s="1"/>
  <c r="AG280" i="1"/>
  <c r="AU280" i="1" s="1"/>
  <c r="AV280" i="1" s="1"/>
  <c r="AH313" i="1"/>
  <c r="AJ313" i="1" s="1"/>
  <c r="AH396" i="1"/>
  <c r="AJ396" i="1" s="1"/>
  <c r="AF396" i="1"/>
  <c r="AG396" i="1" s="1"/>
  <c r="AU396" i="1" s="1"/>
  <c r="AV396" i="1" s="1"/>
  <c r="AF411" i="1"/>
  <c r="AG411" i="1" s="1"/>
  <c r="AU411" i="1" s="1"/>
  <c r="AV411" i="1" s="1"/>
  <c r="AH411" i="1"/>
  <c r="AJ411" i="1" s="1"/>
  <c r="AH450" i="1"/>
  <c r="AJ450" i="1" s="1"/>
  <c r="AF450" i="1"/>
  <c r="AG450" i="1" s="1"/>
  <c r="AU450" i="1" s="1"/>
  <c r="AV450" i="1" s="1"/>
  <c r="AH244" i="1"/>
  <c r="AJ244" i="1" s="1"/>
  <c r="AF244" i="1"/>
  <c r="AG244" i="1" s="1"/>
  <c r="AU244" i="1" s="1"/>
  <c r="AV244" i="1" s="1"/>
  <c r="AE264" i="1"/>
  <c r="AH280" i="1"/>
  <c r="AJ280" i="1" s="1"/>
  <c r="AL298" i="1"/>
  <c r="AO298" i="1" s="1"/>
  <c r="AR298" i="1" s="1"/>
  <c r="AH134" i="1"/>
  <c r="AJ134" i="1" s="1"/>
  <c r="AH317" i="1"/>
  <c r="AJ317" i="1" s="1"/>
  <c r="AL324" i="1"/>
  <c r="AO324" i="1" s="1"/>
  <c r="AR324" i="1" s="1"/>
  <c r="AH352" i="1"/>
  <c r="AJ352" i="1" s="1"/>
  <c r="AH357" i="1"/>
  <c r="AJ357" i="1" s="1"/>
  <c r="AF357" i="1"/>
  <c r="AG357" i="1" s="1"/>
  <c r="AU357" i="1" s="1"/>
  <c r="AV357" i="1" s="1"/>
  <c r="AH365" i="1"/>
  <c r="AJ365" i="1" s="1"/>
  <c r="AF365" i="1"/>
  <c r="AG365" i="1" s="1"/>
  <c r="AU365" i="1" s="1"/>
  <c r="AV365" i="1" s="1"/>
  <c r="AH407" i="1"/>
  <c r="AJ407" i="1" s="1"/>
  <c r="AF407" i="1"/>
  <c r="AG407" i="1" s="1"/>
  <c r="AU407" i="1" s="1"/>
  <c r="AV407" i="1" s="1"/>
  <c r="AH490" i="1"/>
  <c r="AJ490" i="1" s="1"/>
  <c r="AF490" i="1"/>
  <c r="AG490" i="1" s="1"/>
  <c r="AU490" i="1" s="1"/>
  <c r="AV490" i="1" s="1"/>
  <c r="AF544" i="1"/>
  <c r="AG544" i="1" s="1"/>
  <c r="AU544" i="1" s="1"/>
  <c r="AV544" i="1" s="1"/>
  <c r="AH544" i="1"/>
  <c r="AJ544" i="1" s="1"/>
  <c r="AH369" i="1"/>
  <c r="AJ369" i="1" s="1"/>
  <c r="AF369" i="1"/>
  <c r="AG369" i="1" s="1"/>
  <c r="AU369" i="1" s="1"/>
  <c r="AV369" i="1" s="1"/>
  <c r="AF459" i="1"/>
  <c r="AG459" i="1" s="1"/>
  <c r="AU459" i="1" s="1"/>
  <c r="AV459" i="1" s="1"/>
  <c r="AH459" i="1"/>
  <c r="AJ459" i="1" s="1"/>
  <c r="AH306" i="1"/>
  <c r="AJ306" i="1" s="1"/>
  <c r="AH321" i="1"/>
  <c r="AJ321" i="1" s="1"/>
  <c r="AF339" i="1"/>
  <c r="AG339" i="1" s="1"/>
  <c r="AU339" i="1" s="1"/>
  <c r="AV339" i="1" s="1"/>
  <c r="AF343" i="1"/>
  <c r="AG343" i="1" s="1"/>
  <c r="AU343" i="1" s="1"/>
  <c r="AV343" i="1" s="1"/>
  <c r="AF348" i="1"/>
  <c r="AG348" i="1" s="1"/>
  <c r="AU348" i="1" s="1"/>
  <c r="AV348" i="1" s="1"/>
  <c r="AH368" i="1"/>
  <c r="AJ368" i="1" s="1"/>
  <c r="AH381" i="1"/>
  <c r="AJ381" i="1" s="1"/>
  <c r="AH462" i="1"/>
  <c r="AJ462" i="1" s="1"/>
  <c r="AF462" i="1"/>
  <c r="AG462" i="1" s="1"/>
  <c r="AU462" i="1" s="1"/>
  <c r="AV462" i="1" s="1"/>
  <c r="AH466" i="1"/>
  <c r="AJ466" i="1" s="1"/>
  <c r="AF466" i="1"/>
  <c r="AG466" i="1" s="1"/>
  <c r="AU466" i="1" s="1"/>
  <c r="AV466" i="1" s="1"/>
  <c r="AH343" i="1"/>
  <c r="AJ343" i="1" s="1"/>
  <c r="AH348" i="1"/>
  <c r="AJ348" i="1" s="1"/>
  <c r="AH398" i="1"/>
  <c r="AJ398" i="1" s="1"/>
  <c r="AF398" i="1"/>
  <c r="AG398" i="1" s="1"/>
  <c r="AU398" i="1" s="1"/>
  <c r="AV398" i="1" s="1"/>
  <c r="AH406" i="1"/>
  <c r="AJ406" i="1" s="1"/>
  <c r="AF406" i="1"/>
  <c r="AG406" i="1" s="1"/>
  <c r="AU406" i="1" s="1"/>
  <c r="AV406" i="1" s="1"/>
  <c r="AH414" i="1"/>
  <c r="AJ414" i="1" s="1"/>
  <c r="AF414" i="1"/>
  <c r="AG414" i="1" s="1"/>
  <c r="AU414" i="1" s="1"/>
  <c r="AV414" i="1" s="1"/>
  <c r="AH757" i="1"/>
  <c r="AJ757" i="1" s="1"/>
  <c r="AF441" i="1"/>
  <c r="AG441" i="1" s="1"/>
  <c r="AU441" i="1" s="1"/>
  <c r="AV441" i="1" s="1"/>
  <c r="AH441" i="1"/>
  <c r="AJ441" i="1" s="1"/>
  <c r="AF460" i="1"/>
  <c r="AG460" i="1" s="1"/>
  <c r="AU460" i="1" s="1"/>
  <c r="AV460" i="1" s="1"/>
  <c r="AH460" i="1"/>
  <c r="AJ460" i="1" s="1"/>
  <c r="AH480" i="1"/>
  <c r="AJ480" i="1" s="1"/>
  <c r="AF480" i="1"/>
  <c r="AG480" i="1" s="1"/>
  <c r="AU480" i="1" s="1"/>
  <c r="AV480" i="1" s="1"/>
  <c r="AE486" i="1"/>
  <c r="AH563" i="1"/>
  <c r="AJ563" i="1" s="1"/>
  <c r="AF563" i="1"/>
  <c r="AG563" i="1" s="1"/>
  <c r="AU563" i="1" s="1"/>
  <c r="AV563" i="1" s="1"/>
  <c r="AH303" i="1"/>
  <c r="AJ303" i="1" s="1"/>
  <c r="AF303" i="1"/>
  <c r="AG303" i="1" s="1"/>
  <c r="AU303" i="1" s="1"/>
  <c r="AV303" i="1" s="1"/>
  <c r="AH308" i="1"/>
  <c r="AJ308" i="1" s="1"/>
  <c r="AH320" i="1"/>
  <c r="AJ320" i="1" s="1"/>
  <c r="AH353" i="1"/>
  <c r="AJ353" i="1" s="1"/>
  <c r="AH430" i="1"/>
  <c r="AJ430" i="1" s="1"/>
  <c r="AF430" i="1"/>
  <c r="AG430" i="1" s="1"/>
  <c r="AU430" i="1" s="1"/>
  <c r="AV430" i="1" s="1"/>
  <c r="AH432" i="1"/>
  <c r="AJ432" i="1" s="1"/>
  <c r="AF432" i="1"/>
  <c r="AG432" i="1" s="1"/>
  <c r="AU432" i="1" s="1"/>
  <c r="AV432" i="1" s="1"/>
  <c r="AH452" i="1"/>
  <c r="AJ452" i="1" s="1"/>
  <c r="AF452" i="1"/>
  <c r="AG452" i="1" s="1"/>
  <c r="AU452" i="1" s="1"/>
  <c r="AV452" i="1" s="1"/>
  <c r="AH508" i="1"/>
  <c r="AJ508" i="1" s="1"/>
  <c r="AH630" i="1"/>
  <c r="AJ630" i="1" s="1"/>
  <c r="AF630" i="1"/>
  <c r="AG630" i="1" s="1"/>
  <c r="AU630" i="1" s="1"/>
  <c r="AV630" i="1" s="1"/>
  <c r="AF320" i="1"/>
  <c r="AG320" i="1" s="1"/>
  <c r="AU320" i="1" s="1"/>
  <c r="AV320" i="1" s="1"/>
  <c r="AH345" i="1"/>
  <c r="AJ345" i="1" s="1"/>
  <c r="AH347" i="1"/>
  <c r="AF353" i="1"/>
  <c r="AG353" i="1" s="1"/>
  <c r="AU353" i="1" s="1"/>
  <c r="AV353" i="1" s="1"/>
  <c r="AH380" i="1"/>
  <c r="AF380" i="1"/>
  <c r="AG380" i="1" s="1"/>
  <c r="AU380" i="1" s="1"/>
  <c r="AV380" i="1" s="1"/>
  <c r="AH408" i="1"/>
  <c r="AJ408" i="1" s="1"/>
  <c r="AF408" i="1"/>
  <c r="AG408" i="1" s="1"/>
  <c r="AU408" i="1" s="1"/>
  <c r="AV408" i="1" s="1"/>
  <c r="AF508" i="1"/>
  <c r="AG508" i="1" s="1"/>
  <c r="AU508" i="1" s="1"/>
  <c r="AV508" i="1" s="1"/>
  <c r="AJ525" i="1"/>
  <c r="AH283" i="1"/>
  <c r="AF283" i="1"/>
  <c r="AG283" i="1" s="1"/>
  <c r="AU283" i="1" s="1"/>
  <c r="AV283" i="1" s="1"/>
  <c r="AH299" i="1"/>
  <c r="AF299" i="1"/>
  <c r="AG299" i="1" s="1"/>
  <c r="AU299" i="1" s="1"/>
  <c r="AV299" i="1" s="1"/>
  <c r="AL747" i="1"/>
  <c r="AO747" i="1" s="1"/>
  <c r="AR747" i="1" s="1"/>
  <c r="AH337" i="1"/>
  <c r="AJ337" i="1" s="1"/>
  <c r="AF337" i="1"/>
  <c r="AG337" i="1" s="1"/>
  <c r="AU337" i="1" s="1"/>
  <c r="AV337" i="1" s="1"/>
  <c r="AL373" i="1"/>
  <c r="AO373" i="1" s="1"/>
  <c r="AR373" i="1" s="1"/>
  <c r="AH420" i="1"/>
  <c r="AJ420" i="1" s="1"/>
  <c r="AF420" i="1"/>
  <c r="AG420" i="1" s="1"/>
  <c r="AU420" i="1" s="1"/>
  <c r="AV420" i="1" s="1"/>
  <c r="AH446" i="1"/>
  <c r="AJ446" i="1" s="1"/>
  <c r="AF446" i="1"/>
  <c r="AG446" i="1" s="1"/>
  <c r="AU446" i="1" s="1"/>
  <c r="AV446" i="1" s="1"/>
  <c r="AL297" i="1"/>
  <c r="AO297" i="1" s="1"/>
  <c r="AR297" i="1" s="1"/>
  <c r="AF735" i="1"/>
  <c r="AG735" i="1" s="1"/>
  <c r="AU735" i="1" s="1"/>
  <c r="AV735" i="1" s="1"/>
  <c r="AF747" i="1"/>
  <c r="AG747" i="1" s="1"/>
  <c r="AU747" i="1" s="1"/>
  <c r="AV747" i="1" s="1"/>
  <c r="AF373" i="1"/>
  <c r="AG373" i="1" s="1"/>
  <c r="AU373" i="1" s="1"/>
  <c r="AV373" i="1" s="1"/>
  <c r="AH397" i="1"/>
  <c r="AJ397" i="1" s="1"/>
  <c r="AJ401" i="1"/>
  <c r="AH416" i="1"/>
  <c r="AF416" i="1"/>
  <c r="AG416" i="1" s="1"/>
  <c r="AU416" i="1" s="1"/>
  <c r="AV416" i="1" s="1"/>
  <c r="AH465" i="1"/>
  <c r="AJ465" i="1" s="1"/>
  <c r="AF465" i="1"/>
  <c r="AG465" i="1" s="1"/>
  <c r="AU465" i="1" s="1"/>
  <c r="AV465" i="1" s="1"/>
  <c r="AH491" i="1"/>
  <c r="AJ491" i="1" s="1"/>
  <c r="AF491" i="1"/>
  <c r="AG491" i="1" s="1"/>
  <c r="AU491" i="1" s="1"/>
  <c r="AV491" i="1" s="1"/>
  <c r="AH808" i="1"/>
  <c r="AJ808" i="1" s="1"/>
  <c r="AF808" i="1"/>
  <c r="AG808" i="1" s="1"/>
  <c r="AU808" i="1" s="1"/>
  <c r="AV808" i="1" s="1"/>
  <c r="AH535" i="1"/>
  <c r="AJ535" i="1" s="1"/>
  <c r="AF535" i="1"/>
  <c r="AG535" i="1" s="1"/>
  <c r="AU535" i="1" s="1"/>
  <c r="AV535" i="1" s="1"/>
  <c r="AF464" i="1"/>
  <c r="AG464" i="1" s="1"/>
  <c r="AU464" i="1" s="1"/>
  <c r="AV464" i="1" s="1"/>
  <c r="AH464" i="1"/>
  <c r="AJ464" i="1" s="1"/>
  <c r="AH494" i="1"/>
  <c r="AJ494" i="1" s="1"/>
  <c r="AF494" i="1"/>
  <c r="AG494" i="1" s="1"/>
  <c r="AU494" i="1" s="1"/>
  <c r="AV494" i="1" s="1"/>
  <c r="AH581" i="1"/>
  <c r="AJ581" i="1" s="1"/>
  <c r="AF581" i="1"/>
  <c r="AG581" i="1" s="1"/>
  <c r="AU581" i="1" s="1"/>
  <c r="AV581" i="1" s="1"/>
  <c r="AH361" i="1"/>
  <c r="AJ361" i="1" s="1"/>
  <c r="AF361" i="1"/>
  <c r="AG361" i="1" s="1"/>
  <c r="AU361" i="1" s="1"/>
  <c r="AV361" i="1" s="1"/>
  <c r="AE382" i="1"/>
  <c r="AH392" i="1"/>
  <c r="AJ392" i="1" s="1"/>
  <c r="AH482" i="1"/>
  <c r="AJ482" i="1" s="1"/>
  <c r="AL550" i="1"/>
  <c r="AO550" i="1" s="1"/>
  <c r="AR550" i="1" s="1"/>
  <c r="AF550" i="1"/>
  <c r="AG550" i="1" s="1"/>
  <c r="AU550" i="1" s="1"/>
  <c r="AV550" i="1" s="1"/>
  <c r="AH702" i="1"/>
  <c r="AJ702" i="1" s="1"/>
  <c r="AF702" i="1"/>
  <c r="AG702" i="1" s="1"/>
  <c r="AU702" i="1" s="1"/>
  <c r="AV702" i="1" s="1"/>
  <c r="AH477" i="1"/>
  <c r="AJ477" i="1" s="1"/>
  <c r="AF477" i="1"/>
  <c r="AG477" i="1" s="1"/>
  <c r="AU477" i="1" s="1"/>
  <c r="AV477" i="1" s="1"/>
  <c r="AH485" i="1"/>
  <c r="AJ485" i="1" s="1"/>
  <c r="AF485" i="1"/>
  <c r="AG485" i="1" s="1"/>
  <c r="AU485" i="1" s="1"/>
  <c r="AV485" i="1" s="1"/>
  <c r="AL543" i="1"/>
  <c r="AO543" i="1" s="1"/>
  <c r="AR543" i="1" s="1"/>
  <c r="AF543" i="1"/>
  <c r="AG543" i="1" s="1"/>
  <c r="AU543" i="1" s="1"/>
  <c r="AV543" i="1" s="1"/>
  <c r="AL555" i="1"/>
  <c r="AO555" i="1" s="1"/>
  <c r="AR555" i="1" s="1"/>
  <c r="AF555" i="1"/>
  <c r="AG555" i="1" s="1"/>
  <c r="AU555" i="1" s="1"/>
  <c r="AV555" i="1" s="1"/>
  <c r="AE468" i="1"/>
  <c r="AH564" i="1"/>
  <c r="AJ564" i="1" s="1"/>
  <c r="AF564" i="1"/>
  <c r="AG564" i="1" s="1"/>
  <c r="AU564" i="1" s="1"/>
  <c r="AV564" i="1" s="1"/>
  <c r="AH518" i="1"/>
  <c r="AJ518" i="1" s="1"/>
  <c r="AF518" i="1"/>
  <c r="AG518" i="1" s="1"/>
  <c r="AU518" i="1" s="1"/>
  <c r="AV518" i="1" s="1"/>
  <c r="AF545" i="1"/>
  <c r="AG545" i="1" s="1"/>
  <c r="AU545" i="1" s="1"/>
  <c r="AV545" i="1" s="1"/>
  <c r="AH545" i="1"/>
  <c r="AJ545" i="1" s="1"/>
  <c r="AF547" i="1"/>
  <c r="AG547" i="1" s="1"/>
  <c r="AU547" i="1" s="1"/>
  <c r="AV547" i="1" s="1"/>
  <c r="AH631" i="1"/>
  <c r="AJ631" i="1" s="1"/>
  <c r="AF631" i="1"/>
  <c r="AG631" i="1" s="1"/>
  <c r="AU631" i="1" s="1"/>
  <c r="AV631" i="1" s="1"/>
  <c r="AH354" i="1"/>
  <c r="AJ354" i="1" s="1"/>
  <c r="AF354" i="1"/>
  <c r="AG354" i="1" s="1"/>
  <c r="AU354" i="1" s="1"/>
  <c r="AV354" i="1" s="1"/>
  <c r="AF440" i="1"/>
  <c r="AG440" i="1" s="1"/>
  <c r="AU440" i="1" s="1"/>
  <c r="AV440" i="1" s="1"/>
  <c r="AH440" i="1"/>
  <c r="AJ440" i="1" s="1"/>
  <c r="AH461" i="1"/>
  <c r="AF461" i="1"/>
  <c r="AG461" i="1" s="1"/>
  <c r="AU461" i="1" s="1"/>
  <c r="AV461" i="1" s="1"/>
  <c r="AF463" i="1"/>
  <c r="AG463" i="1" s="1"/>
  <c r="AU463" i="1" s="1"/>
  <c r="AV463" i="1" s="1"/>
  <c r="AL463" i="1"/>
  <c r="AO463" i="1" s="1"/>
  <c r="AR463" i="1" s="1"/>
  <c r="AH489" i="1"/>
  <c r="AJ489" i="1" s="1"/>
  <c r="AF526" i="1"/>
  <c r="AG526" i="1" s="1"/>
  <c r="AU526" i="1" s="1"/>
  <c r="AV526" i="1" s="1"/>
  <c r="AH536" i="1"/>
  <c r="AJ536" i="1" s="1"/>
  <c r="AF542" i="1"/>
  <c r="AG542" i="1" s="1"/>
  <c r="AU542" i="1" s="1"/>
  <c r="AV542" i="1" s="1"/>
  <c r="AF560" i="1"/>
  <c r="AG560" i="1" s="1"/>
  <c r="AU560" i="1" s="1"/>
  <c r="AV560" i="1" s="1"/>
  <c r="AH560" i="1"/>
  <c r="AJ560" i="1" s="1"/>
  <c r="AH562" i="1"/>
  <c r="AJ562" i="1" s="1"/>
  <c r="AF562" i="1"/>
  <c r="AG562" i="1" s="1"/>
  <c r="AU562" i="1" s="1"/>
  <c r="AV562" i="1" s="1"/>
  <c r="AH419" i="1"/>
  <c r="AJ419" i="1" s="1"/>
  <c r="AL426" i="1"/>
  <c r="AO426" i="1" s="1"/>
  <c r="AR426" i="1" s="1"/>
  <c r="AL439" i="1"/>
  <c r="AO439" i="1" s="1"/>
  <c r="AR439" i="1" s="1"/>
  <c r="AF439" i="1"/>
  <c r="AG439" i="1" s="1"/>
  <c r="AU439" i="1" s="1"/>
  <c r="AV439" i="1" s="1"/>
  <c r="AH442" i="1"/>
  <c r="AJ442" i="1" s="1"/>
  <c r="AH448" i="1"/>
  <c r="AJ448" i="1" s="1"/>
  <c r="AE470" i="1"/>
  <c r="AF489" i="1"/>
  <c r="AG489" i="1" s="1"/>
  <c r="AU489" i="1" s="1"/>
  <c r="AV489" i="1" s="1"/>
  <c r="AH526" i="1"/>
  <c r="AJ526" i="1" s="1"/>
  <c r="AF534" i="1"/>
  <c r="AG534" i="1" s="1"/>
  <c r="AU534" i="1" s="1"/>
  <c r="AV534" i="1" s="1"/>
  <c r="AH534" i="1"/>
  <c r="AJ534" i="1" s="1"/>
  <c r="AF536" i="1"/>
  <c r="AG536" i="1" s="1"/>
  <c r="AU536" i="1" s="1"/>
  <c r="AV536" i="1" s="1"/>
  <c r="AH542" i="1"/>
  <c r="AJ542" i="1" s="1"/>
  <c r="AH547" i="1"/>
  <c r="AJ547" i="1" s="1"/>
  <c r="AH413" i="1"/>
  <c r="AJ413" i="1" s="1"/>
  <c r="AL484" i="1"/>
  <c r="AO484" i="1" s="1"/>
  <c r="AR484" i="1" s="1"/>
  <c r="AH605" i="1"/>
  <c r="AF605" i="1"/>
  <c r="AG605" i="1" s="1"/>
  <c r="AU605" i="1" s="1"/>
  <c r="AV605" i="1" s="1"/>
  <c r="AE471" i="1"/>
  <c r="AH473" i="1"/>
  <c r="AJ473" i="1" s="1"/>
  <c r="AH487" i="1"/>
  <c r="AF487" i="1"/>
  <c r="AG487" i="1" s="1"/>
  <c r="AU487" i="1" s="1"/>
  <c r="AV487" i="1" s="1"/>
  <c r="AF538" i="1"/>
  <c r="AG538" i="1" s="1"/>
  <c r="AU538" i="1" s="1"/>
  <c r="AV538" i="1" s="1"/>
  <c r="AH538" i="1"/>
  <c r="AJ538" i="1" s="1"/>
  <c r="AH552" i="1"/>
  <c r="AJ552" i="1" s="1"/>
  <c r="AH568" i="1"/>
  <c r="AJ568" i="1" s="1"/>
  <c r="AF568" i="1"/>
  <c r="AG568" i="1" s="1"/>
  <c r="AU568" i="1" s="1"/>
  <c r="AV568" i="1" s="1"/>
  <c r="AH591" i="1"/>
  <c r="AJ591" i="1" s="1"/>
  <c r="AF591" i="1"/>
  <c r="AG591" i="1" s="1"/>
  <c r="AU591" i="1" s="1"/>
  <c r="AV591" i="1" s="1"/>
  <c r="AH513" i="1"/>
  <c r="AF513" i="1"/>
  <c r="AG513" i="1" s="1"/>
  <c r="AU513" i="1" s="1"/>
  <c r="AV513" i="1" s="1"/>
  <c r="AH524" i="1"/>
  <c r="AJ524" i="1" s="1"/>
  <c r="AF524" i="1"/>
  <c r="AG524" i="1" s="1"/>
  <c r="AU524" i="1" s="1"/>
  <c r="AV524" i="1" s="1"/>
  <c r="AF546" i="1"/>
  <c r="AG546" i="1" s="1"/>
  <c r="AU546" i="1" s="1"/>
  <c r="AV546" i="1" s="1"/>
  <c r="AL546" i="1"/>
  <c r="AO546" i="1" s="1"/>
  <c r="AR546" i="1" s="1"/>
  <c r="AH549" i="1"/>
  <c r="AJ549" i="1" s="1"/>
  <c r="AH619" i="1"/>
  <c r="AJ619" i="1" s="1"/>
  <c r="AF619" i="1"/>
  <c r="AG619" i="1" s="1"/>
  <c r="AU619" i="1" s="1"/>
  <c r="AV619" i="1" s="1"/>
  <c r="AF656" i="1"/>
  <c r="AG656" i="1" s="1"/>
  <c r="AU656" i="1" s="1"/>
  <c r="AV656" i="1" s="1"/>
  <c r="AH656" i="1"/>
  <c r="AJ656" i="1" s="1"/>
  <c r="AL523" i="1"/>
  <c r="AO523" i="1" s="1"/>
  <c r="AR523" i="1" s="1"/>
  <c r="AF530" i="1"/>
  <c r="AG530" i="1" s="1"/>
  <c r="AU530" i="1" s="1"/>
  <c r="AV530" i="1" s="1"/>
  <c r="AH530" i="1"/>
  <c r="AH516" i="1"/>
  <c r="AJ516" i="1" s="1"/>
  <c r="AF523" i="1"/>
  <c r="AG523" i="1" s="1"/>
  <c r="AU523" i="1" s="1"/>
  <c r="AV523" i="1" s="1"/>
  <c r="AF532" i="1"/>
  <c r="AG532" i="1" s="1"/>
  <c r="AU532" i="1" s="1"/>
  <c r="AV532" i="1" s="1"/>
  <c r="AH537" i="1"/>
  <c r="AJ537" i="1" s="1"/>
  <c r="AE548" i="1"/>
  <c r="AH551" i="1"/>
  <c r="AJ551" i="1" s="1"/>
  <c r="AL608" i="1"/>
  <c r="AO608" i="1" s="1"/>
  <c r="AR608" i="1" s="1"/>
  <c r="AF608" i="1"/>
  <c r="AG608" i="1" s="1"/>
  <c r="AU608" i="1" s="1"/>
  <c r="AV608" i="1" s="1"/>
  <c r="AF322" i="1"/>
  <c r="AG322" i="1" s="1"/>
  <c r="AU322" i="1" s="1"/>
  <c r="AV322" i="1" s="1"/>
  <c r="AF326" i="1"/>
  <c r="AG326" i="1" s="1"/>
  <c r="AU326" i="1" s="1"/>
  <c r="AV326" i="1" s="1"/>
  <c r="AF330" i="1"/>
  <c r="AG330" i="1" s="1"/>
  <c r="AU330" i="1" s="1"/>
  <c r="AV330" i="1" s="1"/>
  <c r="AF334" i="1"/>
  <c r="AG334" i="1" s="1"/>
  <c r="AU334" i="1" s="1"/>
  <c r="AV334" i="1" s="1"/>
  <c r="AL415" i="1"/>
  <c r="AO415" i="1" s="1"/>
  <c r="AR415" i="1" s="1"/>
  <c r="AL436" i="1"/>
  <c r="AO436" i="1" s="1"/>
  <c r="AR436" i="1" s="1"/>
  <c r="AF436" i="1"/>
  <c r="AG436" i="1" s="1"/>
  <c r="AU436" i="1" s="1"/>
  <c r="AV436" i="1" s="1"/>
  <c r="AH498" i="1"/>
  <c r="AJ498" i="1" s="1"/>
  <c r="AG498" i="1"/>
  <c r="AU498" i="1" s="1"/>
  <c r="AV498" i="1" s="1"/>
  <c r="AH509" i="1"/>
  <c r="AJ509" i="1" s="1"/>
  <c r="AH592" i="1"/>
  <c r="AJ592" i="1" s="1"/>
  <c r="AF592" i="1"/>
  <c r="AG592" i="1" s="1"/>
  <c r="AU592" i="1" s="1"/>
  <c r="AV592" i="1" s="1"/>
  <c r="AH595" i="1"/>
  <c r="AJ595" i="1" s="1"/>
  <c r="AF509" i="1"/>
  <c r="AG509" i="1" s="1"/>
  <c r="AU509" i="1" s="1"/>
  <c r="AV509" i="1" s="1"/>
  <c r="AH372" i="1"/>
  <c r="AJ372" i="1" s="1"/>
  <c r="AF372" i="1"/>
  <c r="AG372" i="1" s="1"/>
  <c r="AU372" i="1" s="1"/>
  <c r="AV372" i="1" s="1"/>
  <c r="AL575" i="1"/>
  <c r="AO575" i="1" s="1"/>
  <c r="AR575" i="1" s="1"/>
  <c r="AF595" i="1"/>
  <c r="AG595" i="1" s="1"/>
  <c r="AU595" i="1" s="1"/>
  <c r="AV595" i="1" s="1"/>
  <c r="AH716" i="1"/>
  <c r="AJ716" i="1" s="1"/>
  <c r="AF716" i="1"/>
  <c r="AG716" i="1" s="1"/>
  <c r="AU716" i="1" s="1"/>
  <c r="AV716" i="1" s="1"/>
  <c r="AF522" i="1"/>
  <c r="AG522" i="1" s="1"/>
  <c r="AU522" i="1" s="1"/>
  <c r="AV522" i="1" s="1"/>
  <c r="AL532" i="1"/>
  <c r="AO532" i="1" s="1"/>
  <c r="AR532" i="1" s="1"/>
  <c r="AF557" i="1"/>
  <c r="AG557" i="1" s="1"/>
  <c r="AU557" i="1" s="1"/>
  <c r="AV557" i="1" s="1"/>
  <c r="AH557" i="1"/>
  <c r="AH585" i="1"/>
  <c r="AJ585" i="1" s="1"/>
  <c r="AH620" i="1"/>
  <c r="AJ620" i="1" s="1"/>
  <c r="AF620" i="1"/>
  <c r="AG620" i="1" s="1"/>
  <c r="AU620" i="1" s="1"/>
  <c r="AV620" i="1" s="1"/>
  <c r="AH624" i="1"/>
  <c r="AJ624" i="1" s="1"/>
  <c r="AF624" i="1"/>
  <c r="AG624" i="1" s="1"/>
  <c r="AU624" i="1" s="1"/>
  <c r="AV624" i="1" s="1"/>
  <c r="AH651" i="1"/>
  <c r="AJ651" i="1" s="1"/>
  <c r="AF651" i="1"/>
  <c r="AG651" i="1" s="1"/>
  <c r="AU651" i="1" s="1"/>
  <c r="AV651" i="1" s="1"/>
  <c r="AF679" i="1"/>
  <c r="AG679" i="1" s="1"/>
  <c r="AU679" i="1" s="1"/>
  <c r="AV679" i="1" s="1"/>
  <c r="AH679" i="1"/>
  <c r="AJ679" i="1" s="1"/>
  <c r="AF683" i="1"/>
  <c r="AG683" i="1" s="1"/>
  <c r="AU683" i="1" s="1"/>
  <c r="AV683" i="1" s="1"/>
  <c r="AH683" i="1"/>
  <c r="AJ683" i="1" s="1"/>
  <c r="AF628" i="1"/>
  <c r="AG628" i="1" s="1"/>
  <c r="AU628" i="1" s="1"/>
  <c r="AV628" i="1" s="1"/>
  <c r="AH628" i="1"/>
  <c r="AJ628" i="1" s="1"/>
  <c r="AH612" i="1"/>
  <c r="AJ612" i="1" s="1"/>
  <c r="AH727" i="1"/>
  <c r="AF727" i="1"/>
  <c r="AG727" i="1" s="1"/>
  <c r="AU727" i="1" s="1"/>
  <c r="AV727" i="1" s="1"/>
  <c r="AH729" i="1"/>
  <c r="AJ729" i="1" s="1"/>
  <c r="AF729" i="1"/>
  <c r="AG729" i="1" s="1"/>
  <c r="AU729" i="1" s="1"/>
  <c r="AV729" i="1" s="1"/>
  <c r="AJ761" i="1"/>
  <c r="AL761" i="1"/>
  <c r="AO761" i="1" s="1"/>
  <c r="AR761" i="1" s="1"/>
  <c r="AF801" i="1"/>
  <c r="AG801" i="1" s="1"/>
  <c r="AU801" i="1" s="1"/>
  <c r="AV801" i="1" s="1"/>
  <c r="AH801" i="1"/>
  <c r="AJ801" i="1" s="1"/>
  <c r="AH584" i="1"/>
  <c r="AJ584" i="1" s="1"/>
  <c r="AH604" i="1"/>
  <c r="AJ604" i="1" s="1"/>
  <c r="AH647" i="1"/>
  <c r="AJ647" i="1" s="1"/>
  <c r="AF647" i="1"/>
  <c r="AG647" i="1" s="1"/>
  <c r="AU647" i="1" s="1"/>
  <c r="AV647" i="1" s="1"/>
  <c r="AH558" i="1"/>
  <c r="AJ558" i="1" s="1"/>
  <c r="AF597" i="1"/>
  <c r="AG597" i="1" s="1"/>
  <c r="AU597" i="1" s="1"/>
  <c r="AV597" i="1" s="1"/>
  <c r="AH597" i="1"/>
  <c r="AJ597" i="1" s="1"/>
  <c r="AH609" i="1"/>
  <c r="AJ609" i="1" s="1"/>
  <c r="AF525" i="1"/>
  <c r="AG525" i="1" s="1"/>
  <c r="AU525" i="1" s="1"/>
  <c r="AV525" i="1" s="1"/>
  <c r="AF539" i="1"/>
  <c r="AG539" i="1" s="1"/>
  <c r="AU539" i="1" s="1"/>
  <c r="AV539" i="1" s="1"/>
  <c r="AF558" i="1"/>
  <c r="AG558" i="1" s="1"/>
  <c r="AU558" i="1" s="1"/>
  <c r="AV558" i="1" s="1"/>
  <c r="AL567" i="1"/>
  <c r="AO567" i="1" s="1"/>
  <c r="AR567" i="1" s="1"/>
  <c r="AF567" i="1"/>
  <c r="AG567" i="1" s="1"/>
  <c r="AU567" i="1" s="1"/>
  <c r="AV567" i="1" s="1"/>
  <c r="AH586" i="1"/>
  <c r="AJ586" i="1" s="1"/>
  <c r="AF609" i="1"/>
  <c r="AG609" i="1" s="1"/>
  <c r="AU609" i="1" s="1"/>
  <c r="AV609" i="1" s="1"/>
  <c r="AH589" i="1"/>
  <c r="AJ589" i="1" s="1"/>
  <c r="AF589" i="1"/>
  <c r="AG589" i="1" s="1"/>
  <c r="AU589" i="1" s="1"/>
  <c r="AV589" i="1" s="1"/>
  <c r="AH167" i="1"/>
  <c r="AJ167" i="1" s="1"/>
  <c r="AF167" i="1"/>
  <c r="AG167" i="1" s="1"/>
  <c r="AU167" i="1" s="1"/>
  <c r="AV167" i="1" s="1"/>
  <c r="AF676" i="1"/>
  <c r="AG676" i="1" s="1"/>
  <c r="AU676" i="1" s="1"/>
  <c r="AV676" i="1" s="1"/>
  <c r="AH676" i="1"/>
  <c r="AJ676" i="1" s="1"/>
  <c r="AF514" i="1"/>
  <c r="AG514" i="1" s="1"/>
  <c r="AU514" i="1" s="1"/>
  <c r="AV514" i="1" s="1"/>
  <c r="AF540" i="1"/>
  <c r="AG540" i="1" s="1"/>
  <c r="AU540" i="1" s="1"/>
  <c r="AV540" i="1" s="1"/>
  <c r="AH618" i="1"/>
  <c r="AJ618" i="1" s="1"/>
  <c r="AH629" i="1"/>
  <c r="AJ629" i="1" s="1"/>
  <c r="AJ637" i="1"/>
  <c r="AL637" i="1"/>
  <c r="AO637" i="1" s="1"/>
  <c r="AR637" i="1" s="1"/>
  <c r="AH666" i="1"/>
  <c r="AJ666" i="1" s="1"/>
  <c r="AF666" i="1"/>
  <c r="AG666" i="1" s="1"/>
  <c r="AU666" i="1" s="1"/>
  <c r="AV666" i="1" s="1"/>
  <c r="AH703" i="1"/>
  <c r="AJ703" i="1" s="1"/>
  <c r="AF703" i="1"/>
  <c r="AG703" i="1" s="1"/>
  <c r="AU703" i="1" s="1"/>
  <c r="AV703" i="1" s="1"/>
  <c r="AH705" i="1"/>
  <c r="AJ705" i="1" s="1"/>
  <c r="AF705" i="1"/>
  <c r="AG705" i="1" s="1"/>
  <c r="AU705" i="1" s="1"/>
  <c r="AV705" i="1" s="1"/>
  <c r="AH813" i="1"/>
  <c r="AJ813" i="1" s="1"/>
  <c r="AF813" i="1"/>
  <c r="AG813" i="1" s="1"/>
  <c r="AU813" i="1" s="1"/>
  <c r="AV813" i="1" s="1"/>
  <c r="AH625" i="1"/>
  <c r="AJ625" i="1" s="1"/>
  <c r="AH639" i="1"/>
  <c r="AJ639" i="1" s="1"/>
  <c r="AF639" i="1"/>
  <c r="AG639" i="1" s="1"/>
  <c r="AU639" i="1" s="1"/>
  <c r="AV639" i="1" s="1"/>
  <c r="AH646" i="1"/>
  <c r="AJ646" i="1" s="1"/>
  <c r="AH681" i="1"/>
  <c r="AJ681" i="1" s="1"/>
  <c r="AF681" i="1"/>
  <c r="AG681" i="1" s="1"/>
  <c r="AU681" i="1" s="1"/>
  <c r="AV681" i="1" s="1"/>
  <c r="AH694" i="1"/>
  <c r="AJ694" i="1" s="1"/>
  <c r="AH701" i="1"/>
  <c r="AJ701" i="1" s="1"/>
  <c r="AF701" i="1"/>
  <c r="AG701" i="1" s="1"/>
  <c r="AU701" i="1" s="1"/>
  <c r="AV701" i="1" s="1"/>
  <c r="AF588" i="1"/>
  <c r="AG588" i="1" s="1"/>
  <c r="AU588" i="1" s="1"/>
  <c r="AV588" i="1" s="1"/>
  <c r="AH657" i="1"/>
  <c r="AJ657" i="1" s="1"/>
  <c r="AF657" i="1"/>
  <c r="AG657" i="1" s="1"/>
  <c r="AU657" i="1" s="1"/>
  <c r="AV657" i="1" s="1"/>
  <c r="AF743" i="1"/>
  <c r="AG743" i="1" s="1"/>
  <c r="AU743" i="1" s="1"/>
  <c r="AV743" i="1" s="1"/>
  <c r="AH569" i="1"/>
  <c r="AF569" i="1"/>
  <c r="AG569" i="1" s="1"/>
  <c r="AU569" i="1" s="1"/>
  <c r="AV569" i="1" s="1"/>
  <c r="AH588" i="1"/>
  <c r="AJ588" i="1" s="1"/>
  <c r="AF590" i="1"/>
  <c r="AG590" i="1" s="1"/>
  <c r="AU590" i="1" s="1"/>
  <c r="AV590" i="1" s="1"/>
  <c r="AL623" i="1"/>
  <c r="AO623" i="1" s="1"/>
  <c r="AR623" i="1" s="1"/>
  <c r="AL665" i="1"/>
  <c r="AO665" i="1" s="1"/>
  <c r="AR665" i="1" s="1"/>
  <c r="AH678" i="1"/>
  <c r="AJ678" i="1" s="1"/>
  <c r="AF678" i="1"/>
  <c r="AG678" i="1" s="1"/>
  <c r="AU678" i="1" s="1"/>
  <c r="AV678" i="1" s="1"/>
  <c r="AE561" i="1"/>
  <c r="AF623" i="1"/>
  <c r="AG623" i="1" s="1"/>
  <c r="AU623" i="1" s="1"/>
  <c r="AV623" i="1" s="1"/>
  <c r="AH638" i="1"/>
  <c r="AJ638" i="1" s="1"/>
  <c r="AF638" i="1"/>
  <c r="AG638" i="1" s="1"/>
  <c r="AU638" i="1" s="1"/>
  <c r="AV638" i="1" s="1"/>
  <c r="AH652" i="1"/>
  <c r="AJ652" i="1" s="1"/>
  <c r="AF652" i="1"/>
  <c r="AG652" i="1" s="1"/>
  <c r="AU652" i="1" s="1"/>
  <c r="AV652" i="1" s="1"/>
  <c r="AH606" i="1"/>
  <c r="AJ606" i="1" s="1"/>
  <c r="AF665" i="1"/>
  <c r="AG665" i="1" s="1"/>
  <c r="AU665" i="1" s="1"/>
  <c r="AV665" i="1" s="1"/>
  <c r="AF736" i="1"/>
  <c r="AG736" i="1" s="1"/>
  <c r="AU736" i="1" s="1"/>
  <c r="AV736" i="1" s="1"/>
  <c r="AL736" i="1"/>
  <c r="AO736" i="1" s="1"/>
  <c r="AR736" i="1" s="1"/>
  <c r="AH810" i="1"/>
  <c r="AJ810" i="1" s="1"/>
  <c r="AF810" i="1"/>
  <c r="AG810" i="1" s="1"/>
  <c r="AU810" i="1" s="1"/>
  <c r="AV810" i="1" s="1"/>
  <c r="AL571" i="1"/>
  <c r="AO571" i="1" s="1"/>
  <c r="AR571" i="1" s="1"/>
  <c r="AL12" i="1"/>
  <c r="AO12" i="1" s="1"/>
  <c r="AR12" i="1" s="1"/>
  <c r="AH587" i="1"/>
  <c r="AF587" i="1"/>
  <c r="AG587" i="1" s="1"/>
  <c r="AU587" i="1" s="1"/>
  <c r="AV587" i="1" s="1"/>
  <c r="AH121" i="1"/>
  <c r="AF121" i="1"/>
  <c r="AG121" i="1" s="1"/>
  <c r="AU121" i="1" s="1"/>
  <c r="AV121" i="1" s="1"/>
  <c r="AF332" i="1"/>
  <c r="AG332" i="1" s="1"/>
  <c r="AU332" i="1" s="1"/>
  <c r="AV332" i="1" s="1"/>
  <c r="AH332" i="1"/>
  <c r="AJ332" i="1" s="1"/>
  <c r="AH675" i="1"/>
  <c r="AJ675" i="1" s="1"/>
  <c r="AF675" i="1"/>
  <c r="AG675" i="1" s="1"/>
  <c r="AU675" i="1" s="1"/>
  <c r="AV675" i="1" s="1"/>
  <c r="AH698" i="1"/>
  <c r="AJ698" i="1" s="1"/>
  <c r="AF698" i="1"/>
  <c r="AG698" i="1" s="1"/>
  <c r="AU698" i="1" s="1"/>
  <c r="AV698" i="1" s="1"/>
  <c r="AH738" i="1"/>
  <c r="AJ738" i="1" s="1"/>
  <c r="AF738" i="1"/>
  <c r="AG738" i="1" s="1"/>
  <c r="AU738" i="1" s="1"/>
  <c r="AV738" i="1" s="1"/>
  <c r="AH627" i="1"/>
  <c r="AJ627" i="1" s="1"/>
  <c r="AF627" i="1"/>
  <c r="AG627" i="1" s="1"/>
  <c r="AU627" i="1" s="1"/>
  <c r="AV627" i="1" s="1"/>
  <c r="AH659" i="1"/>
  <c r="AJ659" i="1" s="1"/>
  <c r="AF659" i="1"/>
  <c r="AG659" i="1" s="1"/>
  <c r="AU659" i="1" s="1"/>
  <c r="AV659" i="1" s="1"/>
  <c r="AH697" i="1"/>
  <c r="AJ697" i="1" s="1"/>
  <c r="AF697" i="1"/>
  <c r="AG697" i="1" s="1"/>
  <c r="AU697" i="1" s="1"/>
  <c r="AV697" i="1" s="1"/>
  <c r="AH314" i="1"/>
  <c r="AJ314" i="1" s="1"/>
  <c r="AF314" i="1"/>
  <c r="AG314" i="1" s="1"/>
  <c r="AU314" i="1" s="1"/>
  <c r="AV314" i="1" s="1"/>
  <c r="AF637" i="1"/>
  <c r="AG637" i="1" s="1"/>
  <c r="AU637" i="1" s="1"/>
  <c r="AV637" i="1" s="1"/>
  <c r="AL645" i="1"/>
  <c r="AO645" i="1" s="1"/>
  <c r="AR645" i="1" s="1"/>
  <c r="AF680" i="1"/>
  <c r="AG680" i="1" s="1"/>
  <c r="AU680" i="1" s="1"/>
  <c r="AV680" i="1" s="1"/>
  <c r="AH680" i="1"/>
  <c r="AJ680" i="1" s="1"/>
  <c r="AH699" i="1"/>
  <c r="AJ699" i="1" s="1"/>
  <c r="AF699" i="1"/>
  <c r="AG699" i="1" s="1"/>
  <c r="AU699" i="1" s="1"/>
  <c r="AV699" i="1" s="1"/>
  <c r="AH751" i="1"/>
  <c r="AJ751" i="1" s="1"/>
  <c r="AF751" i="1"/>
  <c r="AG751" i="1" s="1"/>
  <c r="AU751" i="1" s="1"/>
  <c r="AV751" i="1" s="1"/>
  <c r="AF573" i="1"/>
  <c r="AG573" i="1" s="1"/>
  <c r="AU573" i="1" s="1"/>
  <c r="AV573" i="1" s="1"/>
  <c r="AF648" i="1"/>
  <c r="AG648" i="1" s="1"/>
  <c r="AU648" i="1" s="1"/>
  <c r="AV648" i="1" s="1"/>
  <c r="AH648" i="1"/>
  <c r="AJ648" i="1" s="1"/>
  <c r="AF673" i="1"/>
  <c r="AG673" i="1" s="1"/>
  <c r="AU673" i="1" s="1"/>
  <c r="AV673" i="1" s="1"/>
  <c r="AH706" i="1"/>
  <c r="AJ706" i="1" s="1"/>
  <c r="AF706" i="1"/>
  <c r="AG706" i="1" s="1"/>
  <c r="AU706" i="1" s="1"/>
  <c r="AV706" i="1" s="1"/>
  <c r="AH611" i="1"/>
  <c r="AJ611" i="1" s="1"/>
  <c r="AH614" i="1"/>
  <c r="AJ614" i="1" s="1"/>
  <c r="AH626" i="1"/>
  <c r="AJ626" i="1" s="1"/>
  <c r="AL635" i="1"/>
  <c r="AO635" i="1" s="1"/>
  <c r="AR635" i="1" s="1"/>
  <c r="AL643" i="1"/>
  <c r="AO643" i="1" s="1"/>
  <c r="AR643" i="1" s="1"/>
  <c r="AL644" i="1"/>
  <c r="AO644" i="1" s="1"/>
  <c r="AR644" i="1" s="1"/>
  <c r="AH655" i="1"/>
  <c r="AJ655" i="1" s="1"/>
  <c r="AH682" i="1"/>
  <c r="AJ682" i="1" s="1"/>
  <c r="AF682" i="1"/>
  <c r="AG682" i="1" s="1"/>
  <c r="AU682" i="1" s="1"/>
  <c r="AV682" i="1" s="1"/>
  <c r="AF611" i="1"/>
  <c r="AG611" i="1" s="1"/>
  <c r="AF614" i="1"/>
  <c r="AG614" i="1" s="1"/>
  <c r="AU614" i="1" s="1"/>
  <c r="AV614" i="1" s="1"/>
  <c r="AF626" i="1"/>
  <c r="AG626" i="1" s="1"/>
  <c r="AU626" i="1" s="1"/>
  <c r="AV626" i="1" s="1"/>
  <c r="AH632" i="1"/>
  <c r="AJ632" i="1" s="1"/>
  <c r="AF632" i="1"/>
  <c r="AG632" i="1" s="1"/>
  <c r="AU632" i="1" s="1"/>
  <c r="AV632" i="1" s="1"/>
  <c r="AF635" i="1"/>
  <c r="AG635" i="1" s="1"/>
  <c r="AU635" i="1" s="1"/>
  <c r="AV635" i="1" s="1"/>
  <c r="AH636" i="1"/>
  <c r="AJ636" i="1" s="1"/>
  <c r="AF643" i="1"/>
  <c r="AG643" i="1" s="1"/>
  <c r="AU643" i="1" s="1"/>
  <c r="AV643" i="1" s="1"/>
  <c r="AF644" i="1"/>
  <c r="AG644" i="1" s="1"/>
  <c r="AU644" i="1" s="1"/>
  <c r="AV644" i="1" s="1"/>
  <c r="AF655" i="1"/>
  <c r="AG655" i="1" s="1"/>
  <c r="AU655" i="1" s="1"/>
  <c r="AV655" i="1" s="1"/>
  <c r="AH658" i="1"/>
  <c r="AJ658" i="1" s="1"/>
  <c r="AF658" i="1"/>
  <c r="AG658" i="1" s="1"/>
  <c r="AU658" i="1" s="1"/>
  <c r="AV658" i="1" s="1"/>
  <c r="AH673" i="1"/>
  <c r="AJ673" i="1" s="1"/>
  <c r="AL690" i="1"/>
  <c r="AO690" i="1" s="1"/>
  <c r="AR690" i="1" s="1"/>
  <c r="AF696" i="1"/>
  <c r="AG696" i="1" s="1"/>
  <c r="AU696" i="1" s="1"/>
  <c r="AV696" i="1" s="1"/>
  <c r="AH696" i="1"/>
  <c r="AJ696" i="1" s="1"/>
  <c r="AH715" i="1"/>
  <c r="AJ715" i="1" s="1"/>
  <c r="AH755" i="1"/>
  <c r="AJ755" i="1" s="1"/>
  <c r="AF755" i="1"/>
  <c r="AG755" i="1" s="1"/>
  <c r="AU755" i="1" s="1"/>
  <c r="AV755" i="1" s="1"/>
  <c r="AH788" i="1"/>
  <c r="AJ788" i="1" s="1"/>
  <c r="AF788" i="1"/>
  <c r="AG788" i="1" s="1"/>
  <c r="AU788" i="1" s="1"/>
  <c r="AV788" i="1" s="1"/>
  <c r="AE707" i="1"/>
  <c r="AH760" i="1"/>
  <c r="AJ760" i="1" s="1"/>
  <c r="AF760" i="1"/>
  <c r="AG760" i="1" s="1"/>
  <c r="AU760" i="1" s="1"/>
  <c r="AV760" i="1" s="1"/>
  <c r="AH794" i="1"/>
  <c r="AJ794" i="1" s="1"/>
  <c r="AF794" i="1"/>
  <c r="AG794" i="1" s="1"/>
  <c r="AU794" i="1" s="1"/>
  <c r="AV794" i="1" s="1"/>
  <c r="AF704" i="1"/>
  <c r="AG704" i="1" s="1"/>
  <c r="AU704" i="1" s="1"/>
  <c r="AV704" i="1" s="1"/>
  <c r="AL704" i="1"/>
  <c r="AO704" i="1" s="1"/>
  <c r="AR704" i="1" s="1"/>
  <c r="AH796" i="1"/>
  <c r="AJ796" i="1" s="1"/>
  <c r="AF796" i="1"/>
  <c r="AG796" i="1" s="1"/>
  <c r="AU796" i="1" s="1"/>
  <c r="AV796" i="1" s="1"/>
  <c r="AH798" i="1"/>
  <c r="AJ798" i="1" s="1"/>
  <c r="AF798" i="1"/>
  <c r="AG798" i="1" s="1"/>
  <c r="AU798" i="1" s="1"/>
  <c r="AV798" i="1" s="1"/>
  <c r="AF660" i="1"/>
  <c r="AG660" i="1" s="1"/>
  <c r="AU660" i="1" s="1"/>
  <c r="AV660" i="1" s="1"/>
  <c r="AL310" i="1"/>
  <c r="AO310" i="1" s="1"/>
  <c r="AR310" i="1" s="1"/>
  <c r="AL617" i="1"/>
  <c r="AO617" i="1" s="1"/>
  <c r="AR617" i="1" s="1"/>
  <c r="AH695" i="1"/>
  <c r="AJ695" i="1" s="1"/>
  <c r="AF695" i="1"/>
  <c r="AG695" i="1" s="1"/>
  <c r="AU695" i="1" s="1"/>
  <c r="AV695" i="1" s="1"/>
  <c r="AL641" i="1"/>
  <c r="AO641" i="1" s="1"/>
  <c r="AR641" i="1" s="1"/>
  <c r="AH660" i="1"/>
  <c r="AJ660" i="1" s="1"/>
  <c r="AL663" i="1"/>
  <c r="AO663" i="1" s="1"/>
  <c r="AR663" i="1" s="1"/>
  <c r="AF617" i="1"/>
  <c r="AG617" i="1" s="1"/>
  <c r="AU617" i="1" s="1"/>
  <c r="AV617" i="1" s="1"/>
  <c r="AF684" i="1"/>
  <c r="AG684" i="1" s="1"/>
  <c r="AU684" i="1" s="1"/>
  <c r="AV684" i="1" s="1"/>
  <c r="AH684" i="1"/>
  <c r="AJ684" i="1" s="1"/>
  <c r="AH719" i="1"/>
  <c r="AJ719" i="1" s="1"/>
  <c r="AF719" i="1"/>
  <c r="AG719" i="1" s="1"/>
  <c r="AU719" i="1" s="1"/>
  <c r="AV719" i="1" s="1"/>
  <c r="AH732" i="1"/>
  <c r="AJ732" i="1" s="1"/>
  <c r="AF732" i="1"/>
  <c r="AG732" i="1" s="1"/>
  <c r="AU732" i="1" s="1"/>
  <c r="AV732" i="1" s="1"/>
  <c r="AF641" i="1"/>
  <c r="AG641" i="1" s="1"/>
  <c r="AU641" i="1" s="1"/>
  <c r="AV641" i="1" s="1"/>
  <c r="AF663" i="1"/>
  <c r="AG663" i="1" s="1"/>
  <c r="AU663" i="1" s="1"/>
  <c r="AV663" i="1" s="1"/>
  <c r="AL662" i="1"/>
  <c r="AO662" i="1" s="1"/>
  <c r="AR662" i="1" s="1"/>
  <c r="AF662" i="1"/>
  <c r="AG662" i="1" s="1"/>
  <c r="AU662" i="1" s="1"/>
  <c r="AV662" i="1" s="1"/>
  <c r="AH674" i="1"/>
  <c r="AJ674" i="1" s="1"/>
  <c r="AH805" i="1"/>
  <c r="AJ805" i="1" s="1"/>
  <c r="AF805" i="1"/>
  <c r="AG805" i="1" s="1"/>
  <c r="AU805" i="1" s="1"/>
  <c r="AV805" i="1" s="1"/>
  <c r="AH734" i="1"/>
  <c r="AJ734" i="1" s="1"/>
  <c r="AH777" i="1"/>
  <c r="AJ777" i="1" s="1"/>
  <c r="AF777" i="1"/>
  <c r="AG777" i="1" s="1"/>
  <c r="AU777" i="1" s="1"/>
  <c r="AV777" i="1" s="1"/>
  <c r="AH728" i="1"/>
  <c r="AJ728" i="1" s="1"/>
  <c r="AF728" i="1"/>
  <c r="AG728" i="1" s="1"/>
  <c r="AU728" i="1" s="1"/>
  <c r="AV728" i="1" s="1"/>
  <c r="AH730" i="1"/>
  <c r="AJ730" i="1" s="1"/>
  <c r="AH739" i="1"/>
  <c r="AJ739" i="1" s="1"/>
  <c r="AH708" i="1"/>
  <c r="AJ708" i="1" s="1"/>
  <c r="AH807" i="1"/>
  <c r="AJ807" i="1" s="1"/>
  <c r="AH731" i="1"/>
  <c r="AJ731" i="1" s="1"/>
  <c r="AF731" i="1"/>
  <c r="AG731" i="1" s="1"/>
  <c r="AU731" i="1" s="1"/>
  <c r="AV731" i="1" s="1"/>
  <c r="AL709" i="1"/>
  <c r="AO709" i="1" s="1"/>
  <c r="AR709" i="1" s="1"/>
  <c r="AL713" i="1"/>
  <c r="AO713" i="1" s="1"/>
  <c r="AR713" i="1" s="1"/>
  <c r="AL724" i="1"/>
  <c r="AO724" i="1" s="1"/>
  <c r="AR724" i="1" s="1"/>
  <c r="AH733" i="1"/>
  <c r="AJ733" i="1" s="1"/>
  <c r="AF733" i="1"/>
  <c r="AG733" i="1" s="1"/>
  <c r="AU733" i="1" s="1"/>
  <c r="AV733" i="1" s="1"/>
  <c r="AH752" i="1"/>
  <c r="AF709" i="1"/>
  <c r="AG709" i="1" s="1"/>
  <c r="AU709" i="1" s="1"/>
  <c r="AV709" i="1" s="1"/>
  <c r="AF710" i="1"/>
  <c r="AG710" i="1" s="1"/>
  <c r="AU710" i="1" s="1"/>
  <c r="AV710" i="1" s="1"/>
  <c r="AH712" i="1"/>
  <c r="AF713" i="1"/>
  <c r="AG713" i="1" s="1"/>
  <c r="AU713" i="1" s="1"/>
  <c r="AV713" i="1" s="1"/>
  <c r="AF724" i="1"/>
  <c r="AG724" i="1" s="1"/>
  <c r="AU724" i="1" s="1"/>
  <c r="AV724" i="1" s="1"/>
  <c r="AH124" i="1"/>
  <c r="AJ124" i="1" s="1"/>
  <c r="AF124" i="1"/>
  <c r="AG124" i="1" s="1"/>
  <c r="AU124" i="1" s="1"/>
  <c r="AV124" i="1" s="1"/>
  <c r="AH710" i="1"/>
  <c r="AJ710" i="1" s="1"/>
  <c r="AH533" i="1"/>
  <c r="AJ533" i="1" s="1"/>
  <c r="AF533" i="1"/>
  <c r="AG533" i="1" s="1"/>
  <c r="AU533" i="1" s="1"/>
  <c r="AV533" i="1" s="1"/>
  <c r="AH792" i="1"/>
  <c r="AJ792" i="1" s="1"/>
  <c r="AF792" i="1"/>
  <c r="AG792" i="1" s="1"/>
  <c r="AU792" i="1" s="1"/>
  <c r="AV792" i="1" s="1"/>
  <c r="AH814" i="1"/>
  <c r="AJ814" i="1" s="1"/>
  <c r="AF814" i="1"/>
  <c r="AG814" i="1" s="1"/>
  <c r="AU814" i="1" s="1"/>
  <c r="AV814" i="1" s="1"/>
  <c r="AH772" i="1"/>
  <c r="AJ772" i="1" s="1"/>
  <c r="AF772" i="1"/>
  <c r="AG772" i="1" s="1"/>
  <c r="AU772" i="1" s="1"/>
  <c r="AV772" i="1" s="1"/>
  <c r="AF311" i="1"/>
  <c r="AG311" i="1" s="1"/>
  <c r="AU311" i="1" s="1"/>
  <c r="AV311" i="1" s="1"/>
  <c r="AH737" i="1"/>
  <c r="AJ737" i="1" s="1"/>
  <c r="AF737" i="1"/>
  <c r="AG737" i="1" s="1"/>
  <c r="AU737" i="1" s="1"/>
  <c r="AV737" i="1" s="1"/>
  <c r="AL742" i="1"/>
  <c r="AO742" i="1" s="1"/>
  <c r="AR742" i="1" s="1"/>
  <c r="AF742" i="1"/>
  <c r="AG742" i="1" s="1"/>
  <c r="AU742" i="1" s="1"/>
  <c r="AV742" i="1" s="1"/>
  <c r="AL746" i="1"/>
  <c r="AO746" i="1" s="1"/>
  <c r="AR746" i="1" s="1"/>
  <c r="AF746" i="1"/>
  <c r="AG746" i="1" s="1"/>
  <c r="AU746" i="1" s="1"/>
  <c r="AV746" i="1" s="1"/>
  <c r="AL750" i="1"/>
  <c r="AO750" i="1" s="1"/>
  <c r="AR750" i="1" s="1"/>
  <c r="AF750" i="1"/>
  <c r="AG750" i="1" s="1"/>
  <c r="AU750" i="1" s="1"/>
  <c r="AV750" i="1" s="1"/>
  <c r="AH311" i="1"/>
  <c r="AJ311" i="1" s="1"/>
  <c r="AL759" i="1"/>
  <c r="AO759" i="1" s="1"/>
  <c r="AR759" i="1" s="1"/>
  <c r="AF759" i="1"/>
  <c r="AG759" i="1" s="1"/>
  <c r="AU759" i="1" s="1"/>
  <c r="AV759" i="1" s="1"/>
  <c r="AL776" i="1"/>
  <c r="AO776" i="1" s="1"/>
  <c r="AR776" i="1" s="1"/>
  <c r="AF776" i="1"/>
  <c r="AG776" i="1" s="1"/>
  <c r="AU776" i="1" s="1"/>
  <c r="AV776" i="1" s="1"/>
  <c r="AH782" i="1"/>
  <c r="AJ782" i="1" s="1"/>
  <c r="AF782" i="1"/>
  <c r="AG782" i="1" s="1"/>
  <c r="AU782" i="1" s="1"/>
  <c r="AV782" i="1" s="1"/>
  <c r="AF741" i="1"/>
  <c r="AG741" i="1" s="1"/>
  <c r="AH741" i="1"/>
  <c r="AL754" i="1"/>
  <c r="AO754" i="1" s="1"/>
  <c r="AR754" i="1" s="1"/>
  <c r="AF754" i="1"/>
  <c r="AG754" i="1" s="1"/>
  <c r="AU754" i="1" s="1"/>
  <c r="AV754" i="1" s="1"/>
  <c r="AL771" i="1"/>
  <c r="AO771" i="1" s="1"/>
  <c r="AR771" i="1" s="1"/>
  <c r="AF771" i="1"/>
  <c r="AG771" i="1" s="1"/>
  <c r="AU771" i="1" s="1"/>
  <c r="AV771" i="1" s="1"/>
  <c r="AH779" i="1"/>
  <c r="AF779" i="1"/>
  <c r="AG779" i="1" s="1"/>
  <c r="AU779" i="1" s="1"/>
  <c r="AV779" i="1" s="1"/>
  <c r="AH790" i="1"/>
  <c r="AJ790" i="1" s="1"/>
  <c r="AF790" i="1"/>
  <c r="AG790" i="1" s="1"/>
  <c r="AU790" i="1" s="1"/>
  <c r="AV790" i="1" s="1"/>
  <c r="AL815" i="1"/>
  <c r="AO815" i="1" s="1"/>
  <c r="AR815" i="1" s="1"/>
  <c r="AJ815" i="1"/>
  <c r="AF721" i="1"/>
  <c r="AG721" i="1" s="1"/>
  <c r="AU721" i="1" s="1"/>
  <c r="AV721" i="1" s="1"/>
  <c r="AF722" i="1"/>
  <c r="AG722" i="1" s="1"/>
  <c r="AU722" i="1" s="1"/>
  <c r="AV722" i="1" s="1"/>
  <c r="AL787" i="1"/>
  <c r="AO787" i="1" s="1"/>
  <c r="AR787" i="1" s="1"/>
  <c r="AH745" i="1"/>
  <c r="AH423" i="1"/>
  <c r="AG815" i="1"/>
  <c r="AU815" i="1" s="1"/>
  <c r="AV815" i="1" s="1"/>
  <c r="AF783" i="1"/>
  <c r="AG783" i="1" s="1"/>
  <c r="AU783" i="1" s="1"/>
  <c r="AV783" i="1" s="1"/>
  <c r="AF787" i="1"/>
  <c r="AG787" i="1" s="1"/>
  <c r="AU787" i="1" s="1"/>
  <c r="AV787" i="1" s="1"/>
  <c r="AF791" i="1"/>
  <c r="AG791" i="1" s="1"/>
  <c r="AU791" i="1" s="1"/>
  <c r="AV791" i="1" s="1"/>
  <c r="AF799" i="1"/>
  <c r="AG799" i="1" s="1"/>
  <c r="AU799" i="1" s="1"/>
  <c r="AV799" i="1" s="1"/>
  <c r="AH783" i="1"/>
  <c r="AJ783" i="1" s="1"/>
  <c r="AH804" i="1"/>
  <c r="AJ804" i="1" s="1"/>
  <c r="AJ160" i="1" l="1"/>
  <c r="AL481" i="1"/>
  <c r="AO481" i="1" s="1"/>
  <c r="AR481" i="1" s="1"/>
  <c r="AF578" i="1"/>
  <c r="AG578" i="1" s="1"/>
  <c r="AU578" i="1" s="1"/>
  <c r="AV578" i="1" s="1"/>
  <c r="AF527" i="1"/>
  <c r="AG527" i="1" s="1"/>
  <c r="AH254" i="1"/>
  <c r="AH769" i="1"/>
  <c r="AJ769" i="1" s="1"/>
  <c r="AF577" i="1"/>
  <c r="AG577" i="1" s="1"/>
  <c r="AU577" i="1" s="1"/>
  <c r="AV577" i="1" s="1"/>
  <c r="AH579" i="1"/>
  <c r="AJ579" i="1" s="1"/>
  <c r="AH493" i="1"/>
  <c r="AJ493" i="1" s="1"/>
  <c r="AJ50" i="1"/>
  <c r="AL287" i="1"/>
  <c r="AO287" i="1" s="1"/>
  <c r="AR287" i="1" s="1"/>
  <c r="AL203" i="1"/>
  <c r="AO203" i="1" s="1"/>
  <c r="AR203" i="1" s="1"/>
  <c r="AF215" i="1"/>
  <c r="AG215" i="1" s="1"/>
  <c r="AU215" i="1" s="1"/>
  <c r="AV215" i="1" s="1"/>
  <c r="AJ693" i="1"/>
  <c r="AL167" i="1"/>
  <c r="AO167" i="1" s="1"/>
  <c r="AR167" i="1" s="1"/>
  <c r="AL570" i="1"/>
  <c r="AO570" i="1" s="1"/>
  <c r="AR570" i="1" s="1"/>
  <c r="AJ173" i="1"/>
  <c r="AL805" i="1"/>
  <c r="AO805" i="1" s="1"/>
  <c r="AR805" i="1" s="1"/>
  <c r="AH479" i="1"/>
  <c r="AJ479" i="1" s="1"/>
  <c r="AL55" i="1"/>
  <c r="AO55" i="1" s="1"/>
  <c r="AR55" i="1" s="1"/>
  <c r="AL607" i="1"/>
  <c r="AO607" i="1" s="1"/>
  <c r="AR607" i="1" s="1"/>
  <c r="AF253" i="1"/>
  <c r="AG253" i="1" s="1"/>
  <c r="AU253" i="1" s="1"/>
  <c r="AV253" i="1" s="1"/>
  <c r="AL147" i="1"/>
  <c r="AO147" i="1" s="1"/>
  <c r="AR147" i="1" s="1"/>
  <c r="AF596" i="1"/>
  <c r="AG596" i="1" s="1"/>
  <c r="AU596" i="1" s="1"/>
  <c r="AV596" i="1" s="1"/>
  <c r="AL549" i="1"/>
  <c r="AO549" i="1" s="1"/>
  <c r="AR549" i="1" s="1"/>
  <c r="AJ276" i="1"/>
  <c r="AH766" i="1"/>
  <c r="AJ766" i="1" s="1"/>
  <c r="AH780" i="1"/>
  <c r="AJ780" i="1" s="1"/>
  <c r="AL198" i="1"/>
  <c r="AO198" i="1" s="1"/>
  <c r="AR198" i="1" s="1"/>
  <c r="AF764" i="1"/>
  <c r="AG764" i="1" s="1"/>
  <c r="AU764" i="1" s="1"/>
  <c r="AV764" i="1" s="1"/>
  <c r="AF383" i="1"/>
  <c r="AG383" i="1" s="1"/>
  <c r="AU383" i="1" s="1"/>
  <c r="AV383" i="1" s="1"/>
  <c r="AJ86" i="1"/>
  <c r="AF258" i="1"/>
  <c r="AG258" i="1" s="1"/>
  <c r="AL216" i="1"/>
  <c r="AO216" i="1" s="1"/>
  <c r="AR216" i="1" s="1"/>
  <c r="AF773" i="1"/>
  <c r="AG773" i="1" s="1"/>
  <c r="AU773" i="1" s="1"/>
  <c r="AV773" i="1" s="1"/>
  <c r="AL433" i="1"/>
  <c r="AO433" i="1" s="1"/>
  <c r="AR433" i="1" s="1"/>
  <c r="AH768" i="1"/>
  <c r="AJ768" i="1" s="1"/>
  <c r="AF312" i="1"/>
  <c r="AG312" i="1" s="1"/>
  <c r="AU312" i="1" s="1"/>
  <c r="AV312" i="1" s="1"/>
  <c r="AL359" i="1"/>
  <c r="AO359" i="1" s="1"/>
  <c r="AR359" i="1" s="1"/>
  <c r="AJ74" i="1"/>
  <c r="AF502" i="1"/>
  <c r="AG502" i="1" s="1"/>
  <c r="AU502" i="1" s="1"/>
  <c r="AV502" i="1" s="1"/>
  <c r="AH435" i="1"/>
  <c r="AJ435" i="1" s="1"/>
  <c r="AL180" i="1"/>
  <c r="AO180" i="1" s="1"/>
  <c r="AR180" i="1" s="1"/>
  <c r="AF580" i="1"/>
  <c r="AG580" i="1" s="1"/>
  <c r="AU580" i="1" s="1"/>
  <c r="AV580" i="1" s="1"/>
  <c r="AF366" i="1"/>
  <c r="AG366" i="1" s="1"/>
  <c r="AU366" i="1" s="1"/>
  <c r="AV366" i="1" s="1"/>
  <c r="AL420" i="1"/>
  <c r="AO420" i="1" s="1"/>
  <c r="AR420" i="1" s="1"/>
  <c r="AF435" i="1"/>
  <c r="AG435" i="1" s="1"/>
  <c r="AU435" i="1" s="1"/>
  <c r="AV435" i="1" s="1"/>
  <c r="AF96" i="1"/>
  <c r="AG96" i="1" s="1"/>
  <c r="AU96" i="1" s="1"/>
  <c r="AV96" i="1" s="1"/>
  <c r="AH576" i="1"/>
  <c r="AJ576" i="1" s="1"/>
  <c r="AL796" i="1"/>
  <c r="AO796" i="1" s="1"/>
  <c r="AR796" i="1" s="1"/>
  <c r="AL118" i="1"/>
  <c r="AO118" i="1" s="1"/>
  <c r="AR118" i="1" s="1"/>
  <c r="AJ102" i="1"/>
  <c r="AL556" i="1"/>
  <c r="AO556" i="1" s="1"/>
  <c r="AR556" i="1" s="1"/>
  <c r="AL106" i="1"/>
  <c r="AO106" i="1" s="1"/>
  <c r="AR106" i="1" s="1"/>
  <c r="AF424" i="1"/>
  <c r="AG424" i="1" s="1"/>
  <c r="AU424" i="1" s="1"/>
  <c r="AV424" i="1" s="1"/>
  <c r="AF725" i="1"/>
  <c r="AG725" i="1" s="1"/>
  <c r="AU725" i="1" s="1"/>
  <c r="AV725" i="1" s="1"/>
  <c r="AJ770" i="1"/>
  <c r="AL346" i="1"/>
  <c r="AO346" i="1" s="1"/>
  <c r="AR346" i="1" s="1"/>
  <c r="AH686" i="1"/>
  <c r="AJ686" i="1" s="1"/>
  <c r="AL136" i="1"/>
  <c r="AO136" i="1" s="1"/>
  <c r="AR136" i="1" s="1"/>
  <c r="AL538" i="1"/>
  <c r="AO538" i="1" s="1"/>
  <c r="AR538" i="1" s="1"/>
  <c r="AF305" i="1"/>
  <c r="AG305" i="1" s="1"/>
  <c r="AU305" i="1" s="1"/>
  <c r="AV305" i="1" s="1"/>
  <c r="AL133" i="1"/>
  <c r="AO133" i="1" s="1"/>
  <c r="AR133" i="1" s="1"/>
  <c r="AL10" i="1"/>
  <c r="AO10" i="1" s="1"/>
  <c r="AR10" i="1" s="1"/>
  <c r="AH811" i="1"/>
  <c r="AJ811" i="1" s="1"/>
  <c r="AH809" i="1"/>
  <c r="AJ809" i="1" s="1"/>
  <c r="AL475" i="1"/>
  <c r="AO475" i="1" s="1"/>
  <c r="AR475" i="1" s="1"/>
  <c r="AL544" i="1"/>
  <c r="AO544" i="1" s="1"/>
  <c r="AR544" i="1" s="1"/>
  <c r="AL201" i="1"/>
  <c r="AO201" i="1" s="1"/>
  <c r="AR201" i="1" s="1"/>
  <c r="AL172" i="1"/>
  <c r="AO172" i="1" s="1"/>
  <c r="AR172" i="1" s="1"/>
  <c r="AF774" i="1"/>
  <c r="AG774" i="1" s="1"/>
  <c r="AU774" i="1" s="1"/>
  <c r="AV774" i="1" s="1"/>
  <c r="AL375" i="1"/>
  <c r="AO375" i="1" s="1"/>
  <c r="AR375" i="1" s="1"/>
  <c r="AL128" i="1"/>
  <c r="AO128" i="1" s="1"/>
  <c r="AR128" i="1" s="1"/>
  <c r="AF758" i="1"/>
  <c r="AG758" i="1" s="1"/>
  <c r="AU758" i="1" s="1"/>
  <c r="AV758" i="1" s="1"/>
  <c r="AJ749" i="1"/>
  <c r="AF455" i="1"/>
  <c r="AG455" i="1" s="1"/>
  <c r="AU455" i="1" s="1"/>
  <c r="AV455" i="1" s="1"/>
  <c r="AL633" i="1"/>
  <c r="AO633" i="1" s="1"/>
  <c r="AR633" i="1" s="1"/>
  <c r="AF384" i="1"/>
  <c r="AG384" i="1" s="1"/>
  <c r="AU384" i="1" s="1"/>
  <c r="AV384" i="1" s="1"/>
  <c r="AL763" i="1"/>
  <c r="AO763" i="1" s="1"/>
  <c r="AR763" i="1" s="1"/>
  <c r="AL501" i="1"/>
  <c r="AO501" i="1" s="1"/>
  <c r="AR501" i="1" s="1"/>
  <c r="AL231" i="1"/>
  <c r="AO231" i="1" s="1"/>
  <c r="AR231" i="1" s="1"/>
  <c r="AL519" i="1"/>
  <c r="AO519" i="1" s="1"/>
  <c r="AR519" i="1" s="1"/>
  <c r="AL772" i="1"/>
  <c r="AO772" i="1" s="1"/>
  <c r="AR772" i="1" s="1"/>
  <c r="AJ390" i="1"/>
  <c r="AF793" i="1"/>
  <c r="AG793" i="1" s="1"/>
  <c r="AU793" i="1" s="1"/>
  <c r="AV793" i="1" s="1"/>
  <c r="AJ649" i="1"/>
  <c r="AL648" i="1"/>
  <c r="AO648" i="1" s="1"/>
  <c r="AR648" i="1" s="1"/>
  <c r="AL583" i="1"/>
  <c r="AO583" i="1" s="1"/>
  <c r="AR583" i="1" s="1"/>
  <c r="AL689" i="1"/>
  <c r="AO689" i="1" s="1"/>
  <c r="AR689" i="1" s="1"/>
  <c r="AJ554" i="1"/>
  <c r="AL155" i="1"/>
  <c r="AO155" i="1" s="1"/>
  <c r="AR155" i="1" s="1"/>
  <c r="AL242" i="1"/>
  <c r="AO242" i="1" s="1"/>
  <c r="AR242" i="1" s="1"/>
  <c r="AF506" i="1"/>
  <c r="AG506" i="1" s="1"/>
  <c r="AU506" i="1" s="1"/>
  <c r="AV506" i="1" s="1"/>
  <c r="AL226" i="1"/>
  <c r="AO226" i="1" s="1"/>
  <c r="AR226" i="1" s="1"/>
  <c r="AJ425" i="1"/>
  <c r="AL225" i="1"/>
  <c r="AO225" i="1" s="1"/>
  <c r="AR225" i="1" s="1"/>
  <c r="AL68" i="1"/>
  <c r="AO68" i="1" s="1"/>
  <c r="AR68" i="1" s="1"/>
  <c r="AL653" i="1"/>
  <c r="AO653" i="1" s="1"/>
  <c r="AR653" i="1" s="1"/>
  <c r="AL362" i="1"/>
  <c r="AO362" i="1" s="1"/>
  <c r="AR362" i="1" s="1"/>
  <c r="AH566" i="1"/>
  <c r="AJ566" i="1" s="1"/>
  <c r="AL691" i="1"/>
  <c r="AO691" i="1" s="1"/>
  <c r="AR691" i="1" s="1"/>
  <c r="AH654" i="1"/>
  <c r="AJ654" i="1" s="1"/>
  <c r="AH677" i="1"/>
  <c r="AJ677" i="1" s="1"/>
  <c r="AF762" i="1"/>
  <c r="AG762" i="1" s="1"/>
  <c r="AU762" i="1" s="1"/>
  <c r="AV762" i="1" s="1"/>
  <c r="AL660" i="1"/>
  <c r="AO660" i="1" s="1"/>
  <c r="AR660" i="1" s="1"/>
  <c r="AL196" i="1"/>
  <c r="AO196" i="1" s="1"/>
  <c r="AR196" i="1" s="1"/>
  <c r="AF175" i="1"/>
  <c r="AG175" i="1" s="1"/>
  <c r="AU175" i="1" s="1"/>
  <c r="AV175" i="1" s="1"/>
  <c r="AL41" i="1"/>
  <c r="AO41" i="1" s="1"/>
  <c r="AR41" i="1" s="1"/>
  <c r="AJ129" i="1"/>
  <c r="AL224" i="1"/>
  <c r="AO224" i="1" s="1"/>
  <c r="AR224" i="1" s="1"/>
  <c r="AL131" i="1"/>
  <c r="AO131" i="1" s="1"/>
  <c r="AR131" i="1" s="1"/>
  <c r="AL300" i="1"/>
  <c r="AO300" i="1" s="1"/>
  <c r="AR300" i="1" s="1"/>
  <c r="AF501" i="1"/>
  <c r="AG501" i="1" s="1"/>
  <c r="AU501" i="1" s="1"/>
  <c r="AV501" i="1" s="1"/>
  <c r="AL370" i="1"/>
  <c r="AO370" i="1" s="1"/>
  <c r="AR370" i="1" s="1"/>
  <c r="AL721" i="1"/>
  <c r="AO721" i="1" s="1"/>
  <c r="AR721" i="1" s="1"/>
  <c r="AL397" i="1"/>
  <c r="AO397" i="1" s="1"/>
  <c r="AR397" i="1" s="1"/>
  <c r="AJ117" i="1"/>
  <c r="AL197" i="1"/>
  <c r="AO197" i="1" s="1"/>
  <c r="AR197" i="1" s="1"/>
  <c r="AL421" i="1"/>
  <c r="AO421" i="1" s="1"/>
  <c r="AR421" i="1" s="1"/>
  <c r="AL514" i="1"/>
  <c r="AO514" i="1" s="1"/>
  <c r="AR514" i="1" s="1"/>
  <c r="AJ234" i="1"/>
  <c r="AL767" i="1"/>
  <c r="AO767" i="1" s="1"/>
  <c r="AR767" i="1" s="1"/>
  <c r="AF110" i="1"/>
  <c r="AG110" i="1" s="1"/>
  <c r="AU110" i="1" s="1"/>
  <c r="AV110" i="1" s="1"/>
  <c r="AL651" i="1"/>
  <c r="AO651" i="1" s="1"/>
  <c r="AR651" i="1" s="1"/>
  <c r="AH505" i="1"/>
  <c r="AJ505" i="1" s="1"/>
  <c r="AF97" i="1"/>
  <c r="AG97" i="1" s="1"/>
  <c r="AU97" i="1" s="1"/>
  <c r="AV97" i="1" s="1"/>
  <c r="AL31" i="1"/>
  <c r="AO31" i="1" s="1"/>
  <c r="AR31" i="1" s="1"/>
  <c r="AF292" i="1"/>
  <c r="AG292" i="1" s="1"/>
  <c r="AU292" i="1" s="1"/>
  <c r="AV292" i="1" s="1"/>
  <c r="AF103" i="1"/>
  <c r="AG103" i="1" s="1"/>
  <c r="AU103" i="1" s="1"/>
  <c r="AV103" i="1" s="1"/>
  <c r="AL539" i="1"/>
  <c r="AO539" i="1" s="1"/>
  <c r="AR539" i="1" s="1"/>
  <c r="AL573" i="1"/>
  <c r="AO573" i="1" s="1"/>
  <c r="AR573" i="1" s="1"/>
  <c r="AF504" i="1"/>
  <c r="AG504" i="1" s="1"/>
  <c r="AU504" i="1" s="1"/>
  <c r="AV504" i="1" s="1"/>
  <c r="AL110" i="1"/>
  <c r="AO110" i="1" s="1"/>
  <c r="AR110" i="1" s="1"/>
  <c r="AL792" i="1"/>
  <c r="AO792" i="1" s="1"/>
  <c r="AR792" i="1" s="1"/>
  <c r="AF116" i="1"/>
  <c r="AG116" i="1" s="1"/>
  <c r="AU116" i="1" s="1"/>
  <c r="AV116" i="1" s="1"/>
  <c r="AL680" i="1"/>
  <c r="AO680" i="1" s="1"/>
  <c r="AR680" i="1" s="1"/>
  <c r="AL255" i="1"/>
  <c r="AO255" i="1" s="1"/>
  <c r="AR255" i="1" s="1"/>
  <c r="AJ664" i="1"/>
  <c r="AL447" i="1"/>
  <c r="AO447" i="1" s="1"/>
  <c r="AR447" i="1" s="1"/>
  <c r="AL266" i="1"/>
  <c r="AO266" i="1" s="1"/>
  <c r="AR266" i="1" s="1"/>
  <c r="AL71" i="1"/>
  <c r="AO71" i="1" s="1"/>
  <c r="AR71" i="1" s="1"/>
  <c r="AL290" i="1"/>
  <c r="AO290" i="1" s="1"/>
  <c r="AR290" i="1" s="1"/>
  <c r="AL650" i="1"/>
  <c r="AO650" i="1" s="1"/>
  <c r="AR650" i="1" s="1"/>
  <c r="AJ795" i="1"/>
  <c r="AL688" i="1"/>
  <c r="AO688" i="1" s="1"/>
  <c r="AR688" i="1" s="1"/>
  <c r="AJ515" i="1"/>
  <c r="AL515" i="1"/>
  <c r="AO515" i="1" s="1"/>
  <c r="AR515" i="1" s="1"/>
  <c r="AL537" i="1"/>
  <c r="AO537" i="1" s="1"/>
  <c r="AR537" i="1" s="1"/>
  <c r="AL536" i="1"/>
  <c r="AO536" i="1" s="1"/>
  <c r="AR536" i="1" s="1"/>
  <c r="AL757" i="1"/>
  <c r="AO757" i="1" s="1"/>
  <c r="AR757" i="1" s="1"/>
  <c r="AL149" i="1"/>
  <c r="AO149" i="1" s="1"/>
  <c r="AR149" i="1" s="1"/>
  <c r="AL11" i="1"/>
  <c r="AO11" i="1" s="1"/>
  <c r="AR11" i="1" s="1"/>
  <c r="AJ507" i="1"/>
  <c r="AJ669" i="1"/>
  <c r="AL681" i="1"/>
  <c r="AO681" i="1" s="1"/>
  <c r="AR681" i="1" s="1"/>
  <c r="AL270" i="1"/>
  <c r="AO270" i="1" s="1"/>
  <c r="AR270" i="1" s="1"/>
  <c r="AL139" i="1"/>
  <c r="AO139" i="1" s="1"/>
  <c r="AR139" i="1" s="1"/>
  <c r="AL504" i="1"/>
  <c r="AO504" i="1" s="1"/>
  <c r="AR504" i="1" s="1"/>
  <c r="AL683" i="1"/>
  <c r="AO683" i="1" s="1"/>
  <c r="AR683" i="1" s="1"/>
  <c r="AL391" i="1"/>
  <c r="AO391" i="1" s="1"/>
  <c r="AR391" i="1" s="1"/>
  <c r="AL261" i="1"/>
  <c r="AO261" i="1" s="1"/>
  <c r="AR261" i="1" s="1"/>
  <c r="AL732" i="1"/>
  <c r="AO732" i="1" s="1"/>
  <c r="AR732" i="1" s="1"/>
  <c r="AL443" i="1"/>
  <c r="AO443" i="1" s="1"/>
  <c r="AR443" i="1" s="1"/>
  <c r="AL256" i="1"/>
  <c r="AO256" i="1" s="1"/>
  <c r="AR256" i="1" s="1"/>
  <c r="AL177" i="1"/>
  <c r="AO177" i="1" s="1"/>
  <c r="AR177" i="1" s="1"/>
  <c r="AL327" i="1"/>
  <c r="AO327" i="1" s="1"/>
  <c r="AR327" i="1" s="1"/>
  <c r="AL208" i="1"/>
  <c r="AO208" i="1" s="1"/>
  <c r="AR208" i="1" s="1"/>
  <c r="AL259" i="1"/>
  <c r="AO259" i="1" s="1"/>
  <c r="AR259" i="1" s="1"/>
  <c r="AJ323" i="1"/>
  <c r="AJ455" i="1"/>
  <c r="AL455" i="1"/>
  <c r="AO455" i="1" s="1"/>
  <c r="AR455" i="1" s="1"/>
  <c r="AL516" i="1"/>
  <c r="AO516" i="1" s="1"/>
  <c r="AR516" i="1" s="1"/>
  <c r="AL378" i="1"/>
  <c r="AO378" i="1" s="1"/>
  <c r="AR378" i="1" s="1"/>
  <c r="AL624" i="1"/>
  <c r="AO624" i="1" s="1"/>
  <c r="AR624" i="1" s="1"/>
  <c r="AL656" i="1"/>
  <c r="AO656" i="1" s="1"/>
  <c r="AR656" i="1" s="1"/>
  <c r="AL545" i="1"/>
  <c r="AO545" i="1" s="1"/>
  <c r="AR545" i="1" s="1"/>
  <c r="AH483" i="1"/>
  <c r="AJ483" i="1" s="1"/>
  <c r="AH318" i="1"/>
  <c r="AJ318" i="1" s="1"/>
  <c r="AL313" i="1"/>
  <c r="AO313" i="1" s="1"/>
  <c r="AR313" i="1" s="1"/>
  <c r="AF458" i="1"/>
  <c r="AG458" i="1" s="1"/>
  <c r="AU458" i="1" s="1"/>
  <c r="AV458" i="1" s="1"/>
  <c r="AL98" i="1"/>
  <c r="AO98" i="1" s="1"/>
  <c r="AR98" i="1" s="1"/>
  <c r="AL292" i="1"/>
  <c r="AO292" i="1" s="1"/>
  <c r="AR292" i="1" s="1"/>
  <c r="AL34" i="1"/>
  <c r="AO34" i="1" s="1"/>
  <c r="AR34" i="1" s="1"/>
  <c r="AH293" i="1"/>
  <c r="AJ293" i="1" s="1"/>
  <c r="AF492" i="1"/>
  <c r="AG492" i="1" s="1"/>
  <c r="AU492" i="1" s="1"/>
  <c r="AV492" i="1" s="1"/>
  <c r="AH492" i="1"/>
  <c r="AL381" i="1"/>
  <c r="AO381" i="1" s="1"/>
  <c r="AR381" i="1" s="1"/>
  <c r="AH765" i="1"/>
  <c r="AJ765" i="1" s="1"/>
  <c r="AL676" i="1"/>
  <c r="AO676" i="1" s="1"/>
  <c r="AR676" i="1" s="1"/>
  <c r="AL740" i="1"/>
  <c r="AO740" i="1" s="1"/>
  <c r="AR740" i="1" s="1"/>
  <c r="AL810" i="1"/>
  <c r="AO810" i="1" s="1"/>
  <c r="AR810" i="1" s="1"/>
  <c r="AJ379" i="1"/>
  <c r="AL305" i="1"/>
  <c r="AO305" i="1" s="1"/>
  <c r="AR305" i="1" s="1"/>
  <c r="AL267" i="1"/>
  <c r="AO267" i="1" s="1"/>
  <c r="AR267" i="1" s="1"/>
  <c r="AL65" i="1"/>
  <c r="AO65" i="1" s="1"/>
  <c r="AR65" i="1" s="1"/>
  <c r="AJ410" i="1"/>
  <c r="AL457" i="1"/>
  <c r="AO457" i="1" s="1"/>
  <c r="AR457" i="1" s="1"/>
  <c r="AL626" i="1"/>
  <c r="AO626" i="1" s="1"/>
  <c r="AR626" i="1" s="1"/>
  <c r="AL440" i="1"/>
  <c r="AO440" i="1" s="1"/>
  <c r="AR440" i="1" s="1"/>
  <c r="AL392" i="1"/>
  <c r="AO392" i="1" s="1"/>
  <c r="AR392" i="1" s="1"/>
  <c r="AL212" i="1"/>
  <c r="AO212" i="1" s="1"/>
  <c r="AR212" i="1" s="1"/>
  <c r="AL786" i="1"/>
  <c r="AO786" i="1" s="1"/>
  <c r="AR786" i="1" s="1"/>
  <c r="AL658" i="1"/>
  <c r="AO658" i="1" s="1"/>
  <c r="AR658" i="1" s="1"/>
  <c r="AL304" i="1"/>
  <c r="AO304" i="1" s="1"/>
  <c r="AR304" i="1" s="1"/>
  <c r="AL785" i="1"/>
  <c r="AO785" i="1" s="1"/>
  <c r="AR785" i="1" s="1"/>
  <c r="AF469" i="1"/>
  <c r="AG469" i="1" s="1"/>
  <c r="AU469" i="1" s="1"/>
  <c r="AV469" i="1" s="1"/>
  <c r="AL368" i="1"/>
  <c r="AO368" i="1" s="1"/>
  <c r="AR368" i="1" s="1"/>
  <c r="AJ229" i="1"/>
  <c r="AJ250" i="1"/>
  <c r="AL66" i="1"/>
  <c r="AO66" i="1" s="1"/>
  <c r="AR66" i="1" s="1"/>
  <c r="AH46" i="1"/>
  <c r="AJ46" i="1" s="1"/>
  <c r="AL19" i="1"/>
  <c r="AO19" i="1" s="1"/>
  <c r="AR19" i="1" s="1"/>
  <c r="AH109" i="1"/>
  <c r="AJ109" i="1" s="1"/>
  <c r="AL799" i="1"/>
  <c r="AO799" i="1" s="1"/>
  <c r="AR799" i="1" s="1"/>
  <c r="AL764" i="1"/>
  <c r="AO764" i="1" s="1"/>
  <c r="AR764" i="1" s="1"/>
  <c r="AL371" i="1"/>
  <c r="AO371" i="1" s="1"/>
  <c r="AR371" i="1" s="1"/>
  <c r="AL23" i="1"/>
  <c r="AO23" i="1" s="1"/>
  <c r="AR23" i="1" s="1"/>
  <c r="AJ467" i="1"/>
  <c r="AL467" i="1"/>
  <c r="AO467" i="1" s="1"/>
  <c r="AR467" i="1" s="1"/>
  <c r="AJ284" i="1"/>
  <c r="AL245" i="1"/>
  <c r="AO245" i="1" s="1"/>
  <c r="AR245" i="1" s="1"/>
  <c r="AJ245" i="1"/>
  <c r="AL528" i="1"/>
  <c r="AO528" i="1" s="1"/>
  <c r="AR528" i="1" s="1"/>
  <c r="AL64" i="1"/>
  <c r="AO64" i="1" s="1"/>
  <c r="AR64" i="1" s="1"/>
  <c r="AL18" i="1"/>
  <c r="AO18" i="1" s="1"/>
  <c r="AR18" i="1" s="1"/>
  <c r="AL107" i="1"/>
  <c r="AO107" i="1" s="1"/>
  <c r="AR107" i="1" s="1"/>
  <c r="AF726" i="1"/>
  <c r="AG726" i="1" s="1"/>
  <c r="AU726" i="1" s="1"/>
  <c r="AV726" i="1" s="1"/>
  <c r="AL705" i="1"/>
  <c r="AO705" i="1" s="1"/>
  <c r="AR705" i="1" s="1"/>
  <c r="AL600" i="1"/>
  <c r="AO600" i="1" s="1"/>
  <c r="AR600" i="1" s="1"/>
  <c r="AL376" i="1"/>
  <c r="AO376" i="1" s="1"/>
  <c r="AR376" i="1" s="1"/>
  <c r="AL494" i="1"/>
  <c r="AO494" i="1" s="1"/>
  <c r="AR494" i="1" s="1"/>
  <c r="AL706" i="1"/>
  <c r="AO706" i="1" s="1"/>
  <c r="AR706" i="1" s="1"/>
  <c r="AL729" i="1"/>
  <c r="AO729" i="1" s="1"/>
  <c r="AR729" i="1" s="1"/>
  <c r="AL526" i="1"/>
  <c r="AO526" i="1" s="1"/>
  <c r="AR526" i="1" s="1"/>
  <c r="AL364" i="1"/>
  <c r="AO364" i="1" s="1"/>
  <c r="AR364" i="1" s="1"/>
  <c r="AH307" i="1"/>
  <c r="AJ307" i="1" s="1"/>
  <c r="AL222" i="1"/>
  <c r="AO222" i="1" s="1"/>
  <c r="AR222" i="1" s="1"/>
  <c r="AL138" i="1"/>
  <c r="AO138" i="1" s="1"/>
  <c r="AR138" i="1" s="1"/>
  <c r="AL61" i="1"/>
  <c r="AO61" i="1" s="1"/>
  <c r="AR61" i="1" s="1"/>
  <c r="AL572" i="1"/>
  <c r="AO572" i="1" s="1"/>
  <c r="AR572" i="1" s="1"/>
  <c r="AL522" i="1"/>
  <c r="AO522" i="1" s="1"/>
  <c r="AR522" i="1" s="1"/>
  <c r="AJ599" i="1"/>
  <c r="AL510" i="1"/>
  <c r="AO510" i="1" s="1"/>
  <c r="AR510" i="1" s="1"/>
  <c r="AL453" i="1"/>
  <c r="AO453" i="1" s="1"/>
  <c r="AR453" i="1" s="1"/>
  <c r="AL325" i="1"/>
  <c r="AO325" i="1" s="1"/>
  <c r="AR325" i="1" s="1"/>
  <c r="AL511" i="1"/>
  <c r="AO511" i="1" s="1"/>
  <c r="AR511" i="1" s="1"/>
  <c r="AJ44" i="1"/>
  <c r="AL739" i="1"/>
  <c r="AO739" i="1" s="1"/>
  <c r="AR739" i="1" s="1"/>
  <c r="AL703" i="1"/>
  <c r="AO703" i="1" s="1"/>
  <c r="AR703" i="1" s="1"/>
  <c r="AL610" i="1"/>
  <c r="AO610" i="1" s="1"/>
  <c r="AR610" i="1" s="1"/>
  <c r="AL134" i="1"/>
  <c r="AO134" i="1" s="1"/>
  <c r="AR134" i="1" s="1"/>
  <c r="AL431" i="1"/>
  <c r="AO431" i="1" s="1"/>
  <c r="AR431" i="1" s="1"/>
  <c r="AL178" i="1"/>
  <c r="AO178" i="1" s="1"/>
  <c r="AR178" i="1" s="1"/>
  <c r="AL29" i="1"/>
  <c r="AO29" i="1" s="1"/>
  <c r="AR29" i="1" s="1"/>
  <c r="AL48" i="1"/>
  <c r="AO48" i="1" s="1"/>
  <c r="AR48" i="1" s="1"/>
  <c r="AL499" i="1"/>
  <c r="AO499" i="1" s="1"/>
  <c r="AR499" i="1" s="1"/>
  <c r="AL718" i="1"/>
  <c r="AO718" i="1" s="1"/>
  <c r="AR718" i="1" s="1"/>
  <c r="AL54" i="1"/>
  <c r="AO54" i="1" s="1"/>
  <c r="AR54" i="1" s="1"/>
  <c r="AL322" i="1"/>
  <c r="AO322" i="1" s="1"/>
  <c r="AR322" i="1" s="1"/>
  <c r="AL57" i="1"/>
  <c r="AO57" i="1" s="1"/>
  <c r="AR57" i="1" s="1"/>
  <c r="AL357" i="1"/>
  <c r="AO357" i="1" s="1"/>
  <c r="AR357" i="1" s="1"/>
  <c r="AL671" i="1"/>
  <c r="AO671" i="1" s="1"/>
  <c r="AR671" i="1" s="1"/>
  <c r="AF358" i="1"/>
  <c r="AG358" i="1" s="1"/>
  <c r="AU358" i="1" s="1"/>
  <c r="AV358" i="1" s="1"/>
  <c r="AL603" i="1"/>
  <c r="AO603" i="1" s="1"/>
  <c r="AR603" i="1" s="1"/>
  <c r="AF88" i="1"/>
  <c r="AG88" i="1" s="1"/>
  <c r="AU88" i="1" s="1"/>
  <c r="AV88" i="1" s="1"/>
  <c r="AH88" i="1"/>
  <c r="AJ88" i="1" s="1"/>
  <c r="AL309" i="1"/>
  <c r="AO309" i="1" s="1"/>
  <c r="AR309" i="1" s="1"/>
  <c r="AL478" i="1"/>
  <c r="AO478" i="1" s="1"/>
  <c r="AR478" i="1" s="1"/>
  <c r="AL512" i="1"/>
  <c r="AO512" i="1" s="1"/>
  <c r="AR512" i="1" s="1"/>
  <c r="AL190" i="1"/>
  <c r="AO190" i="1" s="1"/>
  <c r="AR190" i="1" s="1"/>
  <c r="AL15" i="1"/>
  <c r="AO15" i="1" s="1"/>
  <c r="AR15" i="1" s="1"/>
  <c r="AL100" i="1"/>
  <c r="AO100" i="1" s="1"/>
  <c r="AR100" i="1" s="1"/>
  <c r="AL81" i="1"/>
  <c r="AO81" i="1" s="1"/>
  <c r="AR81" i="1" s="1"/>
  <c r="AL363" i="1"/>
  <c r="AO363" i="1" s="1"/>
  <c r="AR363" i="1" s="1"/>
  <c r="AL622" i="1"/>
  <c r="AO622" i="1" s="1"/>
  <c r="AR622" i="1" s="1"/>
  <c r="AL675" i="1"/>
  <c r="AO675" i="1" s="1"/>
  <c r="AR675" i="1" s="1"/>
  <c r="AH803" i="1"/>
  <c r="AJ803" i="1" s="1"/>
  <c r="AL320" i="1"/>
  <c r="AO320" i="1" s="1"/>
  <c r="AR320" i="1" s="1"/>
  <c r="AL7" i="1"/>
  <c r="AO7" i="1" s="1"/>
  <c r="AR7" i="1" s="1"/>
  <c r="AL777" i="1"/>
  <c r="AO777" i="1" s="1"/>
  <c r="AR777" i="1" s="1"/>
  <c r="AH386" i="1"/>
  <c r="AJ386" i="1" s="1"/>
  <c r="AL272" i="1"/>
  <c r="AO272" i="1" s="1"/>
  <c r="AR272" i="1" s="1"/>
  <c r="AL422" i="1"/>
  <c r="AO422" i="1" s="1"/>
  <c r="AR422" i="1" s="1"/>
  <c r="AH291" i="1"/>
  <c r="AJ582" i="1"/>
  <c r="AL582" i="1"/>
  <c r="AO582" i="1" s="1"/>
  <c r="AR582" i="1" s="1"/>
  <c r="AL731" i="1"/>
  <c r="AO731" i="1" s="1"/>
  <c r="AR731" i="1" s="1"/>
  <c r="AL666" i="1"/>
  <c r="AO666" i="1" s="1"/>
  <c r="AR666" i="1" s="1"/>
  <c r="AJ500" i="1"/>
  <c r="AL445" i="1"/>
  <c r="AO445" i="1" s="1"/>
  <c r="AR445" i="1" s="1"/>
  <c r="AL464" i="1"/>
  <c r="AO464" i="1" s="1"/>
  <c r="AR464" i="1" s="1"/>
  <c r="AL630" i="1"/>
  <c r="AO630" i="1" s="1"/>
  <c r="AR630" i="1" s="1"/>
  <c r="AL369" i="1"/>
  <c r="AO369" i="1" s="1"/>
  <c r="AR369" i="1" s="1"/>
  <c r="AL387" i="1"/>
  <c r="AO387" i="1" s="1"/>
  <c r="AR387" i="1" s="1"/>
  <c r="AL642" i="1"/>
  <c r="AO642" i="1" s="1"/>
  <c r="AR642" i="1" s="1"/>
  <c r="AL113" i="1"/>
  <c r="AO113" i="1" s="1"/>
  <c r="AR113" i="1" s="1"/>
  <c r="AJ159" i="1"/>
  <c r="AL105" i="1"/>
  <c r="AO105" i="1" s="1"/>
  <c r="AR105" i="1" s="1"/>
  <c r="AL21" i="1"/>
  <c r="AO21" i="1" s="1"/>
  <c r="AR21" i="1" s="1"/>
  <c r="AL640" i="1"/>
  <c r="AO640" i="1" s="1"/>
  <c r="AR640" i="1" s="1"/>
  <c r="AL598" i="1"/>
  <c r="AO598" i="1" s="1"/>
  <c r="AR598" i="1" s="1"/>
  <c r="AL246" i="1"/>
  <c r="AO246" i="1" s="1"/>
  <c r="AR246" i="1" s="1"/>
  <c r="AL91" i="1"/>
  <c r="AO91" i="1" s="1"/>
  <c r="AR91" i="1" s="1"/>
  <c r="AL206" i="1"/>
  <c r="AO206" i="1" s="1"/>
  <c r="AR206" i="1" s="1"/>
  <c r="AL354" i="1"/>
  <c r="AO354" i="1" s="1"/>
  <c r="AR354" i="1" s="1"/>
  <c r="AL321" i="1"/>
  <c r="AO321" i="1" s="1"/>
  <c r="AR321" i="1" s="1"/>
  <c r="AJ260" i="1"/>
  <c r="AJ130" i="1"/>
  <c r="AL130" i="1"/>
  <c r="AO130" i="1" s="1"/>
  <c r="AR130" i="1" s="1"/>
  <c r="AL541" i="1"/>
  <c r="AO541" i="1" s="1"/>
  <c r="AR541" i="1" s="1"/>
  <c r="AL289" i="1"/>
  <c r="AO289" i="1" s="1"/>
  <c r="AR289" i="1" s="1"/>
  <c r="AL717" i="1"/>
  <c r="AO717" i="1" s="1"/>
  <c r="AR717" i="1" s="1"/>
  <c r="AL152" i="1"/>
  <c r="AO152" i="1" s="1"/>
  <c r="AR152" i="1" s="1"/>
  <c r="AJ78" i="1"/>
  <c r="AL47" i="1"/>
  <c r="AO47" i="1" s="1"/>
  <c r="AR47" i="1" s="1"/>
  <c r="AL32" i="1"/>
  <c r="AO32" i="1" s="1"/>
  <c r="AR32" i="1" s="1"/>
  <c r="AL38" i="1"/>
  <c r="AO38" i="1" s="1"/>
  <c r="AR38" i="1" s="1"/>
  <c r="AJ774" i="1"/>
  <c r="AL774" i="1"/>
  <c r="AO774" i="1" s="1"/>
  <c r="AR774" i="1" s="1"/>
  <c r="AL806" i="1"/>
  <c r="AO806" i="1" s="1"/>
  <c r="AR806" i="1" s="1"/>
  <c r="AL350" i="1"/>
  <c r="AO350" i="1" s="1"/>
  <c r="AR350" i="1" s="1"/>
  <c r="AJ350" i="1"/>
  <c r="AL521" i="1"/>
  <c r="AO521" i="1" s="1"/>
  <c r="AR521" i="1" s="1"/>
  <c r="AL672" i="1"/>
  <c r="AO672" i="1" s="1"/>
  <c r="AR672" i="1" s="1"/>
  <c r="AJ613" i="1"/>
  <c r="AL613" i="1"/>
  <c r="AO613" i="1" s="1"/>
  <c r="AR613" i="1" s="1"/>
  <c r="AL743" i="1"/>
  <c r="AO743" i="1" s="1"/>
  <c r="AR743" i="1" s="1"/>
  <c r="AL258" i="1"/>
  <c r="AO258" i="1" s="1"/>
  <c r="AR258" i="1" s="1"/>
  <c r="AL791" i="1"/>
  <c r="AO791" i="1" s="1"/>
  <c r="AR791" i="1" s="1"/>
  <c r="AL213" i="1"/>
  <c r="AO213" i="1" s="1"/>
  <c r="AR213" i="1" s="1"/>
  <c r="AL744" i="1"/>
  <c r="AO744" i="1" s="1"/>
  <c r="AR744" i="1" s="1"/>
  <c r="AL755" i="1"/>
  <c r="AO755" i="1" s="1"/>
  <c r="AR755" i="1" s="1"/>
  <c r="AL646" i="1"/>
  <c r="AO646" i="1" s="1"/>
  <c r="AR646" i="1" s="1"/>
  <c r="AL564" i="1"/>
  <c r="AO564" i="1" s="1"/>
  <c r="AR564" i="1" s="1"/>
  <c r="AL352" i="1"/>
  <c r="AO352" i="1" s="1"/>
  <c r="AL377" i="1"/>
  <c r="AO377" i="1" s="1"/>
  <c r="AR377" i="1" s="1"/>
  <c r="AL517" i="1"/>
  <c r="AO517" i="1" s="1"/>
  <c r="AR517" i="1" s="1"/>
  <c r="AL232" i="1"/>
  <c r="AO232" i="1" s="1"/>
  <c r="AR232" i="1" s="1"/>
  <c r="AL77" i="1"/>
  <c r="AO77" i="1" s="1"/>
  <c r="AR77" i="1" s="1"/>
  <c r="AF692" i="1"/>
  <c r="AG692" i="1" s="1"/>
  <c r="AU692" i="1" s="1"/>
  <c r="AV692" i="1" s="1"/>
  <c r="AH692" i="1"/>
  <c r="AJ692" i="1" s="1"/>
  <c r="AH2" i="1"/>
  <c r="AJ2" i="1" s="1"/>
  <c r="AF2" i="1"/>
  <c r="AG2" i="1" s="1"/>
  <c r="AU2" i="1" s="1"/>
  <c r="AV2" i="1" s="1"/>
  <c r="AL814" i="1"/>
  <c r="AO814" i="1" s="1"/>
  <c r="AR814" i="1" s="1"/>
  <c r="AL801" i="1"/>
  <c r="AO801" i="1" s="1"/>
  <c r="AR801" i="1" s="1"/>
  <c r="AL592" i="1"/>
  <c r="AO592" i="1" s="1"/>
  <c r="AR592" i="1" s="1"/>
  <c r="AL452" i="1"/>
  <c r="AO452" i="1" s="1"/>
  <c r="AR452" i="1" s="1"/>
  <c r="AL3" i="1"/>
  <c r="AO3" i="1" s="1"/>
  <c r="AR3" i="1" s="1"/>
  <c r="AL762" i="1"/>
  <c r="AO762" i="1" s="1"/>
  <c r="AR762" i="1" s="1"/>
  <c r="AL715" i="1"/>
  <c r="AO715" i="1" s="1"/>
  <c r="AR715" i="1" s="1"/>
  <c r="AL678" i="1"/>
  <c r="AO678" i="1" s="1"/>
  <c r="AR678" i="1" s="1"/>
  <c r="AL589" i="1"/>
  <c r="AO589" i="1" s="1"/>
  <c r="AR589" i="1" s="1"/>
  <c r="AL584" i="1"/>
  <c r="AO584" i="1" s="1"/>
  <c r="AR584" i="1" s="1"/>
  <c r="AH476" i="1"/>
  <c r="AJ476" i="1" s="1"/>
  <c r="AL497" i="1"/>
  <c r="AO497" i="1" s="1"/>
  <c r="AR497" i="1" s="1"/>
  <c r="AL781" i="1"/>
  <c r="AO781" i="1" s="1"/>
  <c r="AR781" i="1" s="1"/>
  <c r="AL710" i="1"/>
  <c r="AO710" i="1" s="1"/>
  <c r="AR710" i="1" s="1"/>
  <c r="AL684" i="1"/>
  <c r="AO684" i="1" s="1"/>
  <c r="AR684" i="1" s="1"/>
  <c r="AL760" i="1"/>
  <c r="AO760" i="1" s="1"/>
  <c r="AR760" i="1" s="1"/>
  <c r="AL606" i="1"/>
  <c r="AO606" i="1" s="1"/>
  <c r="AR606" i="1" s="1"/>
  <c r="AL639" i="1"/>
  <c r="AO639" i="1" s="1"/>
  <c r="AR639" i="1" s="1"/>
  <c r="AL509" i="1"/>
  <c r="AO509" i="1" s="1"/>
  <c r="AR509" i="1" s="1"/>
  <c r="AL552" i="1"/>
  <c r="AO552" i="1" s="1"/>
  <c r="AR552" i="1" s="1"/>
  <c r="AL465" i="1"/>
  <c r="AO465" i="1" s="1"/>
  <c r="AR465" i="1" s="1"/>
  <c r="AL303" i="1"/>
  <c r="AO303" i="1" s="1"/>
  <c r="AR303" i="1" s="1"/>
  <c r="AL348" i="1"/>
  <c r="AO348" i="1" s="1"/>
  <c r="AR348" i="1" s="1"/>
  <c r="AL428" i="1"/>
  <c r="AO428" i="1" s="1"/>
  <c r="AR428" i="1" s="1"/>
  <c r="AL615" i="1"/>
  <c r="AO615" i="1" s="1"/>
  <c r="AR615" i="1" s="1"/>
  <c r="AJ438" i="1"/>
  <c r="AL295" i="1"/>
  <c r="AO295" i="1" s="1"/>
  <c r="AR295" i="1" s="1"/>
  <c r="AL285" i="1"/>
  <c r="AO285" i="1" s="1"/>
  <c r="AR285" i="1" s="1"/>
  <c r="AL252" i="1"/>
  <c r="AO252" i="1" s="1"/>
  <c r="AR252" i="1" s="1"/>
  <c r="AL316" i="1"/>
  <c r="AO316" i="1" s="1"/>
  <c r="AR316" i="1" s="1"/>
  <c r="AL150" i="1"/>
  <c r="AO150" i="1" s="1"/>
  <c r="AR150" i="1" s="1"/>
  <c r="AL35" i="1"/>
  <c r="AO35" i="1" s="1"/>
  <c r="AR35" i="1" s="1"/>
  <c r="AL158" i="1"/>
  <c r="AO158" i="1" s="1"/>
  <c r="AR158" i="1" s="1"/>
  <c r="AJ70" i="1"/>
  <c r="AH449" i="1"/>
  <c r="AJ449" i="1" s="1"/>
  <c r="AF449" i="1"/>
  <c r="AG449" i="1" s="1"/>
  <c r="AU449" i="1" s="1"/>
  <c r="AV449" i="1" s="1"/>
  <c r="AL230" i="1"/>
  <c r="AO230" i="1" s="1"/>
  <c r="AR230" i="1" s="1"/>
  <c r="AL496" i="1"/>
  <c r="AO496" i="1" s="1"/>
  <c r="AR496" i="1" s="1"/>
  <c r="AJ496" i="1"/>
  <c r="AL437" i="1"/>
  <c r="AO437" i="1" s="1"/>
  <c r="AR437" i="1" s="1"/>
  <c r="AJ437" i="1"/>
  <c r="AL735" i="1"/>
  <c r="AO735" i="1" s="1"/>
  <c r="AR735" i="1" s="1"/>
  <c r="AL405" i="1"/>
  <c r="AO405" i="1" s="1"/>
  <c r="AR405" i="1" s="1"/>
  <c r="AL351" i="1"/>
  <c r="AO351" i="1" s="1"/>
  <c r="AR351" i="1" s="1"/>
  <c r="AL366" i="1"/>
  <c r="AO366" i="1" s="1"/>
  <c r="AR366" i="1" s="1"/>
  <c r="AL720" i="1"/>
  <c r="AO720" i="1" s="1"/>
  <c r="AR720" i="1" s="1"/>
  <c r="AL399" i="1"/>
  <c r="AO399" i="1" s="1"/>
  <c r="AR399" i="1" s="1"/>
  <c r="AL403" i="1"/>
  <c r="AO403" i="1" s="1"/>
  <c r="AR403" i="1" s="1"/>
  <c r="AL394" i="1"/>
  <c r="AO394" i="1" s="1"/>
  <c r="AR394" i="1" s="1"/>
  <c r="AJ394" i="1"/>
  <c r="AL659" i="1"/>
  <c r="AO659" i="1" s="1"/>
  <c r="AR659" i="1" s="1"/>
  <c r="AL604" i="1"/>
  <c r="AO604" i="1" s="1"/>
  <c r="AR604" i="1" s="1"/>
  <c r="AL411" i="1"/>
  <c r="AO411" i="1" s="1"/>
  <c r="AR411" i="1" s="1"/>
  <c r="AL275" i="1"/>
  <c r="AO275" i="1" s="1"/>
  <c r="AR275" i="1" s="1"/>
  <c r="AL670" i="1"/>
  <c r="AO670" i="1" s="1"/>
  <c r="AR670" i="1" s="1"/>
  <c r="AL271" i="1"/>
  <c r="AO271" i="1" s="1"/>
  <c r="AR271" i="1" s="1"/>
  <c r="AJ40" i="1"/>
  <c r="AL26" i="1"/>
  <c r="AO26" i="1" s="1"/>
  <c r="AR26" i="1" s="1"/>
  <c r="AL92" i="1"/>
  <c r="AO92" i="1" s="1"/>
  <c r="AR92" i="1" s="1"/>
  <c r="AJ531" i="1"/>
  <c r="AL531" i="1"/>
  <c r="AO531" i="1" s="1"/>
  <c r="AR531" i="1" s="1"/>
  <c r="AJ668" i="1"/>
  <c r="AL668" i="1"/>
  <c r="AO668" i="1" s="1"/>
  <c r="AR668" i="1" s="1"/>
  <c r="AL429" i="1"/>
  <c r="AO429" i="1" s="1"/>
  <c r="AR429" i="1" s="1"/>
  <c r="AL296" i="1"/>
  <c r="AO296" i="1" s="1"/>
  <c r="AR296" i="1" s="1"/>
  <c r="AJ296" i="1"/>
  <c r="AL409" i="1"/>
  <c r="AO409" i="1" s="1"/>
  <c r="AR409" i="1" s="1"/>
  <c r="AL456" i="1"/>
  <c r="AO456" i="1" s="1"/>
  <c r="AR456" i="1" s="1"/>
  <c r="AL374" i="1"/>
  <c r="AO374" i="1" s="1"/>
  <c r="AR374" i="1" s="1"/>
  <c r="AL185" i="1"/>
  <c r="AO185" i="1" s="1"/>
  <c r="AR185" i="1" s="1"/>
  <c r="AL596" i="1"/>
  <c r="AO596" i="1" s="1"/>
  <c r="AR596" i="1" s="1"/>
  <c r="AL520" i="1"/>
  <c r="AO520" i="1" s="1"/>
  <c r="AR520" i="1" s="1"/>
  <c r="AJ520" i="1"/>
  <c r="AH601" i="1"/>
  <c r="AJ601" i="1" s="1"/>
  <c r="AL674" i="1"/>
  <c r="AO674" i="1" s="1"/>
  <c r="AR674" i="1" s="1"/>
  <c r="AL738" i="1"/>
  <c r="AO738" i="1" s="1"/>
  <c r="AR738" i="1" s="1"/>
  <c r="AL701" i="1"/>
  <c r="AO701" i="1" s="1"/>
  <c r="AR701" i="1" s="1"/>
  <c r="AL625" i="1"/>
  <c r="AO625" i="1" s="1"/>
  <c r="AR625" i="1" s="1"/>
  <c r="AJ594" i="1"/>
  <c r="AL442" i="1"/>
  <c r="AO442" i="1" s="1"/>
  <c r="AR442" i="1" s="1"/>
  <c r="AL808" i="1"/>
  <c r="AO808" i="1" s="1"/>
  <c r="AR808" i="1" s="1"/>
  <c r="AL345" i="1"/>
  <c r="AO345" i="1" s="1"/>
  <c r="AR345" i="1" s="1"/>
  <c r="AL333" i="1"/>
  <c r="AO333" i="1" s="1"/>
  <c r="AR333" i="1" s="1"/>
  <c r="AL302" i="1"/>
  <c r="AO302" i="1" s="1"/>
  <c r="AR302" i="1" s="1"/>
  <c r="AL53" i="1"/>
  <c r="AO53" i="1" s="1"/>
  <c r="AR53" i="1" s="1"/>
  <c r="AF228" i="1"/>
  <c r="AG228" i="1" s="1"/>
  <c r="AU228" i="1" s="1"/>
  <c r="AV228" i="1" s="1"/>
  <c r="AL154" i="1"/>
  <c r="AO154" i="1" s="1"/>
  <c r="AR154" i="1" s="1"/>
  <c r="AL27" i="1"/>
  <c r="AO27" i="1" s="1"/>
  <c r="AR27" i="1" s="1"/>
  <c r="AL195" i="1"/>
  <c r="AO195" i="1" s="1"/>
  <c r="AR195" i="1" s="1"/>
  <c r="AL95" i="1"/>
  <c r="AO95" i="1" s="1"/>
  <c r="AR95" i="1" s="1"/>
  <c r="AL52" i="1"/>
  <c r="AO52" i="1" s="1"/>
  <c r="AR52" i="1" s="1"/>
  <c r="AL60" i="1"/>
  <c r="AO60" i="1" s="1"/>
  <c r="AR60" i="1" s="1"/>
  <c r="AL389" i="1"/>
  <c r="AO389" i="1" s="1"/>
  <c r="AR389" i="1" s="1"/>
  <c r="AL417" i="1"/>
  <c r="AO417" i="1" s="1"/>
  <c r="AR417" i="1" s="1"/>
  <c r="AL503" i="1"/>
  <c r="AO503" i="1" s="1"/>
  <c r="AR503" i="1" s="1"/>
  <c r="AL342" i="1"/>
  <c r="AO342" i="1" s="1"/>
  <c r="AR342" i="1" s="1"/>
  <c r="AL319" i="1"/>
  <c r="AO319" i="1" s="1"/>
  <c r="AR319" i="1" s="1"/>
  <c r="AL388" i="1"/>
  <c r="AO388" i="1" s="1"/>
  <c r="AR388" i="1" s="1"/>
  <c r="AL722" i="1"/>
  <c r="AO722" i="1" s="1"/>
  <c r="AR722" i="1" s="1"/>
  <c r="AL685" i="1"/>
  <c r="AO685" i="1" s="1"/>
  <c r="AR685" i="1" s="1"/>
  <c r="AL540" i="1"/>
  <c r="AO540" i="1" s="1"/>
  <c r="AR540" i="1" s="1"/>
  <c r="AL355" i="1"/>
  <c r="AO355" i="1" s="1"/>
  <c r="AR355" i="1" s="1"/>
  <c r="AL384" i="1"/>
  <c r="AO384" i="1" s="1"/>
  <c r="AR384" i="1" s="1"/>
  <c r="AL114" i="1"/>
  <c r="AO114" i="1" s="1"/>
  <c r="AR114" i="1" s="1"/>
  <c r="AL268" i="1"/>
  <c r="AO268" i="1" s="1"/>
  <c r="AR268" i="1" s="1"/>
  <c r="AL529" i="1"/>
  <c r="AO529" i="1" s="1"/>
  <c r="AR529" i="1" s="1"/>
  <c r="AJ331" i="1"/>
  <c r="AL542" i="1"/>
  <c r="AO542" i="1" s="1"/>
  <c r="AR542" i="1" s="1"/>
  <c r="AL454" i="1"/>
  <c r="AO454" i="1" s="1"/>
  <c r="AR454" i="1" s="1"/>
  <c r="AJ700" i="1"/>
  <c r="AH228" i="1"/>
  <c r="AJ228" i="1" s="1"/>
  <c r="AJ82" i="1"/>
  <c r="AL404" i="1"/>
  <c r="AO404" i="1" s="1"/>
  <c r="AR404" i="1" s="1"/>
  <c r="AL616" i="1"/>
  <c r="AO616" i="1" s="1"/>
  <c r="AR616" i="1" s="1"/>
  <c r="AJ616" i="1"/>
  <c r="AL458" i="1"/>
  <c r="AO458" i="1" s="1"/>
  <c r="AR458" i="1" s="1"/>
  <c r="AL559" i="1"/>
  <c r="AO559" i="1" s="1"/>
  <c r="AR559" i="1" s="1"/>
  <c r="AL733" i="1"/>
  <c r="AO733" i="1" s="1"/>
  <c r="AR733" i="1" s="1"/>
  <c r="AJ593" i="1"/>
  <c r="AL593" i="1"/>
  <c r="AO593" i="1" s="1"/>
  <c r="AR593" i="1" s="1"/>
  <c r="AL797" i="1"/>
  <c r="AO797" i="1" s="1"/>
  <c r="AR797" i="1" s="1"/>
  <c r="AL734" i="1"/>
  <c r="AO734" i="1" s="1"/>
  <c r="AR734" i="1" s="1"/>
  <c r="AL726" i="1"/>
  <c r="AO726" i="1" s="1"/>
  <c r="AR726" i="1" s="1"/>
  <c r="AL489" i="1"/>
  <c r="AO489" i="1" s="1"/>
  <c r="AR489" i="1" s="1"/>
  <c r="AL482" i="1"/>
  <c r="AO482" i="1" s="1"/>
  <c r="AR482" i="1" s="1"/>
  <c r="AL804" i="1"/>
  <c r="AO804" i="1" s="1"/>
  <c r="AR804" i="1" s="1"/>
  <c r="AF529" i="1"/>
  <c r="AG529" i="1" s="1"/>
  <c r="AU529" i="1" s="1"/>
  <c r="AV529" i="1" s="1"/>
  <c r="AL788" i="1"/>
  <c r="AO788" i="1" s="1"/>
  <c r="AR788" i="1" s="1"/>
  <c r="AL667" i="1"/>
  <c r="AO667" i="1" s="1"/>
  <c r="AR667" i="1" s="1"/>
  <c r="AL694" i="1"/>
  <c r="AO694" i="1" s="1"/>
  <c r="AR694" i="1" s="1"/>
  <c r="AL558" i="1"/>
  <c r="AO558" i="1" s="1"/>
  <c r="AR558" i="1" s="1"/>
  <c r="AL620" i="1"/>
  <c r="AO620" i="1" s="1"/>
  <c r="AR620" i="1" s="1"/>
  <c r="AL551" i="1"/>
  <c r="AO551" i="1" s="1"/>
  <c r="AR551" i="1" s="1"/>
  <c r="AL518" i="1"/>
  <c r="AO518" i="1" s="1"/>
  <c r="AR518" i="1" s="1"/>
  <c r="AL477" i="1"/>
  <c r="AO477" i="1" s="1"/>
  <c r="AR477" i="1" s="1"/>
  <c r="AJ488" i="1"/>
  <c r="AL365" i="1"/>
  <c r="AO365" i="1" s="1"/>
  <c r="AR365" i="1" s="1"/>
  <c r="AL360" i="1"/>
  <c r="AO360" i="1" s="1"/>
  <c r="AR360" i="1" s="1"/>
  <c r="AL385" i="1"/>
  <c r="AO385" i="1" s="1"/>
  <c r="AR385" i="1" s="1"/>
  <c r="AL269" i="1"/>
  <c r="AO269" i="1" s="1"/>
  <c r="AR269" i="1" s="1"/>
  <c r="AL262" i="1"/>
  <c r="AO262" i="1" s="1"/>
  <c r="AR262" i="1" s="1"/>
  <c r="AL238" i="1"/>
  <c r="AO238" i="1" s="1"/>
  <c r="AR238" i="1" s="1"/>
  <c r="AL263" i="1"/>
  <c r="AO263" i="1" s="1"/>
  <c r="AR263" i="1" s="1"/>
  <c r="AL165" i="1"/>
  <c r="AO165" i="1" s="1"/>
  <c r="AR165" i="1" s="1"/>
  <c r="AL181" i="1"/>
  <c r="AO181" i="1" s="1"/>
  <c r="AR181" i="1" s="1"/>
  <c r="AL108" i="1"/>
  <c r="AO108" i="1" s="1"/>
  <c r="AR108" i="1" s="1"/>
  <c r="AL59" i="1"/>
  <c r="AO59" i="1" s="1"/>
  <c r="AL335" i="1"/>
  <c r="AO335" i="1" s="1"/>
  <c r="AR335" i="1" s="1"/>
  <c r="AL400" i="1"/>
  <c r="AO400" i="1" s="1"/>
  <c r="AR400" i="1" s="1"/>
  <c r="AL634" i="1"/>
  <c r="AO634" i="1" s="1"/>
  <c r="AR634" i="1" s="1"/>
  <c r="AL247" i="1"/>
  <c r="AO247" i="1" s="1"/>
  <c r="AR247" i="1" s="1"/>
  <c r="AL207" i="1"/>
  <c r="AO207" i="1" s="1"/>
  <c r="AR207" i="1" s="1"/>
  <c r="AL553" i="1"/>
  <c r="AO553" i="1" s="1"/>
  <c r="AR553" i="1" s="1"/>
  <c r="AL122" i="1"/>
  <c r="AO122" i="1" s="1"/>
  <c r="AR122" i="1" s="1"/>
  <c r="AL312" i="1"/>
  <c r="AO312" i="1" s="1"/>
  <c r="AR312" i="1" s="1"/>
  <c r="AL121" i="1"/>
  <c r="AO121" i="1" s="1"/>
  <c r="AR121" i="1" s="1"/>
  <c r="AJ121" i="1"/>
  <c r="AJ557" i="1"/>
  <c r="AL557" i="1"/>
  <c r="AO557" i="1" s="1"/>
  <c r="AR557" i="1" s="1"/>
  <c r="AJ49" i="1"/>
  <c r="AL49" i="1"/>
  <c r="AO49" i="1" s="1"/>
  <c r="AR49" i="1" s="1"/>
  <c r="AL8" i="1"/>
  <c r="AO8" i="1" s="1"/>
  <c r="AR8" i="1" s="1"/>
  <c r="AL790" i="1"/>
  <c r="AO790" i="1" s="1"/>
  <c r="AR790" i="1" s="1"/>
  <c r="AL807" i="1"/>
  <c r="AO807" i="1" s="1"/>
  <c r="AR807" i="1" s="1"/>
  <c r="AL728" i="1"/>
  <c r="AO728" i="1" s="1"/>
  <c r="AR728" i="1" s="1"/>
  <c r="AL725" i="1"/>
  <c r="AO725" i="1" s="1"/>
  <c r="AR725" i="1" s="1"/>
  <c r="AL798" i="1"/>
  <c r="AO798" i="1" s="1"/>
  <c r="AR798" i="1" s="1"/>
  <c r="AL632" i="1"/>
  <c r="AO632" i="1" s="1"/>
  <c r="AR632" i="1" s="1"/>
  <c r="AL682" i="1"/>
  <c r="AO682" i="1" s="1"/>
  <c r="AR682" i="1" s="1"/>
  <c r="AL611" i="1"/>
  <c r="AO611" i="1" s="1"/>
  <c r="AR611" i="1" s="1"/>
  <c r="AL314" i="1"/>
  <c r="AO314" i="1" s="1"/>
  <c r="AR314" i="1" s="1"/>
  <c r="AL580" i="1"/>
  <c r="AO580" i="1" s="1"/>
  <c r="AR580" i="1" s="1"/>
  <c r="AL628" i="1"/>
  <c r="AO628" i="1" s="1"/>
  <c r="AR628" i="1" s="1"/>
  <c r="AL498" i="1"/>
  <c r="AO498" i="1" s="1"/>
  <c r="AR498" i="1" s="1"/>
  <c r="AH468" i="1"/>
  <c r="AJ468" i="1" s="1"/>
  <c r="AF468" i="1"/>
  <c r="AG468" i="1" s="1"/>
  <c r="AU468" i="1" s="1"/>
  <c r="AV468" i="1" s="1"/>
  <c r="AL502" i="1"/>
  <c r="AO502" i="1" s="1"/>
  <c r="AR502" i="1" s="1"/>
  <c r="AJ358" i="1"/>
  <c r="AL358" i="1"/>
  <c r="AO358" i="1" s="1"/>
  <c r="AR358" i="1" s="1"/>
  <c r="AL491" i="1"/>
  <c r="AO491" i="1" s="1"/>
  <c r="AR491" i="1" s="1"/>
  <c r="AL446" i="1"/>
  <c r="AO446" i="1" s="1"/>
  <c r="AR446" i="1" s="1"/>
  <c r="AJ299" i="1"/>
  <c r="AL299" i="1"/>
  <c r="AO299" i="1" s="1"/>
  <c r="AR299" i="1" s="1"/>
  <c r="AJ380" i="1"/>
  <c r="AL380" i="1"/>
  <c r="AO380" i="1" s="1"/>
  <c r="AR380" i="1" s="1"/>
  <c r="AL563" i="1"/>
  <c r="AO563" i="1" s="1"/>
  <c r="AR563" i="1" s="1"/>
  <c r="AL466" i="1"/>
  <c r="AO466" i="1" s="1"/>
  <c r="AR466" i="1" s="1"/>
  <c r="AL288" i="1"/>
  <c r="AO288" i="1" s="1"/>
  <c r="AR288" i="1" s="1"/>
  <c r="AL301" i="1"/>
  <c r="AO301" i="1" s="1"/>
  <c r="AR301" i="1" s="1"/>
  <c r="AJ301" i="1"/>
  <c r="AL367" i="1"/>
  <c r="AO367" i="1" s="1"/>
  <c r="AR367" i="1" s="1"/>
  <c r="AL253" i="1"/>
  <c r="AO253" i="1" s="1"/>
  <c r="AR253" i="1" s="1"/>
  <c r="AJ182" i="1"/>
  <c r="AL182" i="1"/>
  <c r="AO182" i="1" s="1"/>
  <c r="AR182" i="1" s="1"/>
  <c r="AL175" i="1"/>
  <c r="AO175" i="1" s="1"/>
  <c r="AR175" i="1" s="1"/>
  <c r="AL104" i="1"/>
  <c r="AO104" i="1" s="1"/>
  <c r="AR104" i="1" s="1"/>
  <c r="AJ140" i="1"/>
  <c r="AL140" i="1"/>
  <c r="AO140" i="1" s="1"/>
  <c r="AR140" i="1" s="1"/>
  <c r="AL200" i="1"/>
  <c r="AO200" i="1" s="1"/>
  <c r="AR200" i="1" s="1"/>
  <c r="AL166" i="1"/>
  <c r="AO166" i="1" s="1"/>
  <c r="AR166" i="1" s="1"/>
  <c r="AL73" i="1"/>
  <c r="AO73" i="1" s="1"/>
  <c r="AR73" i="1" s="1"/>
  <c r="AL93" i="1"/>
  <c r="AO93" i="1" s="1"/>
  <c r="AR93" i="1" s="1"/>
  <c r="AL472" i="1"/>
  <c r="AO472" i="1" s="1"/>
  <c r="AR472" i="1" s="1"/>
  <c r="AL708" i="1"/>
  <c r="AO708" i="1" s="1"/>
  <c r="AR708" i="1" s="1"/>
  <c r="AL697" i="1"/>
  <c r="AO697" i="1" s="1"/>
  <c r="AR697" i="1" s="1"/>
  <c r="AL698" i="1"/>
  <c r="AO698" i="1" s="1"/>
  <c r="AR698" i="1" s="1"/>
  <c r="AL657" i="1"/>
  <c r="AO657" i="1" s="1"/>
  <c r="AR657" i="1" s="1"/>
  <c r="AL588" i="1"/>
  <c r="AO588" i="1" s="1"/>
  <c r="AR588" i="1" s="1"/>
  <c r="AL629" i="1"/>
  <c r="AO629" i="1" s="1"/>
  <c r="AR629" i="1" s="1"/>
  <c r="AL595" i="1"/>
  <c r="AO595" i="1" s="1"/>
  <c r="AR595" i="1" s="1"/>
  <c r="AL524" i="1"/>
  <c r="AO524" i="1" s="1"/>
  <c r="AR524" i="1" s="1"/>
  <c r="AL534" i="1"/>
  <c r="AO534" i="1" s="1"/>
  <c r="AR534" i="1" s="1"/>
  <c r="AL419" i="1"/>
  <c r="AO419" i="1" s="1"/>
  <c r="AR419" i="1" s="1"/>
  <c r="AL485" i="1"/>
  <c r="AO485" i="1" s="1"/>
  <c r="AR485" i="1" s="1"/>
  <c r="AL581" i="1"/>
  <c r="AO581" i="1" s="1"/>
  <c r="AR581" i="1" s="1"/>
  <c r="AL432" i="1"/>
  <c r="AO432" i="1" s="1"/>
  <c r="AR432" i="1" s="1"/>
  <c r="AL462" i="1"/>
  <c r="AO462" i="1" s="1"/>
  <c r="AR462" i="1" s="1"/>
  <c r="AL306" i="1"/>
  <c r="AO306" i="1" s="1"/>
  <c r="AR306" i="1" s="1"/>
  <c r="AL396" i="1"/>
  <c r="AO396" i="1" s="1"/>
  <c r="AR396" i="1" s="1"/>
  <c r="AL281" i="1"/>
  <c r="AO281" i="1" s="1"/>
  <c r="AR281" i="1" s="1"/>
  <c r="AL249" i="1"/>
  <c r="AO249" i="1" s="1"/>
  <c r="AR249" i="1" s="1"/>
  <c r="AL282" i="1"/>
  <c r="AO282" i="1" s="1"/>
  <c r="AR282" i="1" s="1"/>
  <c r="AJ282" i="1"/>
  <c r="AL239" i="1"/>
  <c r="AO239" i="1" s="1"/>
  <c r="AR239" i="1" s="1"/>
  <c r="AL257" i="1"/>
  <c r="AO257" i="1" s="1"/>
  <c r="AR257" i="1" s="1"/>
  <c r="AL142" i="1"/>
  <c r="AO142" i="1" s="1"/>
  <c r="AR142" i="1" s="1"/>
  <c r="AL135" i="1"/>
  <c r="AO135" i="1" s="1"/>
  <c r="AR135" i="1" s="1"/>
  <c r="AL96" i="1"/>
  <c r="AO96" i="1" s="1"/>
  <c r="AR96" i="1" s="1"/>
  <c r="AL87" i="1"/>
  <c r="AO87" i="1" s="1"/>
  <c r="AR87" i="1" s="1"/>
  <c r="AL28" i="1"/>
  <c r="AO28" i="1" s="1"/>
  <c r="AR28" i="1" s="1"/>
  <c r="AL25" i="1"/>
  <c r="AO25" i="1" s="1"/>
  <c r="AR25" i="1" s="1"/>
  <c r="AL36" i="1"/>
  <c r="AO36" i="1" s="1"/>
  <c r="AR36" i="1" s="1"/>
  <c r="AL85" i="1"/>
  <c r="AO85" i="1" s="1"/>
  <c r="AR85" i="1" s="1"/>
  <c r="AL103" i="1"/>
  <c r="AO103" i="1" s="1"/>
  <c r="AR103" i="1" s="1"/>
  <c r="AL124" i="1"/>
  <c r="AO124" i="1" s="1"/>
  <c r="AR124" i="1" s="1"/>
  <c r="AL329" i="1"/>
  <c r="AO329" i="1" s="1"/>
  <c r="AR329" i="1" s="1"/>
  <c r="AL164" i="1"/>
  <c r="AO164" i="1" s="1"/>
  <c r="AR164" i="1" s="1"/>
  <c r="AL236" i="1"/>
  <c r="AO236" i="1" s="1"/>
  <c r="AR236" i="1" s="1"/>
  <c r="AJ97" i="1"/>
  <c r="AL97" i="1"/>
  <c r="AO97" i="1" s="1"/>
  <c r="AR97" i="1" s="1"/>
  <c r="AL157" i="1"/>
  <c r="AO157" i="1" s="1"/>
  <c r="AR157" i="1" s="1"/>
  <c r="AJ220" i="1"/>
  <c r="AL220" i="1"/>
  <c r="AO220" i="1" s="1"/>
  <c r="AR220" i="1" s="1"/>
  <c r="AL67" i="1"/>
  <c r="AO67" i="1" s="1"/>
  <c r="AR67" i="1" s="1"/>
  <c r="AL56" i="1"/>
  <c r="AO56" i="1" s="1"/>
  <c r="AR56" i="1" s="1"/>
  <c r="AL655" i="1"/>
  <c r="AO655" i="1" s="1"/>
  <c r="AR655" i="1" s="1"/>
  <c r="AL652" i="1"/>
  <c r="AO652" i="1" s="1"/>
  <c r="AR652" i="1" s="1"/>
  <c r="AJ605" i="1"/>
  <c r="AL605" i="1"/>
  <c r="AO605" i="1" s="1"/>
  <c r="AR605" i="1" s="1"/>
  <c r="AL283" i="1"/>
  <c r="AO283" i="1" s="1"/>
  <c r="AR283" i="1" s="1"/>
  <c r="AJ283" i="1"/>
  <c r="AJ137" i="1"/>
  <c r="AL137" i="1"/>
  <c r="AO137" i="1" s="1"/>
  <c r="AR137" i="1" s="1"/>
  <c r="AJ156" i="1"/>
  <c r="AL156" i="1"/>
  <c r="AO156" i="1" s="1"/>
  <c r="AR156" i="1" s="1"/>
  <c r="AL75" i="1"/>
  <c r="AO75" i="1" s="1"/>
  <c r="AR75" i="1" s="1"/>
  <c r="AL62" i="1"/>
  <c r="AO62" i="1" s="1"/>
  <c r="AR62" i="1" s="1"/>
  <c r="AJ423" i="1"/>
  <c r="AL423" i="1"/>
  <c r="AO423" i="1" s="1"/>
  <c r="AR423" i="1" s="1"/>
  <c r="AL782" i="1"/>
  <c r="AO782" i="1" s="1"/>
  <c r="AR782" i="1" s="1"/>
  <c r="AL794" i="1"/>
  <c r="AO794" i="1" s="1"/>
  <c r="AL769" i="1"/>
  <c r="AO769" i="1" s="1"/>
  <c r="AR769" i="1" s="1"/>
  <c r="AL638" i="1"/>
  <c r="AO638" i="1" s="1"/>
  <c r="AR638" i="1" s="1"/>
  <c r="AL618" i="1"/>
  <c r="AO618" i="1" s="1"/>
  <c r="AR618" i="1" s="1"/>
  <c r="AL716" i="1"/>
  <c r="AO716" i="1" s="1"/>
  <c r="AR716" i="1" s="1"/>
  <c r="AL619" i="1"/>
  <c r="AO619" i="1" s="1"/>
  <c r="AR619" i="1" s="1"/>
  <c r="AL493" i="1"/>
  <c r="AO493" i="1" s="1"/>
  <c r="AR493" i="1" s="1"/>
  <c r="AH382" i="1"/>
  <c r="AJ382" i="1" s="1"/>
  <c r="AF382" i="1"/>
  <c r="AG382" i="1" s="1"/>
  <c r="AU382" i="1" s="1"/>
  <c r="AV382" i="1" s="1"/>
  <c r="AL535" i="1"/>
  <c r="AO535" i="1" s="1"/>
  <c r="AR535" i="1" s="1"/>
  <c r="AL469" i="1"/>
  <c r="AO469" i="1" s="1"/>
  <c r="AR469" i="1" s="1"/>
  <c r="AL480" i="1"/>
  <c r="AO480" i="1" s="1"/>
  <c r="AR480" i="1" s="1"/>
  <c r="AL398" i="1"/>
  <c r="AO398" i="1" s="1"/>
  <c r="AR398" i="1" s="1"/>
  <c r="AL343" i="1"/>
  <c r="AO343" i="1" s="1"/>
  <c r="AR343" i="1" s="1"/>
  <c r="AL244" i="1"/>
  <c r="AO244" i="1" s="1"/>
  <c r="AR244" i="1" s="1"/>
  <c r="AL356" i="1"/>
  <c r="AO356" i="1" s="1"/>
  <c r="AR356" i="1" s="1"/>
  <c r="AL402" i="1"/>
  <c r="AO402" i="1" s="1"/>
  <c r="AR402" i="1" s="1"/>
  <c r="AL233" i="1"/>
  <c r="AO233" i="1" s="1"/>
  <c r="AR233" i="1" s="1"/>
  <c r="AL395" i="1"/>
  <c r="AO395" i="1" s="1"/>
  <c r="AR395" i="1" s="1"/>
  <c r="AL286" i="1"/>
  <c r="AO286" i="1" s="1"/>
  <c r="AR286" i="1" s="1"/>
  <c r="AL444" i="1"/>
  <c r="AO444" i="1" s="1"/>
  <c r="AR444" i="1" s="1"/>
  <c r="AJ218" i="1"/>
  <c r="AL218" i="1"/>
  <c r="AO218" i="1" s="1"/>
  <c r="AR218" i="1" s="1"/>
  <c r="AJ214" i="1"/>
  <c r="AL214" i="1"/>
  <c r="AO214" i="1" s="1"/>
  <c r="AR214" i="1" s="1"/>
  <c r="AL141" i="1"/>
  <c r="AO141" i="1" s="1"/>
  <c r="AR141" i="1" s="1"/>
  <c r="AL58" i="1"/>
  <c r="AO58" i="1" s="1"/>
  <c r="AR58" i="1" s="1"/>
  <c r="AJ58" i="1"/>
  <c r="AL125" i="1"/>
  <c r="AO125" i="1" s="1"/>
  <c r="AR125" i="1" s="1"/>
  <c r="AL183" i="1"/>
  <c r="AO183" i="1" s="1"/>
  <c r="AR183" i="1" s="1"/>
  <c r="AL714" i="1"/>
  <c r="AO714" i="1" s="1"/>
  <c r="AR714" i="1" s="1"/>
  <c r="AL126" i="1"/>
  <c r="AO126" i="1" s="1"/>
  <c r="AR126" i="1" s="1"/>
  <c r="AL240" i="1"/>
  <c r="AO240" i="1" s="1"/>
  <c r="AR240" i="1" s="1"/>
  <c r="AL123" i="1"/>
  <c r="AO123" i="1" s="1"/>
  <c r="AR123" i="1" s="1"/>
  <c r="AL151" i="1"/>
  <c r="AO151" i="1" s="1"/>
  <c r="AR151" i="1" s="1"/>
  <c r="AL51" i="1"/>
  <c r="AO51" i="1" s="1"/>
  <c r="AR51" i="1" s="1"/>
  <c r="AL353" i="1"/>
  <c r="AO353" i="1" s="1"/>
  <c r="AR353" i="1" s="1"/>
  <c r="AJ745" i="1"/>
  <c r="AL745" i="1"/>
  <c r="AO745" i="1" s="1"/>
  <c r="AR745" i="1" s="1"/>
  <c r="AL719" i="1"/>
  <c r="AO719" i="1" s="1"/>
  <c r="AR719" i="1" s="1"/>
  <c r="AJ279" i="1"/>
  <c r="AL279" i="1"/>
  <c r="AO279" i="1" s="1"/>
  <c r="AR279" i="1" s="1"/>
  <c r="AL241" i="1"/>
  <c r="AO241" i="1" s="1"/>
  <c r="AR241" i="1" s="1"/>
  <c r="AL793" i="1"/>
  <c r="AO793" i="1" s="1"/>
  <c r="AR793" i="1" s="1"/>
  <c r="AL577" i="1"/>
  <c r="AO577" i="1" s="1"/>
  <c r="AR577" i="1" s="1"/>
  <c r="AJ741" i="1"/>
  <c r="AL741" i="1"/>
  <c r="AO741" i="1" s="1"/>
  <c r="AR741" i="1" s="1"/>
  <c r="AL783" i="1"/>
  <c r="AO783" i="1" s="1"/>
  <c r="AR783" i="1" s="1"/>
  <c r="AL673" i="1"/>
  <c r="AO673" i="1" s="1"/>
  <c r="AR673" i="1" s="1"/>
  <c r="AH561" i="1"/>
  <c r="AJ561" i="1" s="1"/>
  <c r="AF561" i="1"/>
  <c r="AG561" i="1" s="1"/>
  <c r="AU561" i="1" s="1"/>
  <c r="AV561" i="1" s="1"/>
  <c r="AL609" i="1"/>
  <c r="AO609" i="1" s="1"/>
  <c r="AR609" i="1" s="1"/>
  <c r="AL647" i="1"/>
  <c r="AO647" i="1" s="1"/>
  <c r="AR647" i="1" s="1"/>
  <c r="AL679" i="1"/>
  <c r="AO679" i="1" s="1"/>
  <c r="AR679" i="1" s="1"/>
  <c r="AJ487" i="1"/>
  <c r="AL487" i="1"/>
  <c r="AO487" i="1" s="1"/>
  <c r="AR487" i="1" s="1"/>
  <c r="AF470" i="1"/>
  <c r="AG470" i="1" s="1"/>
  <c r="AU470" i="1" s="1"/>
  <c r="AV470" i="1" s="1"/>
  <c r="AH470" i="1"/>
  <c r="AJ470" i="1" s="1"/>
  <c r="AL562" i="1"/>
  <c r="AO562" i="1" s="1"/>
  <c r="AR562" i="1" s="1"/>
  <c r="AL631" i="1"/>
  <c r="AO631" i="1" s="1"/>
  <c r="AR631" i="1" s="1"/>
  <c r="AL430" i="1"/>
  <c r="AO430" i="1" s="1"/>
  <c r="AR430" i="1" s="1"/>
  <c r="AL460" i="1"/>
  <c r="AO460" i="1" s="1"/>
  <c r="AR460" i="1" s="1"/>
  <c r="AL479" i="1"/>
  <c r="AO479" i="1" s="1"/>
  <c r="AR479" i="1" s="1"/>
  <c r="AL490" i="1"/>
  <c r="AO490" i="1" s="1"/>
  <c r="AR490" i="1" s="1"/>
  <c r="AL308" i="1"/>
  <c r="AO308" i="1" s="1"/>
  <c r="AR308" i="1" s="1"/>
  <c r="AL344" i="1"/>
  <c r="AO344" i="1" s="1"/>
  <c r="AR344" i="1" s="1"/>
  <c r="AL427" i="1"/>
  <c r="AO427" i="1" s="1"/>
  <c r="AR427" i="1" s="1"/>
  <c r="AL340" i="1"/>
  <c r="AO340" i="1" s="1"/>
  <c r="AR340" i="1" s="1"/>
  <c r="AL243" i="1"/>
  <c r="AO243" i="1" s="1"/>
  <c r="AR243" i="1" s="1"/>
  <c r="AL22" i="1"/>
  <c r="AO22" i="1" s="1"/>
  <c r="AR22" i="1" s="1"/>
  <c r="AL315" i="1"/>
  <c r="AO315" i="1" s="1"/>
  <c r="AR315" i="1" s="1"/>
  <c r="AL221" i="1"/>
  <c r="AO221" i="1" s="1"/>
  <c r="AR221" i="1" s="1"/>
  <c r="AL116" i="1"/>
  <c r="AO116" i="1" s="1"/>
  <c r="AR116" i="1" s="1"/>
  <c r="AL186" i="1"/>
  <c r="AO186" i="1" s="1"/>
  <c r="AR186" i="1" s="1"/>
  <c r="AL17" i="1"/>
  <c r="AO17" i="1" s="1"/>
  <c r="AR17" i="1" s="1"/>
  <c r="AL24" i="1"/>
  <c r="AO24" i="1" s="1"/>
  <c r="AR24" i="1" s="1"/>
  <c r="AL83" i="1"/>
  <c r="AO83" i="1" s="1"/>
  <c r="AR83" i="1" s="1"/>
  <c r="AL6" i="1"/>
  <c r="AO6" i="1" s="1"/>
  <c r="AR6" i="1" s="1"/>
  <c r="AJ587" i="1"/>
  <c r="AL587" i="1"/>
  <c r="AO587" i="1" s="1"/>
  <c r="AR587" i="1" s="1"/>
  <c r="AL751" i="1"/>
  <c r="AO751" i="1" s="1"/>
  <c r="AR751" i="1" s="1"/>
  <c r="AH548" i="1"/>
  <c r="AJ548" i="1" s="1"/>
  <c r="AF548" i="1"/>
  <c r="AG548" i="1" s="1"/>
  <c r="AU548" i="1" s="1"/>
  <c r="AV548" i="1" s="1"/>
  <c r="AL347" i="1"/>
  <c r="AO347" i="1" s="1"/>
  <c r="AR347" i="1" s="1"/>
  <c r="AJ347" i="1"/>
  <c r="AF264" i="1"/>
  <c r="AG264" i="1" s="1"/>
  <c r="AU264" i="1" s="1"/>
  <c r="AV264" i="1" s="1"/>
  <c r="AH264" i="1"/>
  <c r="AJ264" i="1" s="1"/>
  <c r="AL412" i="1"/>
  <c r="AO412" i="1" s="1"/>
  <c r="AR412" i="1" s="1"/>
  <c r="AL42" i="1"/>
  <c r="AO42" i="1" s="1"/>
  <c r="AR42" i="1" s="1"/>
  <c r="AJ712" i="1"/>
  <c r="AL712" i="1"/>
  <c r="AO712" i="1" s="1"/>
  <c r="AR712" i="1" s="1"/>
  <c r="AJ569" i="1"/>
  <c r="AL569" i="1"/>
  <c r="AO569" i="1" s="1"/>
  <c r="AR569" i="1" s="1"/>
  <c r="AJ727" i="1"/>
  <c r="AL727" i="1"/>
  <c r="AO727" i="1" s="1"/>
  <c r="AR727" i="1" s="1"/>
  <c r="AL414" i="1"/>
  <c r="AO414" i="1" s="1"/>
  <c r="AR414" i="1" s="1"/>
  <c r="AL251" i="1"/>
  <c r="AO251" i="1" s="1"/>
  <c r="AR251" i="1" s="1"/>
  <c r="AJ251" i="1"/>
  <c r="AL176" i="1"/>
  <c r="AO176" i="1" s="1"/>
  <c r="AR176" i="1" s="1"/>
  <c r="AJ127" i="1"/>
  <c r="AL127" i="1"/>
  <c r="AO127" i="1" s="1"/>
  <c r="AR127" i="1" s="1"/>
  <c r="AJ215" i="1"/>
  <c r="AL215" i="1"/>
  <c r="AO215" i="1" s="1"/>
  <c r="AR215" i="1" s="1"/>
  <c r="AL115" i="1"/>
  <c r="AO115" i="1" s="1"/>
  <c r="AR115" i="1" s="1"/>
  <c r="AL211" i="1"/>
  <c r="AO211" i="1" s="1"/>
  <c r="AR211" i="1" s="1"/>
  <c r="AL170" i="1"/>
  <c r="AO170" i="1" s="1"/>
  <c r="AR170" i="1" s="1"/>
  <c r="AL5" i="1"/>
  <c r="AO5" i="1" s="1"/>
  <c r="AR5" i="1" s="1"/>
  <c r="AL63" i="1"/>
  <c r="AO63" i="1" s="1"/>
  <c r="AR63" i="1" s="1"/>
  <c r="AJ779" i="1"/>
  <c r="AL779" i="1"/>
  <c r="AO779" i="1" s="1"/>
  <c r="AR779" i="1" s="1"/>
  <c r="AH486" i="1"/>
  <c r="AJ486" i="1" s="1"/>
  <c r="AF486" i="1"/>
  <c r="AG486" i="1" s="1"/>
  <c r="AU486" i="1" s="1"/>
  <c r="AV486" i="1" s="1"/>
  <c r="AJ513" i="1"/>
  <c r="AL513" i="1"/>
  <c r="AO513" i="1" s="1"/>
  <c r="AR513" i="1" s="1"/>
  <c r="AL424" i="1"/>
  <c r="AO424" i="1" s="1"/>
  <c r="AR424" i="1" s="1"/>
  <c r="AL533" i="1"/>
  <c r="AO533" i="1" s="1"/>
  <c r="AR533" i="1" s="1"/>
  <c r="AL506" i="1"/>
  <c r="AO506" i="1" s="1"/>
  <c r="AR506" i="1" s="1"/>
  <c r="AL696" i="1"/>
  <c r="AO696" i="1" s="1"/>
  <c r="AR696" i="1" s="1"/>
  <c r="AL699" i="1"/>
  <c r="AO699" i="1" s="1"/>
  <c r="AR699" i="1" s="1"/>
  <c r="AL627" i="1"/>
  <c r="AO627" i="1" s="1"/>
  <c r="AR627" i="1" s="1"/>
  <c r="AL332" i="1"/>
  <c r="AO332" i="1" s="1"/>
  <c r="AR332" i="1" s="1"/>
  <c r="AL586" i="1"/>
  <c r="AO586" i="1" s="1"/>
  <c r="AR586" i="1" s="1"/>
  <c r="AL530" i="1"/>
  <c r="AO530" i="1" s="1"/>
  <c r="AR530" i="1" s="1"/>
  <c r="AJ530" i="1"/>
  <c r="AL591" i="1"/>
  <c r="AO591" i="1" s="1"/>
  <c r="AR591" i="1" s="1"/>
  <c r="AL473" i="1"/>
  <c r="AO473" i="1" s="1"/>
  <c r="AR473" i="1" s="1"/>
  <c r="AL448" i="1"/>
  <c r="AO448" i="1" s="1"/>
  <c r="AR448" i="1" s="1"/>
  <c r="AL560" i="1"/>
  <c r="AO560" i="1" s="1"/>
  <c r="AR560" i="1" s="1"/>
  <c r="AL547" i="1"/>
  <c r="AO547" i="1" s="1"/>
  <c r="AR547" i="1" s="1"/>
  <c r="AL527" i="1"/>
  <c r="AO527" i="1" s="1"/>
  <c r="AR527" i="1" s="1"/>
  <c r="AL702" i="1"/>
  <c r="AO702" i="1" s="1"/>
  <c r="AR702" i="1" s="1"/>
  <c r="AL337" i="1"/>
  <c r="AO337" i="1" s="1"/>
  <c r="AR337" i="1" s="1"/>
  <c r="AL408" i="1"/>
  <c r="AO408" i="1" s="1"/>
  <c r="AR408" i="1" s="1"/>
  <c r="AL459" i="1"/>
  <c r="AO459" i="1" s="1"/>
  <c r="AR459" i="1" s="1"/>
  <c r="AL317" i="1"/>
  <c r="AO317" i="1" s="1"/>
  <c r="AR317" i="1" s="1"/>
  <c r="AL280" i="1"/>
  <c r="AO280" i="1" s="1"/>
  <c r="AR280" i="1" s="1"/>
  <c r="AL386" i="1"/>
  <c r="AO386" i="1" s="1"/>
  <c r="AR386" i="1" s="1"/>
  <c r="AL328" i="1"/>
  <c r="AO328" i="1" s="1"/>
  <c r="AR328" i="1" s="1"/>
  <c r="AJ205" i="1"/>
  <c r="AL205" i="1"/>
  <c r="AO205" i="1" s="1"/>
  <c r="AR205" i="1" s="1"/>
  <c r="AL202" i="1"/>
  <c r="AO202" i="1" s="1"/>
  <c r="AR202" i="1" s="1"/>
  <c r="AJ202" i="1"/>
  <c r="AJ254" i="1"/>
  <c r="AL254" i="1"/>
  <c r="AO254" i="1" s="1"/>
  <c r="AR254" i="1" s="1"/>
  <c r="AL188" i="1"/>
  <c r="AO188" i="1" s="1"/>
  <c r="AR188" i="1" s="1"/>
  <c r="AL204" i="1"/>
  <c r="AO204" i="1" s="1"/>
  <c r="AR204" i="1" s="1"/>
  <c r="AL219" i="1"/>
  <c r="AO219" i="1" s="1"/>
  <c r="AR219" i="1" s="1"/>
  <c r="AL120" i="1"/>
  <c r="AO120" i="1" s="1"/>
  <c r="AR120" i="1" s="1"/>
  <c r="AL30" i="1"/>
  <c r="AO30" i="1" s="1"/>
  <c r="AR30" i="1" s="1"/>
  <c r="AL227" i="1"/>
  <c r="AO227" i="1" s="1"/>
  <c r="AR227" i="1" s="1"/>
  <c r="AL171" i="1"/>
  <c r="AO171" i="1" s="1"/>
  <c r="AR171" i="1" s="1"/>
  <c r="AL37" i="1"/>
  <c r="AO37" i="1" s="1"/>
  <c r="AR37" i="1" s="1"/>
  <c r="AL84" i="1"/>
  <c r="AO84" i="1" s="1"/>
  <c r="AR84" i="1" s="1"/>
  <c r="AL119" i="1"/>
  <c r="AO119" i="1" s="1"/>
  <c r="AR119" i="1" s="1"/>
  <c r="AL20" i="1"/>
  <c r="AO20" i="1" s="1"/>
  <c r="AR20" i="1" s="1"/>
  <c r="AL311" i="1"/>
  <c r="AO311" i="1" s="1"/>
  <c r="AR311" i="1" s="1"/>
  <c r="AL813" i="1"/>
  <c r="AO813" i="1" s="1"/>
  <c r="AR813" i="1" s="1"/>
  <c r="AL737" i="1"/>
  <c r="AO737" i="1" s="1"/>
  <c r="AR737" i="1" s="1"/>
  <c r="AJ752" i="1"/>
  <c r="AL752" i="1"/>
  <c r="AO752" i="1" s="1"/>
  <c r="AR752" i="1" s="1"/>
  <c r="AL730" i="1"/>
  <c r="AO730" i="1" s="1"/>
  <c r="AR730" i="1" s="1"/>
  <c r="AL695" i="1"/>
  <c r="AO695" i="1" s="1"/>
  <c r="AR695" i="1" s="1"/>
  <c r="AH707" i="1"/>
  <c r="AJ707" i="1" s="1"/>
  <c r="AF707" i="1"/>
  <c r="AG707" i="1" s="1"/>
  <c r="AU707" i="1" s="1"/>
  <c r="AV707" i="1" s="1"/>
  <c r="AL614" i="1"/>
  <c r="AO614" i="1" s="1"/>
  <c r="AR614" i="1" s="1"/>
  <c r="AL636" i="1"/>
  <c r="AO636" i="1" s="1"/>
  <c r="AR636" i="1" s="1"/>
  <c r="AL758" i="1"/>
  <c r="AO758" i="1" s="1"/>
  <c r="AR758" i="1" s="1"/>
  <c r="AL578" i="1"/>
  <c r="AO578" i="1" s="1"/>
  <c r="AR578" i="1" s="1"/>
  <c r="AJ578" i="1"/>
  <c r="AL597" i="1"/>
  <c r="AO597" i="1" s="1"/>
  <c r="AR597" i="1" s="1"/>
  <c r="AL612" i="1"/>
  <c r="AO612" i="1" s="1"/>
  <c r="AR612" i="1" s="1"/>
  <c r="AL585" i="1"/>
  <c r="AO585" i="1" s="1"/>
  <c r="AR585" i="1" s="1"/>
  <c r="AL372" i="1"/>
  <c r="AO372" i="1" s="1"/>
  <c r="AR372" i="1" s="1"/>
  <c r="AL568" i="1"/>
  <c r="AO568" i="1" s="1"/>
  <c r="AR568" i="1" s="1"/>
  <c r="AH471" i="1"/>
  <c r="AJ471" i="1" s="1"/>
  <c r="AF471" i="1"/>
  <c r="AG471" i="1" s="1"/>
  <c r="AU471" i="1" s="1"/>
  <c r="AV471" i="1" s="1"/>
  <c r="AL413" i="1"/>
  <c r="AO413" i="1" s="1"/>
  <c r="AR413" i="1" s="1"/>
  <c r="AJ461" i="1"/>
  <c r="AL461" i="1"/>
  <c r="AO461" i="1" s="1"/>
  <c r="AR461" i="1" s="1"/>
  <c r="AL361" i="1"/>
  <c r="AO361" i="1" s="1"/>
  <c r="AR361" i="1" s="1"/>
  <c r="AJ416" i="1"/>
  <c r="AL416" i="1"/>
  <c r="AO416" i="1" s="1"/>
  <c r="AR416" i="1" s="1"/>
  <c r="AL406" i="1"/>
  <c r="AO406" i="1" s="1"/>
  <c r="AR406" i="1" s="1"/>
  <c r="AL508" i="1"/>
  <c r="AO508" i="1" s="1"/>
  <c r="AR508" i="1" s="1"/>
  <c r="AL383" i="1"/>
  <c r="AO383" i="1" s="1"/>
  <c r="AR383" i="1" s="1"/>
  <c r="AL441" i="1"/>
  <c r="AO441" i="1" s="1"/>
  <c r="AR441" i="1" s="1"/>
  <c r="AL407" i="1"/>
  <c r="AO407" i="1" s="1"/>
  <c r="AR407" i="1" s="1"/>
  <c r="AL450" i="1"/>
  <c r="AO450" i="1" s="1"/>
  <c r="AR450" i="1" s="1"/>
  <c r="AL349" i="1"/>
  <c r="AO349" i="1" s="1"/>
  <c r="AR349" i="1" s="1"/>
  <c r="AL341" i="1"/>
  <c r="AO341" i="1" s="1"/>
  <c r="AR341" i="1" s="1"/>
  <c r="AL474" i="1"/>
  <c r="AO474" i="1" s="1"/>
  <c r="AR474" i="1" s="1"/>
  <c r="AL418" i="1"/>
  <c r="AO418" i="1" s="1"/>
  <c r="AR418" i="1" s="1"/>
  <c r="AL294" i="1"/>
  <c r="AO294" i="1" s="1"/>
  <c r="AR294" i="1" s="1"/>
  <c r="AL278" i="1"/>
  <c r="AO278" i="1" s="1"/>
  <c r="AR278" i="1" s="1"/>
  <c r="AL711" i="1"/>
  <c r="AO711" i="1" s="1"/>
  <c r="AR711" i="1" s="1"/>
  <c r="AL111" i="1"/>
  <c r="AO111" i="1" s="1"/>
  <c r="AR111" i="1" s="1"/>
  <c r="AL191" i="1"/>
  <c r="AO191" i="1" s="1"/>
  <c r="AR191" i="1" s="1"/>
  <c r="AJ217" i="1"/>
  <c r="AL217" i="1"/>
  <c r="AO217" i="1" s="1"/>
  <c r="AR217" i="1" s="1"/>
  <c r="AL101" i="1"/>
  <c r="AO101" i="1" s="1"/>
  <c r="AR101" i="1" s="1"/>
  <c r="AL775" i="1"/>
  <c r="AO775" i="1" s="1"/>
  <c r="AR775" i="1" s="1"/>
  <c r="AL69" i="1"/>
  <c r="AO69" i="1" s="1"/>
  <c r="AR69" i="1" s="1"/>
  <c r="AL89" i="1"/>
  <c r="AO89" i="1" s="1"/>
  <c r="AR89" i="1" s="1"/>
  <c r="AL13" i="1"/>
  <c r="AO13" i="1" s="1"/>
  <c r="AR13" i="1" s="1"/>
  <c r="AL4" i="1"/>
  <c r="AO4" i="1" s="1"/>
  <c r="AR4" i="1" s="1"/>
  <c r="AL579" i="1" l="1"/>
  <c r="AO579" i="1" s="1"/>
  <c r="AR579" i="1" s="1"/>
  <c r="AL576" i="1"/>
  <c r="AO576" i="1" s="1"/>
  <c r="AR576" i="1" s="1"/>
  <c r="AL768" i="1"/>
  <c r="AO768" i="1" s="1"/>
  <c r="AR768" i="1" s="1"/>
  <c r="AL654" i="1"/>
  <c r="AO654" i="1" s="1"/>
  <c r="AR654" i="1" s="1"/>
  <c r="AL780" i="1"/>
  <c r="AO780" i="1" s="1"/>
  <c r="AR780" i="1" s="1"/>
  <c r="AL766" i="1"/>
  <c r="AO766" i="1" s="1"/>
  <c r="AR766" i="1" s="1"/>
  <c r="AL686" i="1"/>
  <c r="AO686" i="1" s="1"/>
  <c r="AR686" i="1" s="1"/>
  <c r="AL318" i="1"/>
  <c r="AO318" i="1" s="1"/>
  <c r="AR318" i="1" s="1"/>
  <c r="AL811" i="1"/>
  <c r="AO811" i="1" s="1"/>
  <c r="AR811" i="1" s="1"/>
  <c r="AL435" i="1"/>
  <c r="AO435" i="1" s="1"/>
  <c r="AR435" i="1" s="1"/>
  <c r="AL677" i="1"/>
  <c r="AO677" i="1" s="1"/>
  <c r="AR677" i="1" s="1"/>
  <c r="AL809" i="1"/>
  <c r="AO809" i="1" s="1"/>
  <c r="AR809" i="1" s="1"/>
  <c r="AL803" i="1"/>
  <c r="AO803" i="1" s="1"/>
  <c r="AR803" i="1" s="1"/>
  <c r="AL566" i="1"/>
  <c r="AO566" i="1" s="1"/>
  <c r="AR566" i="1" s="1"/>
  <c r="AL470" i="1"/>
  <c r="AO470" i="1" s="1"/>
  <c r="AR470" i="1" s="1"/>
  <c r="AV816" i="1"/>
  <c r="AL765" i="1"/>
  <c r="AO765" i="1" s="1"/>
  <c r="AR765" i="1" s="1"/>
  <c r="AL707" i="1"/>
  <c r="AO707" i="1" s="1"/>
  <c r="AR707" i="1" s="1"/>
  <c r="AL307" i="1"/>
  <c r="AO307" i="1" s="1"/>
  <c r="AR307" i="1" s="1"/>
  <c r="AL293" i="1"/>
  <c r="AO293" i="1" s="1"/>
  <c r="AR293" i="1" s="1"/>
  <c r="AL505" i="1"/>
  <c r="AO505" i="1" s="1"/>
  <c r="AR505" i="1" s="1"/>
  <c r="AL46" i="1"/>
  <c r="AO46" i="1" s="1"/>
  <c r="AR46" i="1" s="1"/>
  <c r="AL483" i="1"/>
  <c r="AO483" i="1" s="1"/>
  <c r="AR483" i="1" s="1"/>
  <c r="AL88" i="1"/>
  <c r="AO88" i="1" s="1"/>
  <c r="AR88" i="1" s="1"/>
  <c r="AL228" i="1"/>
  <c r="AO228" i="1" s="1"/>
  <c r="AR228" i="1" s="1"/>
  <c r="AL492" i="1"/>
  <c r="AO492" i="1" s="1"/>
  <c r="AR492" i="1" s="1"/>
  <c r="AJ492" i="1"/>
  <c r="AL109" i="1"/>
  <c r="AO109" i="1" s="1"/>
  <c r="AR109" i="1" s="1"/>
  <c r="AL468" i="1"/>
  <c r="AO468" i="1" s="1"/>
  <c r="AR468" i="1" s="1"/>
  <c r="AL471" i="1"/>
  <c r="AO471" i="1" s="1"/>
  <c r="AR471" i="1" s="1"/>
  <c r="AL601" i="1"/>
  <c r="AO601" i="1" s="1"/>
  <c r="AR601" i="1" s="1"/>
  <c r="AL692" i="1"/>
  <c r="AO692" i="1" s="1"/>
  <c r="AR692" i="1" s="1"/>
  <c r="AL449" i="1"/>
  <c r="AO449" i="1" s="1"/>
  <c r="AR449" i="1" s="1"/>
  <c r="AL2" i="1"/>
  <c r="AL264" i="1"/>
  <c r="AO264" i="1" s="1"/>
  <c r="AR264" i="1" s="1"/>
  <c r="AL476" i="1"/>
  <c r="AO476" i="1" s="1"/>
  <c r="AR476" i="1" s="1"/>
  <c r="AJ291" i="1"/>
  <c r="AL291" i="1"/>
  <c r="AO291" i="1" s="1"/>
  <c r="AR291" i="1" s="1"/>
  <c r="AL561" i="1"/>
  <c r="AO561" i="1" s="1"/>
  <c r="AR561" i="1" s="1"/>
  <c r="AL382" i="1"/>
  <c r="AO382" i="1" s="1"/>
  <c r="AR382" i="1" s="1"/>
  <c r="AL548" i="1"/>
  <c r="AO548" i="1" s="1"/>
  <c r="AR548" i="1" s="1"/>
  <c r="AL486" i="1"/>
  <c r="AO486" i="1" s="1"/>
  <c r="AR486" i="1" s="1"/>
  <c r="AO2" i="1" l="1"/>
  <c r="AR2" i="1" s="1"/>
  <c r="AL8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46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Andy SAMBI:
Hon Fees to collect from Gallagher.</t>
        </r>
      </text>
    </comment>
    <comment ref="AN159" authorId="0" shapeId="0" xr:uid="{00000000-0006-0000-0000-000002000000}">
      <text>
        <r>
          <rPr>
            <sz val="10"/>
            <color rgb="FF000000"/>
            <rFont val="Calibri"/>
            <family val="2"/>
            <scheme val="minor"/>
          </rPr>
          <t>Attention !
Selon Ramsy, Marsh seraît payée MayFaire et donc AIB ne drvra plus reverser à MArsh une retrocom.
	-Serge Sula</t>
        </r>
      </text>
    </comment>
  </commentList>
</comments>
</file>

<file path=xl/sharedStrings.xml><?xml version="1.0" encoding="utf-8"?>
<sst xmlns="http://schemas.openxmlformats.org/spreadsheetml/2006/main" count="11112" uniqueCount="1151">
  <si>
    <t>MONTH</t>
  </si>
  <si>
    <t>DECLARED TO ARCA</t>
  </si>
  <si>
    <t>OPERATION DATE</t>
  </si>
  <si>
    <t>ISSUE DATE</t>
  </si>
  <si>
    <t>EFFECT DATE</t>
  </si>
  <si>
    <t>EXPIRY DATE</t>
  </si>
  <si>
    <t>AIB REF.</t>
  </si>
  <si>
    <t>N° D'AVENANT</t>
  </si>
  <si>
    <t>TYPE D'AVENANT</t>
  </si>
  <si>
    <t>POLICY REF</t>
  </si>
  <si>
    <t>CLIENT</t>
  </si>
  <si>
    <t>INDUSTRY</t>
  </si>
  <si>
    <t>ACC. MANAGER</t>
  </si>
  <si>
    <t>ASSISTED BY</t>
  </si>
  <si>
    <t>PRODUCT NAME</t>
  </si>
  <si>
    <t>CATEGORY</t>
  </si>
  <si>
    <t>INSURER</t>
  </si>
  <si>
    <t>REINSURER</t>
  </si>
  <si>
    <t>SUM INSURED</t>
  </si>
  <si>
    <t>GROSS PREMIUMS</t>
  </si>
  <si>
    <t>FRONTING</t>
  </si>
  <si>
    <t>FRONTING DISCOUNT</t>
  </si>
  <si>
    <t>ACCESSOIRES</t>
  </si>
  <si>
    <t>NET PREMIUM</t>
  </si>
  <si>
    <t>VAT</t>
  </si>
  <si>
    <t>RI RATE</t>
  </si>
  <si>
    <t>AIB Com %</t>
  </si>
  <si>
    <t>LOCAL COM.</t>
  </si>
  <si>
    <t>FRONTING COM.</t>
  </si>
  <si>
    <t>RI COM.</t>
  </si>
  <si>
    <t>TOTAL NET / REVENUE (+ Arca)</t>
  </si>
  <si>
    <t>TOTAL VAT / REVENUE</t>
  </si>
  <si>
    <t>GROSS REVENUE</t>
  </si>
  <si>
    <t>ARCA fees (2%)</t>
  </si>
  <si>
    <t>A. PAID TO ARCA</t>
  </si>
  <si>
    <t>BALANCE DUE TO ARCA</t>
  </si>
  <si>
    <t>Date of Pymt to ARCA</t>
  </si>
  <si>
    <t>NET COM (Excl all taxes)</t>
  </si>
  <si>
    <t>PARTNER</t>
  </si>
  <si>
    <t>% RATE TO PARTNER</t>
  </si>
  <si>
    <t>A. DUE TO PARTNER</t>
  </si>
  <si>
    <t>A. PAID TO PARTNER</t>
  </si>
  <si>
    <t>DATE OF PAYMT TO PARTNER</t>
  </si>
  <si>
    <t>BALANCE DUE TO PARTNER</t>
  </si>
  <si>
    <t>REF PYMNT TO PARTNER</t>
  </si>
  <si>
    <t>COM RECEIVED</t>
  </si>
  <si>
    <t>COM INVOICED</t>
  </si>
  <si>
    <t>BALANCE DUE TO AIB</t>
  </si>
  <si>
    <t>DUE BY</t>
  </si>
  <si>
    <t>DATE OF RECEIPT</t>
  </si>
  <si>
    <t>DEBIT NOTE REF.</t>
  </si>
  <si>
    <t>RENEWAL STATUS</t>
  </si>
  <si>
    <t>COVER TO RENEW</t>
  </si>
  <si>
    <t>RENEWAL PREMIUM</t>
  </si>
  <si>
    <t>RENEWAL INSURER</t>
  </si>
  <si>
    <t>COMMENTS</t>
  </si>
  <si>
    <t>JANUARY</t>
  </si>
  <si>
    <t>Yes</t>
  </si>
  <si>
    <t>RENOUVELLEMENT</t>
  </si>
  <si>
    <t>12001-33002-0014-007-00000398-2020</t>
  </si>
  <si>
    <t>FERONIA - PLANTATIONS ET HUILERIES DU CONGO ( PHC)</t>
  </si>
  <si>
    <t>SERVICE</t>
  </si>
  <si>
    <t>RAMSY</t>
  </si>
  <si>
    <t>Hermine</t>
  </si>
  <si>
    <t>MARINE CARGO / GIT</t>
  </si>
  <si>
    <t>MARINE</t>
  </si>
  <si>
    <t>ACTIVA</t>
  </si>
  <si>
    <t>En cours de traitement 2022 Groupe #01</t>
  </si>
  <si>
    <t>RENEWED</t>
  </si>
  <si>
    <t>12001-33002-9007-009-00000396-2020</t>
  </si>
  <si>
    <t>FIRE</t>
  </si>
  <si>
    <t>PROPERTIES</t>
  </si>
  <si>
    <t>12001-33002-9001-003-00000296-2020</t>
  </si>
  <si>
    <t>MOTOR TPL</t>
  </si>
  <si>
    <t>SOUSCRIPTION</t>
  </si>
  <si>
    <t>1/01/042/00023/2021</t>
  </si>
  <si>
    <t>EASTCASTLE INFRASTRUCTURE DRC SARLU</t>
  </si>
  <si>
    <t>TELECOM</t>
  </si>
  <si>
    <t>Ramsy</t>
  </si>
  <si>
    <t>MAYFAIR</t>
  </si>
  <si>
    <t>MARSH</t>
  </si>
  <si>
    <t>000001-0011-007-0000927</t>
  </si>
  <si>
    <t>CANAL PLUS</t>
  </si>
  <si>
    <t>Distribution</t>
  </si>
  <si>
    <t>ANDY</t>
  </si>
  <si>
    <t>Andy</t>
  </si>
  <si>
    <t>SUNU</t>
  </si>
  <si>
    <t>OLEA</t>
  </si>
  <si>
    <t>12001-33002-9005-014-00000399-2020</t>
  </si>
  <si>
    <t>GENERAL LIABILITY</t>
  </si>
  <si>
    <t>LIABILITIES</t>
  </si>
  <si>
    <t>INCORPORATION</t>
  </si>
  <si>
    <t>12001-09008/1005/2300001495</t>
  </si>
  <si>
    <t>SALAMA FIKIRA</t>
  </si>
  <si>
    <t>PERSON</t>
  </si>
  <si>
    <t>ALICE</t>
  </si>
  <si>
    <t>Michee</t>
  </si>
  <si>
    <t>MEDICAL</t>
  </si>
  <si>
    <t>MEDICAL &amp; GPA</t>
  </si>
  <si>
    <t>ACTIVA/GGA</t>
  </si>
  <si>
    <t>RENEWING...</t>
  </si>
  <si>
    <t>PAPASSEUDI</t>
  </si>
  <si>
    <t>Alice</t>
  </si>
  <si>
    <t>12003-33002-0005-111-00000018-2022 / 72000015</t>
  </si>
  <si>
    <t>SNEL / Bolloré</t>
  </si>
  <si>
    <t>SYNTYCHE</t>
  </si>
  <si>
    <t>Victor</t>
  </si>
  <si>
    <t>RAWSUR</t>
  </si>
  <si>
    <t>BOLLORE</t>
  </si>
  <si>
    <t>PT008/AIB RDC/2022</t>
  </si>
  <si>
    <t>ONCE OFF</t>
  </si>
  <si>
    <t>101-204003904</t>
  </si>
  <si>
    <t>CIBALONZA DIDIER</t>
  </si>
  <si>
    <t>LIFE</t>
  </si>
  <si>
    <t>RAWSUR - LIFE</t>
  </si>
  <si>
    <t>RISTOURNE</t>
  </si>
  <si>
    <t>000001-0017-003-0000938</t>
  </si>
  <si>
    <t>BOLLORE TRANSPORT &amp; LOGISTICS RDC</t>
  </si>
  <si>
    <t>TRANSPORT</t>
  </si>
  <si>
    <t>Grâce</t>
  </si>
  <si>
    <t>OPPORTUNITY INTERNATIONAL</t>
  </si>
  <si>
    <t>12001-9001-33002-0030000251-2020</t>
  </si>
  <si>
    <t>CEGELEC RDC</t>
  </si>
  <si>
    <t>DISTRIBUTION</t>
  </si>
  <si>
    <t>En cours de traitement 2021 Groupe #16</t>
  </si>
  <si>
    <t xml:space="preserve">PT003/AIB RDC/2022 </t>
  </si>
  <si>
    <t>01-D&amp;O-2021-000014</t>
  </si>
  <si>
    <t>STANDARD BANK</t>
  </si>
  <si>
    <t>Banking</t>
  </si>
  <si>
    <t>D&amp;O</t>
  </si>
  <si>
    <t>SFA</t>
  </si>
  <si>
    <t>01-RCP-2021-000014</t>
  </si>
  <si>
    <t>PI</t>
  </si>
  <si>
    <t>01-BBB-2021-000012</t>
  </si>
  <si>
    <t>CYBER</t>
  </si>
  <si>
    <t>00016229</t>
  </si>
  <si>
    <t>Barrick Gold Corporation/Kibali Gold</t>
  </si>
  <si>
    <t>MINING</t>
  </si>
  <si>
    <t>MACHINARY BREAKDOWN</t>
  </si>
  <si>
    <t>McGILL</t>
  </si>
  <si>
    <t>12001-33002-9005-014-00000 326-2020</t>
  </si>
  <si>
    <t>Group Optorg / Tractafric Equipment</t>
  </si>
  <si>
    <t>En cours de traitement 2022 Groupe #02</t>
  </si>
  <si>
    <t>01-MCO-2022-000004</t>
  </si>
  <si>
    <t>Group Optorg / Katanga Motors</t>
  </si>
  <si>
    <t>CANCELLED</t>
  </si>
  <si>
    <t>01-MCO-2022-000015</t>
  </si>
  <si>
    <t>12001-33002-014-0000323-2020</t>
  </si>
  <si>
    <t>01-IMR-2022-000017</t>
  </si>
  <si>
    <t>1/01/0700/00205/2021</t>
  </si>
  <si>
    <t>AGENCE FRANCAISE DE DEVELOPPEMENT ( AFD)</t>
  </si>
  <si>
    <t>NGO</t>
  </si>
  <si>
    <t>COMP MOTOR</t>
  </si>
  <si>
    <t>MOTOR COMP</t>
  </si>
  <si>
    <t>101/01/030/00005/2021</t>
  </si>
  <si>
    <t>101/01/040/00270/2021</t>
  </si>
  <si>
    <t>101/01/052/00035/2021</t>
  </si>
  <si>
    <t>101/01/052/00037/2021</t>
  </si>
  <si>
    <t>3384000107L</t>
  </si>
  <si>
    <t>G4S DRC Sarl</t>
  </si>
  <si>
    <t>SECURITY</t>
  </si>
  <si>
    <t>SONAS / Agence Commerce</t>
  </si>
  <si>
    <t>LOST</t>
  </si>
  <si>
    <t>1284000813V</t>
  </si>
  <si>
    <t>12003-33002-0004-114-00000002-2022 / 51000006</t>
  </si>
  <si>
    <t>CAR</t>
  </si>
  <si>
    <t>CONSTRUCTIONS</t>
  </si>
  <si>
    <t>000001-0017-003-0000032</t>
  </si>
  <si>
    <t>CARGOMAN Sarl</t>
  </si>
  <si>
    <t>Aviation</t>
  </si>
  <si>
    <t>12001-3002-9007-008-00000308</t>
  </si>
  <si>
    <t>12001-09005/3002/145 0000 341</t>
  </si>
  <si>
    <t>PUBLIC LIABILITY</t>
  </si>
  <si>
    <t>HELVETIA</t>
  </si>
  <si>
    <t>301-219000003</t>
  </si>
  <si>
    <t>AIRTEL DRC</t>
  </si>
  <si>
    <t>UAP INSURANCE COMPANY LIMITED</t>
  </si>
  <si>
    <t>12001-13001-0014-111-00002001-2022</t>
  </si>
  <si>
    <t>12003-33002-0005-111-00000020-2022 / 72000017</t>
  </si>
  <si>
    <t>CONCERN WORLDWIDE / Bolloré</t>
  </si>
  <si>
    <t>12003-33002-0005-111-00000019-2022 / 72000016</t>
  </si>
  <si>
    <t>ORICA / Bolloré</t>
  </si>
  <si>
    <t>12003-33002-0012-108-00000001-2022 / 75600001</t>
  </si>
  <si>
    <t>MALU AVIATION (9S GPS)</t>
  </si>
  <si>
    <t>Grace</t>
  </si>
  <si>
    <t>AVIATION HULL ALL RISK</t>
  </si>
  <si>
    <t>AVIATION</t>
  </si>
  <si>
    <t>ION</t>
  </si>
  <si>
    <t>01-RCG-2020-000067</t>
  </si>
  <si>
    <t>Service Maintenance Solution ( SMS)</t>
  </si>
  <si>
    <t>01-ACI-2022-000001</t>
  </si>
  <si>
    <t>Michée</t>
  </si>
  <si>
    <t>GPA</t>
  </si>
  <si>
    <t>01-ACI-2020-000026</t>
  </si>
  <si>
    <t>01-CRG-2022-000001</t>
  </si>
  <si>
    <t>XIN-DA / Bolloré</t>
  </si>
  <si>
    <t>01-RCAP-2021-000057</t>
  </si>
  <si>
    <t>AFRICELL RDC Sa</t>
  </si>
  <si>
    <t>Aucun</t>
  </si>
  <si>
    <t>12002-33002-0010-108-00016053-2022</t>
  </si>
  <si>
    <t>Compagnie Africaine d'Aviation / CAA</t>
  </si>
  <si>
    <t>Arthur J. Gallagher</t>
  </si>
  <si>
    <t>01-RCAP-2021-000076</t>
  </si>
  <si>
    <t>AMBASSADE DE BELGIQUE</t>
  </si>
  <si>
    <t>EMBASSY</t>
  </si>
  <si>
    <t>01-TRA-2022-000001</t>
  </si>
  <si>
    <t>01-RCAP-2021-000085</t>
  </si>
  <si>
    <t>MAFRICOM</t>
  </si>
  <si>
    <t>FOOD MANIFACTURERS</t>
  </si>
  <si>
    <t>Apphia</t>
  </si>
  <si>
    <t>01-CRG-2022-000005</t>
  </si>
  <si>
    <t>SACIM / Bolloré</t>
  </si>
  <si>
    <t>01-MCO-2022-000005</t>
  </si>
  <si>
    <t>ERG AFRICA / Metalkol SA</t>
  </si>
  <si>
    <t>Mining</t>
  </si>
  <si>
    <t>01-RCAP-2022-000003</t>
  </si>
  <si>
    <t>KAMOA COPPER SA</t>
  </si>
  <si>
    <t>PROROGATION</t>
  </si>
  <si>
    <t>1/01/042/00014/2021</t>
  </si>
  <si>
    <t>ALPHAMIN BISIE MINING SA</t>
  </si>
  <si>
    <t>EMERALD</t>
  </si>
  <si>
    <t>01-RCAP-2021-000013</t>
  </si>
  <si>
    <t>GSA</t>
  </si>
  <si>
    <t>101/01/052/00039/2022</t>
  </si>
  <si>
    <t>RESTAURANT BAR LODGE CHEZ MARC</t>
  </si>
  <si>
    <t>MASHAMBA FOODS / Bolloré</t>
  </si>
  <si>
    <t>Prime en cours de paiement par Bolloré</t>
  </si>
  <si>
    <t>01-CRG-2022-000007</t>
  </si>
  <si>
    <t>DEZIWA / Bolloré</t>
  </si>
  <si>
    <t>FEBRUARY</t>
  </si>
  <si>
    <t>12003-33002-0005-111-00000146-2022 / 72000037</t>
  </si>
  <si>
    <t>01-RVP-2022-000004</t>
  </si>
  <si>
    <t>SUN DISTRIBUTION CONGO</t>
  </si>
  <si>
    <t>PVT</t>
  </si>
  <si>
    <t>POLITICAL VIOLENCE</t>
  </si>
  <si>
    <t>01-MCO-2022-000007</t>
  </si>
  <si>
    <t>01-IMR-2022-000024</t>
  </si>
  <si>
    <t>000001-0004-020-0000724</t>
  </si>
  <si>
    <t>Mme Levo Nana</t>
  </si>
  <si>
    <t>INDIVIDUEL</t>
  </si>
  <si>
    <t>TRAVEL</t>
  </si>
  <si>
    <t>000001-0006-008-0000699</t>
  </si>
  <si>
    <t>Mr Patrick KAPINGA</t>
  </si>
  <si>
    <t>12003-33002-0005-111-00000138-2022 / 70100006</t>
  </si>
  <si>
    <t>12003-33002-0005-111-00000315-2022 / 70100007</t>
  </si>
  <si>
    <t>12001-33002-9001-003-1400001787-2022</t>
  </si>
  <si>
    <t>GROUPE VIVENDI AFRICA ( GVA)</t>
  </si>
  <si>
    <t>12003-33002-0005-111-00000316-2022 / 70100009</t>
  </si>
  <si>
    <t>01-IMR-2022-000030</t>
  </si>
  <si>
    <t>Audio Visuel</t>
  </si>
  <si>
    <t>12003-33002-0005-111-00000137-2022 / 301- 72000018</t>
  </si>
  <si>
    <t>MANDLA SERVICES / Bolloré</t>
  </si>
  <si>
    <t>12001-09001/3002/140 0000 349</t>
  </si>
  <si>
    <t xml:space="preserve">BGFI BANK </t>
  </si>
  <si>
    <t>000001-0017-003-0000056</t>
  </si>
  <si>
    <t>HELIOS INFRACO DRC SARL</t>
  </si>
  <si>
    <t>INFRASTRUCTURE</t>
  </si>
  <si>
    <t>En cours de traitement 2021 Groupe #14</t>
  </si>
  <si>
    <t>30516.39</t>
  </si>
  <si>
    <t>Ne figure pas dans la production 2022 d'Activa, besoin de la preuve de paiement</t>
  </si>
  <si>
    <t>12003-33002-0005-111-00000280-2022 / 72000020</t>
  </si>
  <si>
    <t>T-THREE DRILLING / Bolloré</t>
  </si>
  <si>
    <t>12003-33002-0005-111-00000072-2022 / 72000023</t>
  </si>
  <si>
    <t>PANACO / Bolloré</t>
  </si>
  <si>
    <t>12003-33002-0005-111-00000073-2022 / 72000024</t>
  </si>
  <si>
    <t>12003-33002-0005-111-00000074-2022 / 72000025</t>
  </si>
  <si>
    <t>12003-33002-0005-111-00000075-2022 / 72000026</t>
  </si>
  <si>
    <t>12003-33002-0005-111-00000076-2022 / 72000027</t>
  </si>
  <si>
    <t>12003-33002-0005-111-00000077-2022 / 72000028</t>
  </si>
  <si>
    <t>12003-33002-0005-111-00000078-2022 / 72000029</t>
  </si>
  <si>
    <t>12003-33002-0005-111-00000079-2022 / 72000030</t>
  </si>
  <si>
    <t>12003-33002-0005-111-00000080-2022 / 72000031</t>
  </si>
  <si>
    <t>12003-33002-0005-111-00000081-2022 / 72000032</t>
  </si>
  <si>
    <t>No</t>
  </si>
  <si>
    <t>301 - -36250</t>
  </si>
  <si>
    <t xml:space="preserve">Prime en cours de paiement </t>
  </si>
  <si>
    <t>12003-33002-0005-111-00000082-2022 / 72000033</t>
  </si>
  <si>
    <t>101/01/0700/00220/2022</t>
  </si>
  <si>
    <t>CATHERINE YAHUMA</t>
  </si>
  <si>
    <t>12001-33002-0014-111-00000408-2021</t>
  </si>
  <si>
    <t>1//029/001/2021</t>
  </si>
  <si>
    <t>TRC</t>
  </si>
  <si>
    <t>1/01/020/00008/2021</t>
  </si>
  <si>
    <t>Ne figure pas dans la production 2022 d'Activa, Ils ont besoin de la preuve de paiement.</t>
  </si>
  <si>
    <t>12001-33002-0001-104-0001845-2022</t>
  </si>
  <si>
    <t>CFAO RDC / Loxea RDC</t>
  </si>
  <si>
    <t>01-TRA-2022-000007</t>
  </si>
  <si>
    <t>Confiance DRC Sarl</t>
  </si>
  <si>
    <t>Transport</t>
  </si>
  <si>
    <t>O'NEILS</t>
  </si>
  <si>
    <t>PT011/AIB RDC/2022</t>
  </si>
  <si>
    <t>RESOLVE TO SAVE LIFES</t>
  </si>
  <si>
    <t>12003-33002-0003-112-00000039-2022 / 301 45000012</t>
  </si>
  <si>
    <t>30457.38</t>
  </si>
  <si>
    <t>12003-33002-0010-113-00000014-2022 / 60400002</t>
  </si>
  <si>
    <t>28308.82</t>
  </si>
  <si>
    <t>12003-33002-0006-122-00000020-2022 / 59000003</t>
  </si>
  <si>
    <t>19758.06</t>
  </si>
  <si>
    <t>01-RCG-2022-000014</t>
  </si>
  <si>
    <t>01-RCAP-2020-000107</t>
  </si>
  <si>
    <t>KAMOTO COPPER COMPANY</t>
  </si>
  <si>
    <t>12003-33002-0122-101-00000013-2022 / 12200001</t>
  </si>
  <si>
    <t>BRALIMA</t>
  </si>
  <si>
    <t>Brasserie</t>
  </si>
  <si>
    <t>01-PRP-CRG-2022-000028</t>
  </si>
  <si>
    <t>01-TRA-2022-000008</t>
  </si>
  <si>
    <t>1/01/040/00123/2021</t>
  </si>
  <si>
    <t>MAARTEN LOECKX</t>
  </si>
  <si>
    <t>FIRE/HOME</t>
  </si>
  <si>
    <t>33002-0006-112-0001158</t>
  </si>
  <si>
    <t>RESILIATION</t>
  </si>
  <si>
    <t>01-CRP-2021-000003</t>
  </si>
  <si>
    <t>Etablissement La Solution Plus/Dedoch</t>
  </si>
  <si>
    <t>1/01/040/00124/2021</t>
  </si>
  <si>
    <t>SHAMJI SHAMIM</t>
  </si>
  <si>
    <t>12003-33002-0005-111-00000148-2022 / 72000038</t>
  </si>
  <si>
    <t>Lycée Français Blaise Pascal / Bolloré</t>
  </si>
  <si>
    <t>12003-33002-0005-111-00000133-2022 / 72000035</t>
  </si>
  <si>
    <t>12001-090014/3002/3350000408</t>
  </si>
  <si>
    <t>12003-33002-0005-111-00000120-2022 / 70100010</t>
  </si>
  <si>
    <t>01-IMR-2022-000039</t>
  </si>
  <si>
    <t>Teichmann Group / T3 Projects</t>
  </si>
  <si>
    <t>12002-33002-0021-111-00017960-2023</t>
  </si>
  <si>
    <t>12003-33002-0005-111-00000188-2022 / 73200019</t>
  </si>
  <si>
    <t>MARCH</t>
  </si>
  <si>
    <t>12003-33002-0005-111-00000189-2022 / 70100011</t>
  </si>
  <si>
    <t>12003-33002-0005-111-00000144-2022 / 73200018</t>
  </si>
  <si>
    <t>01-CRG-2022-000019</t>
  </si>
  <si>
    <t>01-CRG-2022-000023</t>
  </si>
  <si>
    <t>12003-33002-0005-111-00000149-2022 / 72000039</t>
  </si>
  <si>
    <t>100001-0017-003-0000144</t>
  </si>
  <si>
    <t>Cilu Heidelberg</t>
  </si>
  <si>
    <t>101/01/040/00299/2022</t>
  </si>
  <si>
    <t>ETS KAMBALE LABORATOIRE PHATKIN</t>
  </si>
  <si>
    <t>01-MCO-2021-000001</t>
  </si>
  <si>
    <t>Sandvik Mining &amp; Construction Sarl</t>
  </si>
  <si>
    <t>000001-000001-0017-003-0000080</t>
  </si>
  <si>
    <t>VANSPAUWEN FRANK</t>
  </si>
  <si>
    <t>01-PRP-CRG-2022-000035</t>
  </si>
  <si>
    <t>00015984</t>
  </si>
  <si>
    <t>01-PRP-CRG-2022-000041</t>
  </si>
  <si>
    <t>01-RCAP-2022-000015</t>
  </si>
  <si>
    <t>BARAKA MINING / Bolloré</t>
  </si>
  <si>
    <t>01-RCAP-2022-000016</t>
  </si>
  <si>
    <t>01-RCAP-2021-000074</t>
  </si>
  <si>
    <t>Chemaf SA</t>
  </si>
  <si>
    <t>12003-33002-0005-111-00000145-2022 / 72000036</t>
  </si>
  <si>
    <t>01-TRA-2022-000009</t>
  </si>
  <si>
    <t>01-RCAP-2021-000044</t>
  </si>
  <si>
    <t>KANU EQUIPMENT</t>
  </si>
  <si>
    <t>12003-33002-0005-111-00000150-2022 / 72000040</t>
  </si>
  <si>
    <t>01-CRG-2022-000028</t>
  </si>
  <si>
    <t>Bolloré Transport &amp; Logistics / Bolloré</t>
  </si>
  <si>
    <t>01-CRG-2022-000030</t>
  </si>
  <si>
    <t>01-RCAP-2021-000040</t>
  </si>
  <si>
    <t>Glencore / Mutanda Mining</t>
  </si>
  <si>
    <t>000001-0006-008-O082745703</t>
  </si>
  <si>
    <t>RESSOURCES BUSINESS</t>
  </si>
  <si>
    <t>Restauration</t>
  </si>
  <si>
    <t>Ne figure pas dans la production 2022 d'Activa, ils ont besoin de la preuve de paiement</t>
  </si>
  <si>
    <t>01-CRG-2022-000032</t>
  </si>
  <si>
    <t>01-CRG-2022-000031</t>
  </si>
  <si>
    <t>01-CRG-2022-000034</t>
  </si>
  <si>
    <t>01-CRG-2022-000033</t>
  </si>
  <si>
    <t>01-TRC-2020-000015</t>
  </si>
  <si>
    <t>LUANO GRANDES PROPRIETES  S.A.R.L</t>
  </si>
  <si>
    <t>CONSTRUCTION</t>
  </si>
  <si>
    <t>EXTENDED</t>
  </si>
  <si>
    <t xml:space="preserve">Ne figure pas dans la production 2022 d'Activa, besoin de la preuve de paiement </t>
  </si>
  <si>
    <t>APRIL</t>
  </si>
  <si>
    <t>12001-09002/3002/200 0000801</t>
  </si>
  <si>
    <t>OPPORTUNITY INTERNATIONAL / Max Frédéric Woodley</t>
  </si>
  <si>
    <t>12001-33002-0014-111-00002005</t>
  </si>
  <si>
    <t>12001-33002-0007-121-00000737-2020</t>
  </si>
  <si>
    <t>NATIONAL DEMOCRATIC INSTITUTE / NDI</t>
  </si>
  <si>
    <t>33002-000001-017-003-0000032</t>
  </si>
  <si>
    <t>12005-33002-0015-13001-00000068-2022</t>
  </si>
  <si>
    <t>12005-33002-0015-13001-00000070-2022</t>
  </si>
  <si>
    <t>01-IMR-2022-000055</t>
  </si>
  <si>
    <t>CMA CGM</t>
  </si>
  <si>
    <t>01-RCG-2022-000020</t>
  </si>
  <si>
    <t>01-RCAP-2021-000028</t>
  </si>
  <si>
    <t>Thomas Masureel</t>
  </si>
  <si>
    <t>12003-33002-0005-111-00000171-2022 / 72000041</t>
  </si>
  <si>
    <t>00016991</t>
  </si>
  <si>
    <t>McGill</t>
  </si>
  <si>
    <t>33002-0001-101-0001271</t>
  </si>
  <si>
    <t>Activa Assurances</t>
  </si>
  <si>
    <t>INSURANCE</t>
  </si>
  <si>
    <t>12005-33002-0008-13001-00000534-2022</t>
  </si>
  <si>
    <t>Commision à collecter dans le bordereau de Mai</t>
  </si>
  <si>
    <t>12001-33002-0001-103-0001984-2022</t>
  </si>
  <si>
    <t>KATSHIOMPA NTUMBA TOUBERT</t>
  </si>
  <si>
    <t>NIRAJ</t>
  </si>
  <si>
    <t>PT006/AIB RDC/2022</t>
  </si>
  <si>
    <t>12001-33002-0014-00001993-2022</t>
  </si>
  <si>
    <t>12002-33002-0022-111-00016910-2022</t>
  </si>
  <si>
    <t>PT009/AIB RDC/2022</t>
  </si>
  <si>
    <t>13001/01/0700/00255/2022</t>
  </si>
  <si>
    <t>13001/01/0700/00256/2022</t>
  </si>
  <si>
    <t>NUTRI AFRICA</t>
  </si>
  <si>
    <t>12002-33002-0002-112-00016105-2022</t>
  </si>
  <si>
    <t>GYM &amp; TONIC</t>
  </si>
  <si>
    <t>SPORT</t>
  </si>
  <si>
    <t>12003-33002-0012-108-00000017-2022 / 75600003</t>
  </si>
  <si>
    <t>MALU AVIATION</t>
  </si>
  <si>
    <t>JWS</t>
  </si>
  <si>
    <t>12002-33002-0022-111-00015983-2022</t>
  </si>
  <si>
    <t>01-TRA-2021-000025</t>
  </si>
  <si>
    <t>Teichmann Group / Kongo River</t>
  </si>
  <si>
    <t>12002-33002-0002-112-00016115-2022</t>
  </si>
  <si>
    <t>00016175</t>
  </si>
  <si>
    <t>00016838</t>
  </si>
  <si>
    <t>INVEST CONGO / Bolloré</t>
  </si>
  <si>
    <t>12002-33002-0002-112-00016073-2022</t>
  </si>
  <si>
    <t>12001-33002-0001-103-00002051-2022</t>
  </si>
  <si>
    <t>00016130</t>
  </si>
  <si>
    <t>00016128</t>
  </si>
  <si>
    <t>00016129</t>
  </si>
  <si>
    <t>HOPITAL OASIS</t>
  </si>
  <si>
    <t>HOSPITAL</t>
  </si>
  <si>
    <t>12002-33002-0002-112-00016127-2022</t>
  </si>
  <si>
    <t>00016126</t>
  </si>
  <si>
    <t>00016125</t>
  </si>
  <si>
    <t>00016124</t>
  </si>
  <si>
    <t>00016123</t>
  </si>
  <si>
    <t>12001-33002-0014-111-0000408-2022</t>
  </si>
  <si>
    <t>12003-33002-0005-111-00000228-2022 / 70100012</t>
  </si>
  <si>
    <t>00016121</t>
  </si>
  <si>
    <t>01-TRA-2020-000059</t>
  </si>
  <si>
    <t>AFINBRO</t>
  </si>
  <si>
    <t>PT004/AIB RDC/2022</t>
  </si>
  <si>
    <t>33002-0017-003-0001417-00005</t>
  </si>
  <si>
    <t>MASHAMBA FOODS</t>
  </si>
  <si>
    <t>00016055</t>
  </si>
  <si>
    <t>00016054</t>
  </si>
  <si>
    <t>AFRI MOBILE MONEY</t>
  </si>
  <si>
    <t>33002-0009-112-0001419</t>
  </si>
  <si>
    <t>33002-0009-113-0001418</t>
  </si>
  <si>
    <t>AUGUST</t>
  </si>
  <si>
    <t>00016935</t>
  </si>
  <si>
    <t>00016201</t>
  </si>
  <si>
    <t>12002-33002-0002-112-00015974-2022</t>
  </si>
  <si>
    <t>AFRICA MEDIA Sarl</t>
  </si>
  <si>
    <t>MEDIA</t>
  </si>
  <si>
    <t>12002-33002-0002-112-00016051-2022</t>
  </si>
  <si>
    <t>12002-33002-0002-112-00016050-2022</t>
  </si>
  <si>
    <t>12002-33002-0002-112-00015975-2022</t>
  </si>
  <si>
    <t>12002-33002-0002-112-00016052-2022</t>
  </si>
  <si>
    <t>00016166</t>
  </si>
  <si>
    <t>01-TRA-2020-000056</t>
  </si>
  <si>
    <t>RUBAMIN</t>
  </si>
  <si>
    <t>01-TRA-2020-000055</t>
  </si>
  <si>
    <t>RUBACO</t>
  </si>
  <si>
    <t>12002-33002-0002-112-00016100-2022</t>
  </si>
  <si>
    <t>Glencore DRC</t>
  </si>
  <si>
    <t>12002-33002-0002-112-00016091-2022</t>
  </si>
  <si>
    <t xml:space="preserve">Vérification auprès de Mr. Money pour confirmation du paiement </t>
  </si>
  <si>
    <t>12001-33002-0014-111-00002107-20022</t>
  </si>
  <si>
    <t>12001-33001-0014-111-00002108-2022</t>
  </si>
  <si>
    <t>12001-33001-0014-111-00002106-2022</t>
  </si>
  <si>
    <t>Ivanhoe Mines Energy DRC Sarl</t>
  </si>
  <si>
    <t>12003-33002-0001-103-00000559-2022 / 30000007</t>
  </si>
  <si>
    <t>TITAN DRILLING CONGO SAS / Bolloré</t>
  </si>
  <si>
    <t>12003-33002-0001-103-00000696-2022 / 30000008</t>
  </si>
  <si>
    <t>12003-33002-0003-112-00000111-2022 / 45000009</t>
  </si>
  <si>
    <t>PROPERTY DAMAGE &amp; BI</t>
  </si>
  <si>
    <t>EMERALD AFRICA</t>
  </si>
  <si>
    <t>00017416</t>
  </si>
  <si>
    <t>AIG</t>
  </si>
  <si>
    <t>00016433</t>
  </si>
  <si>
    <t>12002-33002-0006-114-16195-2022</t>
  </si>
  <si>
    <t>12003-33002-0005-111-00000352-2022 / 73200016</t>
  </si>
  <si>
    <t>EXCELLEN MINERALS / Bolloré</t>
  </si>
  <si>
    <t>12003-33002-0005-111-00000351-2022 / 73200017</t>
  </si>
  <si>
    <t>LUILU RESSOURCES / Bolloré</t>
  </si>
  <si>
    <t>12003-33002-0012-108-00000012-2022 / 75600002</t>
  </si>
  <si>
    <t>RAWBANK SA</t>
  </si>
  <si>
    <t>BANKING</t>
  </si>
  <si>
    <t>01-IMR-2021-000190</t>
  </si>
  <si>
    <t>01-IMR-2021-000191</t>
  </si>
  <si>
    <t>01-IMR-2021-000192</t>
  </si>
  <si>
    <t>01-IMR-2021-000234</t>
  </si>
  <si>
    <t>01-RCAP-2021-000086</t>
  </si>
  <si>
    <t>01-RVP-2021-000023</t>
  </si>
  <si>
    <t>12003-33002-0005-111-00000176-2022 / 72000042</t>
  </si>
  <si>
    <t>12003-33002-0005-111-00000253-2022 / 72000043</t>
  </si>
  <si>
    <t>12005-33002-0010-13002-00001063-2022</t>
  </si>
  <si>
    <t>Ivanhoe Mines Exploration DRC Sarl</t>
  </si>
  <si>
    <t>33002-0009-112-0001511</t>
  </si>
  <si>
    <t>Shalina Healthcare Sarl</t>
  </si>
  <si>
    <t>12001-33002-0006-112-000002091-2022</t>
  </si>
  <si>
    <t>All Terrain DRC Service ( ATS)</t>
  </si>
  <si>
    <t>12001-33002-0005-113-000002092-2022</t>
  </si>
  <si>
    <t>12002-33002-0004-103-00016095-2022</t>
  </si>
  <si>
    <t>12002-33002-0004-103-00016080-2022</t>
  </si>
  <si>
    <t>MAY</t>
  </si>
  <si>
    <t>33002-0004-119-0001409</t>
  </si>
  <si>
    <t>INDIVIDUAL</t>
  </si>
  <si>
    <t>12002-33002-0002-112-00016001-2022</t>
  </si>
  <si>
    <t>Thomas stevens</t>
  </si>
  <si>
    <t>12001-33002-007-121-00001496-2021</t>
  </si>
  <si>
    <t>ELISABETH GLASER PEDIATRIC AIDS FOUNDATION ( EGPAF)</t>
  </si>
  <si>
    <t>12001-33002-005-113-00001562-2021</t>
  </si>
  <si>
    <t>12002-33002-0004-104-00016200-2022</t>
  </si>
  <si>
    <t>12002-33002-0004-104-00016188-2022</t>
  </si>
  <si>
    <t>12002-33002-0004-104-00016133-2022</t>
  </si>
  <si>
    <t>Group Optorg / Tractafric Equipment (Kolwezi)</t>
  </si>
  <si>
    <t>12003-33002-0010-113-00000055-2022 / 60100001</t>
  </si>
  <si>
    <t>CFAO RDC / CFAO Motors, Loxea &amp; CFAO Technologies</t>
  </si>
  <si>
    <t>00016565</t>
  </si>
  <si>
    <t>UAP OLD MUTUAL</t>
  </si>
  <si>
    <t>Gras Savoye Kenya</t>
  </si>
  <si>
    <t>PT005/AIB RDC/2022</t>
  </si>
  <si>
    <t>12005-33002-0008-13001-00001525-2022</t>
  </si>
  <si>
    <t>Liquid Telecom DRC</t>
  </si>
  <si>
    <t>Communication</t>
  </si>
  <si>
    <t>Le client ne fait que promettre le paiement jusque-là</t>
  </si>
  <si>
    <t>12005-33002-0009-13001-00001536-2022</t>
  </si>
  <si>
    <t>12003-33002-0001-103-00000927-2022 / 30000011</t>
  </si>
  <si>
    <t>01-TRC-2020-000013</t>
  </si>
  <si>
    <t>33002-0004-119-0001539</t>
  </si>
  <si>
    <t>Mr ANGOUA Willy</t>
  </si>
  <si>
    <t>12001-33002-0001-104-0001845-2023</t>
  </si>
  <si>
    <t>2002-33002-0002-112-00016145-2022</t>
  </si>
  <si>
    <t>KAMPI YA BOMA</t>
  </si>
  <si>
    <t>01-TRA-2020-000031</t>
  </si>
  <si>
    <t>INDUSTRIAL SERVICES</t>
  </si>
  <si>
    <t>12001-33002-0014-111-00002213-2022</t>
  </si>
  <si>
    <t>12002-33002-0002-112-00016220-2022</t>
  </si>
  <si>
    <t>DRINK STORE</t>
  </si>
  <si>
    <t>12002-33002-0022-111-00016137-2022</t>
  </si>
  <si>
    <t>12002-33002-0022-111-00016138-2022</t>
  </si>
  <si>
    <t>12002-33002-0022-111-00016139-2022</t>
  </si>
  <si>
    <t>12003-33002-0005-111-00000281-2022 / 73200020</t>
  </si>
  <si>
    <t>12003-33002-0005-111-00000347-2022 / 73200021</t>
  </si>
  <si>
    <t>WUHUANG CONSTRUCTION ET COMMERCE RDC SAS ( WHCC) / Bolloré</t>
  </si>
  <si>
    <t>12003-33002-0005-111-00000358-2022 / 72000044</t>
  </si>
  <si>
    <t>MAKALA COAL COMPANY / Bolloré</t>
  </si>
  <si>
    <t>12002-33002-0002-112-00016194-2022</t>
  </si>
  <si>
    <t>ALLIED INSURANCE BROKERS ( AIB) RDC SA</t>
  </si>
  <si>
    <t>Syntyche</t>
  </si>
  <si>
    <t>1/01/070/00048/2020</t>
  </si>
  <si>
    <t>FABRI METAL CONGO SARL ( FAMECO)</t>
  </si>
  <si>
    <t>MANUFACTURE</t>
  </si>
  <si>
    <t>12005-33002-0010-13001-00001333-2022</t>
  </si>
  <si>
    <t>GARDAWORLD DRC SARL</t>
  </si>
  <si>
    <t>12005-33002-0014-13001-00000271-2022</t>
  </si>
  <si>
    <t>CONGO ŒUFS SARL</t>
  </si>
  <si>
    <t>Paiement échelonné</t>
  </si>
  <si>
    <t>12005-33002-0008-13001-00000270-2022</t>
  </si>
  <si>
    <t>12005-33002-0009-13001-00000269-2022</t>
  </si>
  <si>
    <t>12002-33002-0022-111-00016203-2022</t>
  </si>
  <si>
    <t>12002-33002-0022-111-00016202-2022</t>
  </si>
  <si>
    <t>12002-33002-0002-112-00016216-2022</t>
  </si>
  <si>
    <t>NDAKO YA BANA</t>
  </si>
  <si>
    <t>ONG</t>
  </si>
  <si>
    <t>00016140</t>
  </si>
  <si>
    <t>12001-09007/3002/3300000493</t>
  </si>
  <si>
    <t>TERMINAL CONTAINER KINSHASA (TCK)</t>
  </si>
  <si>
    <t>Ok, présentement mise en paiement dans l'état de janvier 2023.</t>
  </si>
  <si>
    <t>12005-33002-0014-13001-00001504-2022</t>
  </si>
  <si>
    <t>DRUGS FOR NEGLECTED DISEASES INITIATIVE (DNDI) KINSHASA</t>
  </si>
  <si>
    <t>12005-33002-0007-13001-00001732-2022</t>
  </si>
  <si>
    <t>AFRICOS SARL</t>
  </si>
  <si>
    <t>12005-33002-0008-13001-00001582-2022</t>
  </si>
  <si>
    <t>LAXMAN CONGO SARL, GLOBAL TRADING CONGO SARL, BRAVIO COMERICO GERAL LDA</t>
  </si>
  <si>
    <t>01-AVI-2021-000011</t>
  </si>
  <si>
    <t>Boss Mining</t>
  </si>
  <si>
    <t>Ivanhoe Mines DRC (Kipushi Corporation - Ivanhoe Mines Energy DRS Sarl - Ivanhoe Mines Exploration Sarl)</t>
  </si>
  <si>
    <t>12003-33002-0003-112-00000117-2022 / 45000007 / 45000004 / 45000005</t>
  </si>
  <si>
    <t>12002-33002-0007-101-00016328-2022</t>
  </si>
  <si>
    <t>12001-33002-0007-121-00002149-2022</t>
  </si>
  <si>
    <t>CFAO RDC / CFAO Motors</t>
  </si>
  <si>
    <t>12001-33002-0007-121-00002148-2022</t>
  </si>
  <si>
    <t>CFAO RDC / CFAO Technologie</t>
  </si>
  <si>
    <t>Technologie</t>
  </si>
  <si>
    <t>12001-33002-0007-121-00002147-2022</t>
  </si>
  <si>
    <t>JUNE</t>
  </si>
  <si>
    <t>GIB INSURANCE BROKERS</t>
  </si>
  <si>
    <t>12002-33002-0022-111-00016342-2022</t>
  </si>
  <si>
    <t>00016452</t>
  </si>
  <si>
    <t>1449SCHRDC</t>
  </si>
  <si>
    <t>JESSICA DESUZA</t>
  </si>
  <si>
    <t>12003-33002-0001-103-00001062-2022 / 30000014 301</t>
  </si>
  <si>
    <t>Kai Peng Mining Sarl (KPM)</t>
  </si>
  <si>
    <t>Nyota</t>
  </si>
  <si>
    <t>12005-33002-0007-13001-00002326-2022</t>
  </si>
  <si>
    <t>12001-33002-0014-111-00002279-2022</t>
  </si>
  <si>
    <t>CanoKin Sarl</t>
  </si>
  <si>
    <t>Imprimerie</t>
  </si>
  <si>
    <t>En attente du paiement de la prime</t>
  </si>
  <si>
    <t>12005-33002-0001-13001-00001478-2022</t>
  </si>
  <si>
    <t>ASRAMES</t>
  </si>
  <si>
    <t>33002-0017-003-0000037 / 009</t>
  </si>
  <si>
    <t>12003-33002-0003-112-00000116-2022 / 45000008</t>
  </si>
  <si>
    <t>12003-33002-0003-112-00000039-2022 / 301  45000012</t>
  </si>
  <si>
    <t>01-RCAP-2021-000164</t>
  </si>
  <si>
    <t>TRANSFORMATION</t>
  </si>
  <si>
    <t>12001-33002-0001-103-00002313-2022</t>
  </si>
  <si>
    <t>33002-0004-119-0001956/0001</t>
  </si>
  <si>
    <t>SANTA CLARA MACEDO FERNANDES</t>
  </si>
  <si>
    <t>12002-33002-0022-111-00016370-2022</t>
  </si>
  <si>
    <t>12003-33002-0005-111-00000477-2022 / 72000045</t>
  </si>
  <si>
    <t>12002-33002-0022-111-00016311-2022</t>
  </si>
  <si>
    <t>TAF LINK SARL / Bolloré</t>
  </si>
  <si>
    <t>33002-0001-101-0002017 / 0001</t>
  </si>
  <si>
    <t>Prince LENGE YANKONDE KAKUBO</t>
  </si>
  <si>
    <t>Person</t>
  </si>
  <si>
    <t>01-TRA-2020-000026</t>
  </si>
  <si>
    <t>International Facilities Services DRC ( IFS)</t>
  </si>
  <si>
    <t>00016277</t>
  </si>
  <si>
    <t>TEICHMANN STRUCTURE DRC LTD / Bolloré</t>
  </si>
  <si>
    <t>00016278</t>
  </si>
  <si>
    <t>GREAT LAKES CEMENT (GLC) / Bolloré</t>
  </si>
  <si>
    <t>00016312</t>
  </si>
  <si>
    <t>00016331</t>
  </si>
  <si>
    <t>00016295</t>
  </si>
  <si>
    <t>00016296</t>
  </si>
  <si>
    <t>00016297</t>
  </si>
  <si>
    <t>00016298</t>
  </si>
  <si>
    <t>00016299</t>
  </si>
  <si>
    <t>00016300</t>
  </si>
  <si>
    <t>00016301</t>
  </si>
  <si>
    <t>00016303</t>
  </si>
  <si>
    <t>12005-33002-0010-13002-00002539-2022</t>
  </si>
  <si>
    <t>GOLDEN AFRICAN RESOURCES SARL</t>
  </si>
  <si>
    <t>12005-33002-0008-13001-00002588-2022</t>
  </si>
  <si>
    <t>301-219000001</t>
  </si>
  <si>
    <t>RAWSUR LIFE</t>
  </si>
  <si>
    <t>12002-33002-0022-111-00016470-2022</t>
  </si>
  <si>
    <t>12003-33002-0001-103-00001454-2022 / 30000005</t>
  </si>
  <si>
    <t>LEREXCOM</t>
  </si>
  <si>
    <t>12002-33002-0022-111-00016499-2022</t>
  </si>
  <si>
    <t>12005-33002-0010-13001-00002502-2022</t>
  </si>
  <si>
    <t>VAN ERPS ANTHONY</t>
  </si>
  <si>
    <t>12005-33002-0011-13001-00002927-2022</t>
  </si>
  <si>
    <t>CENTRE MEDICAL DIAMANT</t>
  </si>
  <si>
    <t>12002-33002-0004-104-00016497-2022</t>
  </si>
  <si>
    <t>12002-33002-0010-108-00016573-2022</t>
  </si>
  <si>
    <t>RULVIS CONGO</t>
  </si>
  <si>
    <t>12002-33002-0022-111-00016500-2022</t>
  </si>
  <si>
    <t>33002-0004-119-0002114</t>
  </si>
  <si>
    <t>Eric Kabitshwa</t>
  </si>
  <si>
    <t>12002-33002-0002-112-00016574-2022</t>
  </si>
  <si>
    <t>33002-0009-113-0002169</t>
  </si>
  <si>
    <t>12001-33002-0014-111-00002335-2022</t>
  </si>
  <si>
    <t>Metalco Sarl</t>
  </si>
  <si>
    <t>33002-0006-112-0002214</t>
  </si>
  <si>
    <t>IPC RDC</t>
  </si>
  <si>
    <t>12002-33002-0004-103-00016551-2022</t>
  </si>
  <si>
    <t>Mr Luc Blom</t>
  </si>
  <si>
    <t>12002-33002-0004-104-104-00016504-2022</t>
  </si>
  <si>
    <t>Teichmann Group / T3 Drilling</t>
  </si>
  <si>
    <t>JULY</t>
  </si>
  <si>
    <t>12002-33002-0010-108-00016563-2022</t>
  </si>
  <si>
    <t>TRANS AIR CARGO</t>
  </si>
  <si>
    <t>12003-33002-0005-111-00000512-2022 / 70100013</t>
  </si>
  <si>
    <t>12003-33002-0010-113-00000062-2022 / 301-60100009</t>
  </si>
  <si>
    <t>MILLER</t>
  </si>
  <si>
    <t>12003-33002-0010-113-00000063-2022 / 301-60100010</t>
  </si>
  <si>
    <t>12003-33002-0010-113-00000070-2022 / 301-60100011</t>
  </si>
  <si>
    <t>REFUELING LIABILITY</t>
  </si>
  <si>
    <t>33002-0006-112-0000284</t>
  </si>
  <si>
    <t>BGFI BANK</t>
  </si>
  <si>
    <t>12003-33002-0003-112-00000156-2022 / 45000006</t>
  </si>
  <si>
    <t>AON</t>
  </si>
  <si>
    <t>OCTOBER</t>
  </si>
  <si>
    <t>12001-33002-0007-121-00002445-2022</t>
  </si>
  <si>
    <t>MSA Labs</t>
  </si>
  <si>
    <t>00016891</t>
  </si>
  <si>
    <t>12002-33002-0022-111-00016675-2022</t>
  </si>
  <si>
    <t>12002-33002-0022-111-00016622-2022</t>
  </si>
  <si>
    <t>12002-33002-0022-111-00016621-2022</t>
  </si>
  <si>
    <t>12002-33002-0022-111-00016676-2022</t>
  </si>
  <si>
    <t>12002-33002-0022-111-00016620-2022</t>
  </si>
  <si>
    <t>12002-33002-0022-111-00016702-2022</t>
  </si>
  <si>
    <t>12002-33002-0004-103-00016609-2022</t>
  </si>
  <si>
    <t>DOMINIQUE OPPERS</t>
  </si>
  <si>
    <t>12002-33002-0022-111-00016669-2022</t>
  </si>
  <si>
    <t>AVZ Dathcom Mining</t>
  </si>
  <si>
    <t>00016426</t>
  </si>
  <si>
    <t>BELGIAN CONSUL</t>
  </si>
  <si>
    <t>Embassy</t>
  </si>
  <si>
    <t>00016505</t>
  </si>
  <si>
    <t>Annie KABANGA BADIBANGA</t>
  </si>
  <si>
    <t>33002-0004-119-0001858/0001</t>
  </si>
  <si>
    <t>Bonface BIDILUKINU</t>
  </si>
  <si>
    <t>33002-0004-119-0001859/0001</t>
  </si>
  <si>
    <t>Francis Hervé DJEMP</t>
  </si>
  <si>
    <t>12002-33002-0024-113-00016741-2022</t>
  </si>
  <si>
    <t>12005-33002-002-13001-00003108-2022</t>
  </si>
  <si>
    <t>Jewels international school</t>
  </si>
  <si>
    <t>SCHOOL</t>
  </si>
  <si>
    <t>Sabrina</t>
  </si>
  <si>
    <t>12005-33002-002-13001-00003109-2022</t>
  </si>
  <si>
    <t>12005-33002-002-13001-00003110-2022</t>
  </si>
  <si>
    <t>12005-33002-0003-13001-00003115-2022</t>
  </si>
  <si>
    <t>12002-33002-0001-114-00016681-2022</t>
  </si>
  <si>
    <t>301 - 72000052</t>
  </si>
  <si>
    <t>12002-33002-0022-111-00016680-2022</t>
  </si>
  <si>
    <t>12002-33002-0022-111-00016679-2022</t>
  </si>
  <si>
    <t>00016890</t>
  </si>
  <si>
    <t>PR002686</t>
  </si>
  <si>
    <t>PR002536</t>
  </si>
  <si>
    <t>12002-33002-0024-113-00017340-2022</t>
  </si>
  <si>
    <t>MICHEE</t>
  </si>
  <si>
    <t>Paiement échelonné de la prime</t>
  </si>
  <si>
    <t>12001-33002-0007-112-00000335-2020</t>
  </si>
  <si>
    <t>FONDEG Catering  SA (SERVAIR)</t>
  </si>
  <si>
    <t>1293000966X</t>
  </si>
  <si>
    <t>SONAS</t>
  </si>
  <si>
    <t>SONAS / Agence Socimat</t>
  </si>
  <si>
    <t>33002-0012-111-0002449/0001</t>
  </si>
  <si>
    <t>OM METAL RESSOURCES</t>
  </si>
  <si>
    <t>12005-33002-0012-13001-00003094-2022</t>
  </si>
  <si>
    <t>RESTAURANT</t>
  </si>
  <si>
    <t>12005-0022-13001-00003090-2022</t>
  </si>
  <si>
    <t>PANAFRIQUE MOTORS</t>
  </si>
  <si>
    <t>12005-0022-13001-00003089-2022</t>
  </si>
  <si>
    <t>ZAHIRA SARL</t>
  </si>
  <si>
    <t>301/60500002</t>
  </si>
  <si>
    <t>SOCIETE FINANCIERE D'ASSURANCE ( SFA)</t>
  </si>
  <si>
    <t>LUANO GRANDES PROPRIETES  S.A.R.L/ Offices</t>
  </si>
  <si>
    <t>LUANO GRANDES PROPRIETES  S.A.R.L/ Résidences</t>
  </si>
  <si>
    <t>01-TRA-2021-000045</t>
  </si>
  <si>
    <t>FRASER ALEXANDER</t>
  </si>
  <si>
    <t>g</t>
  </si>
  <si>
    <t>12002-33002-0004-104-00016907-2022</t>
  </si>
  <si>
    <t>12001-33002-0012-114-00001374-2021</t>
  </si>
  <si>
    <t>12005-12003-0022-13001-00003068-2022</t>
  </si>
  <si>
    <t>SOCOMETAL</t>
  </si>
  <si>
    <t>33002-0001-101-0000380/0002</t>
  </si>
  <si>
    <t>33002-0009-113-0000378/0002</t>
  </si>
  <si>
    <t>12001-33002-0001-103-00002500-2022</t>
  </si>
  <si>
    <t>11001-33002-0001-207-00000029-2022 / 306-219000006</t>
  </si>
  <si>
    <t>BRITISH AMERICAN TOBACCO / BAT SERVICES CONGO</t>
  </si>
  <si>
    <t>AEB</t>
  </si>
  <si>
    <t>MERCER</t>
  </si>
  <si>
    <t>Frais Bancaires certainement.</t>
  </si>
  <si>
    <t>101-10100010</t>
  </si>
  <si>
    <t>C'est AEB qui doit payer AIB</t>
  </si>
  <si>
    <t>12002-33002-0007-101-00016686-2022 / 01-ACI-2021-000013</t>
  </si>
  <si>
    <t>PT010/AIB RDC/2022</t>
  </si>
  <si>
    <t>12002-33002-0002-112-00016670-2022</t>
  </si>
  <si>
    <t>12002-33002-0002-112-00016668-2022</t>
  </si>
  <si>
    <t>12002-33002-0024-113-00016701-2022</t>
  </si>
  <si>
    <t>FIDELITY GUARANTEE</t>
  </si>
  <si>
    <t>12005-33002-000-13001-00003012-2022 / 101/01/0700/00203/2021</t>
  </si>
  <si>
    <t>KIBANGUDI NTANDA</t>
  </si>
  <si>
    <t>12002-33002-0010-108-00016683-2022</t>
  </si>
  <si>
    <t>Ste Immo Della</t>
  </si>
  <si>
    <t>AIRCRAFT RISK COMPANY</t>
  </si>
  <si>
    <t>12003-33002-0010-113-00000071-2022 / 301-60100005</t>
  </si>
  <si>
    <t>12001-33002-0005-113-00000655-2020</t>
  </si>
  <si>
    <t>Wildlife Conservation Society</t>
  </si>
  <si>
    <t>CHUBB</t>
  </si>
  <si>
    <t>Selon Activa, il n'y a pas de commission suivant les instructions du réassureur.</t>
  </si>
  <si>
    <t>12002-33002-0022-111-00016614-2022</t>
  </si>
  <si>
    <t>12005-33002-0012-13001-00003144-2022</t>
  </si>
  <si>
    <t>ETS VELOCITY (THE SEVEN ELEVEN)</t>
  </si>
  <si>
    <t>12005-33002-0022-13001-00003145-2022</t>
  </si>
  <si>
    <t>12001-33002-0009-103-00002535-2022</t>
  </si>
  <si>
    <t>33002-0004-119-0002244 / 0001</t>
  </si>
  <si>
    <t>301-51000009</t>
  </si>
  <si>
    <t>PRICE FORBES</t>
  </si>
  <si>
    <t>12002-33002-0006-114-00016904-2022</t>
  </si>
  <si>
    <t>33002-0012-111-0002652</t>
  </si>
  <si>
    <t>12001-33002-0001-103-00002691</t>
  </si>
  <si>
    <t>Paragon DRC</t>
  </si>
  <si>
    <t>00017003</t>
  </si>
  <si>
    <t>Group Forrest International SAS</t>
  </si>
  <si>
    <t>12002-33002-0002-112-00016903</t>
  </si>
  <si>
    <t>SEPTEMBER</t>
  </si>
  <si>
    <t>00016944</t>
  </si>
  <si>
    <t>PT012/AIB RDC/2022</t>
  </si>
  <si>
    <t>00017023</t>
  </si>
  <si>
    <t>Shoprite</t>
  </si>
  <si>
    <t>00016905</t>
  </si>
  <si>
    <t>301/12200003, 301/12200002, 301/12200004</t>
  </si>
  <si>
    <t>HARBOUR INSURANCE PTE Ltd</t>
  </si>
  <si>
    <t>301/120003, 301/1220002, 301/1220004</t>
  </si>
  <si>
    <t>301/1220003, 301/1220002, 301/1220004, 12200005</t>
  </si>
  <si>
    <t>Watu Wetu SAS</t>
  </si>
  <si>
    <t>12002-13001-0022-111-00016208-2022</t>
  </si>
  <si>
    <t>12005-33002-0022-13001-00003278-2022</t>
  </si>
  <si>
    <t>00016987</t>
  </si>
  <si>
    <t>RIDER LEVETT BUCKNALL (RLB)</t>
  </si>
  <si>
    <t>12005--13001-00003229</t>
  </si>
  <si>
    <t>12002-33002-0002-112-00017353-2022</t>
  </si>
  <si>
    <t>12002-33002-0023-113-00017331-2022</t>
  </si>
  <si>
    <t>12002-33002-0023-113-00017352-2022</t>
  </si>
  <si>
    <t>12002-33002-0002-112-00016893-2022</t>
  </si>
  <si>
    <t>12002-33002-0002-112-00016892-2022</t>
  </si>
  <si>
    <t>Mme CONTI</t>
  </si>
  <si>
    <t>12002-33002-0022-111-00016837-2022</t>
  </si>
  <si>
    <t>ACTIVA - LIFE</t>
  </si>
  <si>
    <t>11001-33002-0001-207-00000030-2022 / 301-219000007</t>
  </si>
  <si>
    <t>MAERSK CONGO RDC SA</t>
  </si>
  <si>
    <t>12005-33002-0011-13001-00003333-2022</t>
  </si>
  <si>
    <t>AFRICAN TRADEX FZC-SHARJAH</t>
  </si>
  <si>
    <t>BELTEXCO</t>
  </si>
  <si>
    <t>301/42000014</t>
  </si>
  <si>
    <t>MARSAVCO</t>
  </si>
  <si>
    <t>50100001 - 301</t>
  </si>
  <si>
    <t>KATANGA CONTRACTING SERVICES SAS</t>
  </si>
  <si>
    <t>Compte venu via Rawsur</t>
  </si>
  <si>
    <t>ORANGE COMPUTERS</t>
  </si>
  <si>
    <t>COBIL Aviation SA</t>
  </si>
  <si>
    <t>00016865</t>
  </si>
  <si>
    <t>TENKE FUNGURUME MINING SA</t>
  </si>
  <si>
    <t>01/01/040/00100/2020</t>
  </si>
  <si>
    <t>MEDECINS ITURI</t>
  </si>
  <si>
    <t>12002-33002-0024-113-00017113-2022</t>
  </si>
  <si>
    <t>301 - 72000065</t>
  </si>
  <si>
    <t>301 - 72000064</t>
  </si>
  <si>
    <t>12002-33002-0004-103-00017002-2022</t>
  </si>
  <si>
    <t>KIN BETON</t>
  </si>
  <si>
    <t>301 - 70100002</t>
  </si>
  <si>
    <t>12002-33002-0022-111-00017034-2022</t>
  </si>
  <si>
    <t>GLOBAL LABORATORIES / Bolloré</t>
  </si>
  <si>
    <t>301 - 72000067</t>
  </si>
  <si>
    <t>301 - 72000068</t>
  </si>
  <si>
    <t>301 - 72000066</t>
  </si>
  <si>
    <t>12002-33002-0022-111-00017098-2022</t>
  </si>
  <si>
    <t>12002-33002-0022-111-00017097-2022</t>
  </si>
  <si>
    <t>12002-33002-0022-111-00017096-2022</t>
  </si>
  <si>
    <t>12002-33002-0022-111-00017095-2022</t>
  </si>
  <si>
    <t>12002-33002-0024-113-00017152-2022</t>
  </si>
  <si>
    <t>12002-33002-0002-112-00017159-2022</t>
  </si>
  <si>
    <t>12002-33002-0006-114-00017389-2022</t>
  </si>
  <si>
    <t>12002-33002-0022-111-00017436-2022</t>
  </si>
  <si>
    <t>Nous allons réclamer la com en janvier</t>
  </si>
  <si>
    <t>301 - 72000063</t>
  </si>
  <si>
    <t>LONSHI ( SABWE MINING SARL) / Bolloré</t>
  </si>
  <si>
    <t>12002-33002-0022-111-00017178-2022</t>
  </si>
  <si>
    <t>12002-33002-0022-111-00017437-2022</t>
  </si>
  <si>
    <t>TBA</t>
  </si>
  <si>
    <t>PR003273</t>
  </si>
  <si>
    <t>WCC  DRC/ Bolloré</t>
  </si>
  <si>
    <t>12002-33002-0022-111-00017035-2022</t>
  </si>
  <si>
    <t>12002-33002-0022-111-00017036-2022</t>
  </si>
  <si>
    <t>12002-33002-0022-111-00017078-2022</t>
  </si>
  <si>
    <t>12002-33002-0022-111-00017140-2022</t>
  </si>
  <si>
    <t>12002-33002-0022-111-00017184-2022</t>
  </si>
  <si>
    <t>12005-33002-0001-13001-00003575-2022</t>
  </si>
  <si>
    <t>12005-33002-0001-13001-00003576-2022</t>
  </si>
  <si>
    <t>NOVEMBER</t>
  </si>
  <si>
    <t>12005-33002-0011-13002-00003631-2022</t>
  </si>
  <si>
    <t>12005-33002-0003-13001-00003622-2022</t>
  </si>
  <si>
    <t>DEBRUYNE</t>
  </si>
  <si>
    <t>33002-0009-113-0003954 / 0001</t>
  </si>
  <si>
    <t>PARAGON TAILINGS DRC Sarl</t>
  </si>
  <si>
    <t>Mont Blanc</t>
  </si>
  <si>
    <t>PT016/AIB RDC/2022</t>
  </si>
  <si>
    <t>33002-0009-113-0003955 / 0001</t>
  </si>
  <si>
    <t>33002-0009-113-0003410 / 0001</t>
  </si>
  <si>
    <t>PT014/AIB RDC/2022</t>
  </si>
  <si>
    <t>301/60500001</t>
  </si>
  <si>
    <t>33002-0009-113-0003292/0001</t>
  </si>
  <si>
    <t>33002-0017-104-0003390 / 0001</t>
  </si>
  <si>
    <t>12005-0001-13002-00003134-2022</t>
  </si>
  <si>
    <t>FORGOTTEN PARKS FOUNDATION ( FPF)</t>
  </si>
  <si>
    <t>OrcleMed</t>
  </si>
  <si>
    <t>306-219000005</t>
  </si>
  <si>
    <t>PATH</t>
  </si>
  <si>
    <t>AEB n'avait pas prévu de com. Rawsur ne peut donc rien payer</t>
  </si>
  <si>
    <t>101-10200013</t>
  </si>
  <si>
    <t>ND0021/AIB RDC/2023</t>
  </si>
  <si>
    <t>A OLEA de nous en donner une suite car Rawsur ne nous fourni pas assez d'infos.
Besoin de savoir le status de paiement. Combien des tranches le client a-t-il déjà versé et combien il en reste?</t>
  </si>
  <si>
    <t>33002-0004-119-0002995 / 0001</t>
  </si>
  <si>
    <t>ERIC NONGA NDAY MALUNDA</t>
  </si>
  <si>
    <t>301-14400001</t>
  </si>
  <si>
    <t>KORENE DANIEL HAY</t>
  </si>
  <si>
    <t>12001-33002-008-10200002900-2022</t>
  </si>
  <si>
    <t>HAVAS</t>
  </si>
  <si>
    <t>42000013 - 301</t>
  </si>
  <si>
    <t>LIEDEKERKE</t>
  </si>
  <si>
    <t>CABINET D'AVOCAT</t>
  </si>
  <si>
    <t>33002-0017-103-0003076 / 0001</t>
  </si>
  <si>
    <t>LOLEKA BONGIMA THEODORE</t>
  </si>
  <si>
    <t xml:space="preserve">Person </t>
  </si>
  <si>
    <t>00017138</t>
  </si>
  <si>
    <t>EMPLOYER'S LIABILITY</t>
  </si>
  <si>
    <t>PT015/AIB RDC/2022</t>
  </si>
  <si>
    <t>Serge</t>
  </si>
  <si>
    <t>12003-33002-0004-114-00000041-2022 / 51000005</t>
  </si>
  <si>
    <t>OMI &amp; CONSORT</t>
  </si>
  <si>
    <t>$</t>
  </si>
  <si>
    <t>Ne figure pas dans la production 2022 d'Active, Ils ont besoin de la preuve de paiement.</t>
  </si>
  <si>
    <t>33002-0006-112-0000700 / 0002</t>
  </si>
  <si>
    <t>Mashamba Farm Enterprise DRC SA</t>
  </si>
  <si>
    <t>ND0005/AIB RDC/2022</t>
  </si>
  <si>
    <t>33002-0006-112-0000699 / 0002</t>
  </si>
  <si>
    <t>Mashamba Mill Enterprise DRC SA</t>
  </si>
  <si>
    <t>Ok, présentement mise en paiement dans l'état de janvier 2023</t>
  </si>
  <si>
    <t>301/402000011</t>
  </si>
  <si>
    <t>12002-33002-0007-101-00017076-2022</t>
  </si>
  <si>
    <t>12002-33002-0022-111-00017072-2022</t>
  </si>
  <si>
    <t>Luano City</t>
  </si>
  <si>
    <t>33002-0001-101-0002945/0001</t>
  </si>
  <si>
    <t>Construction</t>
  </si>
  <si>
    <t>12001-33002-0001-104-00003331-2022</t>
  </si>
  <si>
    <t>Paragon DRC / Prodimpex</t>
  </si>
  <si>
    <t>60200003 - 301</t>
  </si>
  <si>
    <t>Adeos RDC SA</t>
  </si>
  <si>
    <t>En attente du paiemet de la prime</t>
  </si>
  <si>
    <t>12005-33002-0012-13001-00003387-2022</t>
  </si>
  <si>
    <t>CinetPay RDC Sa</t>
  </si>
  <si>
    <t>12005-33002-0014-13001-00003386-2022</t>
  </si>
  <si>
    <t>12001-33002-0001-103-00003414-2022</t>
  </si>
  <si>
    <t>12002-33002-0004-103-00016986-2022</t>
  </si>
  <si>
    <t>PT013/AIB RDC/2022</t>
  </si>
  <si>
    <t>12002-33002-0004-103-00016990-2022</t>
  </si>
  <si>
    <t>01-TRC-2020-000014</t>
  </si>
  <si>
    <t>00017218</t>
  </si>
  <si>
    <t>Mashamba Enterprise DRC SA</t>
  </si>
  <si>
    <t>00016961</t>
  </si>
  <si>
    <t>00017038</t>
  </si>
  <si>
    <t>00016993</t>
  </si>
  <si>
    <t>Teichmann Group / Durban Logistics</t>
  </si>
  <si>
    <t>00017008</t>
  </si>
  <si>
    <t>00017022</t>
  </si>
  <si>
    <t>301/60600001</t>
  </si>
  <si>
    <t>12001-090017/1005/370000000787</t>
  </si>
  <si>
    <t>FBN BANK</t>
  </si>
  <si>
    <t>BBB</t>
  </si>
  <si>
    <t>12002-33002-0022-111-00017413-2022</t>
  </si>
  <si>
    <t>12002-33002-0004-103-00017248-2022</t>
  </si>
  <si>
    <t>12005-33002-0011-13001-00003715-2022</t>
  </si>
  <si>
    <t>Le client doit confirmer le paiement de la prime</t>
  </si>
  <si>
    <t>12005-33002-0008-13001-00003834-2022</t>
  </si>
  <si>
    <t>12002-33002-0004-103-00017305-2022</t>
  </si>
  <si>
    <t>FORTUNE CONSTRUCTION CONGO (Group LAXMAN)</t>
  </si>
  <si>
    <t>12002-33002-0002-112-00017417-2022</t>
  </si>
  <si>
    <t>CIT</t>
  </si>
  <si>
    <t>12002-33002-0024-113-00017357-2022</t>
  </si>
  <si>
    <t>Fenchurch Insurance</t>
  </si>
  <si>
    <t>ANGEL COSMETICS</t>
  </si>
  <si>
    <t>00017521</t>
  </si>
  <si>
    <t>PALMCO</t>
  </si>
  <si>
    <t>12002-33002-0024-113-00017239-2022</t>
  </si>
  <si>
    <t>WINE O'CLOCK / Drink store</t>
  </si>
  <si>
    <t>00017391</t>
  </si>
  <si>
    <t>PR003706</t>
  </si>
  <si>
    <t>ALISTAIR GROUP / Bolloré</t>
  </si>
  <si>
    <t>12002-33002-0022-111-00017341-2022</t>
  </si>
  <si>
    <t>12002-33002-0022-111-00017342-2022</t>
  </si>
  <si>
    <t>12002-33002-0022-111-00017229-2022</t>
  </si>
  <si>
    <t>12002-33002-0022-111-00017228-2022</t>
  </si>
  <si>
    <t>12002-33002-0022-111-00017230-2022</t>
  </si>
  <si>
    <t>12002-33002-0022-111-00017219-2022</t>
  </si>
  <si>
    <t>12002-33002-0022-111-00017330-2022</t>
  </si>
  <si>
    <t>12002-33002-0022-111-00017323-2022</t>
  </si>
  <si>
    <t>12002-33002-0022-111-00017321-2022</t>
  </si>
  <si>
    <t>12002-33002-0022-111-00017320-2022</t>
  </si>
  <si>
    <t>12002-33002-0022-111-00017319-2022</t>
  </si>
  <si>
    <t>12002-33002-0022-111-00017318-2022</t>
  </si>
  <si>
    <t>12002-33002-0022-111-00017317-2022</t>
  </si>
  <si>
    <t>12002-33002-0022-111-00017316-2022</t>
  </si>
  <si>
    <t>12002-33002-0022-111-00017315-2022</t>
  </si>
  <si>
    <t>12002-33002-0022-111-00017311-2022</t>
  </si>
  <si>
    <t>12002-33002-0022-111-00017313-2022</t>
  </si>
  <si>
    <t>12002-33002-0022-111-00017312-2022</t>
  </si>
  <si>
    <t>12002-33002-0022-111-00017288-2022</t>
  </si>
  <si>
    <t>12002-33002-0022-111-00017310-2022</t>
  </si>
  <si>
    <t>12002-33002-0022-111-00017309-2022</t>
  </si>
  <si>
    <t>12002-33002-0022-111-00017308-2022</t>
  </si>
  <si>
    <t>12002-33002-0022-111-00017307-2022</t>
  </si>
  <si>
    <t>12002-33002-0022-111-00017335-2022</t>
  </si>
  <si>
    <t>12002-33002-0022-111-00017337-2022</t>
  </si>
  <si>
    <t>12002-33002-0022-111-00017332-2022</t>
  </si>
  <si>
    <t>12002-33002-0022-111-00017276-2022</t>
  </si>
  <si>
    <t>12002-33002-0022-111-00017277-2022</t>
  </si>
  <si>
    <t>12002-33002-0022-111-00017281-2022</t>
  </si>
  <si>
    <t>12002-33002-0022-111-00017291-2022</t>
  </si>
  <si>
    <t>12002-33002-0022-111-00017286-2022</t>
  </si>
  <si>
    <t>12002-33002-0022-111-00017284-2022</t>
  </si>
  <si>
    <t>12002-33002-0022-111-00017285-2022</t>
  </si>
  <si>
    <t>12002-33002-0022-111-00017275-2022</t>
  </si>
  <si>
    <t>12002-33002-0022-111-00017343-2022</t>
  </si>
  <si>
    <t>00017344</t>
  </si>
  <si>
    <t>00017249</t>
  </si>
  <si>
    <t>00017251</t>
  </si>
  <si>
    <t>00017252</t>
  </si>
  <si>
    <t>12002-33002-0022-111-00017209-2022</t>
  </si>
  <si>
    <t>PR004153</t>
  </si>
  <si>
    <t>12002-33002-0022-111-00017374-2022</t>
  </si>
  <si>
    <t>12002-33002-0022-111-00017376-2022</t>
  </si>
  <si>
    <t>12002-33002-0023-113-00017418-2022</t>
  </si>
  <si>
    <t>12002-33002-0022-111-00017414-2022</t>
  </si>
  <si>
    <t>YOUNG TECH SOLUTIONS / Bolloré</t>
  </si>
  <si>
    <t>DECEMBER</t>
  </si>
  <si>
    <t>14000002/301</t>
  </si>
  <si>
    <t>SHARMA DHRUV</t>
  </si>
  <si>
    <t>33002-0004-119-0003470 / 0001</t>
  </si>
  <si>
    <t>SYNTYCHE MWEMA</t>
  </si>
  <si>
    <t>12002-33002-0015-113-00017356-2022</t>
  </si>
  <si>
    <t>33002-0009-113-0000601/0002</t>
  </si>
  <si>
    <t>12002-33002-0004-103-00017222-2022</t>
  </si>
  <si>
    <t>12002-33002-0004-103-00017217-2022</t>
  </si>
  <si>
    <t>33002-0011-111-0000927 / 0002</t>
  </si>
  <si>
    <t>01-MCO-2021-000070</t>
  </si>
  <si>
    <t>00017295</t>
  </si>
  <si>
    <t>1/01/040/00234/2021</t>
  </si>
  <si>
    <t>Mott McDonald</t>
  </si>
  <si>
    <t>Fire</t>
  </si>
  <si>
    <t>12002-33002-0004-104-00017370-2022</t>
  </si>
  <si>
    <t>Daon Rental</t>
  </si>
  <si>
    <t>12002-33002-0002-112-00017407-2022</t>
  </si>
  <si>
    <t>Meraki Spa</t>
  </si>
  <si>
    <t>Spa</t>
  </si>
  <si>
    <t>12001-33002-0001-104-00003551-2022</t>
  </si>
  <si>
    <t>12001-33002-0001-103-00001653-2021</t>
  </si>
  <si>
    <t>COOPI</t>
  </si>
  <si>
    <t>00017372</t>
  </si>
  <si>
    <t>00017394</t>
  </si>
  <si>
    <t>01-IMR-2021-000171</t>
  </si>
  <si>
    <t>Liberty Sprl</t>
  </si>
  <si>
    <t>00017421</t>
  </si>
  <si>
    <t xml:space="preserve">DESCAMPE NICOLAS DENIS </t>
  </si>
  <si>
    <t>301- 70100005</t>
  </si>
  <si>
    <t>00017039</t>
  </si>
  <si>
    <t>33002-0006-112-0004046 / 0001</t>
  </si>
  <si>
    <t>12002-33002-0004-103-00017444-2022</t>
  </si>
  <si>
    <t>COSTA COULEUR</t>
  </si>
  <si>
    <t>12005-33002-0017-13001-00004044-2022</t>
  </si>
  <si>
    <t>33002-0001-101-0003773 / 0001</t>
  </si>
  <si>
    <t>33002-0017-104-0003772 / 0001</t>
  </si>
  <si>
    <t>301-31000004</t>
  </si>
  <si>
    <t>ERIC WILLEMAERS</t>
  </si>
  <si>
    <t>12005-33002-0003-13001-00003978-2022</t>
  </si>
  <si>
    <t>CEMLED</t>
  </si>
  <si>
    <t>12002-33002-0022-111-00016176-2022</t>
  </si>
  <si>
    <t>00017841</t>
  </si>
  <si>
    <t>SERGE</t>
  </si>
  <si>
    <t>ND0092/AIB RDC/2023</t>
  </si>
  <si>
    <t>PR004316</t>
  </si>
  <si>
    <t>12002-33002-0022-111-00017485-2022</t>
  </si>
  <si>
    <t>12002-33002-0022-111-00017484-2022</t>
  </si>
  <si>
    <t>12002-33002-0022-111-00017465-2022</t>
  </si>
  <si>
    <t>12002-33002-0022-111-00017461-2022</t>
  </si>
  <si>
    <t>PR004151</t>
  </si>
  <si>
    <t>12002-33002-0022-111-00017214-2022</t>
  </si>
  <si>
    <t>12002-33002-0022-111-00017472-2022</t>
  </si>
  <si>
    <t>PR004717</t>
  </si>
  <si>
    <t>UNITED TRILLION / Bolloré</t>
  </si>
  <si>
    <t>12002-33002-0004-103-00017432-2022</t>
  </si>
  <si>
    <t>Mr Piet Baert</t>
  </si>
  <si>
    <t>Personal</t>
  </si>
  <si>
    <t>12003-33002-0004-114-00000046-2022 / 51000010</t>
  </si>
  <si>
    <t>Le client a payé la 1re tranche, com à réclamer à l'assureur en décembre</t>
  </si>
  <si>
    <t>30000015-301</t>
  </si>
  <si>
    <t>TechnoServe</t>
  </si>
  <si>
    <t>30000016-301</t>
  </si>
  <si>
    <t>12005-33002-0012-13001-00004151-2022</t>
  </si>
  <si>
    <t>HASMANI</t>
  </si>
  <si>
    <t>00017672</t>
  </si>
  <si>
    <t>33002-0017-104-0003706 / 0001</t>
  </si>
  <si>
    <t>THEO MBIYE</t>
  </si>
  <si>
    <t>301-59000004</t>
  </si>
  <si>
    <t>Liberty SPRL</t>
  </si>
  <si>
    <t>301-62100001</t>
  </si>
  <si>
    <t>OWNERS LIABILITY</t>
  </si>
  <si>
    <t>33002-0017-104-0004313 / 0002</t>
  </si>
  <si>
    <t>En attente POP Com</t>
  </si>
  <si>
    <t>33002-0001-101-0004308 / 0001</t>
  </si>
  <si>
    <t>12001-33002-0002-101-00000801-2020</t>
  </si>
  <si>
    <t>12002-33002-0023-113-00017658-2022</t>
  </si>
  <si>
    <t>Tychique</t>
  </si>
  <si>
    <t>12002-33002-0023-112-00017712-2022</t>
  </si>
  <si>
    <t>33002-0000001-0017-003-0000024</t>
  </si>
  <si>
    <t>France Média Monde</t>
  </si>
  <si>
    <t>12005-33002-0003-13002-00004334-2022</t>
  </si>
  <si>
    <t>PR005071</t>
  </si>
  <si>
    <t>PR005069</t>
  </si>
  <si>
    <t>PR005076</t>
  </si>
  <si>
    <t>GH KARAVIA PULLMAN / Bolloré</t>
  </si>
  <si>
    <t>12002-33002-0022-111-00017734-2022</t>
  </si>
  <si>
    <t>12002-33002-0004-104-00017665-2022</t>
  </si>
  <si>
    <t>T K XPORT LLC</t>
  </si>
  <si>
    <t>PR005055</t>
  </si>
  <si>
    <t>33002-0017-103-0004395 / 0002</t>
  </si>
  <si>
    <t>12001-9005/3002/1450000611</t>
  </si>
  <si>
    <t>12002-33002-0022-111-00017733-2022</t>
  </si>
  <si>
    <t>PR005133</t>
  </si>
  <si>
    <t>PR004659</t>
  </si>
  <si>
    <t>12002-33002-0023-113-00018348-2023</t>
  </si>
  <si>
    <t>Bank</t>
  </si>
  <si>
    <t>12001-33002-0001-103-00004709-2022</t>
  </si>
  <si>
    <t>12002-33002-0022-111-00017289-2022</t>
  </si>
  <si>
    <t>00018201</t>
  </si>
  <si>
    <t>Glencore / Kamoto Copper Company SA</t>
  </si>
  <si>
    <t>12002-33002-0022-111-00017314-2022</t>
  </si>
  <si>
    <t>00018202</t>
  </si>
  <si>
    <t>12002-33002-0021-111-00018686-2023</t>
  </si>
  <si>
    <t>12002-33002-0022-111-00017282-2022</t>
  </si>
  <si>
    <t>12002-33002-0022-111-00017283-2022</t>
  </si>
  <si>
    <t>PR005141</t>
  </si>
  <si>
    <t>12001-33002-0003-121-00004753-2022</t>
  </si>
  <si>
    <t>Transporter</t>
  </si>
  <si>
    <t>12002-33002-0015-113-00018351-2023</t>
  </si>
  <si>
    <t>12002-33002-0023-113-00018349-2023</t>
  </si>
  <si>
    <t>12002-33002-0002-112-00017775-2022</t>
  </si>
  <si>
    <t>Kat Metal</t>
  </si>
  <si>
    <t>Metalurgie</t>
  </si>
  <si>
    <t>12002-33002-0022-111-00017287-2022</t>
  </si>
  <si>
    <t>12002-33002-0022-111-00017290-2022</t>
  </si>
  <si>
    <t>ARTHUR J. GALLAGHERS</t>
  </si>
  <si>
    <t>12002-33002-0022-111-00017397-2022</t>
  </si>
  <si>
    <t>12002-33002-0022-111-00017145-2022</t>
  </si>
  <si>
    <t>12002-33002-0022-111-00017584-2022</t>
  </si>
  <si>
    <t>La CARRIERE DE LUALABA SAS</t>
  </si>
  <si>
    <t>12002-33002-0002-112-00018248-2023</t>
  </si>
  <si>
    <t>CILU</t>
  </si>
  <si>
    <t>Commission à collecter dans le bordereau de Mai</t>
  </si>
  <si>
    <t>00017144</t>
  </si>
  <si>
    <t>00020272</t>
  </si>
  <si>
    <t>301-60100011</t>
  </si>
  <si>
    <t>12002-33002-0002-112-00017372-2022</t>
  </si>
  <si>
    <t>Glencore / Watu Wetu</t>
  </si>
  <si>
    <t>301-12200003</t>
  </si>
  <si>
    <t>301-12200004</t>
  </si>
  <si>
    <t>301-12200005</t>
  </si>
  <si>
    <t>12001-33002-0005-113-00002774-2022</t>
  </si>
  <si>
    <t>MENA RE</t>
  </si>
  <si>
    <t>101-10200012</t>
  </si>
  <si>
    <t>ND0016-B/AIB RDC/2023</t>
  </si>
  <si>
    <t>Total général</t>
  </si>
  <si>
    <t>MONTHS</t>
  </si>
  <si>
    <t>CATEGORIES</t>
  </si>
  <si>
    <t>PRODUCT NAMES</t>
  </si>
  <si>
    <t>ACCOUNT MANAGERS</t>
  </si>
  <si>
    <t>ASSISTANTS</t>
  </si>
  <si>
    <t>HERMINE</t>
  </si>
  <si>
    <t>GRACE</t>
  </si>
  <si>
    <t>VICTOR</t>
  </si>
  <si>
    <t>AFRISSUR</t>
  </si>
  <si>
    <t>ANNULATION</t>
  </si>
  <si>
    <t>AUTRES MODIFICATIONS</t>
  </si>
  <si>
    <t>MOTOR TPL - BOAT</t>
  </si>
  <si>
    <t>PI - MEDICAL MALPRACTICE</t>
  </si>
  <si>
    <t>Étiquettes de lignes</t>
  </si>
  <si>
    <t>Vat@16%</t>
  </si>
  <si>
    <t>Net Com(-Arca-Vat)</t>
  </si>
  <si>
    <t>Total Received</t>
  </si>
  <si>
    <t>Balance Due</t>
  </si>
  <si>
    <t>Total Gross Premium</t>
  </si>
  <si>
    <t>Net Com(+Arca)</t>
  </si>
  <si>
    <t>Total com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</si>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</sst>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409]d\-mmm\-yyyy"/>
    <numFmt numFmtId="165" formatCode="[$-409]dd\-mmm\-yy"/>
    <numFmt numFmtId="166" formatCode="_-[$$-409]* #,##0.00_ ;_-[$$-409]* \-#,##0.00\ ;_-[$$-409]* &quot;-&quot;??_ ;_-@_ "/>
    <numFmt numFmtId="167" formatCode="0.000%"/>
    <numFmt numFmtId="168" formatCode="[$-409]d\-mmm\-yy"/>
    <numFmt numFmtId="169" formatCode="dd&quot;/&quot;mm&quot;/&quot;yyyy"/>
    <numFmt numFmtId="170" formatCode="#,##0.00\ [$€-1]"/>
    <numFmt numFmtId="171" formatCode="[$$]#,##0.00"/>
    <numFmt numFmtId="172" formatCode="d\-m\-yyyy"/>
    <numFmt numFmtId="173" formatCode="&quot;$&quot;#,##0.00"/>
    <numFmt numFmtId="174" formatCode="d/m/yyyy"/>
    <numFmt numFmtId="175" formatCode="[$FrCD]#,##0.00"/>
    <numFmt numFmtId="176" formatCode="_-[$$-409]* #,##0.0_ ;_-[$$-409]* \-#,##0.0\ ;_-[$$-409]* &quot;-&quot;??_ ;_-@_ "/>
  </numFmts>
  <fonts count="1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4" fillId="0" borderId="0" xfId="0" applyFont="1"/>
    <xf numFmtId="165" fontId="10" fillId="0" borderId="0" xfId="0" applyNumberFormat="1" applyFont="1"/>
    <xf numFmtId="0" fontId="11" fillId="0" borderId="0" xfId="0" applyFont="1"/>
    <xf numFmtId="165" fontId="12" fillId="0" borderId="0" xfId="0" applyNumberFormat="1" applyFont="1"/>
    <xf numFmtId="0" fontId="1" fillId="0" borderId="1" xfId="0" applyFont="1" applyBorder="1"/>
    <xf numFmtId="176" fontId="0" fillId="0" borderId="0" xfId="0" pivotButton="1" applyNumberFormat="1"/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left" indent="1"/>
    </xf>
    <xf numFmtId="164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168" fontId="1" fillId="0" borderId="0" xfId="0" applyNumberFormat="1" applyFont="1"/>
    <xf numFmtId="9" fontId="1" fillId="0" borderId="0" xfId="0" applyNumberFormat="1" applyFont="1"/>
    <xf numFmtId="169" fontId="1" fillId="0" borderId="0" xfId="0" applyNumberFormat="1" applyFont="1"/>
    <xf numFmtId="166" fontId="2" fillId="0" borderId="0" xfId="0" applyNumberFormat="1" applyFont="1"/>
    <xf numFmtId="0" fontId="1" fillId="0" borderId="0" xfId="0" quotePrefix="1" applyFont="1"/>
    <xf numFmtId="166" fontId="3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166" fontId="4" fillId="0" borderId="0" xfId="0" applyNumberFormat="1" applyFont="1"/>
    <xf numFmtId="3" fontId="1" fillId="0" borderId="0" xfId="0" applyNumberFormat="1" applyFont="1"/>
    <xf numFmtId="0" fontId="5" fillId="0" borderId="0" xfId="0" applyFont="1"/>
    <xf numFmtId="165" fontId="4" fillId="0" borderId="0" xfId="0" applyNumberFormat="1" applyFont="1"/>
    <xf numFmtId="166" fontId="4" fillId="0" borderId="0" xfId="0" applyNumberFormat="1" applyFont="1" applyAlignment="1">
      <alignment horizontal="right"/>
    </xf>
    <xf numFmtId="164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10" fontId="2" fillId="0" borderId="0" xfId="0" applyNumberFormat="1" applyFont="1"/>
    <xf numFmtId="168" fontId="2" fillId="0" borderId="0" xfId="0" applyNumberFormat="1" applyFont="1"/>
    <xf numFmtId="9" fontId="2" fillId="0" borderId="0" xfId="0" applyNumberFormat="1" applyFont="1"/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2" fontId="1" fillId="0" borderId="0" xfId="0" applyNumberFormat="1" applyFont="1"/>
    <xf numFmtId="0" fontId="1" fillId="0" borderId="0" xfId="0" quotePrefix="1" applyFont="1" applyAlignment="1">
      <alignment horizontal="righ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right"/>
    </xf>
    <xf numFmtId="173" fontId="1" fillId="0" borderId="0" xfId="0" applyNumberFormat="1" applyFont="1"/>
    <xf numFmtId="174" fontId="1" fillId="0" borderId="0" xfId="0" applyNumberFormat="1" applyFont="1"/>
    <xf numFmtId="174" fontId="2" fillId="0" borderId="0" xfId="0" applyNumberFormat="1" applyFont="1"/>
    <xf numFmtId="10" fontId="6" fillId="0" borderId="0" xfId="0" applyNumberFormat="1" applyFont="1"/>
    <xf numFmtId="0" fontId="1" fillId="0" borderId="0" xfId="0" quotePrefix="1" applyFont="1" applyAlignment="1">
      <alignment horizontal="left"/>
    </xf>
    <xf numFmtId="175" fontId="1" fillId="0" borderId="0" xfId="0" applyNumberFormat="1" applyFont="1"/>
    <xf numFmtId="171" fontId="2" fillId="0" borderId="0" xfId="0" applyNumberFormat="1" applyFont="1"/>
    <xf numFmtId="175" fontId="2" fillId="0" borderId="0" xfId="0" applyNumberFormat="1" applyFont="1"/>
    <xf numFmtId="166" fontId="7" fillId="0" borderId="0" xfId="0" applyNumberFormat="1" applyFont="1" applyAlignment="1">
      <alignment horizontal="right"/>
    </xf>
    <xf numFmtId="0" fontId="2" fillId="0" borderId="0" xfId="0" quotePrefix="1" applyFont="1"/>
    <xf numFmtId="166" fontId="8" fillId="0" borderId="0" xfId="0" applyNumberFormat="1" applyFont="1"/>
    <xf numFmtId="14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/>
    <xf numFmtId="14" fontId="9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167" fontId="8" fillId="0" borderId="0" xfId="0" applyNumberFormat="1" applyFont="1"/>
    <xf numFmtId="10" fontId="8" fillId="0" borderId="0" xfId="0" applyNumberFormat="1" applyFont="1"/>
    <xf numFmtId="168" fontId="8" fillId="0" borderId="0" xfId="0" applyNumberFormat="1" applyFont="1"/>
    <xf numFmtId="9" fontId="8" fillId="0" borderId="0" xfId="0" applyNumberFormat="1" applyFont="1"/>
    <xf numFmtId="171" fontId="8" fillId="0" borderId="0" xfId="0" applyNumberFormat="1" applyFont="1"/>
    <xf numFmtId="165" fontId="8" fillId="0" borderId="0" xfId="0" applyNumberFormat="1" applyFont="1"/>
    <xf numFmtId="169" fontId="8" fillId="0" borderId="0" xfId="0" applyNumberFormat="1" applyFont="1"/>
    <xf numFmtId="175" fontId="8" fillId="0" borderId="0" xfId="0" applyNumberFormat="1" applyFont="1"/>
    <xf numFmtId="1" fontId="4" fillId="0" borderId="0" xfId="0" applyNumberFormat="1" applyFont="1"/>
    <xf numFmtId="167" fontId="4" fillId="0" borderId="0" xfId="0" applyNumberFormat="1" applyFont="1" applyAlignment="1">
      <alignment horizontal="right"/>
    </xf>
    <xf numFmtId="10" fontId="4" fillId="0" borderId="0" xfId="0" applyNumberFormat="1" applyFont="1"/>
    <xf numFmtId="168" fontId="4" fillId="0" borderId="0" xfId="0" applyNumberFormat="1" applyFont="1"/>
    <xf numFmtId="9" fontId="4" fillId="0" borderId="0" xfId="0" applyNumberFormat="1" applyFont="1"/>
    <xf numFmtId="169" fontId="4" fillId="0" borderId="0" xfId="0" applyNumberFormat="1" applyFont="1"/>
    <xf numFmtId="175" fontId="4" fillId="0" borderId="0" xfId="0" applyNumberFormat="1" applyFont="1"/>
    <xf numFmtId="0" fontId="4" fillId="0" borderId="0" xfId="0" quotePrefix="1" applyFont="1"/>
    <xf numFmtId="166" fontId="1" fillId="3" borderId="0" xfId="0" applyNumberFormat="1" applyFont="1" applyFill="1"/>
    <xf numFmtId="166" fontId="2" fillId="3" borderId="0" xfId="0" applyNumberFormat="1" applyFont="1" applyFill="1"/>
    <xf numFmtId="166" fontId="8" fillId="3" borderId="0" xfId="0" applyNumberFormat="1" applyFont="1" applyFill="1"/>
  </cellXfs>
  <cellStyles count="1">
    <cellStyle name="Normal" xfId="0" builtinId="0"/>
  </cellStyles>
  <dxfs count="183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numFmt numFmtId="176" formatCode="_-[$$-409]* #,##0.0_ ;_-[$$-409]* \-#,##0.0\ ;_-[$$-409]* &quot;-&quot;??_ ;_-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9" formatCode="dd&quot;/&quot;mm&quot;/&quot;yyyy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75" formatCode="[$FrCD]#,##0.00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9" formatCode="dd&quot;/&quot;mm&quot;/&quot;yyyy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[$-409]dd\-mmm\-yy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[$-409]d\-mmm\-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56.891721990738" createdVersion="8" refreshedVersion="8" minRefreshableVersion="3" recordCount="814" xr:uid="{5DFA4856-E2B6-417B-AAE8-EA52A867683C}">
  <cacheSource type="worksheet">
    <worksheetSource ref="A1:BD815" sheet="BDM 2022"/>
  </cacheSource>
  <cacheFields count="56">
    <cacheField name="MONTH" numFmtId="0">
      <sharedItems containsBlank="1" count="13">
        <s v="JANUARY"/>
        <s v="SEPTEMBER"/>
        <s v="OCTOBER"/>
        <s v="FEBRUARY"/>
        <s v="MARCH"/>
        <s v="NOVEMBER"/>
        <s v="DECEMBER"/>
        <s v="MAY"/>
        <s v="APRIL"/>
        <s v="AUGUST"/>
        <s v="JUNE"/>
        <s v="JULY"/>
        <m/>
      </sharedItems>
    </cacheField>
    <cacheField name="DECLARED TO ARCA" numFmtId="0">
      <sharedItems/>
    </cacheField>
    <cacheField name="OPERATION DATE" numFmtId="0">
      <sharedItems containsNonDate="0" containsDate="1" containsString="0" containsBlank="1" minDate="2022-01-01T00:00:00" maxDate="2023-09-09T00:00:00"/>
    </cacheField>
    <cacheField name="ISSUE DATE" numFmtId="0">
      <sharedItems containsDate="1" containsBlank="1" containsMixedTypes="1" minDate="2021-08-05T00:00:00" maxDate="2023-10-19T00:00:00"/>
    </cacheField>
    <cacheField name="EFFECT DATE" numFmtId="0">
      <sharedItems containsDate="1" containsBlank="1" containsMixedTypes="1" minDate="2022-01-01T00:00:00" maxDate="2023-01-01T00:00:00"/>
    </cacheField>
    <cacheField name="EXPIRY DATE" numFmtId="0">
      <sharedItems containsDate="1" containsBlank="1" containsMixedTypes="1" minDate="2022-01-13T00:00:00" maxDate="2027-03-04T00:00:00"/>
    </cacheField>
    <cacheField name="AIB REF." numFmtId="1">
      <sharedItems/>
    </cacheField>
    <cacheField name="N° D'AVENANT" numFmtId="0">
      <sharedItems containsString="0" containsBlank="1" containsNumber="1" containsInteger="1" minValue="0" maxValue="26"/>
    </cacheField>
    <cacheField name="TYPE D'AVENANT" numFmtId="0">
      <sharedItems containsBlank="1"/>
    </cacheField>
    <cacheField name="POLICY REF" numFmtId="0">
      <sharedItems containsBlank="1" containsMixedTypes="1" containsNumber="1" containsInteger="1" minValue="30000009" maxValue="2022990768"/>
    </cacheField>
    <cacheField name="CLIENT" numFmtId="0">
      <sharedItems/>
    </cacheField>
    <cacheField name="INDUSTRY" numFmtId="0">
      <sharedItems containsBlank="1"/>
    </cacheField>
    <cacheField name="ACC. MANAGER" numFmtId="0">
      <sharedItems containsBlank="1"/>
    </cacheField>
    <cacheField name="ASSISTED BY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INSURER" numFmtId="0">
      <sharedItems containsBlank="1" count="11">
        <s v="ACTIVA"/>
        <s v="MAYFAIR"/>
        <s v="SUNU"/>
        <s v="ACTIVA/GGA"/>
        <s v="RAWSUR"/>
        <s v="RAWSUR - LIFE"/>
        <s v="SFA"/>
        <s v="SONAS / Agence Commerce"/>
        <s v="SONAS"/>
        <s v="ACTIVA - LIFE"/>
        <m/>
      </sharedItems>
    </cacheField>
    <cacheField name="REINSURER" numFmtId="0">
      <sharedItems containsBlank="1"/>
    </cacheField>
    <cacheField name="SUM INSURED" numFmtId="166">
      <sharedItems containsString="0" containsBlank="1" containsNumber="1" minValue="0" maxValue="4051444380"/>
    </cacheField>
    <cacheField name="GROSS PREMIUMS" numFmtId="166">
      <sharedItems containsString="0" containsBlank="1" containsNumber="1" minValue="-416794.85" maxValue="4043315.74"/>
    </cacheField>
    <cacheField name="FRONTING" numFmtId="166">
      <sharedItems containsString="0" containsBlank="1" containsNumber="1" minValue="-40358.6" maxValue="391517.72"/>
    </cacheField>
    <cacheField name="FRONTING DISCOUNT" numFmtId="0">
      <sharedItems containsString="0" containsBlank="1" containsNumber="1" minValue="-182708.27" maxValue="18834.009999999998"/>
    </cacheField>
    <cacheField name="ACCESSOIRES" numFmtId="0">
      <sharedItems containsString="0" containsBlank="1" containsNumber="1" minValue="-10" maxValue="5963.38"/>
    </cacheField>
    <cacheField name="NET PREMIUM" numFmtId="166">
      <sharedItems containsString="0" containsBlank="1" containsNumber="1" minValue="-312857.38" maxValue="3385174.74"/>
    </cacheField>
    <cacheField name="VAT" numFmtId="166">
      <sharedItems containsString="0" containsBlank="1" containsNumber="1" minValue="-56514.559999999998" maxValue="548246.19999999995"/>
    </cacheField>
    <cacheField name="RI RATE" numFmtId="167">
      <sharedItems containsMixedTypes="1" containsNumber="1" minValue="1.1295132231335235E-6" maxValue="1.328037073816617"/>
    </cacheField>
    <cacheField name="AIB Com %" numFmtId="10">
      <sharedItems containsString="0" containsBlank="1" containsNumber="1" minValue="0" maxValue="0.3"/>
    </cacheField>
    <cacheField name="LOCAL COM." numFmtId="166">
      <sharedItems containsBlank="1" containsMixedTypes="1" containsNumber="1" minValue="-4270.5032369999999" maxValue="53418.75"/>
    </cacheField>
    <cacheField name="FRONTING COM." numFmtId="166">
      <sharedItems containsString="0" containsBlank="1" containsNumber="1" minValue="-6457.3769999999995" maxValue="82171.206000000006"/>
    </cacheField>
    <cacheField name="RI COM." numFmtId="0">
      <sharedItems containsString="0" containsBlank="1" containsNumber="1" minValue="-4319.68103448279" maxValue="121624.05"/>
    </cacheField>
    <cacheField name="TOTAL NET / REVENUE (+ Arca)" numFmtId="166">
      <sharedItems containsSemiMixedTypes="0" containsString="0" containsNumber="1" minValue="-10727.880236999999" maxValue="203333.46000000002"/>
    </cacheField>
    <cacheField name="TOTAL VAT / REVENUE" numFmtId="166">
      <sharedItems containsSemiMixedTypes="0" containsString="0" containsNumber="1" minValue="-1716.4608379199999" maxValue="32533.353600000006"/>
    </cacheField>
    <cacheField name="GROSS REVENUE" numFmtId="166">
      <sharedItems containsSemiMixedTypes="0" containsString="0" containsNumber="1" minValue="-12444.341074919999" maxValue="235866.81360000002"/>
    </cacheField>
    <cacheField name="ARCA fees (2%)" numFmtId="166">
      <sharedItems containsSemiMixedTypes="0" containsString="0" containsNumber="1" minValue="-214.55760473999999" maxValue="4066.6692000000007"/>
    </cacheField>
    <cacheField name="A. PAID TO ARCA" numFmtId="0">
      <sharedItems containsString="0" containsBlank="1" containsNumber="1" containsInteger="1" minValue="0" maxValue="0"/>
    </cacheField>
    <cacheField name="BALANCE DUE TO ARCA" numFmtId="166">
      <sharedItems containsSemiMixedTypes="0" containsString="0" containsNumber="1" minValue="-214.55760473999999" maxValue="4066.6692000000007"/>
    </cacheField>
    <cacheField name="Date of Pymt to ARCA" numFmtId="168">
      <sharedItems containsBlank="1"/>
    </cacheField>
    <cacheField name="NET COM (Excl all taxes)" numFmtId="166">
      <sharedItems containsSemiMixedTypes="0" containsString="0" containsNumber="1" minValue="-10513.322632259998" maxValue="199266.79080000002"/>
    </cacheField>
    <cacheField name="PARTNER" numFmtId="166">
      <sharedItems containsBlank="1"/>
    </cacheField>
    <cacheField name="% RATE TO PARTNER" numFmtId="0">
      <sharedItems containsString="0" containsBlank="1" containsNumber="1" minValue="0" maxValue="0.7"/>
    </cacheField>
    <cacheField name="A. DUE TO PARTNER" numFmtId="166">
      <sharedItems containsSemiMixedTypes="0" containsString="0" containsNumber="1" minValue="-251.35897499999999" maxValue="25342.688770000001"/>
    </cacheField>
    <cacheField name="A. PAID TO PARTNER" numFmtId="0">
      <sharedItems containsString="0" containsBlank="1" containsNumber="1" minValue="-251.35897499999999" maxValue="39952.080000000002"/>
    </cacheField>
    <cacheField name="DATE OF PAYMT TO PARTNER" numFmtId="0">
      <sharedItems containsNonDate="0" containsDate="1" containsString="0" containsBlank="1" minDate="2022-03-23T00:00:00" maxDate="2023-10-31T00:00:00"/>
    </cacheField>
    <cacheField name="BALANCE DUE TO PARTNER" numFmtId="166">
      <sharedItems containsString="0" containsBlank="1" containsNumber="1" minValue="-7765.8" maxValue="12531.754704000001"/>
    </cacheField>
    <cacheField name="REF PYMNT TO PARTNER" numFmtId="166">
      <sharedItems containsBlank="1"/>
    </cacheField>
    <cacheField name="COM RECEIVED" numFmtId="166">
      <sharedItems containsString="0" containsBlank="1" containsNumber="1" minValue="-1752.412" maxValue="235866.81360000002"/>
    </cacheField>
    <cacheField name="COM INVOICED" numFmtId="166">
      <sharedItems containsSemiMixedTypes="0" containsString="0" containsNumber="1" minValue="-12444.341074919999" maxValue="235866.81360000002"/>
    </cacheField>
    <cacheField name="BALANCE DUE TO AIB" numFmtId="166">
      <sharedItems containsSemiMixedTypes="0" containsString="0" containsNumber="1" minValue="-12444.341074919999" maxValue="6013.6616800000047"/>
    </cacheField>
    <cacheField name="DUE BY" numFmtId="166">
      <sharedItems containsMixedTypes="1" containsNumber="1" containsInteger="1" minValue="0" maxValue="0"/>
    </cacheField>
    <cacheField name="DATE OF RECEIPT" numFmtId="169">
      <sharedItems containsNonDate="0" containsDate="1" containsString="0" containsBlank="1" minDate="2021-12-09T00:00:00" maxDate="2023-11-15T00:00:00"/>
    </cacheField>
    <cacheField name="DEBIT NOTE REF." numFmtId="0">
      <sharedItems containsBlank="1"/>
    </cacheField>
    <cacheField name="RENEWAL STATUS" numFmtId="0">
      <sharedItems containsBlank="1"/>
    </cacheField>
    <cacheField name="COVER TO RENEW" numFmtId="0">
      <sharedItems containsDate="1" containsBlank="1" containsMixedTypes="1" minDate="1899-12-30T00:00:00" maxDate="1899-12-31T00:00:00"/>
    </cacheField>
    <cacheField name="RENEWAL PREMIUM" numFmtId="0">
      <sharedItems containsBlank="1" containsMixedTypes="1" containsNumber="1" minValue="889.89" maxValue="2085349.52"/>
    </cacheField>
    <cacheField name="RENEWAL INSURER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4">
  <r>
    <x v="0"/>
    <s v="Yes"/>
    <d v="2022-01-01T00:00:00"/>
    <d v="2022-01-19T00:00:00"/>
    <d v="2022-01-01T00:00:00"/>
    <d v="2022-12-31T00:00:00"/>
    <s v="000-001/AIB RDC/2022"/>
    <n v="2"/>
    <s v="RENOUVELLEMENT"/>
    <s v="12001-33002-0014-007-00000398-2020"/>
    <s v="FERONIA - PLANTATIONS ET HUILERIES DU CONGO ( PHC)"/>
    <s v="SERVICE"/>
    <s v="RAMSY"/>
    <s v="Hermine"/>
    <s v="MARINE CARGO / GIT"/>
    <s v="MARINE"/>
    <x v="0"/>
    <s v="ACTIVA"/>
    <n v="6000000"/>
    <n v="39213.589999999997"/>
    <n v="4973.63"/>
    <m/>
    <n v="1082.46"/>
    <n v="33157.5"/>
    <n v="0"/>
    <n v="6.5355983333333324E-3"/>
    <n v="3.5196437067600561E-2"/>
    <n v="1167.0258620689656"/>
    <n v="1492.0889999999999"/>
    <n v="13023.706896551725"/>
    <n v="15682.82175862069"/>
    <n v="2509.2514813793105"/>
    <n v="18192.073240000002"/>
    <n v="313.65643517241381"/>
    <n v="0"/>
    <n v="313.65643517241381"/>
    <s v="En cours de traitement 2022 Groupe #01"/>
    <n v="15369.165323448276"/>
    <m/>
    <m/>
    <n v="0"/>
    <m/>
    <m/>
    <n v="0"/>
    <m/>
    <n v="18192.073240000002"/>
    <n v="18192.073240000002"/>
    <n v="0"/>
    <s v="ACTIVA"/>
    <d v="2022-03-23T00:00:00"/>
    <m/>
    <s v="RENEWED"/>
    <s v="MARINE CARGO / GIT"/>
    <m/>
    <m/>
    <m/>
  </r>
  <r>
    <x v="0"/>
    <s v="Yes"/>
    <d v="2022-01-01T00:00:00"/>
    <d v="2022-01-19T00:00:00"/>
    <d v="2022-01-01T00:00:00"/>
    <d v="2022-12-31T00:00:00"/>
    <s v="000-002/AIB RDC/2022"/>
    <n v="2"/>
    <s v="RENOUVELLEMENT"/>
    <s v="12001-33002-9007-009-00000396-2020"/>
    <s v="FERONIA - PLANTATIONS ET HUILERIES DU CONGO ( PHC)"/>
    <s v="SERVICE"/>
    <s v="RAMSY"/>
    <s v="Hermine"/>
    <s v="FIRE"/>
    <s v="PROPERTIES"/>
    <x v="0"/>
    <s v="ACTIVA"/>
    <n v="53720798"/>
    <n v="76800.61"/>
    <n v="9721.8700000000008"/>
    <m/>
    <n v="2266.29"/>
    <n v="64812.45"/>
    <n v="0"/>
    <n v="1.4296252635711034E-3"/>
    <n v="6.2847184452987051E-2"/>
    <n v="4073.28"/>
    <n v="2916.5610000000001"/>
    <n v="1562.45"/>
    <n v="8552.2910000000011"/>
    <n v="1368.3665600000002"/>
    <n v="9920.6575600000015"/>
    <n v="171.04582000000002"/>
    <n v="0"/>
    <n v="171.04582000000002"/>
    <s v="En cours de traitement 2022 Groupe #01"/>
    <n v="8381.2451800000017"/>
    <m/>
    <m/>
    <n v="0"/>
    <m/>
    <m/>
    <n v="0"/>
    <m/>
    <n v="9920.6575600000015"/>
    <n v="9920.6575600000015"/>
    <n v="0"/>
    <s v="ACTIVA"/>
    <d v="2022-03-23T00:00:00"/>
    <m/>
    <s v="RENEWED"/>
    <s v="FIRE"/>
    <m/>
    <m/>
    <m/>
  </r>
  <r>
    <x v="0"/>
    <s v="Yes"/>
    <d v="2022-01-01T00:00:00"/>
    <d v="2022-01-19T00:00:00"/>
    <d v="2022-01-01T00:00:00"/>
    <d v="2022-12-31T00:00:00"/>
    <s v="000-003/AIB RDC/2022"/>
    <n v="3"/>
    <s v="RENOUVELLEMENT"/>
    <s v="12001-33002-9001-003-00000296-2020"/>
    <s v="FERONIA - PLANTATIONS ET HUILERIES DU CONGO ( PHC)"/>
    <s v="SERVICE"/>
    <s v="RAMSY"/>
    <s v="Hermine"/>
    <s v="MOTOR TPL"/>
    <s v="MOTOR TPL"/>
    <x v="0"/>
    <s v="ACTIVA"/>
    <n v="1000000"/>
    <n v="46170.13"/>
    <n v="0"/>
    <m/>
    <n v="457.13"/>
    <n v="44816.66"/>
    <n v="0"/>
    <n v="4.6170129999999997E-2"/>
    <n v="0.1"/>
    <n v="4481.6660000000002"/>
    <n v="0"/>
    <n v="0"/>
    <n v="4481.6660000000002"/>
    <n v="717.06656000000009"/>
    <n v="5198.7325600000004"/>
    <n v="89.633320000000012"/>
    <n v="0"/>
    <n v="89.633320000000012"/>
    <s v="En cours de traitement 2022 Groupe #01"/>
    <n v="4392.0326800000003"/>
    <m/>
    <m/>
    <n v="0"/>
    <m/>
    <m/>
    <n v="0"/>
    <m/>
    <n v="5198.7325600000004"/>
    <n v="5198.7325600000004"/>
    <n v="0"/>
    <s v="ACTIVA"/>
    <d v="2022-03-23T00:00:00"/>
    <m/>
    <s v="RENEWED"/>
    <s v="MOTOR TPL"/>
    <m/>
    <m/>
    <m/>
  </r>
  <r>
    <x v="0"/>
    <s v="Yes"/>
    <d v="2022-01-01T00:00:00"/>
    <d v="2022-01-06T00:00:00"/>
    <d v="2022-01-01T00:00:00"/>
    <d v="2022-12-31T00:00:00"/>
    <s v="000-004/AIB RDC/2022"/>
    <n v="0"/>
    <s v="SOUSCRIPTION"/>
    <s v="1/01/042/00023/2021"/>
    <s v="EASTCASTLE INFRASTRUCTURE DRC SARLU"/>
    <s v="TELECOM"/>
    <s v="RAMSY"/>
    <s v="Ramsy"/>
    <s v="FIRE"/>
    <s v="PROPERTIES"/>
    <x v="1"/>
    <s v="MAYFAIR"/>
    <n v="18584057"/>
    <n v="22047.19"/>
    <n v="0"/>
    <n v="0"/>
    <n v="100"/>
    <n v="18584.060000000001"/>
    <m/>
    <n v="1.1863496759614975E-3"/>
    <n v="0.15"/>
    <n v="2787.6089999999999"/>
    <n v="0"/>
    <n v="0"/>
    <n v="2787.6089999999999"/>
    <n v="446.01744000000002"/>
    <n v="3233.62644"/>
    <n v="55.752180000000003"/>
    <n v="0"/>
    <n v="55.752180000000003"/>
    <s v="En cours de traitement 2022 Groupe #01"/>
    <n v="2731.85682"/>
    <s v="MARSH"/>
    <n v="0.3"/>
    <n v="819.55704600000001"/>
    <n v="819.55704600000001"/>
    <d v="2023-09-19T00:00:00"/>
    <n v="0"/>
    <m/>
    <n v="3233.62644"/>
    <n v="3233.62644"/>
    <n v="0"/>
    <s v="MAYFAIR"/>
    <d v="2022-03-03T00:00:00"/>
    <m/>
    <s v="RENEWED"/>
    <s v="FIRE"/>
    <m/>
    <m/>
    <m/>
  </r>
  <r>
    <x v="0"/>
    <s v="Yes"/>
    <d v="2022-01-01T00:00:00"/>
    <d v="2021-12-28T00:00:00"/>
    <d v="2022-01-01T00:00:00"/>
    <d v="2022-12-31T00:00:00"/>
    <s v="000-005/AIB RDC/2022"/>
    <n v="0"/>
    <s v="SOUSCRIPTION"/>
    <s v="000001-0011-007-0000927"/>
    <s v="CANAL PLUS"/>
    <s v="Distribution"/>
    <s v="ANDY"/>
    <s v="Andy"/>
    <s v="MARINE CARGO / GIT"/>
    <s v="MARINE"/>
    <x v="2"/>
    <s v="SUNU"/>
    <n v="0"/>
    <n v="19257.310000000001"/>
    <n v="0"/>
    <m/>
    <n v="164.36"/>
    <n v="16436.759999999998"/>
    <m/>
    <e v="#DIV/0!"/>
    <n v="0.15"/>
    <n v="2465.5139999999997"/>
    <n v="0"/>
    <n v="0"/>
    <n v="2465.5139999999997"/>
    <n v="394.48223999999993"/>
    <n v="2859.9962399999995"/>
    <n v="49.310279999999992"/>
    <n v="0"/>
    <n v="49.310279999999992"/>
    <s v="En cours de traitement 2022 Groupe #01"/>
    <n v="2416.2037199999995"/>
    <s v="OLEA"/>
    <n v="0.35"/>
    <n v="845.67130199999974"/>
    <m/>
    <m/>
    <n v="845.67130199999974"/>
    <m/>
    <n v="2859.9962399999995"/>
    <n v="2859.9962399999995"/>
    <n v="0"/>
    <s v="SUNU"/>
    <d v="2022-03-09T00:00:00"/>
    <m/>
    <s v="RENEWED"/>
    <s v="MARINE CARGO / GIT"/>
    <m/>
    <m/>
    <m/>
  </r>
  <r>
    <x v="0"/>
    <s v="Yes"/>
    <d v="2022-01-01T00:00:00"/>
    <d v="2022-01-19T00:00:00"/>
    <d v="2022-01-01T00:00:00"/>
    <d v="2022-12-31T00:00:00"/>
    <s v="000-006/AIB RDC/2022"/>
    <n v="2"/>
    <s v="RENOUVELLEMENT"/>
    <s v="12001-33002-9005-014-00000399-2020"/>
    <s v="FERONIA - PLANTATIONS ET HUILERIES DU CONGO ( PHC)"/>
    <s v="SERVICE"/>
    <s v="RAMSY"/>
    <s v="Hermine"/>
    <s v="GENERAL LIABILITY"/>
    <s v="LIABILITIES"/>
    <x v="0"/>
    <s v="ACTIVA"/>
    <n v="1000000"/>
    <n v="9200.86"/>
    <n v="0"/>
    <m/>
    <n v="235.41"/>
    <n v="8965.4500000000007"/>
    <n v="0"/>
    <n v="9.2008599999999999E-3"/>
    <n v="0.1"/>
    <n v="896.54500000000007"/>
    <n v="0"/>
    <n v="0"/>
    <n v="896.54500000000007"/>
    <n v="143.44720000000001"/>
    <n v="1039.9922000000001"/>
    <n v="17.930900000000001"/>
    <n v="0"/>
    <n v="17.930900000000001"/>
    <s v="En cours de traitement 2022 Groupe #01"/>
    <n v="878.61410000000012"/>
    <m/>
    <m/>
    <n v="0"/>
    <m/>
    <m/>
    <n v="0"/>
    <m/>
    <n v="1039.9922000000001"/>
    <n v="1039.9922000000001"/>
    <n v="0"/>
    <s v="ACTIVA"/>
    <d v="2022-03-23T00:00:00"/>
    <m/>
    <s v="RENEWED"/>
    <s v="GENERAL LIABILITY"/>
    <m/>
    <m/>
    <m/>
  </r>
  <r>
    <x v="0"/>
    <s v="Yes"/>
    <d v="2022-07-07T00:00:00"/>
    <d v="2022-01-01T00:00:00"/>
    <d v="2022-01-01T00:00:00"/>
    <d v="2022-12-31T00:00:00"/>
    <s v="000-007/AIB RDC/2022"/>
    <n v="2"/>
    <s v="INCORPORATION"/>
    <s v="12001-09008/1005/2300001495"/>
    <s v="SALAMA FIKIRA"/>
    <s v="PERSON"/>
    <s v="ALICE"/>
    <s v="Michee"/>
    <s v="MEDICAL"/>
    <s v="MEDICAL &amp; GPA"/>
    <x v="3"/>
    <s v="ACTIVA/GGA"/>
    <m/>
    <n v="2755"/>
    <n v="0"/>
    <m/>
    <m/>
    <n v="1948.84"/>
    <m/>
    <e v="#DIV/0!"/>
    <n v="0.05"/>
    <n v="97.442000000000007"/>
    <n v="0"/>
    <n v="0"/>
    <n v="97.442000000000007"/>
    <n v="0"/>
    <n v="97.442000000000007"/>
    <n v="1.9488400000000001"/>
    <n v="0"/>
    <n v="1.9488400000000001"/>
    <m/>
    <n v="95.493160000000003"/>
    <m/>
    <m/>
    <n v="0"/>
    <m/>
    <m/>
    <n v="0"/>
    <m/>
    <n v="97.442000000000007"/>
    <n v="97.442000000000007"/>
    <n v="0"/>
    <s v="ACTIVA/GGA"/>
    <d v="2022-06-02T00:00:00"/>
    <m/>
    <s v="RENEWING..."/>
    <s v="MEDICAL"/>
    <m/>
    <m/>
    <m/>
  </r>
  <r>
    <x v="0"/>
    <s v="Yes"/>
    <d v="2022-01-01T00:00:00"/>
    <d v="2022-01-13T00:00:00"/>
    <d v="2022-01-01T00:00:00"/>
    <d v="2022-12-31T00:00:00"/>
    <s v="000-008/AIB RDC/2022"/>
    <n v="1"/>
    <s v="INCORPORATION"/>
    <s v="12001-09008/1005/2300001495"/>
    <s v="PAPASSEUDI"/>
    <s v="PERSON"/>
    <s v="ALICE"/>
    <s v="Alice"/>
    <s v="MEDICAL"/>
    <s v="MEDICAL &amp; GPA"/>
    <x v="3"/>
    <s v="ACTIVA/GGA"/>
    <n v="20000"/>
    <n v="1730"/>
    <m/>
    <m/>
    <m/>
    <n v="1223.1600000000001"/>
    <m/>
    <n v="8.6499999999999994E-2"/>
    <n v="0.05"/>
    <n v="61.158000000000008"/>
    <n v="0"/>
    <n v="0"/>
    <n v="61.158000000000008"/>
    <n v="0"/>
    <n v="61.158000000000008"/>
    <n v="1.2231600000000002"/>
    <n v="0"/>
    <n v="1.2231600000000002"/>
    <m/>
    <n v="59.934840000000008"/>
    <m/>
    <m/>
    <n v="0"/>
    <m/>
    <m/>
    <n v="0"/>
    <m/>
    <n v="61.158000000000008"/>
    <n v="61.158000000000008"/>
    <n v="0"/>
    <s v="ACTIVA/GGA"/>
    <d v="2022-06-02T00:00:00"/>
    <m/>
    <s v="RENEWING..."/>
    <s v="MEDICAL"/>
    <m/>
    <m/>
    <m/>
  </r>
  <r>
    <x v="0"/>
    <s v="Yes"/>
    <d v="2022-01-01T00:00:00"/>
    <d v="2022-01-01T00:00:00"/>
    <d v="2022-01-01T00:00:00"/>
    <d v="2022-01-31T00:00:00"/>
    <s v="000-009/AIB RDC/2022"/>
    <n v="0"/>
    <s v="SOUSCRIPTION"/>
    <s v="12003-33002-0005-111-00000018-2022 / 72000015"/>
    <s v="SNEL / Bolloré"/>
    <m/>
    <s v="SYNTYCHE"/>
    <s v="Victor"/>
    <s v="MARINE CARGO / GIT"/>
    <s v="MARINE"/>
    <x v="4"/>
    <s v="RAWSUR"/>
    <n v="1050"/>
    <n v="129.80000000000001"/>
    <n v="0"/>
    <m/>
    <n v="10"/>
    <n v="100"/>
    <m/>
    <n v="0.12361904761904763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7-07T00:00:00"/>
    <d v="2022-01-14T00:00:00"/>
    <d v="2022-01-01T00:00:00"/>
    <d v="2025-01-01T00:00:00"/>
    <s v="000-010/AIB RDC/2022"/>
    <n v="0"/>
    <s v="SOUSCRIPTION"/>
    <s v="101-204003904"/>
    <s v="CIBALONZA DIDIER"/>
    <s v="PERSON"/>
    <s v="ALICE"/>
    <s v="Alice"/>
    <s v="LIFE"/>
    <s v="LIFE"/>
    <x v="5"/>
    <s v="RAWSUR - LIFE"/>
    <n v="17500"/>
    <n v="250"/>
    <n v="0"/>
    <m/>
    <m/>
    <n v="247.52"/>
    <m/>
    <n v="1.4285714285714285E-2"/>
    <n v="0.1"/>
    <n v="24.752000000000002"/>
    <n v="0"/>
    <n v="0"/>
    <n v="24.752000000000002"/>
    <n v="0"/>
    <n v="24.752000000000002"/>
    <n v="0.24752000000000002"/>
    <n v="0"/>
    <n v="0.24752000000000002"/>
    <m/>
    <n v="24.504480000000001"/>
    <m/>
    <m/>
    <n v="0"/>
    <m/>
    <m/>
    <n v="0"/>
    <m/>
    <n v="24.752000000000002"/>
    <n v="24.752000000000002"/>
    <n v="0"/>
    <s v="RAWSUR - LIFE"/>
    <d v="2022-07-05T00:00:00"/>
    <m/>
    <m/>
    <s v="LIFE"/>
    <m/>
    <m/>
    <m/>
  </r>
  <r>
    <x v="1"/>
    <s v="Yes"/>
    <d v="2022-08-26T00:00:00"/>
    <d v="2022-09-09T00:00:00"/>
    <d v="2022-09-01T00:00:00"/>
    <d v="2023-08-31T00:00:00"/>
    <s v="000-011/AIB RDC/2022"/>
    <n v="0"/>
    <s v="SOUSCRIPTION"/>
    <s v="60200003 - 301"/>
    <s v="Adeos RDC SA"/>
    <m/>
    <s v="ANDY"/>
    <s v="Alice"/>
    <s v="PUBLIC LIABILITY"/>
    <s v="LIABILITIES"/>
    <x v="4"/>
    <s v="RAWSUR"/>
    <n v="0"/>
    <n v="4130"/>
    <n v="0"/>
    <n v="0"/>
    <n v="100"/>
    <n v="3400"/>
    <n v="560"/>
    <e v="#DIV/0!"/>
    <n v="0.15"/>
    <n v="510"/>
    <m/>
    <m/>
    <n v="510"/>
    <n v="81.600000000000009"/>
    <n v="591.6"/>
    <n v="10.200000000000001"/>
    <m/>
    <n v="10.200000000000001"/>
    <m/>
    <n v="499.8"/>
    <m/>
    <m/>
    <n v="0"/>
    <m/>
    <m/>
    <n v="0"/>
    <m/>
    <n v="295.8"/>
    <n v="591.6"/>
    <n v="295.8"/>
    <s v="RAWSUR"/>
    <d v="2022-11-04T00:00:00"/>
    <m/>
    <m/>
    <s v="PUBLIC LIABILITY"/>
    <m/>
    <m/>
    <s v="Paiement échelonné"/>
  </r>
  <r>
    <x v="0"/>
    <s v="Yes"/>
    <d v="2022-01-01T00:00:00"/>
    <d v="2022-01-14T00:00:00"/>
    <d v="2022-01-01T00:00:00"/>
    <d v="2022-12-31T00:00:00"/>
    <s v="000-012/AIB RDC/2022"/>
    <n v="0"/>
    <s v="SOUSCRIPTION"/>
    <s v="12001-09008/1005/2300001495"/>
    <s v="OPPORTUNITY INTERNATIONAL"/>
    <m/>
    <s v="ALICE"/>
    <s v="Alice"/>
    <s v="MEDICAL"/>
    <s v="MEDICAL &amp; GPA"/>
    <x v="3"/>
    <s v="ACTIVA/GGA"/>
    <n v="460000"/>
    <n v="14265"/>
    <n v="0"/>
    <n v="0"/>
    <n v="0"/>
    <n v="10119.94"/>
    <n v="0"/>
    <n v="3.101086956521739E-2"/>
    <n v="0.05"/>
    <n v="505.99700000000007"/>
    <n v="0"/>
    <n v="0"/>
    <n v="505.99700000000007"/>
    <n v="0"/>
    <n v="505.99700000000007"/>
    <n v="10.119940000000001"/>
    <n v="0"/>
    <n v="10.119940000000001"/>
    <m/>
    <n v="495.87706000000009"/>
    <s v="OLEA"/>
    <n v="0.35"/>
    <n v="173.55697100000003"/>
    <m/>
    <m/>
    <n v="173.55697100000003"/>
    <m/>
    <n v="505.99700000000007"/>
    <n v="505.99700000000007"/>
    <n v="0"/>
    <s v="ACTIVA/GGA"/>
    <d v="2022-06-02T00:00:00"/>
    <m/>
    <s v="RENEWED"/>
    <s v="MEDICAL"/>
    <m/>
    <m/>
    <m/>
  </r>
  <r>
    <x v="0"/>
    <s v="Yes"/>
    <d v="2022-01-01T00:00:00"/>
    <d v="2021-12-28T00:00:00"/>
    <d v="2022-01-01T00:00:00"/>
    <d v="2022-12-31T00:00:00"/>
    <s v="000-013/AIB RDC/2022"/>
    <n v="9"/>
    <s v="RENOUVELLEMENT"/>
    <s v="12001-9001-33002-0030000251-2020"/>
    <s v="CEGELEC RDC"/>
    <s v="Distribution"/>
    <s v="ALICE"/>
    <s v="Alice"/>
    <s v="MOTOR TPL"/>
    <s v="MOTOR TPL"/>
    <x v="0"/>
    <s v="ACTIVA"/>
    <m/>
    <n v="6999.11"/>
    <n v="0"/>
    <m/>
    <n v="59.74"/>
    <n v="5974.04"/>
    <m/>
    <e v="#DIV/0!"/>
    <n v="0.11114086949534989"/>
    <n v="663.96"/>
    <n v="0"/>
    <n v="0"/>
    <n v="663.96"/>
    <n v="106.23360000000001"/>
    <n v="770.19360000000006"/>
    <n v="13.279200000000001"/>
    <n v="0"/>
    <n v="13.279200000000001"/>
    <s v="En cours de traitement 2021 Groupe #16"/>
    <n v="650.68080000000009"/>
    <s v="OLEA"/>
    <n v="0.35"/>
    <n v="227.73828"/>
    <n v="227.73828"/>
    <d v="2022-03-23T00:00:00"/>
    <n v="0"/>
    <s v="PT003/AIB RDC/2022 "/>
    <n v="770.19360000000006"/>
    <n v="770.19360000000006"/>
    <n v="0"/>
    <s v="ACTIVA"/>
    <d v="2022-02-09T00:00:00"/>
    <m/>
    <s v="RENEWED"/>
    <s v="MOTOR TPL"/>
    <m/>
    <m/>
    <m/>
  </r>
  <r>
    <x v="0"/>
    <s v="Yes"/>
    <d v="2022-01-01T00:00:00"/>
    <d v="2021-12-30T00:00:00"/>
    <d v="2022-01-01T00:00:00"/>
    <d v="2022-12-31T00:00:00"/>
    <s v="000-014/AIB RDC/2022"/>
    <n v="1"/>
    <s v="RENOUVELLEMENT"/>
    <s v="01-D&amp;O-2021-000014"/>
    <s v="STANDARD BANK"/>
    <s v="Banking"/>
    <s v="ANDY"/>
    <s v="Andy"/>
    <s v="D&amp;O"/>
    <s v="LIABILITIES"/>
    <x v="6"/>
    <s v="MARSH"/>
    <n v="168918919"/>
    <n v="3974.52"/>
    <n v="505.24"/>
    <m/>
    <n v="0"/>
    <n v="2863"/>
    <m/>
    <n v="2.3529158388706005E-5"/>
    <n v="0"/>
    <n v="0"/>
    <n v="139.11000278"/>
    <n v="0"/>
    <n v="139.11000278"/>
    <n v="22.257600444800001"/>
    <n v="161.36760322480001"/>
    <n v="2.7822000556000002"/>
    <n v="0"/>
    <n v="2.7822000556000002"/>
    <s v="En cours de traitement 2021 Groupe #16"/>
    <n v="136.32780272440002"/>
    <s v="MARSH"/>
    <n v="0"/>
    <n v="0"/>
    <m/>
    <m/>
    <n v="0"/>
    <m/>
    <n v="161.36760322480001"/>
    <n v="161.36760322480001"/>
    <n v="0"/>
    <s v="SFA"/>
    <d v="2022-02-16T00:00:00"/>
    <m/>
    <s v="RENEWED"/>
    <s v="D&amp;O"/>
    <m/>
    <m/>
    <m/>
  </r>
  <r>
    <x v="0"/>
    <s v="Yes"/>
    <d v="2022-01-01T00:00:00"/>
    <d v="2021-12-31T00:00:00"/>
    <d v="2022-01-01T00:00:00"/>
    <d v="2022-12-31T00:00:00"/>
    <s v="000-015/AIB RDC/2022"/>
    <n v="1"/>
    <s v="RENOUVELLEMENT"/>
    <s v="01-RCP-2021-000014"/>
    <s v="STANDARD BANK"/>
    <s v="Banking"/>
    <s v="ANDY"/>
    <s v="Andy"/>
    <s v="PI"/>
    <s v="LIABILITIES"/>
    <x v="6"/>
    <s v="MARSH"/>
    <n v="162162162"/>
    <n v="67713.95"/>
    <n v="8607.7099999999991"/>
    <m/>
    <n v="0"/>
    <n v="48777"/>
    <m/>
    <n v="4.175693587509027E-4"/>
    <n v="0"/>
    <n v="0"/>
    <n v="2366.58"/>
    <n v="0"/>
    <n v="2366.58"/>
    <n v="378.65280000000001"/>
    <n v="2745.2327999999998"/>
    <n v="47.331600000000002"/>
    <n v="0"/>
    <n v="47.331600000000002"/>
    <s v="En cours de traitement 2021 Groupe #16"/>
    <n v="2319.2483999999999"/>
    <s v="MARSH"/>
    <n v="0"/>
    <n v="0"/>
    <m/>
    <m/>
    <n v="0"/>
    <m/>
    <n v="2745.2327999999998"/>
    <n v="2745.2327999999998"/>
    <n v="0"/>
    <s v="SFA"/>
    <d v="2022-02-16T00:00:00"/>
    <m/>
    <s v="RENEWED"/>
    <s v="PI"/>
    <m/>
    <m/>
    <m/>
  </r>
  <r>
    <x v="0"/>
    <s v="Yes"/>
    <d v="2022-01-01T00:00:00"/>
    <d v="2021-12-31T00:00:00"/>
    <d v="2022-01-01T00:00:00"/>
    <d v="2022-12-31T00:00:00"/>
    <s v="000-016/AIB RDC/2022"/>
    <n v="1"/>
    <s v="RENOUVELLEMENT"/>
    <s v="01-BBB-2021-000012"/>
    <s v="STANDARD BANK"/>
    <s v="Banking"/>
    <s v="ANDY"/>
    <s v="Andy"/>
    <s v="CYBER"/>
    <s v="PROPERTIES"/>
    <x v="6"/>
    <s v="MARSH"/>
    <n v="94594595"/>
    <n v="17359.88"/>
    <n v="2206.7600000000002"/>
    <m/>
    <n v="0"/>
    <n v="12505"/>
    <m/>
    <n v="1.8351873064206259E-4"/>
    <n v="0"/>
    <n v="0"/>
    <n v="606.72000000000082"/>
    <n v="0"/>
    <n v="606.72000000000082"/>
    <n v="97.075200000000137"/>
    <n v="703.79520000000093"/>
    <n v="12.134400000000017"/>
    <n v="0"/>
    <n v="12.134400000000017"/>
    <s v="En cours de traitement 2021 Groupe #16"/>
    <n v="594.5856000000008"/>
    <s v="MARSH"/>
    <n v="0"/>
    <n v="0"/>
    <m/>
    <m/>
    <n v="0"/>
    <m/>
    <n v="703.79520000000093"/>
    <n v="703.79520000000093"/>
    <n v="0"/>
    <s v="SFA"/>
    <d v="2022-02-16T00:00:00"/>
    <m/>
    <s v="RENEWED"/>
    <s v="CYBER"/>
    <m/>
    <m/>
    <m/>
  </r>
  <r>
    <x v="0"/>
    <s v="Yes"/>
    <d v="2022-01-01T00:00:00"/>
    <d v="2022-04-29T00:00:00"/>
    <d v="2022-01-01T00:00:00"/>
    <d v="2022-12-31T00:00:00"/>
    <s v="000-017/AIB RDC/2022"/>
    <n v="0"/>
    <s v="SOUSCRIPTION"/>
    <s v="00016229"/>
    <s v="Barrick Gold Corporation/Kibali Gold"/>
    <s v="MINING"/>
    <s v="ANDY"/>
    <s v="Andy"/>
    <s v="MACHINARY BREAKDOWN"/>
    <s v="PROPERTIES"/>
    <x v="6"/>
    <s v="McGILL"/>
    <n v="10000000"/>
    <n v="583321.96"/>
    <n v="44256.490000000005"/>
    <n v="-33866.14"/>
    <n v="2223.4699999999998"/>
    <n v="442694.7"/>
    <m/>
    <n v="5.8332195999999996E-2"/>
    <n v="0"/>
    <n v="0"/>
    <n v="13276.947000000002"/>
    <n v="0"/>
    <n v="13276.947000000002"/>
    <n v="2124.3115200000002"/>
    <n v="15401.258520000003"/>
    <n v="265.53894000000003"/>
    <n v="0"/>
    <n v="265.53894000000003"/>
    <m/>
    <n v="13011.408060000002"/>
    <m/>
    <m/>
    <n v="0"/>
    <m/>
    <m/>
    <n v="0"/>
    <m/>
    <n v="15401.258520000003"/>
    <n v="15401.258520000003"/>
    <n v="0"/>
    <s v="SFA"/>
    <d v="2022-05-18T00:00:00"/>
    <m/>
    <s v="RENEWED"/>
    <s v="MACHINARY BREAKDOWN"/>
    <m/>
    <m/>
    <m/>
  </r>
  <r>
    <x v="0"/>
    <s v="Yes"/>
    <d v="2022-01-01T00:00:00"/>
    <d v="2022-02-02T00:00:00"/>
    <d v="2022-01-01T00:00:00"/>
    <d v="2022-12-31T00:00:00"/>
    <s v="000-018/AIB RDC/2022"/>
    <n v="0"/>
    <s v="SOUSCRIPTION"/>
    <s v="12001-33002-9005-014-00000 326-2020"/>
    <s v="Group Optorg / Tractafric Equipment"/>
    <s v="TRANSPORT"/>
    <s v="ANDY"/>
    <s v="Andy"/>
    <s v="GENERAL LIABILITY"/>
    <s v="LIABILITIES"/>
    <x v="0"/>
    <s v="ACTIVA"/>
    <m/>
    <n v="5315.94"/>
    <n v="0"/>
    <n v="0"/>
    <n v="45.37"/>
    <n v="4537.34"/>
    <m/>
    <e v="#DIV/0!"/>
    <n v="0.15"/>
    <n v="680.601"/>
    <n v="0"/>
    <n v="0"/>
    <n v="680.601"/>
    <n v="108.89616000000001"/>
    <n v="789.49716000000001"/>
    <n v="13.612020000000001"/>
    <n v="0"/>
    <n v="13.612020000000001"/>
    <s v="En cours de traitement 2022 Groupe #02"/>
    <n v="666.98897999999997"/>
    <s v="OLEA"/>
    <n v="0.35"/>
    <n v="233.44614299999998"/>
    <m/>
    <m/>
    <n v="233.44614299999998"/>
    <m/>
    <n v="789.49716000000001"/>
    <n v="789.49716000000001"/>
    <n v="0"/>
    <s v="ACTIVA"/>
    <d v="2022-03-30T00:00:00"/>
    <m/>
    <s v="RENEWING..."/>
    <s v="GENERAL LIABILITY"/>
    <m/>
    <m/>
    <m/>
  </r>
  <r>
    <x v="0"/>
    <s v="Yes"/>
    <d v="2022-01-01T00:00:00"/>
    <d v="2022-01-12T00:00:00"/>
    <d v="2022-01-01T00:00:00"/>
    <d v="2022-12-31T00:00:00"/>
    <s v="000-019/AIB RDC/2022"/>
    <n v="0"/>
    <s v="SOUSCRIPTION"/>
    <s v="01-MCO-2022-000004"/>
    <s v="Group Optorg / Katanga Motors"/>
    <s v="TRANSPORT"/>
    <s v="ANDY"/>
    <s v="Andy"/>
    <s v="MARINE CARGO / GIT"/>
    <s v="MARINE"/>
    <x v="6"/>
    <s v="SFA"/>
    <m/>
    <n v="1539.28"/>
    <n v="150.13"/>
    <m/>
    <n v="20"/>
    <n v="1134.3399999999999"/>
    <n v="208.72"/>
    <e v="#DIV/0!"/>
    <n v="0.15"/>
    <n v="170.15099999999998"/>
    <n v="0"/>
    <n v="0"/>
    <n v="170.15099999999998"/>
    <n v="27.224159999999998"/>
    <n v="197.37515999999999"/>
    <n v="3.4030199999999997"/>
    <n v="0"/>
    <n v="3.4030199999999997"/>
    <s v="En cours de traitement 2022 Groupe #01"/>
    <n v="166.74797999999998"/>
    <s v="OLEA"/>
    <n v="0.35"/>
    <n v="58.361792999999992"/>
    <m/>
    <m/>
    <n v="58.361792999999992"/>
    <m/>
    <n v="197.37515999999999"/>
    <n v="197.37515999999999"/>
    <n v="0"/>
    <s v="SFA"/>
    <d v="2022-03-15T00:00:00"/>
    <m/>
    <s v="CANCELLED"/>
    <s v="MARINE CARGO / GIT"/>
    <m/>
    <m/>
    <m/>
  </r>
  <r>
    <x v="0"/>
    <s v="Yes"/>
    <d v="2022-01-01T00:00:00"/>
    <d v="2022-02-15T00:00:00"/>
    <d v="2022-01-01T00:00:00"/>
    <d v="2022-12-31T00:00:00"/>
    <s v="000-020/AIB RDC/2022"/>
    <n v="0"/>
    <s v="SOUSCRIPTION"/>
    <s v="01-MCO-2022-000015"/>
    <s v="Group Optorg / Tractafric Equipment"/>
    <s v="TRANSPORT"/>
    <s v="ANDY"/>
    <s v="Andy"/>
    <s v="MARINE CARGO / GIT"/>
    <s v="MARINE"/>
    <x v="6"/>
    <s v="SFA"/>
    <m/>
    <n v="5473.3"/>
    <n v="538.6"/>
    <n v="0"/>
    <n v="30.35"/>
    <n v="4069.44"/>
    <m/>
    <e v="#DIV/0!"/>
    <n v="0.15"/>
    <n v="610.41599999999994"/>
    <n v="0"/>
    <n v="0"/>
    <n v="610.41599999999994"/>
    <n v="97.66655999999999"/>
    <n v="708.08255999999994"/>
    <n v="12.208319999999999"/>
    <n v="0"/>
    <n v="12.208319999999999"/>
    <s v="En cours de traitement 2022 Groupe #02"/>
    <n v="598.20767999999998"/>
    <s v="OLEA"/>
    <n v="0.35"/>
    <n v="209.37268799999998"/>
    <m/>
    <m/>
    <n v="209.37268799999998"/>
    <m/>
    <n v="708.08255999999994"/>
    <n v="708.08255999999994"/>
    <n v="0"/>
    <s v="SFA"/>
    <d v="2022-03-29T00:00:00"/>
    <m/>
    <s v="RENEWED"/>
    <s v="MARINE CARGO / GIT"/>
    <m/>
    <m/>
    <m/>
  </r>
  <r>
    <x v="0"/>
    <s v="Yes"/>
    <d v="2022-01-01T00:00:00"/>
    <d v="2022-01-14T00:00:00"/>
    <d v="2022-01-01T00:00:00"/>
    <d v="2022-12-31T00:00:00"/>
    <s v="000-021/AIB RDC/2022"/>
    <n v="2"/>
    <s v="RENOUVELLEMENT"/>
    <s v="12001-33002-014-0000323-2020"/>
    <s v="CEGELEC RDC"/>
    <s v="Distribution"/>
    <s v="ANDY"/>
    <s v="Andy"/>
    <s v="GENERAL LIABILITY"/>
    <s v="LIABILITIES"/>
    <x v="0"/>
    <s v="ACTIVA"/>
    <m/>
    <n v="3964.69"/>
    <n v="0"/>
    <m/>
    <n v="33.840000000000003"/>
    <n v="3384"/>
    <m/>
    <e v="#DIV/0!"/>
    <n v="0.15"/>
    <n v="507.59999999999997"/>
    <n v="0"/>
    <n v="0"/>
    <n v="507.59999999999997"/>
    <n v="81.215999999999994"/>
    <n v="588.81599999999992"/>
    <n v="10.151999999999999"/>
    <n v="0"/>
    <n v="10.151999999999999"/>
    <s v="En cours de traitement 2022 Groupe #01"/>
    <n v="497.44799999999998"/>
    <s v="OLEA"/>
    <n v="0.35"/>
    <n v="174.10679999999999"/>
    <m/>
    <m/>
    <n v="174.10679999999999"/>
    <m/>
    <n v="588.81599999999992"/>
    <n v="588.81599999999992"/>
    <n v="0"/>
    <s v="ACTIVA"/>
    <d v="2022-03-23T00:00:00"/>
    <m/>
    <s v="RENEWED"/>
    <s v="GENERAL LIABILITY"/>
    <m/>
    <m/>
    <m/>
  </r>
  <r>
    <x v="0"/>
    <s v="Yes"/>
    <d v="2022-01-01T00:00:00"/>
    <d v="2022-01-18T00:00:00"/>
    <d v="2022-01-01T00:00:00"/>
    <d v="2022-12-31T00:00:00"/>
    <s v="000-022/AIB RDC/2022"/>
    <n v="0"/>
    <s v="SOUSCRIPTION"/>
    <s v="01-IMR-2022-000017"/>
    <s v="Group Optorg / Tractafric Equipment"/>
    <s v="TRANSPORT"/>
    <s v="ANDY"/>
    <s v="Andy"/>
    <s v="FIRE"/>
    <s v="PROPERTIES"/>
    <x v="6"/>
    <s v="SFA"/>
    <n v="18414146"/>
    <n v="31973.74"/>
    <n v="4045.76"/>
    <n v="0"/>
    <n v="124.63"/>
    <n v="22926"/>
    <m/>
    <n v="1.7363683333454618E-3"/>
    <n v="0.1"/>
    <n v="2292.6"/>
    <n v="0"/>
    <n v="0"/>
    <n v="2292.6"/>
    <n v="366.81599999999997"/>
    <n v="2659.4159999999997"/>
    <n v="45.851999999999997"/>
    <n v="0"/>
    <n v="45.851999999999997"/>
    <s v="En cours de traitement 2022 Groupe #02"/>
    <n v="2246.748"/>
    <s v="OLEA"/>
    <n v="0.35"/>
    <n v="786.36180000000002"/>
    <m/>
    <m/>
    <n v="786.36180000000002"/>
    <m/>
    <n v="2659.4159999999997"/>
    <n v="2659.4159999999997"/>
    <n v="0"/>
    <s v="SFA"/>
    <d v="2022-03-29T00:00:00"/>
    <m/>
    <s v="RENEWING..."/>
    <s v="FIRE"/>
    <m/>
    <m/>
    <m/>
  </r>
  <r>
    <x v="0"/>
    <s v="Yes"/>
    <d v="2022-01-01T00:00:00"/>
    <d v="2022-01-03T00:00:00"/>
    <d v="2022-01-01T00:00:00"/>
    <d v="2022-12-31T00:00:00"/>
    <s v="000-023/AIB RDC/2022"/>
    <n v="0"/>
    <s v="SOUSCRIPTION"/>
    <s v="1/01/0700/00205/2021"/>
    <s v="AGENCE FRANCAISE DE DEVELOPPEMENT ( AFD)"/>
    <s v="NGO"/>
    <s v="ANDY"/>
    <s v="Hermine"/>
    <s v="COMP MOTOR"/>
    <s v="MOTOR COMP"/>
    <x v="1"/>
    <s v="MAYFAIR"/>
    <n v="136876.9"/>
    <n v="6922.82"/>
    <n v="0"/>
    <m/>
    <n v="40"/>
    <n v="6747.08"/>
    <m/>
    <n v="5.0576978292173481E-2"/>
    <n v="0.15"/>
    <n v="1012.0619999999999"/>
    <n v="0"/>
    <n v="0"/>
    <n v="1012.0619999999999"/>
    <n v="161.92991999999998"/>
    <n v="1173.9919199999999"/>
    <n v="20.241239999999998"/>
    <n v="0"/>
    <n v="20.241239999999998"/>
    <s v="En cours de traitement 2022 Groupe #01"/>
    <n v="991.82075999999995"/>
    <s v="OLEA"/>
    <n v="0.35"/>
    <n v="347.13726599999995"/>
    <m/>
    <m/>
    <n v="347.13726599999995"/>
    <m/>
    <n v="1173.9919199999999"/>
    <n v="1173.9919199999999"/>
    <n v="0"/>
    <s v="MAYFAIR"/>
    <d v="2022-03-03T00:00:00"/>
    <m/>
    <s v="RENEWED"/>
    <s v="COMP MOTOR"/>
    <m/>
    <m/>
    <m/>
  </r>
  <r>
    <x v="0"/>
    <s v="Yes"/>
    <d v="2022-01-01T00:00:00"/>
    <d v="2022-01-05T00:00:00"/>
    <d v="2022-01-01T00:00:00"/>
    <d v="2022-12-31T00:00:00"/>
    <s v="000-024/AIB RDC/2022"/>
    <n v="0"/>
    <s v="SOUSCRIPTION"/>
    <s v="101/01/030/00005/2021"/>
    <s v="AGENCE FRANCAISE DE DEVELOPPEMENT ( AFD)"/>
    <s v="NGO"/>
    <s v="ANDY"/>
    <s v="Hermine"/>
    <s v="FIRE"/>
    <s v="PROPERTIES"/>
    <x v="1"/>
    <s v="MAYFAIR"/>
    <m/>
    <n v="2041"/>
    <n v="0"/>
    <m/>
    <n v="50"/>
    <n v="1951"/>
    <m/>
    <e v="#DIV/0!"/>
    <n v="0.2"/>
    <n v="390.20000000000005"/>
    <n v="0"/>
    <n v="0"/>
    <n v="390.20000000000005"/>
    <n v="62.432000000000009"/>
    <n v="452.63200000000006"/>
    <n v="7.8040000000000012"/>
    <n v="0"/>
    <n v="7.8040000000000012"/>
    <s v="En cours de traitement 2022 Groupe #01"/>
    <n v="382.39600000000007"/>
    <s v="OLEA"/>
    <n v="0.35"/>
    <n v="133.83860000000001"/>
    <m/>
    <m/>
    <n v="133.83860000000001"/>
    <m/>
    <n v="452.63200000000006"/>
    <n v="452.63200000000006"/>
    <n v="0"/>
    <s v="MAYFAIR"/>
    <d v="2022-03-03T00:00:00"/>
    <m/>
    <s v="RENEWED"/>
    <s v="FIRE"/>
    <m/>
    <m/>
    <m/>
  </r>
  <r>
    <x v="0"/>
    <s v="Yes"/>
    <d v="2022-01-01T00:00:00"/>
    <d v="2022-01-03T00:00:00"/>
    <d v="2022-01-01T00:00:00"/>
    <d v="2022-12-31T00:00:00"/>
    <s v="000-025/AIB RDC/2022"/>
    <n v="0"/>
    <s v="SOUSCRIPTION"/>
    <s v="101/01/040/00270/2021"/>
    <s v="AGENCE FRANCAISE DE DEVELOPPEMENT ( AFD)"/>
    <s v="NGO"/>
    <s v="ANDY"/>
    <s v="Hermine"/>
    <s v="FIRE"/>
    <s v="PROPERTIES"/>
    <x v="1"/>
    <s v="MAYFAIR"/>
    <m/>
    <n v="2219"/>
    <n v="0"/>
    <m/>
    <n v="50"/>
    <n v="2125"/>
    <m/>
    <e v="#DIV/0!"/>
    <n v="0.15"/>
    <n v="318.75"/>
    <n v="0"/>
    <n v="0"/>
    <n v="318.75"/>
    <n v="51"/>
    <n v="369.75"/>
    <n v="6.375"/>
    <n v="0"/>
    <n v="6.375"/>
    <s v="En cours de traitement 2022 Groupe #01"/>
    <n v="312.375"/>
    <s v="OLEA"/>
    <n v="0.35"/>
    <n v="109.33125"/>
    <m/>
    <m/>
    <n v="109.33125"/>
    <m/>
    <n v="369.75"/>
    <n v="369.75"/>
    <n v="0"/>
    <s v="MAYFAIR"/>
    <d v="2022-03-03T00:00:00"/>
    <m/>
    <s v="RENEWED"/>
    <s v="FIRE"/>
    <m/>
    <m/>
    <m/>
  </r>
  <r>
    <x v="0"/>
    <s v="Yes"/>
    <d v="2022-01-01T00:00:00"/>
    <d v="2022-01-06T00:00:00"/>
    <d v="2022-01-01T00:00:00"/>
    <d v="2022-12-31T00:00:00"/>
    <s v="000-026/AIB RDC/2022"/>
    <n v="0"/>
    <s v="SOUSCRIPTION"/>
    <s v="101/01/052/00035/2021"/>
    <s v="AGENCE FRANCAISE DE DEVELOPPEMENT ( AFD)"/>
    <s v="NGO"/>
    <s v="ANDY"/>
    <s v="Hermine"/>
    <s v="GENERAL LIABILITY"/>
    <s v="LIABILITIES"/>
    <x v="1"/>
    <s v="MAYFAIR"/>
    <m/>
    <n v="530"/>
    <n v="0"/>
    <m/>
    <n v="20"/>
    <n v="500"/>
    <m/>
    <e v="#DIV/0!"/>
    <n v="0.15"/>
    <n v="75"/>
    <n v="0"/>
    <n v="0"/>
    <n v="75"/>
    <n v="12"/>
    <n v="87"/>
    <n v="1.5"/>
    <n v="0"/>
    <n v="1.5"/>
    <s v="En cours de traitement 2022 Groupe #01"/>
    <n v="73.5"/>
    <s v="OLEA"/>
    <n v="0.35"/>
    <n v="25.724999999999998"/>
    <m/>
    <m/>
    <n v="25.724999999999998"/>
    <m/>
    <n v="87"/>
    <n v="87"/>
    <n v="0"/>
    <s v="MAYFAIR"/>
    <d v="2022-03-03T00:00:00"/>
    <m/>
    <s v="RENEWED"/>
    <s v="GENERAL LIABILITY"/>
    <m/>
    <m/>
    <m/>
  </r>
  <r>
    <x v="0"/>
    <s v="Yes"/>
    <d v="2022-01-01T00:00:00"/>
    <d v="2022-01-05T00:00:00"/>
    <d v="2022-01-01T00:00:00"/>
    <d v="2022-12-31T00:00:00"/>
    <s v="000-027/AIB RDC/2022"/>
    <n v="0"/>
    <s v="SOUSCRIPTION"/>
    <s v="101/01/052/00037/2021"/>
    <s v="AGENCE FRANCAISE DE DEVELOPPEMENT ( AFD)"/>
    <s v="NGO"/>
    <s v="ANDY"/>
    <s v="Hermine"/>
    <s v="GENERAL LIABILITY"/>
    <s v="LIABILITIES"/>
    <x v="1"/>
    <s v="MAYFAIR"/>
    <n v="100000"/>
    <n v="888"/>
    <n v="0"/>
    <m/>
    <n v="20"/>
    <n v="850"/>
    <m/>
    <n v="8.8800000000000007E-3"/>
    <n v="0.15"/>
    <n v="127.5"/>
    <n v="0"/>
    <n v="0"/>
    <n v="127.5"/>
    <n v="20.400000000000002"/>
    <n v="147.9"/>
    <n v="2.5500000000000003"/>
    <n v="0"/>
    <n v="2.5500000000000003"/>
    <s v="En cours de traitement 2022 Groupe #01"/>
    <n v="124.95"/>
    <s v="OLEA"/>
    <n v="0.35"/>
    <n v="43.732500000000002"/>
    <m/>
    <m/>
    <n v="43.732500000000002"/>
    <m/>
    <n v="147.9"/>
    <n v="147.9"/>
    <n v="0"/>
    <s v="MAYFAIR"/>
    <d v="2022-03-03T00:00:00"/>
    <m/>
    <s v="RENEWED"/>
    <s v="GENERAL LIABILITY"/>
    <m/>
    <m/>
    <m/>
  </r>
  <r>
    <x v="0"/>
    <s v="Yes"/>
    <d v="2022-01-01T00:00:00"/>
    <d v="2021-12-31T00:00:00"/>
    <d v="2022-01-01T00:00:00"/>
    <d v="2022-12-31T00:00:00"/>
    <s v="000-028/AIB RDC/2022"/>
    <n v="1"/>
    <s v="RENOUVELLEMENT"/>
    <s v="3384000107L"/>
    <s v="G4S DRC Sarl"/>
    <s v="SECURITY"/>
    <s v="ANDY"/>
    <s v="Hermine"/>
    <s v="FIRE"/>
    <s v="PROPERTIES"/>
    <x v="7"/>
    <s v="SONAS / Agence Commerce"/>
    <m/>
    <n v="11541"/>
    <n v="0"/>
    <m/>
    <n v="0"/>
    <n v="9949.14"/>
    <m/>
    <e v="#DIV/0!"/>
    <n v="0.1"/>
    <n v="994.91399999999999"/>
    <n v="0"/>
    <n v="0"/>
    <n v="994.91399999999999"/>
    <n v="159.18624"/>
    <n v="1154.10024"/>
    <n v="19.89828"/>
    <n v="0"/>
    <n v="19.89828"/>
    <s v="En cours de traitement 2021 Groupe #16"/>
    <n v="975.01571999999999"/>
    <m/>
    <m/>
    <n v="0"/>
    <m/>
    <m/>
    <n v="0"/>
    <m/>
    <n v="1154.10024"/>
    <n v="1154.10024"/>
    <n v="0"/>
    <s v="SONAS / Agence Commerce"/>
    <d v="2022-01-26T00:00:00"/>
    <m/>
    <s v="LOST"/>
    <s v="FIRE"/>
    <m/>
    <m/>
    <m/>
  </r>
  <r>
    <x v="0"/>
    <s v="Yes"/>
    <d v="2022-01-01T00:00:00"/>
    <d v="2021-12-31T00:00:00"/>
    <d v="2022-01-01T00:00:00"/>
    <d v="2022-12-31T00:00:00"/>
    <s v="000-029/AIB RDC/2022"/>
    <n v="1"/>
    <s v="RENOUVELLEMENT"/>
    <s v="1284000813V"/>
    <s v="G4S DRC Sarl"/>
    <s v="SECURITY"/>
    <s v="ANDY"/>
    <s v="Hermine"/>
    <s v="MOTOR TPL"/>
    <s v="MOTOR TPL"/>
    <x v="7"/>
    <s v="SONAS / Agence Commerce"/>
    <m/>
    <n v="29185"/>
    <n v="0"/>
    <m/>
    <n v="0"/>
    <n v="25159.48"/>
    <m/>
    <e v="#DIV/0!"/>
    <n v="0.1"/>
    <n v="2515.9480000000003"/>
    <n v="0"/>
    <n v="0"/>
    <n v="2515.9480000000003"/>
    <n v="402.55168000000003"/>
    <n v="2918.4996800000004"/>
    <n v="50.318960000000004"/>
    <n v="0"/>
    <n v="50.318960000000004"/>
    <s v="En cours de traitement 2021 Groupe #16"/>
    <n v="2465.6290400000003"/>
    <m/>
    <m/>
    <n v="0"/>
    <m/>
    <m/>
    <n v="0"/>
    <m/>
    <n v="2918.4996800000004"/>
    <n v="2918.4996800000004"/>
    <n v="0"/>
    <s v="SONAS / Agence Commerce"/>
    <d v="2022-01-26T00:00:00"/>
    <m/>
    <s v="LOST"/>
    <s v="MOTOR TPL"/>
    <m/>
    <m/>
    <m/>
  </r>
  <r>
    <x v="0"/>
    <s v="Yes"/>
    <d v="2022-01-01T00:00:00"/>
    <d v="2022-01-27T00:00:00"/>
    <d v="2022-01-01T00:00:00"/>
    <d v="2022-12-31T00:00:00"/>
    <s v="000-030/AIB RDC/2022"/>
    <n v="1"/>
    <s v="RENOUVELLEMENT"/>
    <s v="12003-33002-0004-114-00000002-2022 / 51000006"/>
    <s v="CEGELEC RDC"/>
    <s v="Distribution"/>
    <s v="ANDY"/>
    <s v="Andy"/>
    <s v="CAR"/>
    <s v="CONSTRUCTIONS"/>
    <x v="4"/>
    <s v="RAWSUR"/>
    <n v="2293523.98"/>
    <n v="6795.45"/>
    <n v="0"/>
    <m/>
    <n v="100"/>
    <n v="5658.85"/>
    <m/>
    <n v="2.9628859603203278E-3"/>
    <n v="0.15"/>
    <n v="848.82749999999999"/>
    <n v="0"/>
    <n v="0"/>
    <n v="848.82749999999999"/>
    <n v="135.8124"/>
    <n v="984.63990000000001"/>
    <n v="16.97655"/>
    <n v="0"/>
    <n v="16.97655"/>
    <s v="En cours de traitement 2022 Groupe #01"/>
    <n v="831.85095000000001"/>
    <s v="OLEA"/>
    <n v="0.35"/>
    <n v="291.14783249999999"/>
    <m/>
    <m/>
    <n v="291.14783249999999"/>
    <m/>
    <n v="984.63990000000001"/>
    <n v="984.63990000000001"/>
    <n v="0"/>
    <s v="RAWSUR"/>
    <d v="2022-03-15T00:00:00"/>
    <m/>
    <s v="RENEWING..."/>
    <s v="CAR"/>
    <m/>
    <m/>
    <m/>
  </r>
  <r>
    <x v="0"/>
    <s v="Yes"/>
    <d v="2022-01-01T00:00:00"/>
    <d v="2021-12-29T00:00:00"/>
    <d v="2022-01-01T00:00:00"/>
    <d v="2022-12-31T00:00:00"/>
    <s v="000-031/AIB RDC/2022"/>
    <n v="1"/>
    <s v="RENOUVELLEMENT"/>
    <s v="000001-0017-003-0000032"/>
    <s v="CARGOMAN Sarl"/>
    <s v="Aviation"/>
    <s v="ANDY"/>
    <s v="Andy"/>
    <s v="MOTOR TPL"/>
    <s v="MOTOR TPL"/>
    <x v="2"/>
    <s v="SUNU"/>
    <m/>
    <n v="2405.34"/>
    <n v="0"/>
    <m/>
    <n v="20.53"/>
    <n v="2053.04"/>
    <n v="331.77"/>
    <e v="#DIV/0!"/>
    <n v="0.1"/>
    <n v="205.304"/>
    <n v="0"/>
    <n v="0"/>
    <n v="205.304"/>
    <n v="32.848640000000003"/>
    <n v="238.15264000000002"/>
    <n v="4.1060800000000004"/>
    <n v="0"/>
    <n v="4.1060800000000004"/>
    <s v="En cours de traitement 2021 Groupe #16"/>
    <n v="201.19792000000001"/>
    <m/>
    <m/>
    <n v="0"/>
    <m/>
    <m/>
    <n v="0"/>
    <m/>
    <n v="238.15264000000002"/>
    <n v="238.15264000000002"/>
    <n v="0"/>
    <s v="SUNU"/>
    <d v="2022-02-11T00:00:00"/>
    <m/>
    <s v="RENEWED"/>
    <s v="MOTOR TPL"/>
    <m/>
    <m/>
    <m/>
  </r>
  <r>
    <x v="0"/>
    <s v="Yes"/>
    <d v="2022-01-01T00:00:00"/>
    <d v="2021-12-31T00:00:00"/>
    <d v="2022-01-01T00:00:00"/>
    <d v="2022-12-31T00:00:00"/>
    <s v="000-032/AIB RDC/2022"/>
    <n v="0"/>
    <s v="SOUSCRIPTION"/>
    <s v="000001-0017-003-0000938"/>
    <s v="BOLLORE TRANSPORT &amp; LOGISTICS RDC"/>
    <s v="TRANSPORT"/>
    <s v="SYNTYCHE"/>
    <s v="Grâce"/>
    <s v="MOTOR TPL"/>
    <s v="MOTOR TPL"/>
    <x v="2"/>
    <s v="SUNU"/>
    <n v="0"/>
    <n v="46932.07"/>
    <n v="0"/>
    <m/>
    <n v="400.58"/>
    <n v="40058.1"/>
    <n v="6473.39"/>
    <e v="#DIV/0!"/>
    <n v="0.1"/>
    <n v="4005.81"/>
    <n v="0"/>
    <n v="0"/>
    <n v="4005.81"/>
    <n v="640.92960000000005"/>
    <n v="4646.7395999999999"/>
    <n v="80.116200000000006"/>
    <n v="0"/>
    <n v="80.116200000000006"/>
    <s v="En cours de traitement 2021 Groupe #16"/>
    <n v="3925.6938"/>
    <m/>
    <n v="0.35"/>
    <n v="1373.9928299999999"/>
    <n v="1373.9928299999999"/>
    <d v="2022-03-23T00:00:00"/>
    <n v="0"/>
    <s v="PT003/AIB RDC/2022 "/>
    <n v="4646.7395999999999"/>
    <n v="4646.7395999999999"/>
    <n v="0"/>
    <s v="SUNU"/>
    <d v="2022-02-11T00:00:00"/>
    <m/>
    <s v="RENEWED"/>
    <s v="MOTOR TPL"/>
    <m/>
    <m/>
    <m/>
  </r>
  <r>
    <x v="0"/>
    <s v="Yes"/>
    <d v="2022-01-01T00:00:00"/>
    <d v="2022-01-25T00:00:00"/>
    <d v="2022-01-01T00:00:00"/>
    <d v="2022-12-31T00:00:00"/>
    <s v="000-033/AIB RDC/2022"/>
    <n v="2"/>
    <s v="RENOUVELLEMENT"/>
    <s v="12001-3002-9007-008-00000308"/>
    <s v="BOLLORE TRANSPORT &amp; LOGISTICS RDC"/>
    <s v="TRANSPORT"/>
    <s v="ANDY"/>
    <s v="Andy"/>
    <s v="FIRE"/>
    <s v="PROPERTIES"/>
    <x v="0"/>
    <s v="ACTIVA"/>
    <n v="0"/>
    <n v="196779.59"/>
    <n v="0"/>
    <n v="0"/>
    <n v="1679.58"/>
    <n v="167958"/>
    <n v="27142.012799999997"/>
    <e v="#DIV/0!"/>
    <n v="0.05"/>
    <n v="8397.9"/>
    <n v="0"/>
    <n v="0"/>
    <n v="8397.9"/>
    <n v="1343.664"/>
    <n v="9741.5640000000003"/>
    <n v="167.958"/>
    <n v="0"/>
    <n v="167.958"/>
    <s v="En cours de traitement 2022 Groupe #01"/>
    <n v="8229.9419999999991"/>
    <m/>
    <m/>
    <n v="0"/>
    <m/>
    <m/>
    <n v="0"/>
    <m/>
    <n v="9741.5640000000003"/>
    <n v="9741.5640000000003"/>
    <n v="0"/>
    <s v="ACTIVA"/>
    <d v="2022-03-23T00:00:00"/>
    <m/>
    <s v="RENEWED"/>
    <s v="FIRE"/>
    <m/>
    <m/>
    <m/>
  </r>
  <r>
    <x v="0"/>
    <s v="Yes"/>
    <d v="2022-01-01T00:00:00"/>
    <d v="2022-01-25T00:00:00"/>
    <d v="2022-01-01T00:00:00"/>
    <d v="2022-12-31T00:00:00"/>
    <s v="000-034/AIB RDC/2022"/>
    <n v="3"/>
    <s v="RENOUVELLEMENT"/>
    <s v="12001-09005/3002/145 0000 341"/>
    <s v="BOLLORE TRANSPORT &amp; LOGISTICS RDC"/>
    <s v="TRANSPORT"/>
    <s v="ANDY"/>
    <s v="Andy"/>
    <s v="PUBLIC LIABILITY"/>
    <s v="LIABILITIES"/>
    <x v="0"/>
    <s v="HELVETIA"/>
    <n v="0"/>
    <n v="260968.94"/>
    <n v="0"/>
    <m/>
    <n v="2227.46"/>
    <n v="222745.77"/>
    <n v="35995.716799999995"/>
    <e v="#DIV/0!"/>
    <n v="0.05"/>
    <m/>
    <n v="0"/>
    <n v="11137.288500000001"/>
    <n v="11137.288500000001"/>
    <n v="1781.9661600000002"/>
    <n v="12919.254660000001"/>
    <n v="222.74577000000002"/>
    <n v="0"/>
    <n v="222.74577000000002"/>
    <s v="En cours de traitement 2022 Groupe #01"/>
    <n v="10914.542730000001"/>
    <m/>
    <m/>
    <n v="0"/>
    <m/>
    <m/>
    <n v="0"/>
    <m/>
    <n v="12919.254660000001"/>
    <n v="12919.254660000001"/>
    <n v="0"/>
    <s v="ACTIVA"/>
    <d v="2022-03-23T00:00:00"/>
    <m/>
    <s v="RENEWING..."/>
    <s v="PUBLIC LIABILITY"/>
    <m/>
    <m/>
    <m/>
  </r>
  <r>
    <x v="0"/>
    <s v="Yes"/>
    <d v="2022-07-07T00:00:00"/>
    <d v="2022-03-28T00:00:00"/>
    <d v="2022-01-01T00:00:00"/>
    <d v="2022-12-31T00:00:00"/>
    <s v="000-035/AIB RDC/2022"/>
    <n v="1"/>
    <s v="RENOUVELLEMENT"/>
    <s v="301-219000003"/>
    <s v="AIRTEL DRC"/>
    <s v="TELECOM"/>
    <s v="ALICE"/>
    <s v="Alice"/>
    <s v="LIFE"/>
    <s v="LIFE"/>
    <x v="5"/>
    <s v="UAP INSURANCE COMPANY LIMITED"/>
    <m/>
    <n v="112976"/>
    <n v="10179.02"/>
    <m/>
    <n v="0"/>
    <n v="101678.39999999999"/>
    <n v="0"/>
    <e v="#DIV/0!"/>
    <n v="0"/>
    <m/>
    <n v="3053.7060000000001"/>
    <n v="0"/>
    <n v="3053.7060000000001"/>
    <n v="0"/>
    <n v="3053.7060000000001"/>
    <n v="30.53706"/>
    <n v="0"/>
    <n v="30.53706"/>
    <m/>
    <n v="3023.16894"/>
    <m/>
    <m/>
    <n v="0"/>
    <m/>
    <m/>
    <n v="0"/>
    <m/>
    <n v="3053.7060000000001"/>
    <n v="3053.7060000000001"/>
    <n v="0"/>
    <s v="RAWSUR - LIFE"/>
    <d v="2022-07-05T00:00:00"/>
    <m/>
    <s v="RENEWED"/>
    <s v="LIFE"/>
    <m/>
    <m/>
    <m/>
  </r>
  <r>
    <x v="0"/>
    <s v="Yes"/>
    <d v="2022-01-01T00:00:00"/>
    <d v="2022-03-31T00:00:00"/>
    <d v="2022-01-01T00:00:00"/>
    <d v="2022-12-31T00:00:00"/>
    <s v="000-036/AIB RDC/2022"/>
    <n v="0"/>
    <s v="SOUSCRIPTION"/>
    <s v="12001-13001-0014-111-00002001-2022"/>
    <s v="CEGELEC RDC"/>
    <s v="Distribution"/>
    <s v="ANDY"/>
    <s v="Andy"/>
    <s v="MARINE CARGO / GIT"/>
    <s v="MARINE"/>
    <x v="0"/>
    <s v="ACTIVA"/>
    <n v="900496"/>
    <n v="2643.14"/>
    <n v="0"/>
    <m/>
    <n v="22.56"/>
    <n v="2256.0100000000002"/>
    <m/>
    <n v="2.9352045983546842E-3"/>
    <n v="0.15"/>
    <n v="338.4015"/>
    <n v="0"/>
    <n v="0"/>
    <n v="338.4015"/>
    <n v="54.144240000000003"/>
    <n v="392.54574000000002"/>
    <n v="6.7680300000000004"/>
    <n v="0"/>
    <n v="6.7680300000000004"/>
    <m/>
    <n v="331.63346999999999"/>
    <s v="OLEA"/>
    <n v="0.35"/>
    <n v="116.07171449999998"/>
    <m/>
    <m/>
    <n v="116.07171449999998"/>
    <m/>
    <n v="392.54574000000002"/>
    <n v="392.54574000000002"/>
    <n v="0"/>
    <s v="ACTIVA"/>
    <d v="2022-05-18T00:00:00"/>
    <m/>
    <s v="RENEWING..."/>
    <s v="MARINE CARGO / GIT"/>
    <m/>
    <m/>
    <m/>
  </r>
  <r>
    <x v="0"/>
    <s v="Yes"/>
    <d v="2022-01-05T00:00:00"/>
    <d v="2022-01-05T00:00:00"/>
    <d v="2022-01-05T00:00:00"/>
    <d v="2022-02-04T00:00:00"/>
    <s v="000-037/AIB RDC/2022"/>
    <n v="0"/>
    <s v="SOUSCRIPTION"/>
    <s v="12003-33002-0005-111-00000020-2022 / 72000017"/>
    <s v="CONCERN WORLDWIDE / Bolloré"/>
    <m/>
    <s v="SYNTYCHE"/>
    <s v="Victor"/>
    <s v="MARINE CARGO / GIT"/>
    <s v="MARINE"/>
    <x v="4"/>
    <s v="RAWSUR"/>
    <n v="9641"/>
    <n v="129.80000000000001"/>
    <n v="0"/>
    <m/>
    <n v="10"/>
    <n v="100"/>
    <m/>
    <n v="1.3463333679078935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06T00:00:00"/>
    <d v="2022-01-01T00:00:00"/>
    <d v="2022-01-06T00:00:00"/>
    <d v="2022-02-05T00:00:00"/>
    <s v="000-038/AIB RDC/2022"/>
    <n v="0"/>
    <s v="SOUSCRIPTION"/>
    <s v="12003-33002-0005-111-00000019-2022 / 72000016"/>
    <s v="ORICA / Bolloré"/>
    <m/>
    <s v="SYNTYCHE"/>
    <s v="Victor"/>
    <s v="MARINE CARGO / GIT"/>
    <s v="MARINE"/>
    <x v="4"/>
    <s v="RAWSUR"/>
    <n v="5466"/>
    <n v="129.80000000000001"/>
    <n v="0"/>
    <n v="0"/>
    <n v="10"/>
    <n v="100"/>
    <n v="17.600000000000001"/>
    <n v="2.374679839004757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07T00:00:00"/>
    <d v="2022-01-19T00:00:00"/>
    <d v="2022-01-07T00:00:00"/>
    <d v="2022-07-07T00:00:00"/>
    <s v="000-039/AIB RDC/2022"/>
    <n v="2"/>
    <s v="INCORPORATION"/>
    <s v="12003-33002-0012-108-00000001-2022 / 75600001"/>
    <s v="MALU AVIATION (9S GPS)"/>
    <s v="Aviation"/>
    <s v="SYNTYCHE"/>
    <s v="Grace"/>
    <s v="AVIATION HULL ALL RISK"/>
    <s v="AVIATION"/>
    <x v="4"/>
    <s v="ION"/>
    <n v="0"/>
    <n v="61952.63"/>
    <n v="0"/>
    <m/>
    <n v="25"/>
    <n v="52477.23"/>
    <m/>
    <e v="#DIV/0!"/>
    <n v="0.04"/>
    <m/>
    <n v="2099.0892000000003"/>
    <n v="0"/>
    <n v="2099.0892000000003"/>
    <n v="335.85427200000004"/>
    <n v="2434.9434720000004"/>
    <n v="41.981784000000005"/>
    <n v="0"/>
    <n v="41.981784000000005"/>
    <s v="En cours de traitement 2022 Groupe #01"/>
    <n v="2057.1074160000003"/>
    <m/>
    <m/>
    <n v="0"/>
    <m/>
    <m/>
    <n v="0"/>
    <m/>
    <n v="2434.9434720000004"/>
    <n v="2434.9434720000004"/>
    <n v="0"/>
    <s v="RAWSUR"/>
    <d v="2022-03-15T00:00:00"/>
    <m/>
    <s v="LOST"/>
    <s v="AVIATION HULL ALL RISK"/>
    <m/>
    <m/>
    <m/>
  </r>
  <r>
    <x v="0"/>
    <s v="Yes"/>
    <d v="2022-01-07T00:00:00"/>
    <d v="2022-01-05T00:00:00"/>
    <d v="2022-01-07T00:00:00"/>
    <d v="2023-01-06T00:00:00"/>
    <s v="000-040/AIB RDC/2022"/>
    <n v="1"/>
    <s v="RENOUVELLEMENT"/>
    <s v="01-RCG-2020-000067"/>
    <s v="Service Maintenance Solution ( SMS)"/>
    <s v="SERVICE"/>
    <s v="RAMSY"/>
    <s v="Ramsy"/>
    <s v="GENERAL LIABILITY"/>
    <s v="LIABILITIES"/>
    <x v="6"/>
    <s v="SFA"/>
    <n v="500000"/>
    <n v="2621.0100000000002"/>
    <n v="0"/>
    <m/>
    <n v="21"/>
    <n v="2200.19"/>
    <m/>
    <n v="5.24202E-3"/>
    <n v="0.1"/>
    <n v="220.01900000000001"/>
    <n v="0"/>
    <n v="0"/>
    <n v="220.01900000000001"/>
    <n v="35.203040000000001"/>
    <n v="255.22203999999999"/>
    <n v="4.4003800000000002"/>
    <n v="0"/>
    <n v="4.4003800000000002"/>
    <s v="En cours de traitement 2022 Groupe #01"/>
    <n v="215.61861999999999"/>
    <m/>
    <m/>
    <n v="0"/>
    <m/>
    <m/>
    <n v="0"/>
    <m/>
    <n v="255.22203999999999"/>
    <n v="255.22203999999999"/>
    <n v="0"/>
    <s v="SFA"/>
    <d v="2022-03-15T00:00:00"/>
    <m/>
    <s v="RENEWED"/>
    <s v="GENERAL LIABILITY"/>
    <m/>
    <m/>
    <m/>
  </r>
  <r>
    <x v="0"/>
    <s v="Yes"/>
    <d v="2022-01-07T00:00:00"/>
    <d v="2022-01-13T00:00:00"/>
    <d v="2022-01-07T00:00:00"/>
    <d v="2023-01-05T00:00:00"/>
    <s v="000-041/AIB RDC/2022"/>
    <n v="0"/>
    <s v="SOUSCRIPTION"/>
    <s v="01-ACI-2022-000001"/>
    <s v="BOLLORE TRANSPORT &amp; LOGISTICS RDC"/>
    <s v="TRANSPORT"/>
    <s v="SYNTYCHE"/>
    <s v="Michée"/>
    <s v="GPA"/>
    <s v="MEDICAL &amp; GPA"/>
    <x v="6"/>
    <s v="SFA"/>
    <n v="0"/>
    <n v="1534"/>
    <n v="0"/>
    <m/>
    <n v="20"/>
    <n v="1280"/>
    <n v="208"/>
    <e v="#DIV/0!"/>
    <n v="0.1"/>
    <n v="128"/>
    <n v="0"/>
    <n v="0"/>
    <n v="128"/>
    <n v="20.48"/>
    <n v="148.47999999999999"/>
    <n v="2.56"/>
    <n v="0"/>
    <n v="2.56"/>
    <s v="En cours de traitement 2022 Groupe #01"/>
    <n v="125.44"/>
    <m/>
    <m/>
    <n v="0"/>
    <m/>
    <m/>
    <n v="0"/>
    <m/>
    <n v="148.47999999999999"/>
    <n v="148.47999999999999"/>
    <n v="0"/>
    <s v="SFA"/>
    <d v="2022-03-15T00:00:00"/>
    <m/>
    <s v="RENEWED"/>
    <s v="GPA"/>
    <m/>
    <m/>
    <m/>
  </r>
  <r>
    <x v="0"/>
    <s v="Yes"/>
    <d v="2022-01-07T00:00:00"/>
    <d v="2022-01-05T00:00:00"/>
    <d v="2022-01-07T00:00:00"/>
    <d v="2023-01-06T00:00:00"/>
    <s v="000-042/AIB RDC/2022"/>
    <n v="1"/>
    <s v="RENOUVELLEMENT"/>
    <s v="01-ACI-2020-000026"/>
    <s v="Service Maintenance Solution ( SMS)"/>
    <s v="SERVICE"/>
    <s v="RAMSY"/>
    <s v="Ramsy"/>
    <s v="GPA"/>
    <s v="MEDICAL &amp; GPA"/>
    <x v="6"/>
    <s v="SFA"/>
    <n v="100000"/>
    <n v="997.03"/>
    <n v="0"/>
    <m/>
    <n v="20"/>
    <n v="824.94"/>
    <m/>
    <n v="9.9702999999999996E-3"/>
    <n v="0.1"/>
    <n v="82.494000000000014"/>
    <n v="0"/>
    <n v="0"/>
    <n v="82.494000000000014"/>
    <n v="13.199040000000002"/>
    <n v="95.693040000000011"/>
    <n v="1.6498800000000002"/>
    <n v="0"/>
    <n v="1.6498800000000002"/>
    <s v="En cours de traitement 2022 Groupe #01"/>
    <n v="80.844120000000018"/>
    <m/>
    <m/>
    <n v="0"/>
    <m/>
    <m/>
    <n v="0"/>
    <m/>
    <n v="95.693040000000011"/>
    <n v="95.693040000000011"/>
    <n v="0"/>
    <s v="SFA"/>
    <d v="2022-03-15T00:00:00"/>
    <m/>
    <s v="RENEWED"/>
    <s v="GPA"/>
    <m/>
    <m/>
    <m/>
  </r>
  <r>
    <x v="0"/>
    <s v="Yes"/>
    <d v="2022-01-07T00:00:00"/>
    <d v="2022-01-10T00:00:00"/>
    <d v="2022-01-07T00:00:00"/>
    <d v="2022-02-05T00:00:00"/>
    <s v="000-043/AIB RDC/2022"/>
    <n v="0"/>
    <s v="SOUSCRIPTION"/>
    <s v="01-CRG-2022-000001"/>
    <s v="XIN-DA / Bolloré"/>
    <m/>
    <s v="SYNTYCHE"/>
    <s v="Victor"/>
    <s v="MARINE CARGO / GIT"/>
    <s v="MARINE"/>
    <x v="6"/>
    <s v="SFA"/>
    <n v="139498.75"/>
    <n v="558.58000000000004"/>
    <n v="0"/>
    <m/>
    <n v="20"/>
    <n v="453.37"/>
    <m/>
    <n v="4.0041935859640321E-3"/>
    <n v="0.15"/>
    <n v="68.005499999999998"/>
    <n v="0"/>
    <n v="0"/>
    <n v="68.005499999999998"/>
    <n v="10.880879999999999"/>
    <n v="78.886380000000003"/>
    <n v="1.3601099999999999"/>
    <n v="0"/>
    <n v="1.3601099999999999"/>
    <s v="En cours de traitement 2022 Groupe #01"/>
    <n v="66.645389999999992"/>
    <s v="BOLLORE"/>
    <n v="0.4"/>
    <n v="26.658155999999998"/>
    <n v="26.658155999999998"/>
    <d v="2022-09-30T00:00:00"/>
    <n v="0"/>
    <s v="PT008/AIB RDC/2022"/>
    <n v="78.886380000000003"/>
    <n v="78.886380000000003"/>
    <n v="0"/>
    <s v="SFA"/>
    <d v="2022-03-15T00:00:00"/>
    <m/>
    <s v="ONCE OFF"/>
    <s v="MARINE CARGO / GIT"/>
    <m/>
    <m/>
    <m/>
  </r>
  <r>
    <x v="0"/>
    <s v="Yes"/>
    <d v="2022-01-07T00:00:00"/>
    <d v="2022-01-07T00:00:00"/>
    <d v="2022-01-07T00:00:00"/>
    <d v="2022-03-22T00:00:00"/>
    <s v="000-044/AIB RDC/2022"/>
    <n v="3"/>
    <s v="INCORPORATION"/>
    <s v="01-RCAP-2021-000057"/>
    <s v="AFRICELL RDC Sa"/>
    <s v="TELECOM"/>
    <s v="RAMSY"/>
    <s v="Victor"/>
    <s v="MOTOR TPL"/>
    <s v="MOTOR TPL"/>
    <x v="6"/>
    <s v="SFA"/>
    <n v="0"/>
    <n v="655.26"/>
    <n v="0"/>
    <m/>
    <n v="8.2100000000000009"/>
    <n v="547.09"/>
    <n v="88.85"/>
    <e v="#DIV/0!"/>
    <n v="0.1"/>
    <n v="54.709000000000003"/>
    <n v="0"/>
    <n v="0"/>
    <n v="54.709000000000003"/>
    <n v="8.7534400000000012"/>
    <n v="63.462440000000001"/>
    <n v="1.0941800000000002"/>
    <n v="0"/>
    <n v="1.0941800000000002"/>
    <s v="En cours de traitement 2022 Groupe #01"/>
    <n v="53.614820000000002"/>
    <s v="Aucun"/>
    <n v="0"/>
    <n v="0"/>
    <m/>
    <m/>
    <n v="0"/>
    <m/>
    <n v="63.462440000000001"/>
    <n v="63.462440000000001"/>
    <n v="0"/>
    <s v="SFA"/>
    <d v="2022-03-15T00:00:00"/>
    <m/>
    <s v="RENEWED"/>
    <s v="MOTOR TPL"/>
    <m/>
    <s v="SFA"/>
    <m/>
  </r>
  <r>
    <x v="0"/>
    <s v="Yes"/>
    <d v="2022-03-10T00:00:00"/>
    <d v="2022-03-10T00:00:00"/>
    <d v="2022-01-08T00:00:00"/>
    <d v="2023-01-07T00:00:00"/>
    <s v="000-045/AIB RDC/2022"/>
    <n v="0"/>
    <s v="SOUSCRIPTION"/>
    <s v="12002-33002-0010-108-00016053-2022"/>
    <s v="Compagnie Africaine d'Aviation / CAA"/>
    <s v="Aviation"/>
    <s v="ANDY"/>
    <s v="Andy"/>
    <s v="AVIATION HULL ALL RISK"/>
    <s v="AVIATION"/>
    <x v="6"/>
    <s v="Arthur J. Gallagher"/>
    <n v="105000000"/>
    <n v="1366905.06"/>
    <n v="173744.12"/>
    <n v="-130882.14"/>
    <n v="100"/>
    <n v="984550"/>
    <n v="185343.05"/>
    <n v="1.3018143428571429E-2"/>
    <n v="0"/>
    <n v="0"/>
    <n v="12858.593999999999"/>
    <n v="4310.3448275862074"/>
    <n v="17168.938827586207"/>
    <n v="2747.0302124137934"/>
    <n v="19915.96904"/>
    <n v="343.37877655172417"/>
    <n v="0"/>
    <n v="343.37877655172417"/>
    <m/>
    <n v="16825.560051034485"/>
    <s v="Aucun"/>
    <m/>
    <n v="0"/>
    <m/>
    <m/>
    <n v="0"/>
    <m/>
    <n v="19915.96904"/>
    <n v="19915.96904"/>
    <n v="0"/>
    <s v="SFA"/>
    <d v="2022-12-16T00:00:00"/>
    <m/>
    <s v="RENEWED"/>
    <s v="AVIATION HULL ALL RISK"/>
    <m/>
    <m/>
    <m/>
  </r>
  <r>
    <x v="0"/>
    <s v="Yes"/>
    <d v="2022-01-08T00:00:00"/>
    <d v="2022-01-07T00:00:00"/>
    <d v="2022-01-08T00:00:00"/>
    <d v="2022-04-01T00:00:00"/>
    <s v="000-046/AIB RDC/2022"/>
    <n v="3"/>
    <s v="INCORPORATION"/>
    <s v="01-RCAP-2021-000076"/>
    <s v="AMBASSADE DE BELGIQUE"/>
    <s v="EMBASSY"/>
    <s v="RAMSY"/>
    <s v="Victor"/>
    <s v="MOTOR TPL"/>
    <s v="MOTOR TPL"/>
    <x v="6"/>
    <s v="SFA"/>
    <n v="0"/>
    <n v="200.91"/>
    <n v="0"/>
    <m/>
    <n v="2.91"/>
    <n v="194.06"/>
    <m/>
    <e v="#DIV/0!"/>
    <n v="0.1"/>
    <n v="19.406000000000002"/>
    <n v="0"/>
    <n v="0"/>
    <n v="19.406000000000002"/>
    <n v="3.1049600000000006"/>
    <n v="22.510960000000004"/>
    <n v="0.38812000000000008"/>
    <n v="0"/>
    <n v="0.38812000000000008"/>
    <s v="En cours de traitement 2022 Groupe #01"/>
    <n v="19.017880000000002"/>
    <m/>
    <m/>
    <n v="0"/>
    <m/>
    <m/>
    <n v="0"/>
    <m/>
    <n v="22.510960000000004"/>
    <n v="22.510960000000004"/>
    <n v="0"/>
    <s v="SFA"/>
    <d v="2022-03-15T00:00:00"/>
    <m/>
    <s v="RENEWED"/>
    <s v="MOTOR TPL"/>
    <m/>
    <m/>
    <m/>
  </r>
  <r>
    <x v="0"/>
    <s v="Yes"/>
    <d v="2022-01-08T00:00:00"/>
    <d v="2022-01-07T00:00:00"/>
    <d v="2022-01-08T00:00:00"/>
    <d v="2022-04-01T00:00:00"/>
    <s v="000-047/AIB RDC/2022"/>
    <n v="4"/>
    <s v="INCORPORATION"/>
    <s v="01-RCAP-2021-000076"/>
    <s v="AMBASSADE DE BELGIQUE"/>
    <s v="EMBASSY"/>
    <s v="RAMSY"/>
    <s v="Victor"/>
    <s v="MOTOR TPL"/>
    <s v="MOTOR TPL"/>
    <x v="6"/>
    <s v="SFA"/>
    <n v="0"/>
    <n v="98.21"/>
    <n v="0"/>
    <m/>
    <n v="1.42"/>
    <n v="94.86"/>
    <m/>
    <e v="#DIV/0!"/>
    <n v="0.1"/>
    <n v="9.4860000000000007"/>
    <n v="0"/>
    <n v="0"/>
    <n v="9.4860000000000007"/>
    <n v="1.5177600000000002"/>
    <n v="11.003760000000002"/>
    <n v="0.18972000000000003"/>
    <n v="0"/>
    <n v="0.18972000000000003"/>
    <s v="En cours de traitement 2022 Groupe #01"/>
    <n v="9.2962800000000012"/>
    <m/>
    <m/>
    <n v="0"/>
    <m/>
    <m/>
    <n v="0"/>
    <m/>
    <n v="11.003760000000002"/>
    <n v="11.003760000000002"/>
    <n v="0"/>
    <s v="SFA"/>
    <d v="2022-03-15T00:00:00"/>
    <m/>
    <s v="RENEWED"/>
    <s v="MOTOR TPL"/>
    <m/>
    <m/>
    <m/>
  </r>
  <r>
    <x v="0"/>
    <s v="Yes"/>
    <d v="2022-01-11T00:00:00"/>
    <d v="2022-01-11T00:00:00"/>
    <d v="2022-01-11T00:00:00"/>
    <d v="2023-01-10T00:00:00"/>
    <s v="000-048/AIB RDC/2022"/>
    <n v="0"/>
    <s v="SOUSCRIPTION"/>
    <s v="01-TRA-2022-000001"/>
    <s v="CANAL PLUS"/>
    <s v="Distribution"/>
    <s v="ANDY"/>
    <s v="Andy"/>
    <s v="COMP MOTOR"/>
    <s v="MOTOR COMP"/>
    <x v="6"/>
    <s v="SFA"/>
    <n v="0"/>
    <n v="40745.97"/>
    <n v="0"/>
    <m/>
    <n v="510.3"/>
    <n v="34020.18"/>
    <m/>
    <e v="#DIV/0!"/>
    <n v="0.15"/>
    <n v="5103.027"/>
    <n v="0"/>
    <n v="0"/>
    <n v="5103.027"/>
    <n v="816.48432000000003"/>
    <n v="5919.5113199999996"/>
    <n v="102.06054"/>
    <n v="0"/>
    <n v="102.06054"/>
    <s v="En cours de traitement 2022 Groupe #01"/>
    <n v="5000.9664599999996"/>
    <s v="OLEA"/>
    <n v="0.35"/>
    <n v="1750.3382609999999"/>
    <m/>
    <m/>
    <n v="1750.3382609999999"/>
    <m/>
    <n v="5919.5113199999996"/>
    <n v="5919.5113199999996"/>
    <n v="0"/>
    <s v="SFA"/>
    <d v="2022-03-15T00:00:00"/>
    <m/>
    <s v="RENEWED"/>
    <s v="COMP MOTOR"/>
    <m/>
    <s v="ACTIVA"/>
    <m/>
  </r>
  <r>
    <x v="0"/>
    <s v="Yes"/>
    <d v="2022-01-11T00:00:00"/>
    <d v="2022-01-11T00:00:00"/>
    <d v="2022-01-11T00:00:00"/>
    <d v="2022-05-13T00:00:00"/>
    <s v="000-049/AIB RDC/2022"/>
    <n v="4"/>
    <s v="INCORPORATION"/>
    <s v="01-RCAP-2021-000085"/>
    <s v="MAFRICOM"/>
    <s v="FOOD MANIFACTURERS"/>
    <s v="RAMSY"/>
    <s v="Apphia"/>
    <s v="MOTOR TPL"/>
    <s v="MOTOR TPL"/>
    <x v="6"/>
    <s v="SFA"/>
    <m/>
    <n v="1568.71"/>
    <n v="0"/>
    <m/>
    <n v="19.649999999999999"/>
    <n v="1309.77"/>
    <n v="212.71"/>
    <e v="#DIV/0!"/>
    <n v="0.1"/>
    <n v="130.977"/>
    <n v="0"/>
    <n v="0"/>
    <n v="130.977"/>
    <n v="20.956320000000002"/>
    <n v="151.93332000000001"/>
    <n v="2.6195400000000002"/>
    <n v="0"/>
    <n v="2.6195400000000002"/>
    <s v="En cours de traitement 2022 Groupe #01"/>
    <n v="128.35746"/>
    <m/>
    <m/>
    <n v="0"/>
    <m/>
    <m/>
    <n v="0"/>
    <m/>
    <n v="151.93332000000001"/>
    <n v="151.93332000000001"/>
    <n v="0"/>
    <s v="SFA"/>
    <d v="2022-03-15T00:00:00"/>
    <m/>
    <s v="CANCELLED"/>
    <s v="MOTOR TPL"/>
    <m/>
    <s v="MAYFAIR"/>
    <m/>
  </r>
  <r>
    <x v="0"/>
    <s v="Yes"/>
    <d v="2022-01-11T00:00:00"/>
    <d v="2022-01-20T00:00:00"/>
    <d v="2022-01-11T00:00:00"/>
    <d v="2022-01-13T00:00:00"/>
    <s v="000-050/AIB RDC/2022"/>
    <n v="0"/>
    <s v="SOUSCRIPTION"/>
    <s v="01-CRG-2022-000005"/>
    <s v="SACIM / Bolloré"/>
    <m/>
    <s v="SYNTYCHE"/>
    <s v="Victor"/>
    <s v="MARINE CARGO / GIT"/>
    <s v="MARINE"/>
    <x v="6"/>
    <s v="SFA"/>
    <n v="3654.36"/>
    <n v="318.60000000000002"/>
    <n v="0"/>
    <m/>
    <n v="20"/>
    <n v="250"/>
    <m/>
    <n v="8.718352871638263E-2"/>
    <n v="0.15"/>
    <n v="37.5"/>
    <n v="0"/>
    <n v="0"/>
    <n v="37.5"/>
    <n v="6"/>
    <n v="43.5"/>
    <n v="0.75"/>
    <n v="0"/>
    <n v="0.75"/>
    <s v="En cours de traitement 2022 Groupe #01"/>
    <n v="36.75"/>
    <s v="BOLLORE"/>
    <n v="0.4"/>
    <n v="14.700000000000001"/>
    <n v="14.700000000000001"/>
    <d v="2022-09-30T00:00:00"/>
    <n v="0"/>
    <s v="PT008/AIB RDC/2022"/>
    <n v="43.5"/>
    <n v="43.5"/>
    <n v="0"/>
    <s v="SFA"/>
    <d v="2022-03-15T00:00:00"/>
    <m/>
    <s v="ONCE OFF"/>
    <s v="MARINE CARGO / GIT"/>
    <m/>
    <m/>
    <m/>
  </r>
  <r>
    <x v="0"/>
    <s v="Yes"/>
    <d v="2022-01-14T00:00:00"/>
    <d v="2022-01-14T00:00:00"/>
    <d v="2022-01-14T00:00:00"/>
    <d v="2023-01-13T00:00:00"/>
    <s v="000-051/AIB RDC/2022"/>
    <n v="0"/>
    <s v="SOUSCRIPTION"/>
    <s v="01-MCO-2022-000005"/>
    <s v="ERG AFRICA / Metalkol SA"/>
    <s v="MINING"/>
    <s v="ANDY"/>
    <s v="Apphia"/>
    <s v="MARINE CARGO / GIT"/>
    <s v="MARINE"/>
    <x v="6"/>
    <s v="SFA"/>
    <n v="95000000"/>
    <n v="116840.74"/>
    <n v="0"/>
    <m/>
    <n v="502.58"/>
    <n v="98515"/>
    <m/>
    <n v="1.2299025263157895E-3"/>
    <n v="0.15"/>
    <n v="14777.25"/>
    <n v="0"/>
    <n v="0"/>
    <n v="14777.25"/>
    <n v="2364.36"/>
    <n v="17141.61"/>
    <n v="295.54500000000002"/>
    <n v="0"/>
    <n v="295.54500000000002"/>
    <s v="En cours de traitement 2022 Groupe #02"/>
    <n v="14481.705"/>
    <s v="MARSH"/>
    <n v="0.3"/>
    <n v="4344.5114999999996"/>
    <n v="4344.5114999999996"/>
    <d v="2023-09-19T00:00:00"/>
    <n v="0"/>
    <m/>
    <n v="17141.61"/>
    <n v="17141.61"/>
    <n v="0"/>
    <s v="SFA"/>
    <d v="2022-03-29T00:00:00"/>
    <m/>
    <s v="RENEWED"/>
    <s v="MARINE CARGO / GIT"/>
    <m/>
    <m/>
    <m/>
  </r>
  <r>
    <x v="0"/>
    <s v="Yes"/>
    <d v="2022-01-14T00:00:00"/>
    <d v="2022-01-18T00:00:00"/>
    <d v="2022-01-14T00:00:00"/>
    <d v="2023-01-13T00:00:00"/>
    <s v="000-052/AIB RDC/2022"/>
    <n v="0"/>
    <s v="SOUSCRIPTION"/>
    <s v="01-RCAP-2022-000003"/>
    <s v="KAMOA COPPER SA"/>
    <s v="MINING"/>
    <s v="ANDY"/>
    <s v="Apphia"/>
    <s v="MOTOR TPL"/>
    <s v="MOTOR TPL"/>
    <x v="6"/>
    <s v="SFA"/>
    <n v="0"/>
    <n v="97373.91"/>
    <n v="0"/>
    <m/>
    <n v="1219.51"/>
    <n v="81300.75"/>
    <m/>
    <e v="#DIV/0!"/>
    <n v="0.1"/>
    <n v="8130.0750000000007"/>
    <n v="0"/>
    <n v="0"/>
    <n v="8130.0750000000007"/>
    <n v="1300.8120000000001"/>
    <n v="9430.8870000000006"/>
    <n v="162.60150000000002"/>
    <n v="0"/>
    <n v="162.60150000000002"/>
    <s v="En cours de traitement 2022 Groupe #01"/>
    <n v="7967.473500000001"/>
    <m/>
    <m/>
    <n v="0"/>
    <m/>
    <m/>
    <n v="0"/>
    <m/>
    <n v="9430.8870000000006"/>
    <n v="9430.8870000000006"/>
    <n v="0"/>
    <s v="SFA"/>
    <d v="2022-03-15T00:00:00"/>
    <m/>
    <s v="RENEWED"/>
    <s v="MOTOR TPL"/>
    <m/>
    <m/>
    <m/>
  </r>
  <r>
    <x v="0"/>
    <s v="Yes"/>
    <d v="2022-01-17T00:00:00"/>
    <d v="2022-03-30T00:00:00"/>
    <d v="2022-01-17T00:00:00"/>
    <d v="2022-02-28T00:00:00"/>
    <s v="000-053/AIB RDC/2022"/>
    <n v="1"/>
    <s v="PROROGATION"/>
    <s v="1/01/042/00014/2021"/>
    <s v="ALPHAMIN BISIE MINING SA"/>
    <s v="MINING"/>
    <s v="ANDY"/>
    <s v="Apphia"/>
    <s v="FIRE"/>
    <s v="PROPERTIES"/>
    <x v="1"/>
    <s v="EMERALD"/>
    <n v="139150166"/>
    <n v="144606.17000000001"/>
    <n v="13130.37"/>
    <m/>
    <n v="0"/>
    <n v="109419.77"/>
    <m/>
    <n v="1.0392094681367467E-3"/>
    <n v="0"/>
    <n v="0"/>
    <n v="1313.0370000000003"/>
    <n v="0"/>
    <n v="1313.0370000000003"/>
    <n v="210.08592000000004"/>
    <n v="1523.1229200000002"/>
    <n v="26.260740000000006"/>
    <n v="0"/>
    <n v="26.260740000000006"/>
    <m/>
    <n v="1286.7762600000003"/>
    <s v="MARSH"/>
    <n v="0"/>
    <n v="0"/>
    <n v="386.03"/>
    <d v="2023-09-19T00:00:00"/>
    <n v="-386.03"/>
    <m/>
    <n v="1523.1229200000002"/>
    <n v="1523.1229200000002"/>
    <n v="0"/>
    <s v="MAYFAIR"/>
    <d v="2022-05-18T00:00:00"/>
    <m/>
    <s v="RENEWED"/>
    <s v="FIRE"/>
    <n v="2085349.52"/>
    <s v="MAYFAIR"/>
    <m/>
  </r>
  <r>
    <x v="0"/>
    <s v="Yes"/>
    <d v="2022-01-20T00:00:00"/>
    <d v="2022-01-19T00:00:00"/>
    <d v="2022-01-20T00:00:00"/>
    <d v="2023-01-19T00:00:00"/>
    <s v="000-054/AIB RDC/2022"/>
    <n v="10"/>
    <s v="RENOUVELLEMENT"/>
    <s v="01-RCAP-2021-000013"/>
    <s v="GSA"/>
    <s v="SECURITY"/>
    <s v="SYNTYCHE"/>
    <s v="Apphia"/>
    <s v="MOTOR TPL"/>
    <s v="MOTOR TPL"/>
    <x v="6"/>
    <s v="SFA"/>
    <n v="0"/>
    <n v="30083.23"/>
    <n v="0"/>
    <n v="0"/>
    <n v="376.76"/>
    <n v="25117.5"/>
    <n v="4079.08"/>
    <e v="#DIV/0!"/>
    <n v="0.1"/>
    <n v="2511.75"/>
    <n v="0"/>
    <n v="0"/>
    <n v="2511.75"/>
    <n v="401.88"/>
    <n v="2913.63"/>
    <n v="50.234999999999999"/>
    <n v="0"/>
    <n v="50.234999999999999"/>
    <s v="En cours de traitement 2022 Groupe #01"/>
    <n v="2461.5149999999999"/>
    <m/>
    <m/>
    <n v="0"/>
    <m/>
    <m/>
    <n v="0"/>
    <m/>
    <n v="2913.63"/>
    <n v="2913.63"/>
    <n v="0"/>
    <s v="SFA"/>
    <d v="2022-03-15T00:00:00"/>
    <m/>
    <s v="RENEWED"/>
    <s v="MOTOR TPL"/>
    <m/>
    <m/>
    <m/>
  </r>
  <r>
    <x v="0"/>
    <s v="Yes"/>
    <d v="2022-01-20T00:00:00"/>
    <d v="2022-02-03T00:00:00"/>
    <d v="2022-01-20T00:00:00"/>
    <d v="2023-01-19T00:00:00"/>
    <s v="000-055/AIB RDC/2022"/>
    <n v="0"/>
    <s v="SOUSCRIPTION"/>
    <s v="101/01/052/00039/2022"/>
    <s v="RESTAURANT BAR LODGE CHEZ MARC"/>
    <s v="SERVICE"/>
    <s v="RAMSY"/>
    <s v="Apphia"/>
    <s v="GENERAL LIABILITY"/>
    <s v="LIABILITIES"/>
    <x v="1"/>
    <s v="MAYFAIR"/>
    <n v="250000"/>
    <n v="1570.58"/>
    <n v="0"/>
    <m/>
    <n v="50"/>
    <n v="1281"/>
    <m/>
    <n v="6.2823200000000001E-3"/>
    <n v="0.15"/>
    <n v="192.15"/>
    <n v="0"/>
    <n v="0"/>
    <n v="192.15"/>
    <n v="30.744"/>
    <n v="222.89400000000001"/>
    <n v="3.843"/>
    <n v="0"/>
    <n v="3.843"/>
    <s v="En cours de traitement 2022 Groupe #02"/>
    <n v="188.30700000000002"/>
    <m/>
    <m/>
    <n v="0"/>
    <m/>
    <m/>
    <n v="0"/>
    <m/>
    <n v="222.89400000000001"/>
    <n v="222.89400000000001"/>
    <n v="0"/>
    <s v="MAYFAIR"/>
    <d v="2022-03-25T00:00:00"/>
    <m/>
    <s v="RENEWED"/>
    <s v="GENERAL LIABILITY"/>
    <m/>
    <m/>
    <m/>
  </r>
  <r>
    <x v="2"/>
    <s v="No"/>
    <d v="2022-11-04T00:00:00"/>
    <s v="TBA"/>
    <s v="TBA"/>
    <s v="TBA"/>
    <s v="000-056/AIB RDC/2022"/>
    <n v="0"/>
    <s v="SOUSCRIPTION"/>
    <s v="PR003706"/>
    <s v="ALISTAIR GROUP / Bolloré"/>
    <m/>
    <s v="SYNTYCHE"/>
    <s v="Victor"/>
    <s v="MARINE CARGO / GIT"/>
    <s v="MARINE"/>
    <x v="6"/>
    <s v="SFA"/>
    <n v="340500"/>
    <n v="288.17"/>
    <n v="0"/>
    <n v="0"/>
    <n v="10.3"/>
    <n v="666.45"/>
    <n v="111.48"/>
    <n v="8.4631424375917769E-4"/>
    <n v="0.15"/>
    <n v="99.967500000000001"/>
    <n v="0"/>
    <n v="0"/>
    <n v="99.967500000000001"/>
    <n v="15.9948"/>
    <n v="115.9623"/>
    <n v="1.99935"/>
    <m/>
    <n v="1.99935"/>
    <m/>
    <n v="97.968149999999994"/>
    <s v="BOLLORE"/>
    <n v="0.4"/>
    <n v="39.187260000000002"/>
    <m/>
    <m/>
    <n v="39.187260000000002"/>
    <m/>
    <m/>
    <n v="115.9623"/>
    <n v="115.9623"/>
    <s v="SFA"/>
    <m/>
    <m/>
    <s v="ONCE OFF"/>
    <s v="MARINE CARGO / GIT"/>
    <m/>
    <m/>
    <s v="Prime en cours de paiement par Bolloré"/>
  </r>
  <r>
    <x v="0"/>
    <s v="Yes"/>
    <d v="2022-01-21T00:00:00"/>
    <d v="2022-01-22T00:00:00"/>
    <d v="2022-01-21T00:00:00"/>
    <d v="2022-02-19T00:00:00"/>
    <s v="000-057/AIB RDC/2022"/>
    <n v="0"/>
    <s v="SOUSCRIPTION"/>
    <s v="01-CRG-2022-000007"/>
    <s v="DEZIWA / Bolloré"/>
    <m/>
    <s v="SYNTYCHE"/>
    <s v="Victor"/>
    <s v="MARINE CARGO / GIT"/>
    <s v="MARINE"/>
    <x v="6"/>
    <s v="SFA"/>
    <n v="418600"/>
    <n v="1679.67"/>
    <n v="0"/>
    <m/>
    <n v="20"/>
    <n v="1403.45"/>
    <m/>
    <n v="4.0125895843287152E-3"/>
    <n v="0.15"/>
    <n v="210.51750000000001"/>
    <n v="0"/>
    <n v="0"/>
    <n v="210.51750000000001"/>
    <n v="33.6828"/>
    <n v="244.20030000000003"/>
    <n v="4.21035"/>
    <n v="0"/>
    <n v="4.21035"/>
    <s v="En cours de traitement 2022 Groupe #01"/>
    <n v="206.30715000000001"/>
    <s v="BOLLORE"/>
    <n v="0.4"/>
    <n v="82.522860000000009"/>
    <n v="82.522860000000009"/>
    <d v="2022-09-30T00:00:00"/>
    <n v="0"/>
    <s v="PT008/AIB RDC/2022"/>
    <n v="244.20030000000003"/>
    <n v="244.20030000000003"/>
    <n v="0"/>
    <s v="SFA"/>
    <d v="2022-03-15T00:00:00"/>
    <m/>
    <s v="ONCE OFF"/>
    <s v="MARINE CARGO / GIT"/>
    <m/>
    <m/>
    <m/>
  </r>
  <r>
    <x v="0"/>
    <s v="Yes"/>
    <d v="2022-01-21T00:00:00"/>
    <d v="2022-01-20T00:00:00"/>
    <d v="2022-01-21T00:00:00"/>
    <d v="2022-03-20T00:00:00"/>
    <s v="000-058/AIB RDC/2022"/>
    <n v="0"/>
    <s v="SOUSCRIPTION"/>
    <n v="70100008"/>
    <s v="DEZIWA / Bolloré"/>
    <m/>
    <s v="SYNTYCHE"/>
    <s v="Victor"/>
    <s v="MARINE CARGO / GIT"/>
    <s v="MARINE"/>
    <x v="4"/>
    <s v="RAWSUR"/>
    <n v="14655.42"/>
    <n v="147.5"/>
    <n v="0"/>
    <m/>
    <m/>
    <n v="100"/>
    <m/>
    <n v="1.0064535850900213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2-11-04T00:00:00"/>
    <m/>
    <s v="ONCE OFF"/>
    <s v="MARINE CARGO / GIT"/>
    <m/>
    <m/>
    <m/>
  </r>
  <r>
    <x v="3"/>
    <s v="Yes"/>
    <d v="2022-02-23T00:00:00"/>
    <d v="2022-02-23T00:00:00"/>
    <d v="2022-02-23T00:00:00"/>
    <d v="2022-03-22T00:00:00"/>
    <s v="000-059/AIB RDC/2022"/>
    <n v="0"/>
    <s v="SOUSCRIPTION"/>
    <s v="12003-33002-0005-111-00000146-2022 / 72000037"/>
    <s v="ORICA / Bolloré"/>
    <m/>
    <s v="SYNTYCHE"/>
    <s v="Apphia"/>
    <s v="MARINE CARGO / GIT"/>
    <s v="MARINE"/>
    <x v="4"/>
    <s v="RAWSUR"/>
    <n v="12000"/>
    <n v="147.5"/>
    <n v="0"/>
    <n v="0"/>
    <n v="10"/>
    <n v="100"/>
    <n v="17.600000000000001"/>
    <n v="1.2291666666666666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0"/>
    <s v="Yes"/>
    <d v="2022-01-22T00:00:00"/>
    <d v="2022-01-24T00:00:00"/>
    <d v="2022-01-22T00:00:00"/>
    <d v="2023-01-21T00:00:00"/>
    <s v="000-060/AIB RDC/2022"/>
    <n v="0"/>
    <s v="SOUSCRIPTION"/>
    <s v="01-RVP-2022-000004"/>
    <s v="SUN DISTRIBUTION CONGO"/>
    <s v="SERVICE"/>
    <s v="RAMSY"/>
    <s v="Apphia"/>
    <s v="PVT"/>
    <s v="POLITICAL VIOLENCE"/>
    <x v="6"/>
    <s v="SFA"/>
    <n v="650000"/>
    <n v="3501.2"/>
    <n v="344.12"/>
    <m/>
    <n v="23"/>
    <n v="2600"/>
    <m/>
    <n v="5.3864615384615379E-3"/>
    <n v="0.15"/>
    <n v="390"/>
    <n v="0"/>
    <n v="0"/>
    <n v="390"/>
    <n v="62.4"/>
    <n v="452.4"/>
    <n v="7.8"/>
    <n v="0"/>
    <n v="7.8"/>
    <s v="En cours de traitement 2022 Groupe #01"/>
    <n v="382.2"/>
    <m/>
    <m/>
    <n v="0"/>
    <m/>
    <m/>
    <n v="0"/>
    <m/>
    <n v="452.4"/>
    <n v="452.4"/>
    <n v="0"/>
    <s v="SFA"/>
    <d v="2022-03-15T00:00:00"/>
    <m/>
    <s v="RENEWED"/>
    <s v="PVT"/>
    <m/>
    <m/>
    <m/>
  </r>
  <r>
    <x v="0"/>
    <s v="Yes"/>
    <d v="2022-01-22T00:00:00"/>
    <d v="2022-01-24T00:00:00"/>
    <d v="2022-01-22T00:00:00"/>
    <d v="2023-01-21T00:00:00"/>
    <s v="000-061/AIB RDC/2022"/>
    <n v="0"/>
    <s v="SOUSCRIPTION"/>
    <s v="01-MCO-2022-000007"/>
    <s v="SUN DISTRIBUTION CONGO"/>
    <s v="SERVICE"/>
    <s v="RAMSY"/>
    <s v="Apphia"/>
    <s v="MARINE CARGO / GIT"/>
    <s v="MARINE"/>
    <x v="6"/>
    <s v="SFA"/>
    <n v="500000"/>
    <n v="1553.47"/>
    <n v="0"/>
    <m/>
    <n v="16.5"/>
    <n v="1300"/>
    <m/>
    <n v="3.1069399999999999E-3"/>
    <n v="0.15"/>
    <n v="195"/>
    <n v="0"/>
    <n v="0"/>
    <n v="195"/>
    <n v="31.2"/>
    <n v="226.2"/>
    <n v="3.9"/>
    <n v="0"/>
    <n v="3.9"/>
    <s v="En cours de traitement 2022 Groupe #01"/>
    <n v="191.1"/>
    <m/>
    <m/>
    <n v="0"/>
    <m/>
    <m/>
    <n v="0"/>
    <m/>
    <n v="226.2"/>
    <n v="226.2"/>
    <n v="0"/>
    <s v="SFA"/>
    <d v="2022-03-15T00:00:00"/>
    <m/>
    <s v="RENEWED"/>
    <s v="MARINE CARGO / GIT"/>
    <m/>
    <m/>
    <m/>
  </r>
  <r>
    <x v="0"/>
    <s v="Yes"/>
    <d v="2022-01-22T00:00:00"/>
    <d v="2022-01-25T00:00:00"/>
    <d v="2022-01-22T00:00:00"/>
    <d v="2023-01-21T00:00:00"/>
    <s v="000-062/AIB RDC/2022"/>
    <n v="0"/>
    <s v="SOUSCRIPTION"/>
    <s v="01-IMR-2022-000024"/>
    <s v="SUN DISTRIBUTION CONGO"/>
    <s v="SERVICE"/>
    <s v="RAMSY"/>
    <s v="Apphia"/>
    <s v="FIRE"/>
    <s v="PROPERTIES"/>
    <x v="6"/>
    <s v="SFA"/>
    <n v="879000"/>
    <n v="1912.38"/>
    <n v="0"/>
    <m/>
    <n v="20"/>
    <n v="1600.66"/>
    <m/>
    <n v="2.1756313993174063E-3"/>
    <n v="0.1"/>
    <n v="160.06600000000003"/>
    <n v="0"/>
    <n v="0"/>
    <n v="160.06600000000003"/>
    <n v="25.610560000000007"/>
    <n v="185.67656000000005"/>
    <n v="3.2013200000000008"/>
    <n v="0"/>
    <n v="3.2013200000000008"/>
    <s v="En cours de traitement 2022 Groupe #01"/>
    <n v="156.86468000000002"/>
    <m/>
    <m/>
    <n v="0"/>
    <m/>
    <m/>
    <n v="0"/>
    <m/>
    <n v="185.67656000000005"/>
    <n v="185.67656000000005"/>
    <n v="0"/>
    <s v="SFA"/>
    <d v="2022-03-15T00:00:00"/>
    <m/>
    <s v="RENEWED"/>
    <s v="FIRE"/>
    <m/>
    <m/>
    <m/>
  </r>
  <r>
    <x v="0"/>
    <s v="Yes"/>
    <d v="2022-01-22T00:00:00"/>
    <d v="2021-12-13T00:00:00"/>
    <d v="2022-01-22T00:00:00"/>
    <d v="2022-02-13T00:00:00"/>
    <s v="000-063/AIB RDC/2022"/>
    <n v="0"/>
    <s v="SOUSCRIPTION"/>
    <s v="000001-0004-020-0000724"/>
    <s v="Mme Levo Nana"/>
    <s v="INDIVIDUEL"/>
    <s v="ANDY"/>
    <s v="Apphia"/>
    <s v="TRAVEL"/>
    <s v="MEDICAL &amp; GPA"/>
    <x v="2"/>
    <s v="SUNU"/>
    <m/>
    <n v="36.94"/>
    <n v="0"/>
    <m/>
    <n v="0.62"/>
    <n v="31.22"/>
    <m/>
    <e v="#DIV/0!"/>
    <n v="0.2"/>
    <n v="6.2439999999999998"/>
    <n v="0"/>
    <n v="0"/>
    <n v="6.2439999999999998"/>
    <n v="0.99904000000000004"/>
    <n v="7.2430399999999997"/>
    <n v="0.12488"/>
    <n v="0"/>
    <n v="0.12488"/>
    <s v="En cours de traitement 2021 Groupe #16"/>
    <n v="6.1191199999999997"/>
    <m/>
    <m/>
    <n v="0"/>
    <m/>
    <m/>
    <n v="0"/>
    <m/>
    <n v="7.2430399999999997"/>
    <n v="7.2430399999999997"/>
    <n v="0"/>
    <s v="SUNU"/>
    <d v="2022-02-11T00:00:00"/>
    <m/>
    <s v="ONCE OFF"/>
    <s v="TRAVEL"/>
    <m/>
    <m/>
    <m/>
  </r>
  <r>
    <x v="0"/>
    <s v="Yes"/>
    <d v="2022-01-23T00:00:00"/>
    <d v="2021-12-13T00:00:00"/>
    <d v="2022-01-23T00:00:00"/>
    <d v="2022-02-07T00:00:00"/>
    <s v="000-064/AIB RDC/2022"/>
    <n v="0"/>
    <s v="SOUSCRIPTION"/>
    <s v="000001-0006-008-0000699"/>
    <s v="Mr Patrick KAPINGA"/>
    <s v="INDIVIDUEL"/>
    <s v="ANDY"/>
    <s v="Apphia"/>
    <s v="TRAVEL"/>
    <s v="MEDICAL &amp; GPA"/>
    <x v="2"/>
    <s v="SUNU"/>
    <m/>
    <n v="21.74"/>
    <n v="0"/>
    <m/>
    <n v="0.37"/>
    <n v="18.37"/>
    <m/>
    <e v="#DIV/0!"/>
    <n v="0.2"/>
    <n v="3.6740000000000004"/>
    <n v="0"/>
    <n v="0"/>
    <n v="3.6740000000000004"/>
    <n v="0.58784000000000003"/>
    <n v="4.2618400000000003"/>
    <n v="7.3480000000000004E-2"/>
    <n v="0"/>
    <n v="7.3480000000000004E-2"/>
    <s v="En cours de traitement 2021 Groupe #16"/>
    <n v="3.6005200000000004"/>
    <m/>
    <m/>
    <n v="0"/>
    <m/>
    <m/>
    <n v="0"/>
    <m/>
    <n v="4.2618400000000003"/>
    <n v="4.2618400000000003"/>
    <n v="0"/>
    <s v="SUNU"/>
    <d v="2022-02-11T00:00:00"/>
    <m/>
    <s v="ONCE OFF"/>
    <s v="TRAVEL"/>
    <m/>
    <m/>
    <m/>
  </r>
  <r>
    <x v="0"/>
    <s v="Yes"/>
    <d v="2022-01-24T00:00:00"/>
    <d v="2022-02-21T00:00:00"/>
    <d v="2022-01-24T00:00:00"/>
    <d v="2022-04-23T00:00:00"/>
    <s v="000-065/AIB RDC/2022"/>
    <n v="0"/>
    <s v="SOUSCRIPTION"/>
    <s v="12003-33002-0005-111-00000138-2022 / 70100006"/>
    <s v="XIN-DA / Bolloré"/>
    <m/>
    <s v="SYNTYCHE"/>
    <s v="Apphia"/>
    <s v="MARINE CARGO / GIT"/>
    <s v="MARINE"/>
    <x v="4"/>
    <s v="RAWSUR"/>
    <n v="13068"/>
    <n v="129.80000000000001"/>
    <n v="0"/>
    <m/>
    <n v="10"/>
    <n v="100"/>
    <m/>
    <n v="9.9326599326599336E-3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0"/>
    <s v="Yes"/>
    <d v="2022-01-25T00:00:00"/>
    <d v="2022-04-01T00:00:00"/>
    <d v="2022-01-25T00:00:00"/>
    <d v="2022-04-24T00:00:00"/>
    <s v="000-066/AIB RDC/2022"/>
    <n v="0"/>
    <s v="SOUSCRIPTION"/>
    <s v="12003-33002-0005-111-00000315-2022 / 70100007"/>
    <s v="MASHAMBA FOODS / Bolloré"/>
    <s v="Distribution"/>
    <s v="SYNTYCHE"/>
    <s v="Apphia"/>
    <s v="MARINE CARGO / GIT"/>
    <s v="MARINE"/>
    <x v="4"/>
    <s v="RAWSUR"/>
    <n v="30533"/>
    <n v="173.61"/>
    <n v="0"/>
    <n v="0"/>
    <n v="25"/>
    <n v="122.13"/>
    <m/>
    <n v="5.6859791045753777E-3"/>
    <n v="0.15"/>
    <n v="18.319499999999998"/>
    <n v="0"/>
    <n v="0"/>
    <n v="18.319499999999998"/>
    <n v="2.9311199999999995"/>
    <n v="21.250619999999998"/>
    <n v="0.36638999999999994"/>
    <n v="0"/>
    <n v="0.36638999999999994"/>
    <m/>
    <n v="17.953109999999999"/>
    <s v="BOLLORE"/>
    <n v="0.4"/>
    <n v="7.1812439999999995"/>
    <n v="7.1812439999999995"/>
    <d v="2022-09-30T00:00:00"/>
    <n v="0"/>
    <s v="PT008/AIB RDC/2022"/>
    <n v="21.250619999999998"/>
    <n v="21.250619999999998"/>
    <n v="0"/>
    <s v="RAWSUR"/>
    <d v="2022-05-20T00:00:00"/>
    <m/>
    <s v="ONCE OFF"/>
    <s v="MARINE CARGO / GIT"/>
    <m/>
    <m/>
    <m/>
  </r>
  <r>
    <x v="0"/>
    <s v="Yes"/>
    <d v="2022-01-26T00:00:00"/>
    <d v="2022-01-25T00:00:00"/>
    <d v="2022-01-26T00:00:00"/>
    <d v="2023-01-25T00:00:00"/>
    <s v="000-067/AIB RDC/2022"/>
    <n v="0"/>
    <s v="SOUSCRIPTION"/>
    <s v="12001-33002-9001-003-1400001787-2022"/>
    <s v="GROUPE VIVENDI AFRICA ( GVA)"/>
    <m/>
    <s v="ALICE"/>
    <s v="Apphia"/>
    <s v="COMP MOTOR"/>
    <s v="MOTOR COMP"/>
    <x v="0"/>
    <s v="ACTIVA"/>
    <m/>
    <n v="4118.53"/>
    <n v="0"/>
    <m/>
    <n v="35.15"/>
    <n v="3515.3"/>
    <m/>
    <e v="#DIV/0!"/>
    <n v="0.13428195113347691"/>
    <n v="472.04134281951139"/>
    <n v="0"/>
    <n v="0"/>
    <n v="472.04134281951139"/>
    <n v="75.52661485112182"/>
    <n v="547.56795767063318"/>
    <n v="9.4408268563902276"/>
    <n v="0"/>
    <n v="9.4408268563902276"/>
    <s v="En cours de traitement 2022 Groupe #01"/>
    <n v="462.60051596312115"/>
    <m/>
    <m/>
    <n v="0"/>
    <m/>
    <m/>
    <n v="0"/>
    <m/>
    <n v="547.56795767063318"/>
    <n v="547.56795767063318"/>
    <n v="0"/>
    <s v="ACTIVA"/>
    <d v="2022-03-23T00:00:00"/>
    <m/>
    <s v="RENEWED"/>
    <s v="COMP MOTOR"/>
    <m/>
    <m/>
    <m/>
  </r>
  <r>
    <x v="0"/>
    <s v="Yes"/>
    <d v="2022-01-27T00:00:00"/>
    <d v="2022-04-01T00:00:00"/>
    <d v="2022-01-26T00:00:00"/>
    <d v="2022-04-25T00:00:00"/>
    <s v="000-068/AIB RDC/2022"/>
    <n v="0"/>
    <s v="SOUSCRIPTION"/>
    <s v="12003-33002-0005-111-00000316-2022 / 70100009"/>
    <s v="XIN-DA / Bolloré"/>
    <m/>
    <s v="SYNTYCHE"/>
    <s v="Apphia"/>
    <s v="MARINE CARGO / GIT"/>
    <s v="MARINE"/>
    <x v="4"/>
    <s v="RAWSUR"/>
    <n v="47609.521999999997"/>
    <n v="236.53"/>
    <n v="0"/>
    <m/>
    <n v="10"/>
    <n v="190.45"/>
    <m/>
    <n v="4.9681238135514151E-3"/>
    <n v="0.15"/>
    <n v="28.567499999999999"/>
    <n v="0"/>
    <n v="0"/>
    <n v="28.567499999999999"/>
    <n v="4.5708000000000002"/>
    <n v="33.138300000000001"/>
    <n v="0.57135000000000002"/>
    <n v="0"/>
    <n v="0.57135000000000002"/>
    <m/>
    <n v="27.99615"/>
    <s v="BOLLORE"/>
    <n v="0.4"/>
    <n v="11.198460000000001"/>
    <n v="11.198460000000001"/>
    <d v="2022-09-30T00:00:00"/>
    <n v="0"/>
    <s v="PT008/AIB RDC/2022"/>
    <n v="33.138300000000001"/>
    <n v="33.138300000000001"/>
    <n v="0"/>
    <s v="RAWSUR"/>
    <d v="2022-05-20T00:00:00"/>
    <m/>
    <s v="ONCE OFF"/>
    <s v="MARINE CARGO / GIT"/>
    <m/>
    <m/>
    <m/>
  </r>
  <r>
    <x v="0"/>
    <s v="Yes"/>
    <d v="2022-01-26T00:00:00"/>
    <d v="2022-01-25T00:00:00"/>
    <d v="2022-01-26T00:00:00"/>
    <d v="2023-01-25T00:00:00"/>
    <s v="000-069/AIB RDC/2022"/>
    <n v="0"/>
    <s v="SOUSCRIPTION"/>
    <s v="12001-33002-9001-003-1400001787-2022"/>
    <s v="GROUPE VIVENDI AFRICA ( GVA)"/>
    <m/>
    <s v="ALICE"/>
    <s v="Apphia"/>
    <s v="COMP MOTOR"/>
    <s v="MOTOR COMP"/>
    <x v="0"/>
    <s v="ACTIVA"/>
    <m/>
    <n v="13"/>
    <n v="0"/>
    <m/>
    <n v="1.21"/>
    <n v="10"/>
    <m/>
    <e v="#DIV/0!"/>
    <n v="0.15"/>
    <n v="1.5"/>
    <n v="0"/>
    <n v="0"/>
    <n v="1.5"/>
    <n v="0.24"/>
    <n v="1.74"/>
    <n v="0.03"/>
    <n v="0"/>
    <n v="0.03"/>
    <s v="En cours de traitement 2022 Groupe #01"/>
    <n v="1.47"/>
    <m/>
    <m/>
    <n v="0"/>
    <m/>
    <m/>
    <n v="0"/>
    <m/>
    <n v="1.74"/>
    <n v="1.74"/>
    <n v="0"/>
    <s v="ACTIVA"/>
    <d v="2022-03-23T00:00:00"/>
    <m/>
    <s v="RENEWED"/>
    <s v="COMP MOTOR"/>
    <m/>
    <m/>
    <m/>
  </r>
  <r>
    <x v="0"/>
    <s v="Yes"/>
    <d v="2022-01-27T00:00:00"/>
    <d v="2022-01-27T00:00:00"/>
    <d v="2022-01-01T00:00:00"/>
    <d v="2022-12-31T00:00:00"/>
    <s v="000-070/AIB RDC/2022"/>
    <n v="0"/>
    <s v="SOUSCRIPTION"/>
    <s v="01-IMR-2022-000030"/>
    <s v="CANAL PLUS"/>
    <s v="Audio Visuel"/>
    <s v="ANDY"/>
    <s v="Apphia"/>
    <s v="FIRE"/>
    <s v="PROPERTIES"/>
    <x v="6"/>
    <s v="SFA"/>
    <n v="16660685.380000001"/>
    <n v="18249.060000000001"/>
    <n v="0"/>
    <m/>
    <n v="86.89"/>
    <n v="15378.41"/>
    <m/>
    <n v="1.0953366913648544E-3"/>
    <n v="0.1"/>
    <n v="1537.8410000000001"/>
    <n v="0"/>
    <n v="0"/>
    <n v="1537.8410000000001"/>
    <n v="246.05456000000004"/>
    <n v="1783.8955600000002"/>
    <n v="30.756820000000005"/>
    <n v="0"/>
    <n v="30.756820000000005"/>
    <s v="En cours de traitement 2022 Groupe #01"/>
    <n v="1507.0841800000001"/>
    <s v="OLEA"/>
    <n v="0.35"/>
    <n v="527.47946300000001"/>
    <m/>
    <m/>
    <n v="527.47946300000001"/>
    <m/>
    <n v="1783.8955600000002"/>
    <n v="1783.8955600000002"/>
    <n v="0"/>
    <s v="SFA"/>
    <d v="2022-03-15T00:00:00"/>
    <m/>
    <s v="RENEWING..."/>
    <s v="FIRE"/>
    <m/>
    <m/>
    <m/>
  </r>
  <r>
    <x v="0"/>
    <s v="Yes"/>
    <d v="2022-01-27T00:00:00"/>
    <d v="2022-01-27T00:00:00"/>
    <d v="2022-01-27T00:00:00"/>
    <d v="2022-05-13T00:00:00"/>
    <s v="000-071/AIB RDC/2022"/>
    <n v="5"/>
    <s v="INCORPORATION"/>
    <s v="01-RCAP-2021-000085"/>
    <s v="MAFRICOM"/>
    <s v="FOOD MANIFACTURERS"/>
    <s v="RAMSY"/>
    <s v="Apphia"/>
    <s v="MOTOR TPL"/>
    <s v="MOTOR TPL"/>
    <x v="6"/>
    <s v="SFA"/>
    <m/>
    <n v="250.59"/>
    <m/>
    <m/>
    <n v="3.14"/>
    <n v="209.22"/>
    <n v="33.979999999999997"/>
    <e v="#DIV/0!"/>
    <n v="0.1"/>
    <n v="20.922000000000001"/>
    <n v="0"/>
    <n v="0"/>
    <n v="20.922000000000001"/>
    <n v="3.3475200000000003"/>
    <n v="24.26952"/>
    <n v="0.41844000000000003"/>
    <n v="0"/>
    <n v="0.41844000000000003"/>
    <s v="En cours de traitement 2022 Groupe #01"/>
    <n v="20.50356"/>
    <m/>
    <m/>
    <n v="0"/>
    <m/>
    <m/>
    <n v="0"/>
    <m/>
    <n v="24.26952"/>
    <n v="24.26952"/>
    <n v="0"/>
    <s v="SFA"/>
    <d v="2022-03-15T00:00:00"/>
    <m/>
    <s v="CANCELLED"/>
    <s v="MOTOR TPL"/>
    <m/>
    <s v="MAYFAIR"/>
    <m/>
  </r>
  <r>
    <x v="0"/>
    <s v="Yes"/>
    <d v="2022-01-27T00:00:00"/>
    <d v="2022-02-21T00:00:00"/>
    <d v="2022-01-27T00:00:00"/>
    <d v="2022-02-26T00:00:00"/>
    <s v="000-072/AIB RDC/2022"/>
    <n v="0"/>
    <s v="SOUSCRIPTION"/>
    <s v="12003-33002-0005-111-00000137-2022 / 301- 72000018"/>
    <s v="MANDLA SERVICES / Bolloré"/>
    <m/>
    <s v="SYNTYCHE"/>
    <s v="Victor"/>
    <s v="MARINE CARGO / GIT"/>
    <s v="MARINE"/>
    <x v="4"/>
    <s v="RAWSUR"/>
    <n v="693"/>
    <n v="70.8"/>
    <n v="0"/>
    <m/>
    <n v="10"/>
    <n v="50"/>
    <m/>
    <n v="0.10216450216450217"/>
    <n v="0.15"/>
    <n v="7.5"/>
    <n v="0"/>
    <n v="0"/>
    <n v="7.5"/>
    <n v="1.2"/>
    <n v="8.6999999999999993"/>
    <n v="0.15"/>
    <n v="0"/>
    <n v="0.15"/>
    <m/>
    <n v="7.35"/>
    <s v="BOLLORE"/>
    <n v="0.4"/>
    <n v="2.94"/>
    <n v="2.94"/>
    <d v="2022-09-30T00:00:00"/>
    <n v="0"/>
    <s v="PT008/AIB RDC/2022"/>
    <n v="8.6999999999999993"/>
    <n v="8.6999999999999993"/>
    <n v="0"/>
    <s v="RAWSUR"/>
    <d v="2022-04-28T00:00:00"/>
    <m/>
    <s v="ONCE OFF"/>
    <s v="MARINE CARGO / GIT"/>
    <m/>
    <m/>
    <m/>
  </r>
  <r>
    <x v="0"/>
    <s v="Yes"/>
    <d v="2022-01-28T00:00:00"/>
    <d v="2022-06-06T00:00:00"/>
    <d v="2022-01-28T00:00:00"/>
    <d v="2023-01-27T00:00:00"/>
    <s v="000-073/AIB RDC/2022"/>
    <n v="1"/>
    <s v="RENOUVELLEMENT"/>
    <s v="12001-09001/3002/140 0000 349"/>
    <s v="BGFI BANK "/>
    <s v="Banking"/>
    <s v="RAMSY"/>
    <s v="Apphia"/>
    <s v="COMP MOTOR"/>
    <s v="MOTOR COMP"/>
    <x v="0"/>
    <s v="ACTIVA"/>
    <n v="840282.12"/>
    <n v="33830.51"/>
    <n v="0"/>
    <m/>
    <n v="288.75"/>
    <n v="28875.48"/>
    <n v="4666.28"/>
    <n v="4.0260894757584514E-2"/>
    <n v="0.14362982017961259"/>
    <n v="4147.38"/>
    <n v="0"/>
    <n v="0"/>
    <n v="4147.38"/>
    <n v="663.58080000000007"/>
    <n v="4810.9607999999998"/>
    <n v="82.947600000000008"/>
    <n v="0"/>
    <n v="82.947600000000008"/>
    <s v="En cours de traitement 2022 Groupe #02"/>
    <n v="4064.4324000000001"/>
    <m/>
    <m/>
    <n v="0"/>
    <m/>
    <m/>
    <n v="0"/>
    <m/>
    <n v="4810.9607999999998"/>
    <n v="4810.9607999999998"/>
    <n v="0"/>
    <s v="ACTIVA"/>
    <d v="2022-03-30T00:00:00"/>
    <m/>
    <s v="RENEWED"/>
    <s v="COMP MOTOR"/>
    <m/>
    <m/>
    <m/>
  </r>
  <r>
    <x v="0"/>
    <s v="Yes"/>
    <d v="2022-01-28T00:00:00"/>
    <d v="2021-08-05T00:00:00"/>
    <d v="2022-01-28T00:00:00"/>
    <d v="2022-04-30T00:00:00"/>
    <s v="000-074/AIB RDC/2022"/>
    <n v="2"/>
    <s v="PROROGATION"/>
    <s v="000001-0017-003-0000056"/>
    <s v="HELIOS INFRACO DRC SARL"/>
    <s v="INFRASTRUCTURE"/>
    <s v="RAMSY"/>
    <s v="Apphia"/>
    <s v="MOTOR TPL"/>
    <s v="MOTOR TPL"/>
    <x v="2"/>
    <s v="SUNU"/>
    <m/>
    <n v="4323.24"/>
    <n v="0"/>
    <n v="0"/>
    <n v="36.9"/>
    <n v="3690.03"/>
    <m/>
    <e v="#DIV/0!"/>
    <n v="0.1"/>
    <n v="369.00300000000004"/>
    <n v="0"/>
    <n v="0"/>
    <n v="369.00300000000004"/>
    <n v="59.040480000000009"/>
    <n v="428.04348000000005"/>
    <n v="7.3800600000000012"/>
    <n v="0"/>
    <n v="7.3800600000000012"/>
    <s v="En cours de traitement 2021 Groupe #14"/>
    <n v="361.62294000000003"/>
    <s v="OLEA"/>
    <n v="0.35"/>
    <n v="126.568029"/>
    <n v="126.568029"/>
    <d v="2023-05-24T00:00:00"/>
    <n v="0"/>
    <m/>
    <n v="428.04348000000005"/>
    <n v="428.04348000000005"/>
    <n v="0"/>
    <s v="SUNU"/>
    <d v="2021-12-09T00:00:00"/>
    <m/>
    <s v="RENEWED"/>
    <s v="MOTOR TPL"/>
    <s v="30516.39"/>
    <s v="SUNU"/>
    <s v="Ne figure pas dans la production 2022 d'Activa, besoin de la preuve de paiement"/>
  </r>
  <r>
    <x v="0"/>
    <s v="Yes"/>
    <d v="2022-01-28T00:00:00"/>
    <d v="2022-04-22T00:00:00"/>
    <d v="2022-01-28T00:00:00"/>
    <d v="2022-12-31T00:00:00"/>
    <s v="000-075/AIB RDC/2022"/>
    <n v="1"/>
    <s v="INCORPORATION"/>
    <s v="01-IMR-2022-000017"/>
    <s v="Group Optorg / Tractafric Equipment"/>
    <s v="Distribution"/>
    <s v="ANDY"/>
    <s v="Andy"/>
    <s v="FIRE"/>
    <s v="PROPERTIES"/>
    <x v="6"/>
    <s v="SFA"/>
    <n v="1490000"/>
    <n v="2401.31"/>
    <n v="302.25"/>
    <n v="0"/>
    <n v="20"/>
    <n v="1712.76"/>
    <m/>
    <n v="1.6116174496644295E-3"/>
    <n v="0.1"/>
    <n v="171.27600000000001"/>
    <n v="0"/>
    <n v="0"/>
    <n v="171.27600000000001"/>
    <n v="27.404160000000001"/>
    <n v="198.68016"/>
    <n v="3.4255200000000001"/>
    <n v="0"/>
    <n v="3.4255200000000001"/>
    <m/>
    <n v="167.85048"/>
    <s v="OLEA"/>
    <n v="0.35"/>
    <n v="58.747667999999997"/>
    <m/>
    <m/>
    <n v="58.747667999999997"/>
    <m/>
    <n v="198.68016"/>
    <n v="198.68016"/>
    <n v="0"/>
    <s v="SFA"/>
    <d v="2022-05-18T00:00:00"/>
    <m/>
    <s v="RENEWING..."/>
    <s v="FIRE"/>
    <m/>
    <m/>
    <m/>
  </r>
  <r>
    <x v="0"/>
    <s v="Yes"/>
    <d v="2022-01-31T00:00:00"/>
    <d v="2022-04-01T00:00:00"/>
    <d v="2022-01-31T00:00:00"/>
    <d v="2022-03-30T00:00:00"/>
    <s v="000-076/AIB RDC/2022"/>
    <n v="0"/>
    <s v="SOUSCRIPTION"/>
    <s v="12003-33002-0005-111-00000280-2022 / 72000020"/>
    <s v="T-THREE DRILLING / Bolloré"/>
    <m/>
    <s v="SYNTYCHE"/>
    <s v="Victor"/>
    <s v="MARINE CARGO / GIT"/>
    <s v="MARINE"/>
    <x v="4"/>
    <s v="RAWSUR"/>
    <n v="2275"/>
    <n v="129.80000000000001"/>
    <n v="0"/>
    <m/>
    <n v="25"/>
    <n v="100"/>
    <m/>
    <n v="5.7054945054945058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5-20T00:00:00"/>
    <m/>
    <s v="ONCE OFF"/>
    <s v="MARINE CARGO / GIT"/>
    <m/>
    <m/>
    <m/>
  </r>
  <r>
    <x v="0"/>
    <s v="Yes"/>
    <d v="2022-01-31T00:00:00"/>
    <d v="2022-01-27T00:00:00"/>
    <d v="2022-01-31T00:00:00"/>
    <d v="2022-02-27T00:00:00"/>
    <s v="000-077/AIB RDC/2022"/>
    <n v="0"/>
    <s v="SOUSCRIPTION"/>
    <s v="12003-33002-0005-111-00000072-2022 / 72000023"/>
    <s v="PANACO / Bolloré"/>
    <m/>
    <s v="SYNTYCHE"/>
    <s v="Victor"/>
    <s v="MARINE CARGO / GIT"/>
    <s v="MARINE"/>
    <x v="4"/>
    <s v="RAWSUR"/>
    <n v="50313.4"/>
    <n v="266.98"/>
    <n v="0"/>
    <m/>
    <n v="25"/>
    <n v="201.25"/>
    <n v="36.200000000000003"/>
    <n v="5.3063398617465727E-3"/>
    <n v="0.15"/>
    <n v="30.1875"/>
    <n v="0"/>
    <n v="0"/>
    <n v="30.1875"/>
    <n v="4.83"/>
    <n v="35.017499999999998"/>
    <n v="0.60375000000000001"/>
    <n v="0"/>
    <n v="0.60375000000000001"/>
    <s v="En cours de traitement 2022 Groupe #01"/>
    <n v="29.583749999999998"/>
    <s v="BOLLORE"/>
    <n v="0.4"/>
    <n v="11.833500000000001"/>
    <n v="11.833500000000001"/>
    <d v="2022-09-30T00:00:00"/>
    <n v="0"/>
    <s v="PT008/AIB RDC/2022"/>
    <n v="35.017499999999998"/>
    <n v="35.017499999999998"/>
    <n v="0"/>
    <s v="RAWSUR"/>
    <d v="2022-03-15T00:00:00"/>
    <m/>
    <s v="ONCE OFF"/>
    <s v="MARINE CARGO / GIT"/>
    <m/>
    <m/>
    <m/>
  </r>
  <r>
    <x v="0"/>
    <s v="Yes"/>
    <d v="2022-01-31T00:00:00"/>
    <d v="2022-01-28T00:00:00"/>
    <d v="2022-01-31T00:00:00"/>
    <d v="2022-02-27T00:00:00"/>
    <s v="000-078/AIB RDC/2022"/>
    <n v="0"/>
    <s v="SOUSCRIPTION"/>
    <s v="12003-33002-0005-111-00000073-2022 / 72000024"/>
    <s v="PANACO / Bolloré"/>
    <m/>
    <s v="SYNTYCHE"/>
    <s v="Victor"/>
    <s v="MARINE CARGO / GIT"/>
    <s v="MARINE"/>
    <x v="4"/>
    <s v="RAWSUR"/>
    <n v="5872.14"/>
    <n v="147.5"/>
    <n v="0"/>
    <m/>
    <n v="25"/>
    <n v="100"/>
    <n v="20"/>
    <n v="2.511861093230066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8T00:00:00"/>
    <d v="2022-01-31T00:00:00"/>
    <d v="2022-02-27T00:00:00"/>
    <s v="000-079/AIB RDC/2022"/>
    <n v="0"/>
    <s v="SOUSCRIPTION"/>
    <s v="12003-33002-0005-111-00000074-2022 / 72000025"/>
    <s v="PANACO / Bolloré"/>
    <m/>
    <s v="SYNTYCHE"/>
    <s v="Victor"/>
    <s v="MARINE CARGO / GIT"/>
    <s v="MARINE"/>
    <x v="4"/>
    <s v="RAWSUR"/>
    <n v="11642"/>
    <n v="147.5"/>
    <n v="0"/>
    <m/>
    <n v="25"/>
    <n v="100"/>
    <n v="20"/>
    <n v="1.266964439099811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8T00:00:00"/>
    <d v="2022-01-31T00:00:00"/>
    <d v="2022-02-27T00:00:00"/>
    <s v="000-080/AIB RDC/2022"/>
    <n v="0"/>
    <s v="SOUSCRIPTION"/>
    <s v="12003-33002-0005-111-00000075-2022 / 72000026"/>
    <s v="PANACO / Bolloré"/>
    <m/>
    <s v="SYNTYCHE"/>
    <s v="Victor"/>
    <s v="MARINE CARGO / GIT"/>
    <s v="MARINE"/>
    <x v="4"/>
    <s v="RAWSUR"/>
    <n v="9535.2800000000007"/>
    <n v="147.5"/>
    <n v="0"/>
    <m/>
    <n v="25"/>
    <n v="100"/>
    <n v="20"/>
    <n v="1.546886929382252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8T00:00:00"/>
    <d v="2022-01-31T00:00:00"/>
    <d v="2022-02-27T00:00:00"/>
    <s v="000-081/AIB RDC/2022"/>
    <n v="0"/>
    <s v="SOUSCRIPTION"/>
    <s v="12003-33002-0005-111-00000076-2022 / 72000027"/>
    <s v="PANACO / Bolloré"/>
    <m/>
    <s v="SYNTYCHE"/>
    <s v="Victor"/>
    <s v="MARINE CARGO / GIT"/>
    <s v="MARINE"/>
    <x v="4"/>
    <s v="RAWSUR"/>
    <n v="10975.45"/>
    <n v="147.5"/>
    <n v="0"/>
    <m/>
    <n v="25"/>
    <n v="100"/>
    <n v="20"/>
    <n v="1.3439084502229977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8T00:00:00"/>
    <d v="2022-01-31T00:00:00"/>
    <d v="2022-02-26T00:00:00"/>
    <s v="000-082/AIB RDC/2022"/>
    <n v="0"/>
    <s v="SOUSCRIPTION"/>
    <s v="12003-33002-0005-111-00000077-2022 / 72000028"/>
    <s v="PANACO / Bolloré"/>
    <m/>
    <s v="SYNTYCHE"/>
    <s v="Victor"/>
    <s v="MARINE CARGO / GIT"/>
    <s v="MARINE"/>
    <x v="4"/>
    <s v="RAWSUR"/>
    <n v="29873"/>
    <n v="147.5"/>
    <n v="0"/>
    <m/>
    <n v="25"/>
    <n v="100"/>
    <n v="20"/>
    <n v="4.9375690422789808E-3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7T00:00:00"/>
    <d v="2022-01-31T00:00:00"/>
    <d v="2022-02-26T00:00:00"/>
    <s v="000-083/AIB RDC/2022"/>
    <n v="0"/>
    <s v="SOUSCRIPTION"/>
    <s v="12003-33002-0005-111-00000078-2022 / 72000029"/>
    <s v="PANACO / Bolloré"/>
    <m/>
    <s v="SYNTYCHE"/>
    <s v="Victor"/>
    <s v="MARINE CARGO / GIT"/>
    <s v="MARINE"/>
    <x v="4"/>
    <s v="RAWSUR"/>
    <n v="14021.72"/>
    <n v="147.5"/>
    <n v="0"/>
    <m/>
    <n v="25"/>
    <n v="100"/>
    <n v="20"/>
    <n v="1.0519394197002936E-2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7T00:00:00"/>
    <d v="2022-01-31T00:00:00"/>
    <d v="2022-02-26T00:00:00"/>
    <s v="000-084/AIB RDC/2022"/>
    <n v="0"/>
    <s v="SOUSCRIPTION"/>
    <s v="12003-33002-0005-111-00000079-2022 / 72000030"/>
    <s v="PANACO / Bolloré"/>
    <m/>
    <s v="SYNTYCHE"/>
    <s v="Victor"/>
    <s v="MARINE CARGO / GIT"/>
    <s v="MARINE"/>
    <x v="4"/>
    <s v="RAWSUR"/>
    <n v="20358"/>
    <n v="147.5"/>
    <n v="0"/>
    <m/>
    <n v="25"/>
    <n v="100"/>
    <n v="20"/>
    <n v="7.2453089694469001E-3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7T00:00:00"/>
    <d v="2022-01-31T00:00:00"/>
    <d v="2022-02-26T00:00:00"/>
    <s v="000-085/AIB RDC/2022"/>
    <n v="0"/>
    <s v="SOUSCRIPTION"/>
    <s v="12003-33002-0005-111-00000080-2022 / 72000031"/>
    <s v="PANACO / Bolloré"/>
    <m/>
    <s v="SYNTYCHE"/>
    <s v="Victor"/>
    <s v="MARINE CARGO / GIT"/>
    <s v="MARINE"/>
    <x v="4"/>
    <s v="RAWSUR"/>
    <n v="35481"/>
    <n v="147.5"/>
    <n v="0"/>
    <m/>
    <n v="25"/>
    <n v="100"/>
    <n v="20"/>
    <n v="4.157154533412249E-3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0"/>
    <s v="Yes"/>
    <d v="2022-01-31T00:00:00"/>
    <d v="2022-01-27T00:00:00"/>
    <d v="2022-01-31T00:00:00"/>
    <d v="2022-02-27T00:00:00"/>
    <s v="000-086/AIB RDC/2022"/>
    <n v="0"/>
    <s v="SOUSCRIPTION"/>
    <s v="12003-33002-0005-111-00000081-2022 / 72000032"/>
    <s v="PANACO / Bolloré"/>
    <m/>
    <s v="SYNTYCHE"/>
    <s v="Victor"/>
    <s v="MARINE CARGO / GIT"/>
    <s v="MARINE"/>
    <x v="4"/>
    <s v="RAWSUR"/>
    <n v="15701"/>
    <n v="147.5"/>
    <n v="0"/>
    <m/>
    <n v="25"/>
    <n v="100"/>
    <n v="20"/>
    <n v="9.3943060951531751E-3"/>
    <n v="0.15"/>
    <n v="15"/>
    <n v="0"/>
    <n v="0"/>
    <n v="15"/>
    <n v="2.4"/>
    <n v="17.399999999999999"/>
    <n v="0.3"/>
    <n v="0"/>
    <n v="0.3"/>
    <s v="En cours de traitement 2022 Groupe #01"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3-15T00:00:00"/>
    <m/>
    <s v="ONCE OFF"/>
    <s v="MARINE CARGO / GIT"/>
    <m/>
    <m/>
    <m/>
  </r>
  <r>
    <x v="4"/>
    <s v="Yes"/>
    <d v="2022-03-01T00:00:00"/>
    <d v="2022-03-29T00:00:00"/>
    <d v="2022-03-01T00:00:00"/>
    <d v="2023-02-28T00:00:00"/>
    <s v="000-087/AIB RDC/2022"/>
    <n v="0"/>
    <s v="SOUSCRIPTION"/>
    <s v="12005-33002-0008-13001-00000534-2022"/>
    <s v="ALPHAMIN BISIE MINING SA"/>
    <s v="MINING"/>
    <s v="ANDY"/>
    <s v="Andy"/>
    <s v="FIRE"/>
    <s v="PROPERTIES"/>
    <x v="1"/>
    <s v="MARSH"/>
    <n v="80000000"/>
    <n v="2085349.52"/>
    <n v="189347.71"/>
    <m/>
    <n v="0"/>
    <n v="1577897.71"/>
    <n v="282759.26"/>
    <n v="2.6066868999999999E-2"/>
    <n v="0.3"/>
    <n v="0"/>
    <n v="56804.312999999995"/>
    <n v="6206.8965517241386"/>
    <n v="63011.209551724132"/>
    <n v="10081.793528275861"/>
    <n v="73093.003079999995"/>
    <n v="1260.2241910344826"/>
    <n v="0"/>
    <n v="1260.2241910344826"/>
    <m/>
    <n v="61750.98536068965"/>
    <s v="MARSH"/>
    <n v="0"/>
    <n v="0"/>
    <n v="7765.8"/>
    <d v="2023-09-19T00:00:00"/>
    <n v="-7765.8"/>
    <m/>
    <n v="73393.003079999995"/>
    <n v="73093.003079999995"/>
    <n v="-300"/>
    <s v="MARSH"/>
    <d v="2022-06-09T00:00:00"/>
    <m/>
    <s v="LOST"/>
    <s v="FIRE"/>
    <m/>
    <m/>
    <s v="Commision à collecter dans le bordereau de Mai"/>
  </r>
  <r>
    <x v="0"/>
    <s v="Yes"/>
    <d v="2022-01-31T00:00:00"/>
    <d v="2022-01-28T00:00:00"/>
    <d v="2022-01-31T00:00:00"/>
    <d v="2022-02-27T00:00:00"/>
    <s v="000-088/AIB RDC/2022"/>
    <n v="0"/>
    <s v="SOUSCRIPTION"/>
    <s v="12003-33002-0005-111-00000082-2022 / 72000033"/>
    <s v="PANACO / Bolloré"/>
    <m/>
    <s v="SYNTYCHE"/>
    <s v="Victor"/>
    <s v="MARINE CARGO / GIT"/>
    <s v="MARINE"/>
    <x v="4"/>
    <s v="RAWSUR"/>
    <n v="5871.82"/>
    <n v="147.5"/>
    <n v="0"/>
    <m/>
    <n v="25"/>
    <n v="100"/>
    <n v="20"/>
    <n v="2.5119979835894153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0"/>
    <s v="Yes"/>
    <d v="2022-01-01T00:00:00"/>
    <d v="2022-02-10T00:00:00"/>
    <d v="2022-01-01T00:00:00"/>
    <d v="2022-12-31T00:00:00"/>
    <s v="000-089/AIB RDC/2022"/>
    <n v="1"/>
    <s v="RISTOURNE"/>
    <s v="000001-0017-003-0000938"/>
    <s v="BOLLORE TRANSPORT &amp; LOGISTICS RDC"/>
    <s v="TRANSPORT"/>
    <s v="SYNTYCHE"/>
    <s v="Grâce"/>
    <s v="MOTOR TPL"/>
    <s v="MOTOR TPL"/>
    <x v="2"/>
    <s v="SUNU"/>
    <m/>
    <m/>
    <m/>
    <m/>
    <n v="0"/>
    <n v="-775.01"/>
    <m/>
    <e v="#DIV/0!"/>
    <n v="0.1"/>
    <n v="-77.501000000000005"/>
    <n v="0"/>
    <n v="0"/>
    <n v="-77.501000000000005"/>
    <n v="-12.400160000000001"/>
    <n v="-89.901160000000004"/>
    <n v="-1.5500200000000002"/>
    <n v="0"/>
    <n v="-1.5500200000000002"/>
    <m/>
    <n v="-75.950980000000001"/>
    <s v="OLEA"/>
    <n v="0.35"/>
    <n v="-26.582843"/>
    <m/>
    <m/>
    <n v="-26.582843"/>
    <m/>
    <m/>
    <n v="-89.901160000000004"/>
    <n v="-89.901160000000004"/>
    <s v="SUNU"/>
    <m/>
    <m/>
    <s v="RENEWED"/>
    <s v="MOTOR TPL"/>
    <m/>
    <m/>
    <m/>
  </r>
  <r>
    <x v="0"/>
    <s v="Yes"/>
    <d v="2022-01-31T00:00:00"/>
    <d v="2022-02-02T00:00:00"/>
    <d v="2022-01-31T00:00:00"/>
    <d v="2022-06-04T00:00:00"/>
    <s v="000-090/AIB RDC/2022"/>
    <n v="0"/>
    <s v="SOUSCRIPTION"/>
    <s v="101/01/0700/00220/2022"/>
    <s v="CATHERINE YAHUMA"/>
    <s v="PERSON"/>
    <s v="SYNTYCHE"/>
    <s v="Apphia"/>
    <s v="MOTOR TPL"/>
    <s v="MOTOR TPL"/>
    <x v="1"/>
    <s v="MAYFAIR"/>
    <n v="0"/>
    <n v="86.5"/>
    <n v="0"/>
    <n v="0"/>
    <n v="10"/>
    <n v="63.3"/>
    <m/>
    <e v="#DIV/0!"/>
    <n v="0.125"/>
    <n v="7.9124999999999996"/>
    <n v="0"/>
    <n v="0"/>
    <n v="7.9124999999999996"/>
    <n v="1.266"/>
    <n v="9.1784999999999997"/>
    <n v="0.15825"/>
    <n v="0"/>
    <n v="0.15825"/>
    <s v="En cours de traitement 2022 Groupe #02"/>
    <n v="7.7542499999999999"/>
    <m/>
    <m/>
    <n v="0"/>
    <m/>
    <m/>
    <n v="0"/>
    <m/>
    <n v="9.1784999999999997"/>
    <n v="9.1784999999999997"/>
    <n v="0"/>
    <s v="MAYFAIR"/>
    <d v="2022-03-25T00:00:00"/>
    <m/>
    <s v="RENEWED"/>
    <s v="MOTOR TPL"/>
    <m/>
    <m/>
    <m/>
  </r>
  <r>
    <x v="0"/>
    <s v="Yes"/>
    <d v="2022-01-20T00:00:00"/>
    <d v="2022-01-20T00:00:00"/>
    <d v="2022-01-20T00:00:00"/>
    <d v="2023-01-19T00:00:00"/>
    <s v="000-091/AIB RDC/2022"/>
    <n v="11"/>
    <s v="RISTOURNE"/>
    <s v="01-RCAP-2021-000013"/>
    <s v="GSA"/>
    <s v="SECURITY"/>
    <s v="SYNTYCHE"/>
    <s v="Grace"/>
    <s v="MOTOR TPL"/>
    <s v="MOTOR TPL"/>
    <x v="6"/>
    <s v="SFA"/>
    <n v="0"/>
    <n v="-86.54"/>
    <n v="0"/>
    <n v="0"/>
    <n v="0"/>
    <n v="-74.599999999999994"/>
    <n v="-11.94"/>
    <e v="#DIV/0!"/>
    <n v="0.1"/>
    <n v="-7.46"/>
    <n v="0"/>
    <n v="0"/>
    <n v="-7.46"/>
    <n v="-1.1936"/>
    <n v="-8.6536000000000008"/>
    <n v="-0.1492"/>
    <n v="0"/>
    <n v="-0.1492"/>
    <m/>
    <n v="-7.3108000000000004"/>
    <m/>
    <m/>
    <n v="0"/>
    <m/>
    <m/>
    <n v="0"/>
    <m/>
    <n v="-8.6536000000000008"/>
    <n v="-8.6536000000000008"/>
    <n v="0"/>
    <s v="SFA"/>
    <d v="2022-04-25T00:00:00"/>
    <m/>
    <s v="RENEWED"/>
    <s v="MOTOR TPL"/>
    <m/>
    <m/>
    <m/>
  </r>
  <r>
    <x v="0"/>
    <s v="Yes"/>
    <d v="2022-01-01T00:00:00"/>
    <d v="2022-05-06T00:00:00"/>
    <d v="2022-01-01T00:00:00"/>
    <d v="2022-12-31T00:00:00"/>
    <s v="000-092/AIB RDC/2022"/>
    <n v="2"/>
    <s v="RENOUVELLEMENT"/>
    <s v="12001-33002-0014-111-00000408-2021"/>
    <s v="BOLLORE TRANSPORT &amp; LOGISTICS RDC"/>
    <s v="TRANSPORT"/>
    <s v="ANDY"/>
    <s v="Andy"/>
    <s v="MARINE CARGO / GIT"/>
    <s v="MARINE"/>
    <x v="0"/>
    <s v="ACTIVA"/>
    <n v="0"/>
    <n v="2343.1999999999998"/>
    <n v="0"/>
    <m/>
    <n v="20"/>
    <n v="2000"/>
    <n v="323.2"/>
    <e v="#DIV/0!"/>
    <n v="0.05"/>
    <n v="100"/>
    <n v="0"/>
    <n v="0"/>
    <n v="100"/>
    <n v="16"/>
    <n v="116"/>
    <n v="2"/>
    <n v="0"/>
    <n v="2"/>
    <m/>
    <n v="98"/>
    <m/>
    <m/>
    <n v="0"/>
    <m/>
    <m/>
    <n v="0"/>
    <m/>
    <n v="116"/>
    <n v="116"/>
    <n v="0"/>
    <s v="ACTIVA"/>
    <d v="2022-07-06T00:00:00"/>
    <m/>
    <s v="RENEWING..."/>
    <s v="MARINE CARGO / GIT"/>
    <m/>
    <m/>
    <m/>
  </r>
  <r>
    <x v="3"/>
    <s v="Yes"/>
    <d v="2022-02-16T00:00:00"/>
    <d v="2022-03-29T00:00:00"/>
    <d v="2022-02-16T00:00:00"/>
    <d v="2022-05-31T00:00:00"/>
    <s v="000-093/AIB RDC/2022"/>
    <n v="0"/>
    <s v="SOUSCRIPTION"/>
    <s v="1//029/001/2021"/>
    <s v="EASTCASTLE INFRASTRUCTURE DRC SARLU"/>
    <m/>
    <s v="RAMSY"/>
    <s v="Ramsy"/>
    <s v="TRC"/>
    <s v="CONSTRUCTIONS"/>
    <x v="1"/>
    <s v="MAYFAIR"/>
    <m/>
    <n v="2122.9499999999998"/>
    <n v="0"/>
    <n v="0"/>
    <m/>
    <n v="1699.11"/>
    <m/>
    <e v="#DIV/0!"/>
    <n v="0.15"/>
    <n v="254.86649999999997"/>
    <n v="0"/>
    <n v="0"/>
    <n v="254.86649999999997"/>
    <n v="40.778639999999996"/>
    <n v="295.64513999999997"/>
    <n v="5.0973299999999995"/>
    <n v="0"/>
    <n v="5.0973299999999995"/>
    <m/>
    <n v="249.76916999999997"/>
    <s v="MARSH"/>
    <n v="0.3"/>
    <n v="74.930750999999987"/>
    <n v="74.930750999999987"/>
    <d v="2023-09-19T00:00:00"/>
    <n v="0"/>
    <m/>
    <n v="295.64513999999997"/>
    <n v="295.64513999999997"/>
    <n v="0"/>
    <s v="MAYFAIR"/>
    <d v="2022-05-18T00:00:00"/>
    <m/>
    <s v="RENEWED"/>
    <s v="TRC"/>
    <m/>
    <s v="MAYFAIR"/>
    <m/>
  </r>
  <r>
    <x v="3"/>
    <s v="Yes"/>
    <d v="2022-02-16T00:00:00"/>
    <d v="2022-03-29T00:00:00"/>
    <d v="2022-02-16T00:00:00"/>
    <d v="2022-05-31T00:00:00"/>
    <s v="000-094/AIB RDC/2022"/>
    <n v="1"/>
    <s v="INCORPORATION"/>
    <s v="1/01/020/00008/2021"/>
    <s v="EASTCASTLE INFRASTRUCTURE DRC SARLU"/>
    <m/>
    <s v="RAMSY"/>
    <s v="Ramsy"/>
    <s v="TRC"/>
    <s v="CONSTRUCTIONS"/>
    <x v="1"/>
    <s v="MAYFAIR"/>
    <m/>
    <n v="4518.28"/>
    <n v="0"/>
    <n v="0"/>
    <m/>
    <n v="3729.05"/>
    <m/>
    <e v="#DIV/0!"/>
    <n v="0.15"/>
    <n v="559.35749999999996"/>
    <n v="0"/>
    <n v="0"/>
    <n v="559.35749999999996"/>
    <n v="89.497199999999992"/>
    <n v="648.85469999999998"/>
    <n v="11.187149999999999"/>
    <n v="0"/>
    <n v="11.187149999999999"/>
    <m/>
    <n v="548.17034999999998"/>
    <s v="MARSH"/>
    <n v="0.3"/>
    <n v="164.45110499999998"/>
    <n v="164.45110499999998"/>
    <d v="2023-09-19T00:00:00"/>
    <n v="0"/>
    <m/>
    <n v="648.85469999999998"/>
    <n v="648.85469999999998"/>
    <n v="0"/>
    <s v="MAYFAIR"/>
    <d v="2022-07-30T00:00:00"/>
    <m/>
    <s v="RENEWED"/>
    <s v="TRC"/>
    <m/>
    <s v="MAYFAIR"/>
    <s v="Ne figure pas dans la production 2022 d'Activa, Ils ont besoin de la preuve de paiement."/>
  </r>
  <r>
    <x v="3"/>
    <s v="Yes"/>
    <d v="2022-02-01T00:00:00"/>
    <d v="2022-01-26T00:00:00"/>
    <d v="2022-02-01T00:00:00"/>
    <d v="2023-01-31T00:00:00"/>
    <s v="000-095/AIB RDC/2022"/>
    <n v="0"/>
    <s v="SOUSCRIPTION"/>
    <s v="12001-33002-0001-104-0001845-2022"/>
    <s v="CFAO RDC / Loxea RDC"/>
    <s v="Distribution"/>
    <s v="ANDY"/>
    <s v="Apphia"/>
    <s v="COMP MOTOR"/>
    <s v="MOTOR COMP"/>
    <x v="0"/>
    <s v="ACTIVA"/>
    <n v="7297046"/>
    <n v="365739.3"/>
    <n v="0"/>
    <m/>
    <m/>
    <n v="312170.8"/>
    <m/>
    <n v="5.0121556037881626E-2"/>
    <n v="0.14089511166744498"/>
    <n v="43983.339725315629"/>
    <n v="0"/>
    <n v="9365.1239999999998"/>
    <n v="53348.463725315625"/>
    <n v="8535.7541960505005"/>
    <n v="61884.217921366129"/>
    <n v="1066.9692745063126"/>
    <n v="0"/>
    <n v="1066.9692745063126"/>
    <s v="En cours de traitement 2022 Groupe #01"/>
    <n v="52281.49445080931"/>
    <s v="Aucun"/>
    <m/>
    <n v="0"/>
    <m/>
    <m/>
    <n v="0"/>
    <m/>
    <n v="61884.217921366129"/>
    <n v="61884.217921366129"/>
    <n v="0"/>
    <s v="ACTIVA"/>
    <d v="2022-03-23T00:00:00"/>
    <m/>
    <s v="RENEWED"/>
    <s v="COMP MOTOR"/>
    <m/>
    <m/>
    <m/>
  </r>
  <r>
    <x v="3"/>
    <s v="Yes"/>
    <d v="2022-02-22T00:00:00"/>
    <d v="2022-02-22T00:00:00"/>
    <d v="2022-02-01T00:00:00"/>
    <d v="2023-01-31T00:00:00"/>
    <s v="000-096/AIB RDC/2022"/>
    <n v="1"/>
    <s v="INCORPORATION"/>
    <s v="12001-33002-0001-104-0001845-2022"/>
    <s v="CFAO RDC / Loxea RDC"/>
    <s v="Distribution"/>
    <s v="ANDY"/>
    <s v="Apphia"/>
    <s v="COMP MOTOR"/>
    <s v="MOTOR COMP"/>
    <x v="0"/>
    <s v="ACTIVA"/>
    <n v="40827"/>
    <n v="1984.98"/>
    <n v="0"/>
    <m/>
    <m/>
    <n v="1694.25"/>
    <m/>
    <n v="4.8619296054081856E-2"/>
    <n v="0.14782352073188726"/>
    <n v="250.45"/>
    <n v="0"/>
    <n v="50.827500000000001"/>
    <n v="301.27749999999997"/>
    <n v="48.2044"/>
    <n v="349.4819"/>
    <n v="6.02555"/>
    <n v="0"/>
    <n v="6.02555"/>
    <s v="En cours de traitement 2022 Groupe #02"/>
    <n v="295.25194999999997"/>
    <s v="Aucun"/>
    <m/>
    <n v="0"/>
    <m/>
    <m/>
    <n v="0"/>
    <m/>
    <n v="349.4819"/>
    <n v="349.4819"/>
    <n v="0"/>
    <s v="ACTIVA"/>
    <d v="2022-03-30T00:00:00"/>
    <m/>
    <s v="RENEWED"/>
    <s v="COMP MOTOR"/>
    <m/>
    <m/>
    <m/>
  </r>
  <r>
    <x v="3"/>
    <s v="Yes"/>
    <d v="2022-02-03T00:00:00"/>
    <d v="2022-02-04T00:00:00"/>
    <d v="2022-02-01T00:00:00"/>
    <d v="2023-01-31T00:00:00"/>
    <s v="000-097/AIB RDC/2022"/>
    <n v="0"/>
    <s v="SOUSCRIPTION"/>
    <s v="01-TRA-2022-000007"/>
    <s v="Confiance DRC Sarl"/>
    <s v="TRANSPORT"/>
    <s v="ANDY"/>
    <s v="Apphia"/>
    <s v="COMP MOTOR"/>
    <s v="MOTOR COMP"/>
    <x v="6"/>
    <s v="SFA"/>
    <n v="51127"/>
    <n v="2733.55"/>
    <n v="0"/>
    <m/>
    <m/>
    <n v="2282.33"/>
    <m/>
    <n v="5.3465879085414753E-2"/>
    <n v="0.15"/>
    <n v="342.34949999999998"/>
    <n v="0"/>
    <n v="0"/>
    <n v="342.34949999999998"/>
    <n v="54.775919999999999"/>
    <n v="397.12541999999996"/>
    <n v="6.8469899999999999"/>
    <n v="0"/>
    <n v="6.8469899999999999"/>
    <s v="En cours de traitement 2022 Groupe #02"/>
    <n v="335.50250999999997"/>
    <s v="O'NEILS"/>
    <n v="0.5"/>
    <n v="167.75125499999999"/>
    <n v="167.75125499999999"/>
    <d v="2022-11-02T00:00:00"/>
    <n v="0"/>
    <s v="PT011/AIB RDC/2022"/>
    <n v="397.12541999999996"/>
    <n v="397.12541999999996"/>
    <n v="0"/>
    <s v="SFA"/>
    <d v="2022-03-29T00:00:00"/>
    <m/>
    <s v="RENEWED"/>
    <s v="COMP MOTOR"/>
    <m/>
    <m/>
    <m/>
  </r>
  <r>
    <x v="3"/>
    <s v="Yes"/>
    <d v="2022-02-01T00:00:00"/>
    <d v="2022-05-04T00:00:00"/>
    <d v="2022-02-01T00:00:00"/>
    <d v="2022-12-31T00:00:00"/>
    <s v="000-098/AIB RDC/2022"/>
    <n v="3"/>
    <s v="INCORPORATION"/>
    <s v="12001-09008/1005/2300001495"/>
    <s v="RESOLVE TO SAVE LIFES"/>
    <m/>
    <s v="ALICE"/>
    <s v="Apphia"/>
    <s v="MEDICAL"/>
    <s v="MEDICAL &amp; GPA"/>
    <x v="3"/>
    <s v="ACTIVA/GGA"/>
    <n v="0"/>
    <n v="17140"/>
    <n v="0"/>
    <m/>
    <m/>
    <n v="12169.95"/>
    <m/>
    <e v="#DIV/0!"/>
    <n v="0.05"/>
    <n v="608.49750000000006"/>
    <n v="0"/>
    <n v="0"/>
    <n v="608.49750000000006"/>
    <n v="0"/>
    <n v="608.49750000000006"/>
    <n v="12.169950000000002"/>
    <n v="0"/>
    <n v="12.169950000000002"/>
    <m/>
    <n v="596.32755000000009"/>
    <s v="OLEA"/>
    <n v="0.35"/>
    <n v="208.71464250000002"/>
    <m/>
    <m/>
    <n v="208.71464250000002"/>
    <m/>
    <n v="608.49750000000006"/>
    <n v="608.49750000000006"/>
    <n v="0"/>
    <s v="ACTIVA/GGA"/>
    <d v="2022-06-02T00:00:00"/>
    <m/>
    <s v="RENEWED"/>
    <s v="MEDICAL"/>
    <m/>
    <m/>
    <m/>
  </r>
  <r>
    <x v="3"/>
    <s v="Yes"/>
    <d v="2022-02-01T00:00:00"/>
    <d v="2022-01-28T00:00:00"/>
    <d v="2022-02-01T00:00:00"/>
    <d v="2022-05-01T00:00:00"/>
    <s v="000-099/AIB RDC/2022"/>
    <n v="1"/>
    <s v="PROROGATION"/>
    <s v="12003-33002-0003-112-00000039-2022 / 301 45000012"/>
    <s v="HELIOS INFRACO DRC SARL"/>
    <s v="INFRASTRUCTURE"/>
    <s v="RAMSY"/>
    <s v="Apphia"/>
    <s v="FIRE"/>
    <s v="PROPERTIES"/>
    <x v="4"/>
    <s v="RAWSUR"/>
    <n v="0"/>
    <n v="6587.45"/>
    <n v="0"/>
    <n v="0"/>
    <m/>
    <n v="4530.09"/>
    <m/>
    <e v="#DIV/0!"/>
    <n v="0.15"/>
    <n v="679.51350000000002"/>
    <n v="0"/>
    <n v="0"/>
    <n v="679.51350000000002"/>
    <n v="108.72216"/>
    <n v="788.23566000000005"/>
    <n v="13.59027"/>
    <n v="0"/>
    <n v="13.59027"/>
    <s v="En cours de traitement 2022 Groupe #01"/>
    <n v="665.92322999999999"/>
    <s v="OLEA"/>
    <n v="0.35"/>
    <n v="233.07313049999999"/>
    <n v="233.07313049999999"/>
    <d v="2023-05-24T00:00:00"/>
    <n v="0"/>
    <m/>
    <n v="788.23566000000005"/>
    <n v="788.23566000000005"/>
    <n v="0"/>
    <s v="RAWSUR"/>
    <d v="2022-03-15T00:00:00"/>
    <m/>
    <s v="RENEWED"/>
    <s v="FIRE"/>
    <s v="30457.38"/>
    <s v="RAWSUR"/>
    <m/>
  </r>
  <r>
    <x v="3"/>
    <s v="Yes"/>
    <d v="2022-02-01T00:00:00"/>
    <d v="2022-01-28T00:00:00"/>
    <d v="2022-02-01T00:00:00"/>
    <d v="2022-05-01T00:00:00"/>
    <s v="000-100/AIB RDC/2022"/>
    <n v="1"/>
    <s v="PROROGATION"/>
    <s v="12003-33002-0010-113-00000014-2022 / 60400002"/>
    <s v="HELIOS INFRACO DRC SARL"/>
    <s v="INFRASTRUCTURE"/>
    <s v="RAMSY"/>
    <s v="Victor"/>
    <s v="PUBLIC LIABILITY"/>
    <s v="LIABILITIES"/>
    <x v="4"/>
    <s v="RAWSUR"/>
    <n v="0"/>
    <n v="4731.07"/>
    <n v="0"/>
    <n v="0"/>
    <m/>
    <n v="3746.25"/>
    <m/>
    <e v="#DIV/0!"/>
    <n v="0.1"/>
    <n v="374.625"/>
    <n v="0"/>
    <n v="0"/>
    <n v="374.625"/>
    <n v="59.94"/>
    <n v="434.565"/>
    <n v="7.4924999999999997"/>
    <n v="0"/>
    <n v="7.4924999999999997"/>
    <s v="En cours de traitement 2022 Groupe #01"/>
    <n v="367.13249999999999"/>
    <s v="OLEA"/>
    <n v="0.35"/>
    <n v="128.496375"/>
    <n v="128.496375"/>
    <d v="2023-05-24T00:00:00"/>
    <n v="0"/>
    <m/>
    <n v="434.565"/>
    <n v="434.565"/>
    <n v="0"/>
    <s v="RAWSUR"/>
    <d v="2022-03-15T00:00:00"/>
    <m/>
    <s v="RENEWED"/>
    <s v="PUBLIC LIABILITY"/>
    <s v="28308.82"/>
    <s v="RAWSUR"/>
    <m/>
  </r>
  <r>
    <x v="3"/>
    <s v="Yes"/>
    <d v="2022-02-01T00:00:00"/>
    <d v="2022-05-01T00:00:00"/>
    <d v="2022-02-01T00:00:00"/>
    <d v="2022-05-01T00:00:00"/>
    <s v="000-101/AIB RDC/2022"/>
    <n v="1"/>
    <s v="PROROGATION"/>
    <s v="12003-33002-0006-122-00000020-2022 / 59000003"/>
    <s v="HELIOS INFRACO DRC SARL"/>
    <s v="INFRASTRUCTURE"/>
    <s v="RAMSY"/>
    <s v="Apphia"/>
    <s v="PVT"/>
    <s v="POLITICAL VIOLENCE"/>
    <x v="4"/>
    <s v="RAWSUR"/>
    <n v="0"/>
    <n v="6770.39"/>
    <n v="0"/>
    <n v="0"/>
    <n v="25"/>
    <n v="5713.04"/>
    <n v="918.09"/>
    <e v="#DIV/0!"/>
    <n v="0.102844151842041"/>
    <m/>
    <n v="587.55275323965395"/>
    <n v="0"/>
    <n v="587.55275323965395"/>
    <n v="94.008440518344628"/>
    <n v="681.56119375799858"/>
    <n v="11.751055064793078"/>
    <n v="0"/>
    <n v="11.751055064793078"/>
    <m/>
    <n v="575.80169817486092"/>
    <s v="OLEA"/>
    <n v="0.35"/>
    <n v="201.53059436120131"/>
    <n v="201.53059436120131"/>
    <d v="2023-05-24T00:00:00"/>
    <n v="0"/>
    <m/>
    <n v="681.56119375799858"/>
    <n v="681.56119375799858"/>
    <n v="0"/>
    <s v="RAWSUR"/>
    <d v="2022-07-05T00:00:00"/>
    <m/>
    <s v="RENEWED"/>
    <s v="PVT"/>
    <s v="19758.06"/>
    <s v="RAWSUR"/>
    <m/>
  </r>
  <r>
    <x v="3"/>
    <s v="Yes"/>
    <d v="2022-02-22T00:00:00"/>
    <d v="2022-02-22T00:00:00"/>
    <d v="2022-02-02T00:00:00"/>
    <d v="2023-01-31T00:00:00"/>
    <s v="000-102/AIB RDC/2022"/>
    <n v="2"/>
    <s v="INCORPORATION"/>
    <s v="12001-33002-0001-104-0001845-2022"/>
    <s v="CFAO RDC / Loxea RDC"/>
    <s v="Distribution"/>
    <s v="ANDY"/>
    <s v="Apphia"/>
    <s v="COMP MOTOR"/>
    <s v="MOTOR COMP"/>
    <x v="0"/>
    <s v="ACTIVA"/>
    <n v="219927"/>
    <n v="10853.46"/>
    <n v="0"/>
    <m/>
    <m/>
    <n v="9263.7999999999993"/>
    <m/>
    <n v="4.9350284412555068E-2"/>
    <n v="0.14842937023683586"/>
    <n v="1375.02"/>
    <n v="0"/>
    <n v="277.91399999999999"/>
    <n v="1652.934"/>
    <n v="264.46944000000002"/>
    <n v="1917.40344"/>
    <n v="33.058680000000003"/>
    <n v="0"/>
    <n v="33.058680000000003"/>
    <s v="En cours de traitement 2022 Groupe #02"/>
    <n v="1619.8753199999999"/>
    <s v="Aucun"/>
    <m/>
    <n v="0"/>
    <m/>
    <m/>
    <n v="0"/>
    <m/>
    <n v="1917.40344"/>
    <n v="1917.40344"/>
    <n v="0"/>
    <s v="ACTIVA"/>
    <d v="2022-03-30T00:00:00"/>
    <m/>
    <s v="RENEWED"/>
    <s v="COMP MOTOR"/>
    <m/>
    <m/>
    <m/>
  </r>
  <r>
    <x v="3"/>
    <s v="Yes"/>
    <d v="2022-02-07T00:00:00"/>
    <d v="2022-02-07T00:00:00"/>
    <d v="2022-01-01T00:00:00"/>
    <d v="2022-12-31T00:00:00"/>
    <s v="000-103/AIB RDC/2022"/>
    <n v="0"/>
    <s v="SOUSCRIPTION"/>
    <s v="01-RCG-2022-000014"/>
    <s v="CANAL PLUS"/>
    <s v="Distribution"/>
    <s v="ANDY"/>
    <s v="Apphia"/>
    <s v="PUBLIC LIABILITY"/>
    <s v="LIABILITIES"/>
    <x v="6"/>
    <s v="SFA"/>
    <n v="0"/>
    <n v="6338.58"/>
    <n v="0"/>
    <m/>
    <m/>
    <n v="5335"/>
    <m/>
    <e v="#DIV/0!"/>
    <n v="0.1"/>
    <n v="533.5"/>
    <n v="0"/>
    <n v="0"/>
    <n v="533.5"/>
    <n v="85.36"/>
    <n v="618.86"/>
    <n v="10.67"/>
    <n v="0"/>
    <n v="10.67"/>
    <s v="En cours de traitement 2022 Groupe #02"/>
    <n v="522.83000000000004"/>
    <s v="OLEA"/>
    <n v="0.35"/>
    <n v="182.9905"/>
    <m/>
    <m/>
    <n v="182.9905"/>
    <m/>
    <n v="618.86"/>
    <n v="618.86"/>
    <n v="0"/>
    <s v="SFA"/>
    <d v="2022-03-29T00:00:00"/>
    <m/>
    <s v="RENEWING..."/>
    <s v="PUBLIC LIABILITY"/>
    <m/>
    <m/>
    <m/>
  </r>
  <r>
    <x v="3"/>
    <s v="Yes"/>
    <d v="2022-02-03T00:00:00"/>
    <d v="2022-02-03T00:00:00"/>
    <d v="2022-02-03T00:00:00"/>
    <d v="2022-10-14T00:00:00"/>
    <s v="000-104/AIB RDC/2022"/>
    <n v="8"/>
    <s v="INCORPORATION"/>
    <s v="01-RCAP-2020-000107"/>
    <s v="KAMOTO COPPER COMPANY"/>
    <s v="MINING"/>
    <s v="RAMSY"/>
    <s v="Apphia"/>
    <s v="MOTOR TPL"/>
    <s v="MOTOR TPL"/>
    <x v="6"/>
    <s v="SFA"/>
    <n v="1000000"/>
    <n v="5609.05"/>
    <n v="0"/>
    <m/>
    <n v="70.25"/>
    <n v="4683.18"/>
    <n v="760.55"/>
    <n v="5.60905E-3"/>
    <n v="0.1"/>
    <n v="468.31800000000004"/>
    <n v="0"/>
    <n v="0"/>
    <n v="468.31800000000004"/>
    <n v="74.930880000000002"/>
    <n v="543.2488800000001"/>
    <n v="9.3663600000000002"/>
    <n v="0"/>
    <n v="9.3663600000000002"/>
    <s v="En cours de traitement 2022 Groupe #02"/>
    <n v="458.95164000000005"/>
    <m/>
    <m/>
    <n v="0"/>
    <m/>
    <m/>
    <n v="0"/>
    <m/>
    <n v="543.2488800000001"/>
    <n v="543.2488800000001"/>
    <n v="0"/>
    <s v="SFA"/>
    <d v="2022-03-29T00:00:00"/>
    <m/>
    <s v="RENEWED"/>
    <s v="MOTOR TPL"/>
    <m/>
    <s v="SFA"/>
    <m/>
  </r>
  <r>
    <x v="3"/>
    <s v="Yes"/>
    <d v="2022-02-03T00:00:00"/>
    <d v="2022-03-07T00:00:00"/>
    <d v="2022-02-03T00:00:00"/>
    <d v="2023-02-02T00:00:00"/>
    <s v="000-105/AIB RDC/2022"/>
    <n v="1"/>
    <s v="RENOUVELLEMENT"/>
    <s v="12003-33002-0122-101-00000013-2022 / 12200001"/>
    <s v="BRALIMA"/>
    <s v="Brasserie"/>
    <s v="RAMSY"/>
    <s v="Apphia"/>
    <s v="GPA"/>
    <s v="MEDICAL &amp; GPA"/>
    <x v="4"/>
    <s v="RAWSUR"/>
    <n v="400000"/>
    <n v="25218.16"/>
    <n v="0"/>
    <m/>
    <n v="100"/>
    <n v="21271.32"/>
    <n v="3419.41"/>
    <n v="6.3045400000000001E-2"/>
    <n v="0.1"/>
    <n v="2127.1320000000001"/>
    <n v="0"/>
    <n v="0"/>
    <n v="2127.1320000000001"/>
    <n v="340.34111999999999"/>
    <n v="2467.4731200000001"/>
    <n v="42.542639999999999"/>
    <n v="0"/>
    <n v="42.542639999999999"/>
    <m/>
    <n v="2084.5893599999999"/>
    <m/>
    <m/>
    <n v="0"/>
    <m/>
    <m/>
    <n v="0"/>
    <m/>
    <n v="2467.4731200000001"/>
    <n v="2467.4731200000001"/>
    <n v="0"/>
    <s v="RAWSUR"/>
    <d v="2022-05-20T00:00:00"/>
    <m/>
    <s v="RENEWED"/>
    <s v="GPA"/>
    <m/>
    <m/>
    <m/>
  </r>
  <r>
    <x v="3"/>
    <s v="Yes"/>
    <d v="2022-02-03T00:00:00"/>
    <d v="2022-06-06T00:00:00"/>
    <d v="2022-02-03T00:00:00"/>
    <d v="2023-02-03T00:00:00"/>
    <s v="000-106/AIB RDC/2022"/>
    <n v="2"/>
    <s v="INCORPORATION"/>
    <s v="12001-09001/3002/140 0000 349"/>
    <s v="BGFI BANK "/>
    <s v="Banking"/>
    <s v="RAMSY"/>
    <s v="Apphia"/>
    <s v="MOTOR TPL"/>
    <s v="MOTOR TPL"/>
    <x v="0"/>
    <s v="ACTIVA"/>
    <n v="0"/>
    <n v="303.27"/>
    <n v="0"/>
    <m/>
    <n v="2.59"/>
    <n v="258.85000000000002"/>
    <n v="41.83"/>
    <e v="#DIV/0!"/>
    <n v="0.11064322966969287"/>
    <n v="28.64"/>
    <n v="0"/>
    <n v="0"/>
    <n v="28.64"/>
    <n v="4.5823999999999998"/>
    <n v="33.2224"/>
    <n v="0.57279999999999998"/>
    <n v="0"/>
    <n v="0.57279999999999998"/>
    <s v="En cours de traitement 2022 Groupe #02"/>
    <n v="28.0672"/>
    <m/>
    <m/>
    <n v="0"/>
    <m/>
    <m/>
    <n v="0"/>
    <m/>
    <n v="33.2224"/>
    <n v="33.2224"/>
    <n v="0"/>
    <s v="ACTIVA"/>
    <d v="2022-03-30T00:00:00"/>
    <m/>
    <s v="RENEWED"/>
    <s v="MOTOR TPL"/>
    <m/>
    <m/>
    <m/>
  </r>
  <r>
    <x v="3"/>
    <s v="Yes"/>
    <d v="2022-02-03T00:00:00"/>
    <d v="2022-02-03T00:00:00"/>
    <d v="2022-02-03T00:00:00"/>
    <d v="2023-01-19T00:00:00"/>
    <s v="000-107/AIB RDC/2022"/>
    <n v="12"/>
    <s v="RISTOURNE"/>
    <s v="01-RCAP-2021-000013"/>
    <s v="GSA"/>
    <s v="SECURITY"/>
    <s v="SYNTYCHE"/>
    <s v="Apphia"/>
    <s v="MOTOR TPL"/>
    <s v="MOTOR TPL"/>
    <x v="6"/>
    <s v="SFA"/>
    <n v="0"/>
    <n v="-1023.73"/>
    <n v="0"/>
    <n v="0"/>
    <n v="0"/>
    <n v="-882.53"/>
    <n v="-141.19999999999999"/>
    <e v="#DIV/0!"/>
    <n v="0.1"/>
    <n v="-88.253"/>
    <n v="0"/>
    <n v="0"/>
    <n v="-88.253"/>
    <n v="-14.120480000000001"/>
    <n v="-102.37348"/>
    <n v="-1.7650600000000001"/>
    <n v="0"/>
    <n v="-1.7650600000000001"/>
    <m/>
    <n v="-86.487939999999995"/>
    <m/>
    <m/>
    <n v="0"/>
    <m/>
    <m/>
    <n v="0"/>
    <m/>
    <n v="-102.37348"/>
    <n v="-102.37348"/>
    <n v="0"/>
    <s v="SFA"/>
    <d v="2022-04-25T00:00:00"/>
    <m/>
    <s v="RENEWED"/>
    <s v="MOTOR TPL"/>
    <m/>
    <m/>
    <m/>
  </r>
  <r>
    <x v="3"/>
    <s v="Yes"/>
    <d v="2022-02-22T00:00:00"/>
    <d v="2022-02-22T00:00:00"/>
    <d v="2022-02-04T00:00:00"/>
    <d v="2023-01-31T00:00:00"/>
    <s v="000-108/AIB RDC/2022"/>
    <n v="3"/>
    <s v="INCORPORATION"/>
    <s v="12001-33002-0001-104-0001845-2022"/>
    <s v="CFAO RDC / Loxea RDC"/>
    <s v="Distribution"/>
    <s v="ANDY"/>
    <s v="Apphia"/>
    <s v="COMP MOTOR"/>
    <s v="MOTOR COMP"/>
    <x v="0"/>
    <s v="ACTIVA"/>
    <n v="204715"/>
    <n v="9866.9"/>
    <n v="0"/>
    <m/>
    <m/>
    <n v="8421.73"/>
    <m/>
    <n v="4.8198226803116528E-2"/>
    <n v="0.14547486086587913"/>
    <n v="1225.1500000000001"/>
    <n v="0"/>
    <n v="252.65189999999998"/>
    <n v="1477.8019000000002"/>
    <n v="236.44830400000004"/>
    <n v="1714.2502040000002"/>
    <n v="29.556038000000004"/>
    <n v="0"/>
    <n v="29.556038000000004"/>
    <s v="En cours de traitement 2022 Groupe #02"/>
    <n v="1448.2458620000002"/>
    <s v="Aucun"/>
    <m/>
    <n v="0"/>
    <m/>
    <m/>
    <n v="0"/>
    <m/>
    <n v="1714.2502040000002"/>
    <n v="1714.2502040000002"/>
    <n v="0"/>
    <s v="ACTIVA"/>
    <d v="2022-03-30T00:00:00"/>
    <m/>
    <s v="RENEWED"/>
    <s v="COMP MOTOR"/>
    <m/>
    <m/>
    <m/>
  </r>
  <r>
    <x v="5"/>
    <s v="Yes"/>
    <d v="2022-12-09T00:00:00"/>
    <d v="2022-11-17T00:00:00"/>
    <d v="2022-11-01T00:00:00"/>
    <d v="2023-10-31T00:00:00"/>
    <s v="000-109/AIB RDC/2022"/>
    <n v="2"/>
    <s v="RENOUVELLEMENT"/>
    <s v="301-62100001"/>
    <s v="CARGOMAN Sarl"/>
    <s v="Aviation"/>
    <s v="ANDY"/>
    <s v="Andy"/>
    <s v="OWNERS LIABILITY"/>
    <s v="LIABILITIES"/>
    <x v="4"/>
    <s v="RAWSUR"/>
    <n v="0"/>
    <n v="32915.06"/>
    <n v="4169.12"/>
    <n v="0"/>
    <n v="100"/>
    <n v="23625"/>
    <n v="4463.0600000000004"/>
    <e v="#DIV/0!"/>
    <n v="0"/>
    <n v="0"/>
    <n v="1250.7359999999999"/>
    <n v="969.83"/>
    <n v="2220.5659999999998"/>
    <n v="355.29055999999997"/>
    <n v="2575.8565599999997"/>
    <n v="44.411319999999996"/>
    <m/>
    <n v="44.411319999999996"/>
    <m/>
    <n v="2176.1546799999996"/>
    <m/>
    <m/>
    <n v="0"/>
    <m/>
    <m/>
    <n v="0"/>
    <m/>
    <n v="1932"/>
    <n v="2575.8565599999997"/>
    <n v="643.85655999999972"/>
    <s v="RAWSUR"/>
    <d v="2023-05-26T00:00:00"/>
    <m/>
    <m/>
    <s v="OWNERS LIABILITY"/>
    <m/>
    <m/>
    <s v="Paiement échelonné"/>
  </r>
  <r>
    <x v="3"/>
    <s v="Yes"/>
    <d v="2022-02-05T00:00:00"/>
    <d v="2022-02-05T00:00:00"/>
    <d v="2022-02-05T00:00:00"/>
    <d v="2023-02-04T00:00:00"/>
    <s v="000-110/AIB RDC/2022"/>
    <n v="0"/>
    <s v="SOUSCRIPTION"/>
    <s v="01-TRA-2022-000008"/>
    <s v="Group Optorg / Katanga Motors"/>
    <s v="Distribution"/>
    <s v="ANDY"/>
    <s v="Apphia"/>
    <s v="COMP MOTOR"/>
    <s v="MOTOR COMP"/>
    <x v="6"/>
    <s v="SFA"/>
    <n v="0"/>
    <n v="4877.1000000000004"/>
    <n v="0"/>
    <m/>
    <n v="61.08"/>
    <n v="4072.06"/>
    <n v="661.3"/>
    <e v="#DIV/0!"/>
    <n v="0.15"/>
    <n v="610.80899999999997"/>
    <n v="0"/>
    <n v="0"/>
    <n v="610.80899999999997"/>
    <n v="97.729439999999997"/>
    <n v="708.53843999999992"/>
    <n v="12.21618"/>
    <n v="0"/>
    <n v="12.21618"/>
    <s v="En cours de traitement 2022 Groupe #02"/>
    <n v="598.59281999999996"/>
    <s v="OLEA"/>
    <n v="0.35"/>
    <n v="209.50748699999997"/>
    <m/>
    <m/>
    <n v="209.50748699999997"/>
    <m/>
    <n v="708.53843999999992"/>
    <n v="708.53843999999992"/>
    <n v="0"/>
    <s v="SFA"/>
    <d v="2022-03-29T00:00:00"/>
    <m/>
    <s v="RENEWED"/>
    <s v="COMP MOTOR"/>
    <m/>
    <m/>
    <m/>
  </r>
  <r>
    <x v="3"/>
    <s v="Yes"/>
    <d v="2022-02-04T00:00:00"/>
    <d v="2022-02-04T00:00:00"/>
    <d v="2022-02-05T00:00:00"/>
    <d v="2023-02-04T00:00:00"/>
    <s v="000-111/AIB RDC/2022"/>
    <n v="0"/>
    <s v="SOUSCRIPTION"/>
    <s v="1/01/040/00123/2021"/>
    <s v="MAARTEN LOECKX"/>
    <s v="PERSON"/>
    <s v="SYNTYCHE"/>
    <s v="Apphia"/>
    <s v="FIRE/HOME"/>
    <s v="PROPERTIES"/>
    <x v="1"/>
    <s v="MAYFAIR"/>
    <m/>
    <n v="487"/>
    <m/>
    <m/>
    <m/>
    <n v="393"/>
    <m/>
    <e v="#DIV/0!"/>
    <n v="0.2"/>
    <n v="78.600000000000009"/>
    <n v="0"/>
    <n v="0"/>
    <n v="78.600000000000009"/>
    <n v="12.576000000000002"/>
    <n v="91.176000000000016"/>
    <n v="1.5720000000000003"/>
    <n v="0"/>
    <n v="1.5720000000000003"/>
    <s v="En cours de traitement 2022 Groupe #02"/>
    <n v="77.028000000000006"/>
    <m/>
    <m/>
    <n v="0"/>
    <m/>
    <m/>
    <n v="0"/>
    <m/>
    <n v="91.176000000000016"/>
    <n v="91.176000000000016"/>
    <n v="0"/>
    <s v="MAYFAIR"/>
    <d v="2022-03-25T00:00:00"/>
    <m/>
    <s v="RENEWED"/>
    <s v="FIRE/HOME"/>
    <m/>
    <m/>
    <m/>
  </r>
  <r>
    <x v="3"/>
    <s v="Yes"/>
    <d v="2022-02-05T00:00:00"/>
    <d v="2022-02-05T00:00:00"/>
    <d v="2022-02-05T00:00:00"/>
    <d v="2023-01-19T00:00:00"/>
    <s v="000-112/AIB RDC/2022"/>
    <n v="13"/>
    <s v="INCORPORATION"/>
    <s v="01-RCAP-2021-000013"/>
    <s v="GSA"/>
    <s v="SECURITY"/>
    <s v="SYNTYCHE"/>
    <s v="Apphia"/>
    <s v="MOTOR TPL"/>
    <s v="MOTOR TPL"/>
    <x v="6"/>
    <s v="SFA"/>
    <n v="0"/>
    <n v="804.85"/>
    <n v="0"/>
    <n v="0"/>
    <n v="10.08"/>
    <n v="672"/>
    <n v="109.13"/>
    <e v="#DIV/0!"/>
    <n v="0.1"/>
    <n v="67.2"/>
    <n v="0"/>
    <n v="0"/>
    <n v="67.2"/>
    <n v="10.752000000000001"/>
    <n v="77.951999999999998"/>
    <n v="1.3440000000000001"/>
    <n v="0"/>
    <n v="1.3440000000000001"/>
    <m/>
    <n v="65.856000000000009"/>
    <m/>
    <m/>
    <n v="0"/>
    <m/>
    <m/>
    <n v="0"/>
    <m/>
    <n v="77.951999999999998"/>
    <n v="77.951999999999998"/>
    <n v="0"/>
    <s v="SFA"/>
    <d v="2022-04-25T00:00:00"/>
    <m/>
    <s v="RENEWED"/>
    <s v="MOTOR TPL"/>
    <m/>
    <m/>
    <m/>
  </r>
  <r>
    <x v="3"/>
    <s v="Yes"/>
    <d v="2022-02-06T00:00:00"/>
    <d v="2022-02-06T00:00:00"/>
    <d v="2022-02-06T00:00:00"/>
    <d v="2022-06-05T00:00:00"/>
    <s v="000-113/AIB RDC/2022"/>
    <n v="2"/>
    <s v="INCORPORATION"/>
    <s v="33002-0006-112-0001158"/>
    <s v="BGFI BANK "/>
    <s v="Banking"/>
    <s v="RAMSY"/>
    <s v="Apphia"/>
    <s v="FIRE"/>
    <s v="PROPERTIES"/>
    <x v="2"/>
    <s v="SUNU"/>
    <n v="250240.8"/>
    <n v="1518.84"/>
    <n v="0"/>
    <m/>
    <m/>
    <n v="1296.3900000000001"/>
    <m/>
    <n v="6.0695138442652041E-3"/>
    <n v="0.1"/>
    <n v="129.63900000000001"/>
    <n v="0"/>
    <n v="0"/>
    <n v="129.63900000000001"/>
    <n v="20.742240000000002"/>
    <n v="150.38124000000002"/>
    <n v="2.5927800000000003"/>
    <n v="0"/>
    <n v="2.5927800000000003"/>
    <m/>
    <n v="127.04622000000001"/>
    <m/>
    <m/>
    <n v="0"/>
    <m/>
    <m/>
    <n v="0"/>
    <m/>
    <n v="150.38124000000002"/>
    <n v="150.38124000000002"/>
    <n v="0"/>
    <s v="SUNU"/>
    <d v="2022-06-01T00:00:00"/>
    <m/>
    <s v="RENEWED"/>
    <s v="FIRE"/>
    <m/>
    <m/>
    <m/>
  </r>
  <r>
    <x v="3"/>
    <s v="Yes"/>
    <d v="2022-02-14T00:00:00"/>
    <d v="2022-02-14T00:00:00"/>
    <d v="2022-02-09T00:00:00"/>
    <d v="2022-11-14T00:00:00"/>
    <s v="000-114/AIB RDC/2022"/>
    <n v="1"/>
    <s v="RESILIATION"/>
    <s v="01-CRP-2021-000003"/>
    <s v="Etablissement La Solution Plus/Dedoch"/>
    <m/>
    <s v="ALICE"/>
    <s v="Apphia"/>
    <s v="FIRE"/>
    <s v="PROPERTIES"/>
    <x v="6"/>
    <s v="SFA"/>
    <m/>
    <n v="-5202.24"/>
    <n v="0"/>
    <m/>
    <m/>
    <n v="-4484.6899999999996"/>
    <m/>
    <e v="#DIV/0!"/>
    <n v="0.15"/>
    <n v="-672.70349999999996"/>
    <n v="0"/>
    <n v="0"/>
    <n v="-672.70349999999996"/>
    <n v="-107.63256"/>
    <n v="-780.33605999999997"/>
    <n v="-13.45407"/>
    <n v="0"/>
    <n v="-13.45407"/>
    <s v="En cours de traitement 2022 Groupe #02"/>
    <n v="-659.24942999999996"/>
    <m/>
    <m/>
    <n v="0"/>
    <m/>
    <m/>
    <n v="0"/>
    <m/>
    <n v="-780.33605999999997"/>
    <n v="-780.33605999999997"/>
    <n v="0"/>
    <s v="SFA"/>
    <d v="2022-03-29T00:00:00"/>
    <m/>
    <s v="LOST"/>
    <s v="FIRE"/>
    <m/>
    <m/>
    <m/>
  </r>
  <r>
    <x v="3"/>
    <s v="Yes"/>
    <d v="2022-02-22T00:00:00"/>
    <d v="2022-02-22T00:00:00"/>
    <d v="2022-02-10T00:00:00"/>
    <d v="2023-01-31T00:00:00"/>
    <s v="000-115/AIB RDC/2022"/>
    <n v="4"/>
    <s v="INCORPORATION"/>
    <s v="12001-33002-0001-104-0001845-2022"/>
    <s v="CFAO RDC / Loxea RDC"/>
    <s v="Distribution"/>
    <s v="ANDY"/>
    <s v="Apphia"/>
    <s v="COMP MOTOR"/>
    <s v="MOTOR COMP"/>
    <x v="0"/>
    <s v="ACTIVA"/>
    <n v="83917"/>
    <n v="3962.57"/>
    <n v="0"/>
    <m/>
    <m/>
    <n v="3382.19"/>
    <m/>
    <n v="4.722011034712871E-2"/>
    <n v="0.14547379065043656"/>
    <n v="492.02000000000004"/>
    <n v="0"/>
    <n v="101.4657"/>
    <n v="593.48570000000007"/>
    <n v="94.957712000000015"/>
    <n v="688.44341200000008"/>
    <n v="11.869714000000002"/>
    <n v="0"/>
    <n v="11.869714000000002"/>
    <s v="En cours de traitement 2022 Groupe #02"/>
    <n v="581.61598600000002"/>
    <s v="Aucun"/>
    <m/>
    <n v="0"/>
    <m/>
    <m/>
    <n v="0"/>
    <m/>
    <n v="688.44341200000008"/>
    <n v="688.44341200000008"/>
    <n v="0"/>
    <s v="ACTIVA"/>
    <d v="2022-03-30T00:00:00"/>
    <m/>
    <s v="RENEWED"/>
    <s v="COMP MOTOR"/>
    <m/>
    <m/>
    <m/>
  </r>
  <r>
    <x v="3"/>
    <s v="Yes"/>
    <d v="2022-02-10T00:00:00"/>
    <d v="2022-02-10T00:00:00"/>
    <d v="2022-02-10T00:00:00"/>
    <d v="2023-02-09T00:00:00"/>
    <s v="000-116/AIB RDC/2022"/>
    <n v="1"/>
    <s v="RENOUVELLEMENT"/>
    <s v="1/01/040/00124/2021"/>
    <s v="SHAMJI SHAMIM"/>
    <m/>
    <s v="RAMSY"/>
    <s v="Apphia"/>
    <s v="FIRE"/>
    <s v="PROPERTIES"/>
    <x v="1"/>
    <s v="MAYFAIR"/>
    <n v="532500"/>
    <n v="5197.8999999999996"/>
    <n v="0"/>
    <m/>
    <m/>
    <n v="4385"/>
    <m/>
    <n v="9.7613145539906104E-3"/>
    <n v="0.2"/>
    <n v="877"/>
    <n v="0"/>
    <n v="0"/>
    <n v="877"/>
    <n v="140.32"/>
    <n v="1017.3199999999999"/>
    <n v="17.54"/>
    <n v="0"/>
    <n v="17.54"/>
    <s v="En cours de traitement 2022 Groupe #02"/>
    <n v="859.46"/>
    <m/>
    <m/>
    <n v="0"/>
    <m/>
    <m/>
    <n v="0"/>
    <m/>
    <n v="1017.3199999999999"/>
    <n v="1017.3199999999999"/>
    <n v="0"/>
    <s v="MAYFAIR"/>
    <d v="2022-03-25T00:00:00"/>
    <m/>
    <s v="RENEWED"/>
    <s v="FIRE"/>
    <m/>
    <m/>
    <m/>
  </r>
  <r>
    <x v="3"/>
    <s v="Yes"/>
    <d v="2022-02-10T00:00:00"/>
    <d v="2022-02-10T00:00:00"/>
    <d v="2022-02-10T00:00:00"/>
    <d v="2022-03-09T00:00:00"/>
    <s v="000-117/AIB RDC/2022"/>
    <n v="0"/>
    <s v="SOUSCRIPTION"/>
    <s v="12003-33002-0005-111-00000148-2022 / 72000038"/>
    <s v="Lycée Français Blaise Pascal / Bolloré"/>
    <m/>
    <s v="SYNTYCHE"/>
    <s v="Apphia"/>
    <s v="MARINE CARGO / GIT"/>
    <s v="MARINE"/>
    <x v="4"/>
    <s v="RAWSUR"/>
    <n v="6527"/>
    <n v="129.80000000000001"/>
    <m/>
    <m/>
    <m/>
    <n v="100"/>
    <m/>
    <n v="1.9886624789336605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3"/>
    <s v="Yes"/>
    <d v="2022-02-02T00:00:00"/>
    <d v="2022-02-02T00:00:00"/>
    <d v="2022-02-10T00:00:00"/>
    <d v="2022-04-09T00:00:00"/>
    <s v="000-118/AIB RDC/2022"/>
    <n v="0"/>
    <s v="SOUSCRIPTION"/>
    <s v="12003-33002-0005-111-00000133-2022 / 72000035"/>
    <s v="SNEL / Bolloré"/>
    <m/>
    <s v="SYNTYCHE"/>
    <s v="Apphia"/>
    <s v="MARINE CARGO / GIT"/>
    <s v="MARINE"/>
    <x v="4"/>
    <s v="RAWSUR"/>
    <n v="889"/>
    <n v="129.80000000000001"/>
    <m/>
    <m/>
    <m/>
    <n v="100"/>
    <m/>
    <n v="0.14600674915635548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3"/>
    <s v="Yes"/>
    <d v="2022-02-10T00:00:00"/>
    <d v="2022-02-14T00:00:00"/>
    <d v="2022-02-10T00:00:00"/>
    <d v="2023-02-09T00:00:00"/>
    <s v="000-119/AIB RDC/2022"/>
    <n v="1"/>
    <s v="INCORPORATION"/>
    <s v="12001-090014/3002/3350000408"/>
    <s v="BOLLORE TRANSPORT &amp; LOGISTICS RDC"/>
    <s v="TRANSPORT"/>
    <s v="SYNTYCHE"/>
    <s v="Apphia"/>
    <s v="MARINE CARGO / GIT"/>
    <s v="MARINE"/>
    <x v="0"/>
    <s v="ACTIVA"/>
    <n v="0"/>
    <n v="17.399999999999999"/>
    <n v="0"/>
    <n v="0"/>
    <n v="5"/>
    <n v="10"/>
    <n v="2.4"/>
    <e v="#DIV/0!"/>
    <n v="0.15"/>
    <n v="1.5"/>
    <n v="0"/>
    <n v="0"/>
    <n v="1.5"/>
    <n v="0.24"/>
    <n v="1.74"/>
    <n v="0.03"/>
    <n v="0"/>
    <n v="0.03"/>
    <m/>
    <n v="1.47"/>
    <m/>
    <m/>
    <n v="0"/>
    <m/>
    <m/>
    <n v="0"/>
    <m/>
    <n v="1.74"/>
    <n v="1.74"/>
    <n v="0"/>
    <s v="ACTIVA"/>
    <d v="2023-08-14T00:00:00"/>
    <m/>
    <m/>
    <s v="MARINE CARGO / GIT"/>
    <m/>
    <m/>
    <m/>
  </r>
  <r>
    <x v="2"/>
    <s v="No"/>
    <d v="2022-10-07T00:00:00"/>
    <d v="2022-10-07T00:00:00"/>
    <d v="2022-10-07T00:00:00"/>
    <d v="2022-11-06T00:00:00"/>
    <s v="000-120/AIB RDC/2022"/>
    <n v="0"/>
    <s v="SOUSCRIPTION"/>
    <s v="12005-33002-0011-13001-00003715-2022"/>
    <s v="CENTRE MEDICAL DIAMANT"/>
    <s v="HOSPITAL"/>
    <s v="MICHEE"/>
    <s v="Apphia"/>
    <s v="MARINE CARGO / GIT"/>
    <s v="MARINE"/>
    <x v="1"/>
    <s v="MAYFAIR"/>
    <n v="57091.67"/>
    <n v="180"/>
    <n v="0"/>
    <n v="0"/>
    <n v="50"/>
    <n v="103"/>
    <n v="24"/>
    <n v="3.1528242211166708E-3"/>
    <n v="0.15"/>
    <n v="15.45"/>
    <n v="0"/>
    <n v="0"/>
    <n v="15.45"/>
    <n v="2.472"/>
    <n v="17.922000000000001"/>
    <n v="0.309"/>
    <m/>
    <n v="0.309"/>
    <m/>
    <n v="15.141"/>
    <m/>
    <m/>
    <n v="0"/>
    <m/>
    <m/>
    <n v="0"/>
    <m/>
    <m/>
    <n v="17.922000000000001"/>
    <n v="17.922000000000001"/>
    <s v="MAYFAIR"/>
    <m/>
    <m/>
    <s v="ONCE OFF"/>
    <s v="MARINE CARGO / GIT"/>
    <m/>
    <m/>
    <s v="Le client doit confirmer le paiement de la prime"/>
  </r>
  <r>
    <x v="3"/>
    <s v="Yes"/>
    <d v="2022-02-11T00:00:00"/>
    <d v="2022-02-14T00:00:00"/>
    <d v="2022-02-11T00:00:00"/>
    <d v="2023-02-10T00:00:00"/>
    <s v="000-121/AIB RDC/2022"/>
    <n v="0"/>
    <s v="SOUSCRIPTION"/>
    <s v="01-IMR-2022-000039"/>
    <s v="Teichmann Group / T3 Projects"/>
    <s v="MINING"/>
    <s v="ANDY"/>
    <s v="Apphia"/>
    <s v="FIRE"/>
    <s v="PROPERTIES"/>
    <x v="6"/>
    <s v="SFA"/>
    <n v="1601011.76"/>
    <n v="1818.33"/>
    <n v="0"/>
    <m/>
    <m/>
    <n v="1520.96"/>
    <m/>
    <n v="1.1357380660339434E-3"/>
    <n v="0.1"/>
    <n v="152.096"/>
    <n v="0"/>
    <n v="0"/>
    <n v="152.096"/>
    <n v="24.335360000000001"/>
    <n v="176.43136000000001"/>
    <n v="3.0419200000000002"/>
    <n v="0"/>
    <n v="3.0419200000000002"/>
    <s v="En cours de traitement 2022 Groupe #02"/>
    <n v="149.05408"/>
    <s v="O'NEILS"/>
    <n v="0.5"/>
    <n v="74.52704"/>
    <n v="74.52704"/>
    <d v="2022-11-02T00:00:00"/>
    <n v="0"/>
    <s v="PT011/AIB RDC/2022"/>
    <n v="176.43136000000001"/>
    <n v="176.43136000000001"/>
    <n v="0"/>
    <s v="SFA"/>
    <d v="2022-03-29T00:00:00"/>
    <m/>
    <m/>
    <s v="FIRE"/>
    <m/>
    <m/>
    <m/>
  </r>
  <r>
    <x v="3"/>
    <s v="Yes"/>
    <d v="2022-02-23T00:00:00"/>
    <d v="2023-01-24T00:00:00"/>
    <d v="2022-02-23T00:00:00"/>
    <d v="2022-02-25T00:00:00"/>
    <s v="000-122/AIB RDC/2022"/>
    <n v="0"/>
    <s v="SOUSCRIPTION"/>
    <s v="12002-33002-0021-111-00017960-2023"/>
    <s v="ORICA / Bolloré"/>
    <m/>
    <s v="SYNTYCHE"/>
    <s v="Apphia"/>
    <s v="MARINE CARGO / GIT"/>
    <s v="MARINE"/>
    <x v="6"/>
    <s v="SFA"/>
    <n v="3668"/>
    <n v="318.60000000000002"/>
    <n v="0"/>
    <n v="0"/>
    <n v="20"/>
    <n v="250"/>
    <n v="43.2"/>
    <n v="8.6859323882224657E-2"/>
    <n v="0.15"/>
    <n v="37.5"/>
    <n v="0"/>
    <n v="0"/>
    <n v="37.5"/>
    <n v="6"/>
    <n v="43.5"/>
    <n v="0.75"/>
    <n v="0"/>
    <n v="0.75"/>
    <m/>
    <n v="36.75"/>
    <s v="BOLLORE"/>
    <n v="0.4"/>
    <n v="14.700000000000001"/>
    <n v="14.700000000000001"/>
    <d v="2023-10-30T00:00:00"/>
    <n v="0"/>
    <m/>
    <n v="43.5"/>
    <n v="43.5"/>
    <n v="0"/>
    <s v="SFA"/>
    <d v="2023-02-27T00:00:00"/>
    <m/>
    <s v="ONCE OFF"/>
    <s v="MARINE CARGO / GIT"/>
    <m/>
    <m/>
    <s v="Prime en cours de paiement "/>
  </r>
  <r>
    <x v="6"/>
    <s v="No"/>
    <d v="2022-12-09T00:00:00"/>
    <d v="2022-12-09T00:00:00"/>
    <d v="2022-12-09T00:00:00"/>
    <d v="2023-01-31T00:00:00"/>
    <s v="000-123/AIB RDC/2022"/>
    <n v="26"/>
    <s v="INCORPORATION"/>
    <s v="12001-33002-0001-104-0001845-2022"/>
    <s v="CFAO RDC / Loxea RDC"/>
    <s v="Distribution"/>
    <s v="ANDY"/>
    <s v="Sabrina"/>
    <s v="COMP MOTOR"/>
    <s v="MOTOR COMP"/>
    <x v="0"/>
    <s v="ACTIVA"/>
    <n v="63974"/>
    <n v="818.09"/>
    <n v="0"/>
    <n v="0"/>
    <n v="10"/>
    <n v="696.63"/>
    <n v="111.46"/>
    <n v="1.2787851314596555E-2"/>
    <n v="0.15"/>
    <n v="104.4945"/>
    <n v="0"/>
    <n v="20.898899999999998"/>
    <n v="125.3934"/>
    <n v="20.062944000000002"/>
    <n v="145.456344"/>
    <n v="2.5078680000000002"/>
    <n v="0"/>
    <n v="2.5078680000000002"/>
    <m/>
    <n v="122.885532"/>
    <s v="Aucun"/>
    <m/>
    <n v="0"/>
    <m/>
    <m/>
    <n v="0"/>
    <m/>
    <n v="121.21"/>
    <n v="145.456344"/>
    <n v="24.246344000000008"/>
    <s v="ACTIVA"/>
    <d v="2023-08-14T00:00:00"/>
    <m/>
    <s v="RENEWED"/>
    <s v="COMP MOTOR"/>
    <m/>
    <m/>
    <s v="Le client doit confirmer le paiement de la prime"/>
  </r>
  <r>
    <x v="4"/>
    <s v="Yes"/>
    <d v="2022-02-11T00:00:00"/>
    <d v="2022-03-07T00:00:00"/>
    <d v="2022-03-01T00:00:00"/>
    <d v="2022-05-31T00:00:00"/>
    <s v="000-124/AIB RDC/2022"/>
    <n v="0"/>
    <s v="SOUSCRIPTION"/>
    <s v="12003-33002-0005-111-00000189-2022 / 70100011"/>
    <s v="PANACO / Bolloré"/>
    <m/>
    <s v="SYNTYCHE"/>
    <s v="Victor"/>
    <s v="MARINE CARGO / GIT"/>
    <s v="MARINE"/>
    <x v="4"/>
    <s v="RAWSUR"/>
    <n v="15000"/>
    <n v="129.80000000000001"/>
    <n v="0"/>
    <m/>
    <m/>
    <n v="100"/>
    <m/>
    <n v="8.6533333333333341E-3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3"/>
    <s v="Yes"/>
    <d v="2022-02-10T00:00:00"/>
    <d v="2022-02-10T00:00:00"/>
    <d v="2022-02-11T00:00:00"/>
    <d v="2022-05-10T00:00:00"/>
    <s v="000-125/AIB RDC/2022"/>
    <n v="0"/>
    <s v="SOUSCRIPTION"/>
    <s v="12003-33002-0005-111-00000144-2022 / 73200018"/>
    <s v="PANACO / Bolloré"/>
    <m/>
    <s v="SYNTYCHE"/>
    <s v="Victor"/>
    <s v="MARINE CARGO / GIT"/>
    <s v="MARINE"/>
    <x v="4"/>
    <s v="RAWSUR"/>
    <n v="92689"/>
    <n v="466.99"/>
    <n v="0"/>
    <m/>
    <m/>
    <n v="370.75"/>
    <m/>
    <n v="5.0382461780793843E-3"/>
    <n v="0.15"/>
    <n v="55.612499999999997"/>
    <n v="0"/>
    <n v="0"/>
    <n v="55.612499999999997"/>
    <n v="8.8979999999999997"/>
    <n v="64.510499999999993"/>
    <n v="1.11225"/>
    <n v="0"/>
    <n v="1.11225"/>
    <m/>
    <n v="54.500249999999994"/>
    <s v="BOLLORE"/>
    <n v="0.4"/>
    <n v="21.8001"/>
    <n v="21.8001"/>
    <d v="2023-10-30T00:00:00"/>
    <n v="0"/>
    <m/>
    <n v="64.510499999999993"/>
    <n v="64.510499999999993"/>
    <n v="0"/>
    <s v="RAWSUR"/>
    <d v="2023-03-09T00:00:00"/>
    <m/>
    <s v="ONCE OFF"/>
    <s v="MARINE CARGO / GIT"/>
    <m/>
    <m/>
    <s v="Prime en cours de paiement "/>
  </r>
  <r>
    <x v="3"/>
    <s v="Yes"/>
    <d v="2022-02-11T00:00:00"/>
    <d v="2022-02-15T00:00:00"/>
    <d v="2022-02-11T00:00:00"/>
    <d v="2022-03-12T00:00:00"/>
    <s v="000-126/AIB RDC/2022"/>
    <n v="0"/>
    <s v="SOUSCRIPTION"/>
    <s v="01-CRG-2022-000019"/>
    <s v="T-THREE DRILLING / Bolloré"/>
    <m/>
    <s v="SYNTYCHE"/>
    <s v="Victor"/>
    <s v="MARINE CARGO / GIT"/>
    <s v="MARINE"/>
    <x v="6"/>
    <s v="SFA"/>
    <n v="209061.54"/>
    <n v="584.83000000000004"/>
    <n v="0"/>
    <m/>
    <m/>
    <n v="475.62"/>
    <m/>
    <n v="2.7974059695532712E-3"/>
    <n v="0.15"/>
    <n v="71.343000000000004"/>
    <n v="0"/>
    <n v="0"/>
    <n v="71.343000000000004"/>
    <n v="11.41488"/>
    <n v="82.75788"/>
    <n v="1.42686"/>
    <n v="0"/>
    <n v="1.42686"/>
    <s v="En cours de traitement 2022 Groupe #02"/>
    <n v="69.916139999999999"/>
    <s v="BOLLORE"/>
    <n v="0.4"/>
    <n v="27.966456000000001"/>
    <n v="27.966456000000001"/>
    <d v="2022-09-30T00:00:00"/>
    <n v="0"/>
    <s v="PT008/AIB RDC/2022"/>
    <n v="82.75788"/>
    <n v="82.75788"/>
    <n v="0"/>
    <s v="SFA"/>
    <d v="2022-03-29T00:00:00"/>
    <m/>
    <s v="ONCE OFF"/>
    <s v="MARINE CARGO / GIT"/>
    <m/>
    <m/>
    <m/>
  </r>
  <r>
    <x v="3"/>
    <s v="Yes"/>
    <d v="2022-02-11T00:00:00"/>
    <d v="2022-02-17T00:00:00"/>
    <d v="2022-02-11T00:00:00"/>
    <d v="2022-03-12T00:00:00"/>
    <s v="000-127/AIB RDC/2022"/>
    <n v="0"/>
    <s v="SOUSCRIPTION"/>
    <s v="01-CRG-2022-000023"/>
    <s v="T-THREE DRILLING / Bolloré"/>
    <m/>
    <s v="SYNTYCHE"/>
    <s v="Victor"/>
    <s v="MARINE CARGO / GIT"/>
    <s v="MARINE"/>
    <x v="6"/>
    <s v="SFA"/>
    <n v="147119.37"/>
    <n v="554.6"/>
    <n v="0"/>
    <m/>
    <m/>
    <n v="450"/>
    <m/>
    <n v="3.7697279426903477E-3"/>
    <n v="0.15"/>
    <n v="67.5"/>
    <n v="0"/>
    <n v="0"/>
    <n v="67.5"/>
    <n v="10.8"/>
    <n v="78.3"/>
    <n v="1.35"/>
    <n v="0"/>
    <n v="1.35"/>
    <s v="En cours de traitement 2022 Groupe #02"/>
    <n v="66.150000000000006"/>
    <s v="BOLLORE"/>
    <n v="0.4"/>
    <n v="26.460000000000004"/>
    <n v="26.460000000000004"/>
    <d v="2022-09-30T00:00:00"/>
    <n v="0"/>
    <s v="PT008/AIB RDC/2022"/>
    <n v="78.3"/>
    <n v="78.3"/>
    <n v="0"/>
    <s v="SFA"/>
    <d v="2022-03-29T00:00:00"/>
    <m/>
    <s v="ONCE OFF"/>
    <s v="MARINE CARGO / GIT"/>
    <m/>
    <m/>
    <m/>
  </r>
  <r>
    <x v="3"/>
    <s v="Yes"/>
    <d v="2022-02-10T00:00:00"/>
    <d v="2022-02-10T00:00:00"/>
    <d v="2022-02-12T00:00:00"/>
    <d v="2022-03-11T00:00:00"/>
    <s v="000-128/AIB RDC/2022"/>
    <n v="0"/>
    <s v="SOUSCRIPTION"/>
    <s v="12003-33002-0005-111-00000149-2022 / 72000039"/>
    <s v="SNEL / Bolloré"/>
    <m/>
    <s v="SYNTYCHE"/>
    <s v="Apphia"/>
    <s v="MARINE CARGO / GIT"/>
    <s v="MARINE"/>
    <x v="4"/>
    <s v="RAWSUR"/>
    <n v="1430"/>
    <n v="129.80000000000001"/>
    <m/>
    <m/>
    <m/>
    <n v="100"/>
    <m/>
    <n v="9.0769230769230783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3"/>
    <s v="Yes"/>
    <d v="2022-02-14T00:00:00"/>
    <d v="2022-02-14T00:00:00"/>
    <d v="2022-02-14T00:00:00"/>
    <d v="2023-02-13T00:00:00"/>
    <s v="000-129/AIB RDC/2022"/>
    <n v="0"/>
    <s v="SOUSCRIPTION"/>
    <s v="100001-0017-003-0000144"/>
    <s v="Cilu Heidelberg"/>
    <m/>
    <s v="ANDY"/>
    <s v="Apphia"/>
    <s v="MOTOR TPL"/>
    <s v="MOTOR TPL"/>
    <x v="2"/>
    <s v="SUNU"/>
    <n v="0"/>
    <n v="8307.98"/>
    <n v="0"/>
    <m/>
    <m/>
    <n v="7091.14"/>
    <m/>
    <e v="#DIV/0!"/>
    <n v="0.1"/>
    <n v="709.11400000000003"/>
    <n v="0"/>
    <n v="0"/>
    <n v="709.11400000000003"/>
    <n v="113.45824"/>
    <n v="822.57224000000008"/>
    <n v="14.18228"/>
    <n v="0"/>
    <n v="14.18228"/>
    <m/>
    <n v="694.93172000000004"/>
    <s v="Aucun"/>
    <n v="0"/>
    <n v="0"/>
    <m/>
    <m/>
    <n v="0"/>
    <m/>
    <n v="822.57224000000008"/>
    <n v="822.57224000000008"/>
    <n v="0"/>
    <s v="SUNU"/>
    <d v="2022-06-01T00:00:00"/>
    <m/>
    <s v="RENEWED"/>
    <s v="MOTOR TPL"/>
    <m/>
    <m/>
    <m/>
  </r>
  <r>
    <x v="3"/>
    <s v="Yes"/>
    <d v="2022-02-11T00:00:00"/>
    <d v="2022-02-11T00:00:00"/>
    <d v="2022-02-14T00:00:00"/>
    <d v="2023-02-13T00:00:00"/>
    <s v="000-130/AIB RDC/2022"/>
    <n v="0"/>
    <s v="SOUSCRIPTION"/>
    <s v="101/01/040/00299/2022"/>
    <s v="ETS KAMBALE LABORATOIRE PHATKIN"/>
    <m/>
    <s v="ALICE"/>
    <s v="Apphia"/>
    <s v="FIRE"/>
    <s v="PROPERTIES"/>
    <x v="1"/>
    <s v="MAYFAIR"/>
    <n v="0"/>
    <n v="8013.38"/>
    <n v="0"/>
    <m/>
    <m/>
    <n v="6741"/>
    <m/>
    <e v="#DIV/0!"/>
    <n v="0.15"/>
    <n v="1011.15"/>
    <n v="0"/>
    <n v="0"/>
    <n v="1011.15"/>
    <n v="161.78399999999999"/>
    <n v="1172.934"/>
    <n v="20.222999999999999"/>
    <n v="0"/>
    <n v="20.222999999999999"/>
    <s v="En cours de traitement 2022 Groupe #02"/>
    <n v="990.92700000000002"/>
    <m/>
    <m/>
    <n v="0"/>
    <m/>
    <m/>
    <n v="0"/>
    <m/>
    <n v="1172.934"/>
    <n v="1172.934"/>
    <n v="0"/>
    <s v="MAYFAIR"/>
    <d v="2022-03-25T00:00:00"/>
    <m/>
    <m/>
    <s v="FIRE"/>
    <m/>
    <m/>
    <m/>
  </r>
  <r>
    <x v="3"/>
    <s v="Yes"/>
    <d v="2022-02-14T00:00:00"/>
    <d v="2022-02-17T00:00:00"/>
    <d v="2022-02-14T00:00:00"/>
    <d v="2022-02-17T00:00:00"/>
    <s v="000-131/AIB RDC/2022"/>
    <n v="1"/>
    <s v="RISTOURNE"/>
    <s v="01-MCO-2021-000001"/>
    <s v="Sandvik Mining &amp; Construction Sarl"/>
    <s v="MINING"/>
    <s v="ANDY"/>
    <s v="Apphia"/>
    <s v="MARINE CARGO / GIT"/>
    <s v="MARINE"/>
    <x v="6"/>
    <s v="SFA"/>
    <m/>
    <n v="-17129.259999999998"/>
    <n v="0"/>
    <m/>
    <m/>
    <n v="-14766.6"/>
    <m/>
    <e v="#DIV/0!"/>
    <n v="0.1"/>
    <n v="-1476.66"/>
    <n v="0"/>
    <n v="0"/>
    <n v="-1476.66"/>
    <n v="-236.26560000000001"/>
    <n v="-1712.9256"/>
    <n v="-29.533200000000001"/>
    <n v="0"/>
    <n v="-29.533200000000001"/>
    <s v="En cours de traitement 2022 Groupe #02"/>
    <n v="-1447.1268"/>
    <s v="Aucun"/>
    <m/>
    <n v="0"/>
    <m/>
    <m/>
    <n v="0"/>
    <m/>
    <n v="-1712.9256"/>
    <n v="-1712.9256"/>
    <n v="0"/>
    <s v="SFA"/>
    <d v="2022-03-29T00:00:00"/>
    <m/>
    <s v="CANCELLED"/>
    <s v="MARINE CARGO / GIT"/>
    <m/>
    <m/>
    <m/>
  </r>
  <r>
    <x v="3"/>
    <s v="Yes"/>
    <d v="2022-02-14T00:00:00"/>
    <d v="2022-02-14T00:00:00"/>
    <d v="2022-02-15T00:00:00"/>
    <d v="2023-07-31T00:00:00"/>
    <s v="000-132/AIB RDC/2022"/>
    <n v="0"/>
    <s v="SOUSCRIPTION"/>
    <s v="000001-000001-0017-003-0000080"/>
    <s v="VANSPAUWEN FRANK"/>
    <s v="PERSON"/>
    <s v="RAMSY"/>
    <s v="Apphia"/>
    <s v="MOTOR TPL"/>
    <s v="MOTOR TPL"/>
    <x v="2"/>
    <s v="SUNU"/>
    <n v="0"/>
    <n v="225.27"/>
    <n v="0"/>
    <m/>
    <m/>
    <n v="184.2"/>
    <m/>
    <e v="#DIV/0!"/>
    <n v="0.125"/>
    <n v="23.024999999999999"/>
    <n v="0"/>
    <n v="0"/>
    <n v="23.024999999999999"/>
    <n v="3.6839999999999997"/>
    <n v="26.709"/>
    <n v="0.46049999999999996"/>
    <n v="0"/>
    <n v="0.46049999999999996"/>
    <m/>
    <n v="22.564499999999999"/>
    <m/>
    <m/>
    <n v="0"/>
    <m/>
    <m/>
    <n v="0"/>
    <m/>
    <n v="26.709"/>
    <n v="26.709"/>
    <n v="0"/>
    <s v="SUNU"/>
    <d v="2022-04-12T00:00:00"/>
    <m/>
    <s v="RENEWING..."/>
    <s v="MOTOR TPL"/>
    <m/>
    <m/>
    <m/>
  </r>
  <r>
    <x v="7"/>
    <s v="Yes"/>
    <d v="2022-05-04T00:00:00"/>
    <d v="2022-05-05T00:00:00"/>
    <d v="2022-05-05T00:00:00"/>
    <d v="2023-04-22T00:00:00"/>
    <s v="000-133/AIB RDC/2022"/>
    <n v="1"/>
    <s v="INCORPORATION"/>
    <s v="12003-33002-0001-103-00000927-2022 / 30000011"/>
    <s v="Chemaf SA"/>
    <s v="MINING"/>
    <s v="ANDY"/>
    <s v="Nyota"/>
    <s v="MOTOR TPL"/>
    <s v="MOTOR TPL"/>
    <x v="4"/>
    <s v="RAWSUR"/>
    <n v="0"/>
    <n v="1876.37"/>
    <n v="0"/>
    <n v="0"/>
    <n v="40"/>
    <n v="1550.13"/>
    <n v="254.44"/>
    <e v="#DIV/0!"/>
    <n v="0.1"/>
    <n v="155.01300000000003"/>
    <m/>
    <m/>
    <n v="155.01300000000003"/>
    <n v="24.802080000000007"/>
    <n v="179.81508000000005"/>
    <n v="3.1002600000000009"/>
    <m/>
    <n v="3.1002600000000009"/>
    <m/>
    <n v="151.91274000000004"/>
    <m/>
    <m/>
    <n v="0"/>
    <m/>
    <m/>
    <n v="0"/>
    <m/>
    <m/>
    <n v="179.81508000000005"/>
    <n v="179.81508000000005"/>
    <s v="RAWSUR"/>
    <m/>
    <m/>
    <s v="RENEWED"/>
    <s v="MOTOR TPL"/>
    <m/>
    <m/>
    <s v="En attente du paiement de la prime"/>
  </r>
  <r>
    <x v="4"/>
    <s v="Yes"/>
    <d v="2022-03-01T00:00:00"/>
    <d v="2022-03-18T00:00:00"/>
    <d v="2022-03-10T00:00:00"/>
    <d v="2022-03-12T00:00:00"/>
    <s v="000-134/AIB RDC/2022"/>
    <n v="0"/>
    <s v="SOUSCRIPTION"/>
    <s v="00015984"/>
    <s v="MANDLA SERVICES / Bolloré"/>
    <m/>
    <s v="SYNTYCHE"/>
    <s v="Victor"/>
    <s v="MARINE CARGO / GIT"/>
    <s v="MARINE"/>
    <x v="6"/>
    <s v="SFA"/>
    <n v="44599.45"/>
    <n v="318.60000000000002"/>
    <m/>
    <m/>
    <n v="20"/>
    <n v="250"/>
    <n v="43.2"/>
    <n v="7.1435858513950292E-3"/>
    <n v="0.15"/>
    <n v="37.5"/>
    <n v="0"/>
    <n v="0"/>
    <n v="37.5"/>
    <n v="6"/>
    <n v="43.5"/>
    <n v="0.75"/>
    <n v="0"/>
    <n v="0.75"/>
    <m/>
    <n v="36.75"/>
    <s v="BOLLORE"/>
    <n v="0.4"/>
    <n v="14.700000000000001"/>
    <n v="14.700000000000001"/>
    <d v="2022-09-30T00:00:00"/>
    <n v="0"/>
    <s v="PT008/AIB RDC/2022"/>
    <n v="43.5"/>
    <n v="43.5"/>
    <n v="0"/>
    <s v="SFA"/>
    <d v="2022-04-25T00:00:00"/>
    <m/>
    <s v="ONCE OFF"/>
    <s v="MARINE CARGO / GIT"/>
    <m/>
    <m/>
    <m/>
  </r>
  <r>
    <x v="3"/>
    <s v="Yes"/>
    <d v="2022-02-17T00:00:00"/>
    <d v="2022-03-22T00:00:00"/>
    <d v="2022-02-17T00:00:00"/>
    <d v="2022-03-22T00:00:00"/>
    <s v="000-135/AIB RDC/2022"/>
    <n v="4"/>
    <s v="INCORPORATION"/>
    <s v="01-RCAP-2021-000057"/>
    <s v="AFRICELL RDC Sa"/>
    <s v="TELECOM"/>
    <s v="RAMSY"/>
    <s v="Apphia"/>
    <s v="MOTOR TPL"/>
    <s v="MOTOR TPL"/>
    <x v="6"/>
    <s v="SFA"/>
    <n v="0"/>
    <n v="325.06"/>
    <n v="0"/>
    <m/>
    <n v="4.07"/>
    <n v="271.39999999999998"/>
    <n v="44.08"/>
    <e v="#DIV/0!"/>
    <n v="0.1"/>
    <n v="27.14"/>
    <n v="0"/>
    <n v="0"/>
    <n v="27.14"/>
    <n v="4.3424000000000005"/>
    <n v="31.482400000000002"/>
    <n v="0.54280000000000006"/>
    <n v="0"/>
    <n v="0.54280000000000006"/>
    <s v="En cours de traitement 2022 Groupe #02"/>
    <n v="26.597200000000001"/>
    <s v="Aucun"/>
    <n v="0"/>
    <n v="0"/>
    <m/>
    <m/>
    <n v="0"/>
    <m/>
    <n v="31.482400000000002"/>
    <n v="31.482400000000002"/>
    <n v="0"/>
    <s v="SFA"/>
    <d v="2022-03-29T00:00:00"/>
    <m/>
    <s v="RENEWED"/>
    <s v="MOTOR TPL"/>
    <m/>
    <s v="SFA"/>
    <m/>
  </r>
  <r>
    <x v="7"/>
    <s v="Yes"/>
    <d v="2022-05-23T00:00:00"/>
    <d v="2022-05-27T00:00:00"/>
    <d v="2022-05-28T00:00:00"/>
    <d v="2023-04-22T00:00:00"/>
    <s v="000-136/AIB RDC/2022"/>
    <n v="2"/>
    <s v="INCORPORATION"/>
    <s v="12003-33002-0001-103-00000927-2022 / 30000011"/>
    <s v="Chemaf SA"/>
    <s v="MINING"/>
    <s v="ANDY"/>
    <s v="Nyota"/>
    <s v="MOTOR TPL"/>
    <s v="MOTOR TPL"/>
    <x v="4"/>
    <s v="RAWSUR"/>
    <n v="0"/>
    <n v="800.13"/>
    <n v="0"/>
    <n v="0"/>
    <n v="10"/>
    <n v="668.08"/>
    <n v="108.49"/>
    <e v="#DIV/0!"/>
    <n v="0.1"/>
    <n v="66.808000000000007"/>
    <m/>
    <m/>
    <n v="66.808000000000007"/>
    <n v="10.689280000000002"/>
    <n v="77.497280000000003"/>
    <n v="1.3361600000000002"/>
    <m/>
    <n v="1.3361600000000002"/>
    <m/>
    <n v="65.47184"/>
    <m/>
    <m/>
    <n v="0"/>
    <m/>
    <m/>
    <n v="0"/>
    <m/>
    <m/>
    <n v="77.497280000000003"/>
    <n v="77.497280000000003"/>
    <s v="RAWSUR"/>
    <m/>
    <m/>
    <s v="RENEWED"/>
    <s v="MOTOR TPL"/>
    <m/>
    <m/>
    <s v="En attente du paiement de la prime"/>
  </r>
  <r>
    <x v="3"/>
    <s v="Yes"/>
    <d v="2022-02-18T00:00:00"/>
    <d v="2022-03-17T00:00:00"/>
    <d v="2022-02-18T00:00:00"/>
    <d v="2022-03-17T00:00:00"/>
    <s v="000-137/AIB RDC/2022"/>
    <n v="0"/>
    <s v="SOUSCRIPTION"/>
    <s v="01-RCAP-2022-000015"/>
    <s v="BARAKA MINING / Bolloré"/>
    <m/>
    <s v="SYNTYCHE"/>
    <s v="Apphia"/>
    <s v="MOTOR TPL"/>
    <s v="MOTOR TPL"/>
    <x v="6"/>
    <s v="SFA"/>
    <n v="570150"/>
    <n v="2856.52"/>
    <n v="0"/>
    <m/>
    <m/>
    <n v="2385"/>
    <m/>
    <n v="5.0101201438218015E-3"/>
    <n v="0.1"/>
    <n v="238.5"/>
    <n v="0"/>
    <n v="0"/>
    <n v="238.5"/>
    <n v="38.160000000000004"/>
    <n v="276.66000000000003"/>
    <n v="4.7700000000000005"/>
    <n v="0"/>
    <n v="4.7700000000000005"/>
    <s v="En cours de traitement 2022 Groupe #02"/>
    <n v="233.73"/>
    <s v="BOLLORE"/>
    <n v="0.4"/>
    <n v="93.492000000000004"/>
    <n v="93.492000000000004"/>
    <d v="2022-09-30T00:00:00"/>
    <n v="0"/>
    <s v="PT008/AIB RDC/2022"/>
    <n v="276.66000000000003"/>
    <n v="276.66000000000003"/>
    <n v="0"/>
    <s v="SFA"/>
    <d v="2022-03-29T00:00:00"/>
    <m/>
    <s v="ONCE OFF"/>
    <s v="MOTOR TPL"/>
    <m/>
    <m/>
    <m/>
  </r>
  <r>
    <x v="3"/>
    <s v="Yes"/>
    <d v="2022-02-18T00:00:00"/>
    <d v="2022-03-04T00:00:00"/>
    <d v="2022-02-18T00:00:00"/>
    <d v="2022-03-04T00:00:00"/>
    <s v="000-138/AIB RDC/2022"/>
    <n v="0"/>
    <s v="SOUSCRIPTION"/>
    <s v="01-RCAP-2022-000016"/>
    <s v="BARAKA MINING / Bolloré"/>
    <m/>
    <s v="SYNTYCHE"/>
    <s v="Apphia"/>
    <s v="MOTOR TPL"/>
    <s v="MOTOR TPL"/>
    <x v="6"/>
    <s v="SFA"/>
    <n v="425000"/>
    <n v="952.18"/>
    <n v="0"/>
    <m/>
    <m/>
    <n v="795"/>
    <m/>
    <n v="2.2404235294117645E-3"/>
    <n v="0.1"/>
    <n v="79.5"/>
    <n v="0"/>
    <n v="0"/>
    <n v="79.5"/>
    <n v="12.72"/>
    <n v="92.22"/>
    <n v="1.59"/>
    <n v="0"/>
    <n v="1.59"/>
    <s v="En cours de traitement 2022 Groupe #02"/>
    <n v="77.91"/>
    <s v="BOLLORE"/>
    <n v="0.4"/>
    <n v="31.164000000000001"/>
    <n v="31.164000000000001"/>
    <d v="2022-09-30T00:00:00"/>
    <n v="0"/>
    <s v="PT008/AIB RDC/2022"/>
    <n v="92.22"/>
    <n v="92.22"/>
    <n v="0"/>
    <s v="SFA"/>
    <d v="2022-03-29T00:00:00"/>
    <m/>
    <s v="ONCE OFF"/>
    <s v="MOTOR TPL"/>
    <m/>
    <m/>
    <m/>
  </r>
  <r>
    <x v="3"/>
    <s v="Yes"/>
    <d v="2022-02-23T00:00:00"/>
    <d v="2022-02-24T00:00:00"/>
    <d v="2022-02-24T00:00:00"/>
    <d v="2022-04-22T00:00:00"/>
    <s v="000-139/AIB RDC/2022"/>
    <n v="6"/>
    <s v="INCORPORATION"/>
    <s v="01-RCAP-2021-000074"/>
    <s v="Chemaf SA"/>
    <s v="MINING"/>
    <s v="ANDY"/>
    <s v="Apphia"/>
    <s v="MOTOR TPL"/>
    <s v="MOTOR TPL"/>
    <x v="6"/>
    <s v="SFA"/>
    <n v="0"/>
    <n v="848.45"/>
    <n v="0"/>
    <m/>
    <n v="10.63"/>
    <n v="708.4"/>
    <n v="115.04"/>
    <e v="#DIV/0!"/>
    <n v="0.1"/>
    <n v="70.84"/>
    <n v="0"/>
    <n v="0"/>
    <n v="70.84"/>
    <n v="11.3344"/>
    <n v="82.174400000000006"/>
    <n v="1.4168000000000001"/>
    <n v="0"/>
    <n v="1.4168000000000001"/>
    <m/>
    <n v="69.423200000000008"/>
    <m/>
    <m/>
    <n v="0"/>
    <m/>
    <m/>
    <n v="0"/>
    <m/>
    <n v="82.174400000000006"/>
    <n v="82.174400000000006"/>
    <n v="0"/>
    <s v="SFA"/>
    <d v="2022-04-25T00:00:00"/>
    <m/>
    <s v="RENEWED"/>
    <s v="MOTOR TPL"/>
    <m/>
    <s v="RAWSUR"/>
    <m/>
  </r>
  <r>
    <x v="3"/>
    <s v="Yes"/>
    <d v="2022-02-22T00:00:00"/>
    <d v="2022-02-22T00:00:00"/>
    <d v="2022-02-23T00:00:00"/>
    <d v="2022-03-22T00:00:00"/>
    <s v="000-140/AIB RDC/2022"/>
    <n v="0"/>
    <s v="SOUSCRIPTION"/>
    <s v="12003-33002-0005-111-00000145-2022 / 72000036"/>
    <s v="ORICA / Bolloré"/>
    <m/>
    <s v="SYNTYCHE"/>
    <s v="Apphia"/>
    <s v="MARINE CARGO / GIT"/>
    <s v="MARINE"/>
    <x v="4"/>
    <s v="RAWSUR"/>
    <n v="1041"/>
    <n v="129.80000000000001"/>
    <n v="0"/>
    <n v="0"/>
    <n v="10"/>
    <n v="100"/>
    <n v="17.600000000000001"/>
    <n v="0.12468780019212297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3"/>
    <s v="Yes"/>
    <d v="2022-02-24T00:00:00"/>
    <d v="2022-02-24T00:00:00"/>
    <d v="2022-02-25T00:00:00"/>
    <d v="2023-02-24T00:00:00"/>
    <s v="000-141/AIB RDC/2022"/>
    <n v="0"/>
    <s v="SOUSCRIPTION"/>
    <s v="01-TRA-2022-000009"/>
    <s v="Group Optorg / Tractafric Equipment"/>
    <m/>
    <s v="ANDY"/>
    <s v="Apphia"/>
    <s v="COMP MOTOR"/>
    <s v="MOTOR COMP"/>
    <x v="6"/>
    <s v="SFA"/>
    <n v="0"/>
    <n v="10012.6"/>
    <n v="0"/>
    <n v="0"/>
    <n v="0"/>
    <n v="8359.85"/>
    <m/>
    <e v="#DIV/0!"/>
    <n v="0.15"/>
    <n v="1253.9775"/>
    <n v="0"/>
    <n v="0"/>
    <n v="1253.9775"/>
    <n v="200.63640000000001"/>
    <n v="1454.6139000000001"/>
    <n v="25.079550000000001"/>
    <n v="0"/>
    <n v="25.079550000000001"/>
    <s v="En cours de traitement 2022 Groupe #02"/>
    <n v="1228.89795"/>
    <s v="OLEA"/>
    <n v="0.35"/>
    <n v="430.1142825"/>
    <m/>
    <m/>
    <n v="430.1142825"/>
    <m/>
    <n v="1454.6139000000001"/>
    <n v="1454.6139000000001"/>
    <n v="0"/>
    <s v="SFA"/>
    <d v="2022-03-29T00:00:00"/>
    <m/>
    <s v="RENEWED"/>
    <s v="COMP MOTOR"/>
    <m/>
    <m/>
    <m/>
  </r>
  <r>
    <x v="3"/>
    <s v="Yes"/>
    <d v="2022-02-21T00:00:00"/>
    <d v="2022-02-21T00:00:00"/>
    <d v="2022-02-25T00:00:00"/>
    <d v="2023-02-24T00:00:00"/>
    <s v="000-142/AIB RDC/2022"/>
    <n v="1"/>
    <s v="RENOUVELLEMENT"/>
    <s v="01-RCAP-2021-000044"/>
    <s v="KANU EQUIPMENT"/>
    <m/>
    <s v="SYNTYCHE"/>
    <s v="Apphia"/>
    <s v="MOTOR TPL"/>
    <s v="MOTOR TPL"/>
    <x v="6"/>
    <s v="SFA"/>
    <n v="0"/>
    <n v="4156.5"/>
    <m/>
    <m/>
    <m/>
    <n v="3470.4"/>
    <m/>
    <e v="#DIV/0!"/>
    <n v="0.1"/>
    <n v="347.04"/>
    <n v="0"/>
    <n v="0"/>
    <n v="347.04"/>
    <n v="55.526400000000002"/>
    <n v="402.56640000000004"/>
    <n v="6.9408000000000003"/>
    <n v="0"/>
    <n v="6.9408000000000003"/>
    <s v="En cours de traitement 2022 Groupe #02"/>
    <n v="340.0992"/>
    <m/>
    <m/>
    <n v="0"/>
    <m/>
    <m/>
    <n v="0"/>
    <m/>
    <n v="402.56640000000004"/>
    <n v="402.56640000000004"/>
    <n v="0"/>
    <s v="SFA"/>
    <d v="2022-03-29T00:00:00"/>
    <m/>
    <s v="LOST"/>
    <s v="MOTOR TPL"/>
    <m/>
    <m/>
    <m/>
  </r>
  <r>
    <x v="3"/>
    <s v="Yes"/>
    <d v="2022-02-23T00:00:00"/>
    <d v="2022-02-23T00:00:00"/>
    <d v="2022-02-25T00:00:00"/>
    <d v="2022-04-24T00:00:00"/>
    <s v="000-143/AIB RDC/2022"/>
    <n v="0"/>
    <s v="SOUSCRIPTION"/>
    <s v="12003-33002-0005-111-00000150-2022 / 72000040"/>
    <s v="ORICA / Bolloré"/>
    <m/>
    <s v="SYNTYCHE"/>
    <s v="Apphia"/>
    <s v="MARINE CARGO / GIT"/>
    <s v="MARINE"/>
    <x v="4"/>
    <s v="RAWSUR"/>
    <n v="10909"/>
    <n v="129.80000000000001"/>
    <n v="0"/>
    <n v="0"/>
    <n v="10"/>
    <n v="100"/>
    <n v="17.600000000000001"/>
    <n v="1.1898432486937392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4-28T00:00:00"/>
    <m/>
    <s v="ONCE OFF"/>
    <s v="MARINE CARGO / GIT"/>
    <m/>
    <m/>
    <m/>
  </r>
  <r>
    <x v="3"/>
    <s v="Yes"/>
    <d v="2022-02-25T00:00:00"/>
    <d v="2022-02-28T00:00:00"/>
    <d v="2022-02-25T00:00:00"/>
    <d v="2022-02-27T00:00:00"/>
    <s v="000-144/AIB RDC/2022"/>
    <n v="0"/>
    <s v="SOUSCRIPTION"/>
    <s v="01-CRG-2022-000028"/>
    <s v="Bolloré Transport &amp; Logistics / Bolloré"/>
    <m/>
    <s v="SYNTYCHE"/>
    <s v="Victor"/>
    <s v="MARINE CARGO / GIT"/>
    <s v="MARINE"/>
    <x v="6"/>
    <s v="SFA"/>
    <n v="19020.72"/>
    <n v="259.60000000000002"/>
    <n v="0"/>
    <m/>
    <m/>
    <n v="200"/>
    <m/>
    <n v="1.3648274092673674E-2"/>
    <n v="0.15"/>
    <n v="30"/>
    <n v="0"/>
    <n v="0"/>
    <n v="30"/>
    <n v="4.8"/>
    <n v="34.799999999999997"/>
    <n v="0.6"/>
    <n v="0"/>
    <n v="0.6"/>
    <s v="En cours de traitement 2022 Groupe #02"/>
    <n v="29.4"/>
    <s v="BOLLORE"/>
    <n v="0.4"/>
    <n v="11.76"/>
    <n v="11.76"/>
    <d v="2022-09-30T00:00:00"/>
    <n v="0"/>
    <s v="PT008/AIB RDC/2022"/>
    <n v="34.799999999999997"/>
    <n v="34.799999999999997"/>
    <n v="0"/>
    <s v="SFA"/>
    <d v="2022-03-29T00:00:00"/>
    <m/>
    <s v="ONCE OFF"/>
    <s v="MARINE CARGO / GIT"/>
    <m/>
    <m/>
    <m/>
  </r>
  <r>
    <x v="3"/>
    <s v="Yes"/>
    <d v="2022-02-25T00:00:00"/>
    <d v="2022-02-28T00:00:00"/>
    <d v="2022-02-25T00:00:00"/>
    <d v="2022-03-27T00:00:00"/>
    <s v="000-145/AIB RDC/2022"/>
    <n v="0"/>
    <s v="SOUSCRIPTION"/>
    <s v="01-CRG-2022-000030"/>
    <s v="DEZIWA / Bolloré"/>
    <m/>
    <s v="SYNTYCHE"/>
    <s v="Victor"/>
    <s v="MARINE CARGO / GIT"/>
    <s v="MARINE"/>
    <x v="6"/>
    <s v="SFA"/>
    <n v="130976.5"/>
    <n v="576.63"/>
    <n v="0"/>
    <m/>
    <m/>
    <n v="468.67"/>
    <m/>
    <n v="4.4025454948025027E-3"/>
    <n v="0.15"/>
    <n v="70.3005"/>
    <n v="0"/>
    <n v="0"/>
    <n v="70.3005"/>
    <n v="11.24808"/>
    <n v="81.548580000000001"/>
    <n v="1.40601"/>
    <n v="0"/>
    <n v="1.40601"/>
    <s v="En cours de traitement 2022 Groupe #02"/>
    <n v="68.894490000000005"/>
    <s v="BOLLORE"/>
    <n v="0.4"/>
    <n v="27.557796000000003"/>
    <n v="27.557796000000003"/>
    <d v="2022-09-30T00:00:00"/>
    <n v="0"/>
    <s v="PT008/AIB RDC/2022"/>
    <n v="81.548580000000001"/>
    <n v="81.548580000000001"/>
    <n v="0"/>
    <s v="SFA"/>
    <d v="2022-03-29T00:00:00"/>
    <m/>
    <s v="ONCE OFF"/>
    <s v="MARINE CARGO / GIT"/>
    <m/>
    <m/>
    <m/>
  </r>
  <r>
    <x v="3"/>
    <s v="Yes"/>
    <d v="2022-02-26T00:00:00"/>
    <d v="2022-02-17T00:00:00"/>
    <d v="2022-02-26T00:00:00"/>
    <d v="2023-02-25T00:00:00"/>
    <s v="000-146/AIB RDC/2022"/>
    <n v="0"/>
    <s v="SOUSCRIPTION"/>
    <s v="01-RCAP-2021-000040"/>
    <s v="Glencore / Mutanda Mining"/>
    <s v="MINING"/>
    <s v="ANDY"/>
    <s v="Apphia"/>
    <s v="MOTOR TPL"/>
    <s v="MOTOR TPL"/>
    <x v="6"/>
    <s v="SFA"/>
    <n v="0"/>
    <n v="38461.79"/>
    <n v="0"/>
    <m/>
    <m/>
    <n v="32113.040000000001"/>
    <m/>
    <e v="#DIV/0!"/>
    <n v="0.1"/>
    <n v="3211.3040000000001"/>
    <n v="0"/>
    <n v="0"/>
    <n v="3211.3040000000001"/>
    <n v="513.80863999999997"/>
    <n v="3725.1126400000003"/>
    <n v="64.226079999999996"/>
    <n v="0"/>
    <n v="64.226079999999996"/>
    <s v="En cours de traitement 2022 Groupe #02"/>
    <n v="3147.0779200000002"/>
    <m/>
    <m/>
    <n v="0"/>
    <m/>
    <m/>
    <n v="0"/>
    <m/>
    <n v="3725.1126400000003"/>
    <n v="3725.1126400000003"/>
    <n v="0"/>
    <s v="SFA"/>
    <d v="2022-03-29T00:00:00"/>
    <m/>
    <s v="RENEWED"/>
    <s v="MOTOR TPL"/>
    <m/>
    <m/>
    <m/>
  </r>
  <r>
    <x v="3"/>
    <s v="Yes"/>
    <d v="2022-02-26T00:00:00"/>
    <d v="2021-11-29T00:00:00"/>
    <d v="2022-02-26T00:00:00"/>
    <d v="2022-05-25T00:00:00"/>
    <s v="000-147/AIB RDC/2022"/>
    <n v="1"/>
    <s v="INCORPORATION"/>
    <s v="000001-0006-008-O082745703"/>
    <s v="RESSOURCES BUSINESS"/>
    <s v="Restauration"/>
    <s v="ALICE"/>
    <s v="Apphia"/>
    <s v="FIRE"/>
    <s v="PROPERTIES"/>
    <x v="2"/>
    <s v="SUNU"/>
    <n v="1079430.8400000001"/>
    <n v="427"/>
    <n v="0"/>
    <m/>
    <m/>
    <n v="364"/>
    <m/>
    <n v="3.9557884041927128E-4"/>
    <n v="0.1"/>
    <n v="36.4"/>
    <n v="0"/>
    <n v="0"/>
    <n v="36.4"/>
    <n v="5.8239999999999998"/>
    <n v="42.223999999999997"/>
    <n v="0.72799999999999998"/>
    <n v="0"/>
    <n v="0.72799999999999998"/>
    <m/>
    <n v="35.671999999999997"/>
    <m/>
    <m/>
    <n v="0"/>
    <m/>
    <m/>
    <n v="0"/>
    <m/>
    <n v="42.223999999999997"/>
    <n v="42.223999999999997"/>
    <n v="0"/>
    <s v="SUNU"/>
    <d v="2022-04-12T00:00:00"/>
    <m/>
    <m/>
    <s v="FIRE"/>
    <m/>
    <m/>
    <s v="Ne figure pas dans la production 2022 d'Activa, ils ont besoin de la preuve de paiement"/>
  </r>
  <r>
    <x v="3"/>
    <s v="Yes"/>
    <d v="2022-02-28T00:00:00"/>
    <d v="2022-02-28T00:00:00"/>
    <d v="2022-02-28T00:00:00"/>
    <d v="2022-03-02T00:00:00"/>
    <s v="000-148/AIB RDC/2022"/>
    <n v="0"/>
    <s v="SOUSCRIPTION"/>
    <s v="01-CRG-2022-000032"/>
    <s v="SACIM / Bolloré"/>
    <m/>
    <s v="SYNTYCHE"/>
    <s v="Victor"/>
    <s v="MARINE CARGO / GIT"/>
    <s v="MARINE"/>
    <x v="6"/>
    <s v="SFA"/>
    <n v="939.48"/>
    <n v="259.60000000000002"/>
    <m/>
    <m/>
    <m/>
    <n v="200"/>
    <m/>
    <n v="0.27632307233788905"/>
    <n v="0.15"/>
    <n v="30"/>
    <n v="0"/>
    <n v="0"/>
    <n v="30"/>
    <n v="4.8"/>
    <n v="34.799999999999997"/>
    <n v="0.6"/>
    <n v="0"/>
    <n v="0.6"/>
    <s v="En cours de traitement 2022 Groupe #02"/>
    <n v="29.4"/>
    <s v="BOLLORE"/>
    <n v="0.4"/>
    <n v="11.76"/>
    <n v="11.76"/>
    <d v="2022-09-30T00:00:00"/>
    <n v="0"/>
    <s v="PT008/AIB RDC/2022"/>
    <n v="34.799999999999997"/>
    <n v="34.799999999999997"/>
    <n v="0"/>
    <s v="SFA"/>
    <d v="2022-03-29T00:00:00"/>
    <m/>
    <s v="ONCE OFF"/>
    <s v="MARINE CARGO / GIT"/>
    <m/>
    <m/>
    <m/>
  </r>
  <r>
    <x v="3"/>
    <s v="Yes"/>
    <d v="2022-02-28T00:00:00"/>
    <d v="2022-02-28T00:00:00"/>
    <d v="2022-02-28T00:00:00"/>
    <d v="2022-03-02T00:00:00"/>
    <s v="000-149/AIB RDC/2022"/>
    <n v="0"/>
    <s v="SOUSCRIPTION"/>
    <s v="01-CRG-2022-000031"/>
    <s v="Bolloré Transport &amp; Logistics / Bolloré"/>
    <m/>
    <s v="SYNTYCHE"/>
    <s v="Victor"/>
    <s v="MARINE CARGO / GIT"/>
    <s v="MARINE"/>
    <x v="6"/>
    <s v="SFA"/>
    <n v="151.05000000000001"/>
    <n v="200.6"/>
    <n v="0"/>
    <m/>
    <m/>
    <n v="150"/>
    <m/>
    <n v="1.328037073816617"/>
    <n v="0.15"/>
    <n v="22.5"/>
    <n v="0"/>
    <n v="0"/>
    <n v="22.5"/>
    <n v="3.6"/>
    <n v="26.1"/>
    <n v="0.45"/>
    <n v="0"/>
    <n v="0.45"/>
    <s v="En cours de traitement 2022 Groupe #02"/>
    <n v="22.05"/>
    <s v="BOLLORE"/>
    <n v="0.4"/>
    <n v="8.82"/>
    <n v="8.82"/>
    <d v="2022-09-30T00:00:00"/>
    <n v="0"/>
    <s v="PT008/AIB RDC/2022"/>
    <n v="26.1"/>
    <n v="26.1"/>
    <n v="0"/>
    <s v="SFA"/>
    <d v="2022-03-29T00:00:00"/>
    <m/>
    <s v="ONCE OFF"/>
    <s v="MARINE CARGO / GIT"/>
    <m/>
    <m/>
    <m/>
  </r>
  <r>
    <x v="3"/>
    <s v="Yes"/>
    <d v="2022-02-28T00:00:00"/>
    <d v="2022-02-28T00:00:00"/>
    <d v="2022-02-28T00:00:00"/>
    <d v="2022-03-02T00:00:00"/>
    <s v="000-150/AIB RDC/2022"/>
    <n v="0"/>
    <s v="SOUSCRIPTION"/>
    <s v="01-CRG-2022-000034"/>
    <s v="Bolloré Transport &amp; Logistics / Bolloré"/>
    <m/>
    <s v="SYNTYCHE"/>
    <s v="Victor"/>
    <s v="MARINE CARGO / GIT"/>
    <s v="MARINE"/>
    <x v="6"/>
    <s v="SFA"/>
    <n v="8160.8"/>
    <n v="259.60000000000002"/>
    <n v="0"/>
    <m/>
    <m/>
    <n v="200"/>
    <m/>
    <n v="3.1810606803254586E-2"/>
    <n v="0.15"/>
    <n v="30"/>
    <n v="0"/>
    <n v="0"/>
    <n v="30"/>
    <n v="4.8"/>
    <n v="34.799999999999997"/>
    <n v="0.6"/>
    <n v="0"/>
    <n v="0.6"/>
    <s v="En cours de traitement 2022 Groupe #02"/>
    <n v="29.4"/>
    <s v="BOLLORE"/>
    <n v="0.4"/>
    <n v="11.76"/>
    <n v="11.76"/>
    <d v="2022-09-30T00:00:00"/>
    <n v="0"/>
    <s v="PT008/AIB RDC/2022"/>
    <n v="34.799999999999997"/>
    <n v="34.799999999999997"/>
    <n v="0"/>
    <s v="SFA"/>
    <d v="2022-03-29T00:00:00"/>
    <m/>
    <s v="ONCE OFF"/>
    <s v="MARINE CARGO / GIT"/>
    <m/>
    <m/>
    <m/>
  </r>
  <r>
    <x v="3"/>
    <s v="Yes"/>
    <d v="2022-02-28T00:00:00"/>
    <d v="2022-02-28T00:00:00"/>
    <d v="2022-02-28T00:00:00"/>
    <d v="2022-04-28T00:00:00"/>
    <s v="000-151/AIB RDC/2022"/>
    <n v="0"/>
    <s v="SOUSCRIPTION"/>
    <s v="01-CRG-2022-000033"/>
    <s v="BARAKA MINING / Bolloré"/>
    <m/>
    <s v="SYNTYCHE"/>
    <s v="Apphia"/>
    <s v="MARINE CARGO / GIT"/>
    <s v="MARINE"/>
    <x v="6"/>
    <s v="SFA"/>
    <n v="70800"/>
    <n v="318.60000000000002"/>
    <n v="0"/>
    <m/>
    <m/>
    <n v="250"/>
    <m/>
    <n v="4.5000000000000005E-3"/>
    <n v="0.15"/>
    <n v="37.5"/>
    <n v="0"/>
    <n v="0"/>
    <n v="37.5"/>
    <n v="6"/>
    <n v="43.5"/>
    <n v="0.75"/>
    <n v="0"/>
    <n v="0.75"/>
    <s v="En cours de traitement 2022 Groupe #02"/>
    <n v="36.75"/>
    <s v="BOLLORE"/>
    <n v="0.4"/>
    <n v="14.700000000000001"/>
    <n v="14.700000000000001"/>
    <d v="2022-09-30T00:00:00"/>
    <n v="0"/>
    <s v="PT008/AIB RDC/2022"/>
    <n v="43.5"/>
    <n v="43.5"/>
    <n v="0"/>
    <s v="SFA"/>
    <d v="2022-03-29T00:00:00"/>
    <m/>
    <s v="ONCE OFF"/>
    <s v="MARINE CARGO / GIT"/>
    <m/>
    <m/>
    <s v="Ne figure pas dans la production 2022 d'Activa, ils ont besoin de la preuve de paiement"/>
  </r>
  <r>
    <x v="3"/>
    <s v="Yes"/>
    <d v="2022-02-05T00:00:00"/>
    <d v="2022-03-24T00:00:00"/>
    <d v="2022-02-05T00:00:00"/>
    <d v="2022-04-30T00:00:00"/>
    <s v="000-152/AIB RDC/2022"/>
    <n v="2"/>
    <s v="PROROGATION"/>
    <s v="01-TRC-2020-000015"/>
    <s v="LUANO GRANDES PROPRIETES  S.A.R.L"/>
    <s v="CONSTRUCTION"/>
    <s v="ANDY"/>
    <s v="Andy"/>
    <s v="TRC"/>
    <s v="CONSTRUCTIONS"/>
    <x v="6"/>
    <s v="SFA"/>
    <m/>
    <n v="4531.42"/>
    <n v="0"/>
    <m/>
    <n v="29.05"/>
    <n v="3811.14"/>
    <n v="614.42999999999995"/>
    <e v="#DIV/0!"/>
    <n v="0.15"/>
    <n v="571.67099999999994"/>
    <n v="0"/>
    <n v="0"/>
    <n v="571.67099999999994"/>
    <n v="91.467359999999985"/>
    <n v="663.13835999999992"/>
    <n v="11.433419999999998"/>
    <n v="0"/>
    <n v="11.433419999999998"/>
    <m/>
    <n v="560.23757999999998"/>
    <m/>
    <m/>
    <n v="0"/>
    <m/>
    <m/>
    <n v="0"/>
    <m/>
    <n v="663.13835999999992"/>
    <n v="663.13835999999992"/>
    <n v="0"/>
    <s v="SFA"/>
    <d v="2022-04-25T00:00:00"/>
    <m/>
    <s v="EXTENDED"/>
    <s v="TRC"/>
    <m/>
    <s v="SFA"/>
    <s v="Ne figure pas dans la production 2022 d'Activa, besoin de la preuve de paiement "/>
  </r>
  <r>
    <x v="8"/>
    <s v="Yes"/>
    <d v="2022-02-24T00:00:00"/>
    <d v="2022-04-07T00:00:00"/>
    <d v="2022-04-07T00:00:00"/>
    <d v="2022-04-22T00:00:00"/>
    <s v="000-153/AIB RDC/2022"/>
    <n v="7"/>
    <s v="INCORPORATION"/>
    <s v="01-RCAP-2021-000074"/>
    <s v="Chemaf SA"/>
    <s v="MINING"/>
    <s v="ANDY"/>
    <s v="Andy"/>
    <s v="MOTOR TPL"/>
    <s v="MOTOR TPL"/>
    <x v="6"/>
    <s v="SFA"/>
    <n v="0"/>
    <n v="115.37"/>
    <n v="0"/>
    <m/>
    <n v="1.44"/>
    <n v="96.34"/>
    <n v="15.64"/>
    <e v="#DIV/0!"/>
    <n v="0.1"/>
    <n v="9.6340000000000003"/>
    <n v="0"/>
    <n v="0"/>
    <n v="9.6340000000000003"/>
    <n v="1.5414400000000001"/>
    <n v="11.17544"/>
    <n v="0.19268000000000002"/>
    <n v="0"/>
    <n v="0.19268000000000002"/>
    <m/>
    <n v="9.441320000000001"/>
    <m/>
    <m/>
    <n v="0"/>
    <m/>
    <m/>
    <n v="0"/>
    <m/>
    <n v="11.17544"/>
    <n v="11.17544"/>
    <n v="0"/>
    <s v="SFA"/>
    <d v="2022-06-23T00:00:00"/>
    <m/>
    <s v="RENEWED"/>
    <s v="MOTOR TPL"/>
    <m/>
    <s v="RAWSUR"/>
    <s v="Ne figure pas dans la production 2022 d'Activa, besoin de la preuve de paiement "/>
  </r>
  <r>
    <x v="3"/>
    <s v="Yes"/>
    <d v="2022-02-04T00:00:00"/>
    <d v="2022-04-04T00:00:00"/>
    <d v="2022-02-04T00:00:00"/>
    <d v="2022-12-07T00:00:00"/>
    <s v="000-154/AIB RDC/2022"/>
    <n v="2"/>
    <s v="RISTOURNE"/>
    <s v="12001-09002/3002/200 0000801"/>
    <s v="OPPORTUNITY INTERNATIONAL / Max Frédéric Woodley"/>
    <m/>
    <s v="ALICE"/>
    <s v="Alice"/>
    <s v="GPA"/>
    <s v="MEDICAL &amp; GPA"/>
    <x v="0"/>
    <s v="ACTIVA"/>
    <n v="0"/>
    <n v="-206.84"/>
    <n v="0"/>
    <n v="0"/>
    <n v="0"/>
    <n v="-178.32"/>
    <n v="-28.52"/>
    <e v="#DIV/0!"/>
    <n v="0.1"/>
    <n v="-17.832000000000001"/>
    <n v="0"/>
    <n v="0"/>
    <n v="-17.832000000000001"/>
    <n v="-2.8531200000000001"/>
    <n v="-20.685120000000001"/>
    <n v="-0.35664000000000001"/>
    <n v="0"/>
    <n v="-0.35664000000000001"/>
    <m/>
    <n v="-17.475360000000002"/>
    <s v="OLEA"/>
    <n v="0.35"/>
    <n v="-6.1163760000000007"/>
    <m/>
    <m/>
    <n v="-6.1163760000000007"/>
    <m/>
    <n v="-20.685120000000001"/>
    <n v="-20.685120000000001"/>
    <n v="0"/>
    <s v="ACTIVA"/>
    <d v="2022-05-20T00:00:00"/>
    <m/>
    <s v="RENEWED"/>
    <s v="GPA"/>
    <m/>
    <m/>
    <s v="Ne figure pas dans la production 2022 d'Activa, besoin de la preuve de paiement "/>
  </r>
  <r>
    <x v="4"/>
    <s v="Yes"/>
    <d v="2022-03-01T00:00:00"/>
    <d v="2022-03-02T00:00:00"/>
    <d v="2022-03-02T00:00:00"/>
    <d v="2022-04-01T00:00:00"/>
    <s v="000-155/AIB RDC/2022"/>
    <n v="0"/>
    <s v="SOUSCRIPTION"/>
    <s v="12001-33002-0014-111-00002005"/>
    <s v="BOLLORE TRANSPORT &amp; LOGISTICS RDC"/>
    <s v="TRANSPORT"/>
    <s v="SYNTYCHE"/>
    <s v="Grace"/>
    <s v="MARINE CARGO / GIT"/>
    <s v="MARINE"/>
    <x v="0"/>
    <s v="ACTIVA"/>
    <n v="4797"/>
    <n v="17.399999999999999"/>
    <n v="0"/>
    <m/>
    <n v="5"/>
    <n v="10"/>
    <n v="2.4"/>
    <n v="3.6272670419011878E-3"/>
    <n v="0.15"/>
    <n v="1.5"/>
    <n v="0"/>
    <n v="0"/>
    <n v="1.5"/>
    <n v="0.24"/>
    <n v="1.74"/>
    <n v="0.03"/>
    <n v="0"/>
    <n v="0.03"/>
    <m/>
    <n v="1.47"/>
    <m/>
    <m/>
    <n v="0"/>
    <m/>
    <m/>
    <n v="0"/>
    <m/>
    <n v="1.74"/>
    <n v="1.74"/>
    <n v="0"/>
    <s v="ACTIVA"/>
    <d v="2022-05-18T00:00:00"/>
    <m/>
    <s v="ONCE OFF"/>
    <s v="MARINE CARGO / GIT"/>
    <m/>
    <m/>
    <m/>
  </r>
  <r>
    <x v="4"/>
    <s v="Yes"/>
    <d v="2022-03-01T00:00:00"/>
    <d v="2022-03-09T00:00:00"/>
    <d v="2022-03-01T00:00:00"/>
    <d v="2022-07-31T00:00:00"/>
    <s v="000-156/AIB RDC/2022"/>
    <n v="3"/>
    <s v="RENOUVELLEMENT"/>
    <s v="12001-33002-0007-121-00000737-2020"/>
    <s v="NATIONAL DEMOCRATIC INSTITUTE / NDI"/>
    <m/>
    <s v="ANDY"/>
    <s v="Apphia"/>
    <s v="FIRE"/>
    <s v="PROPERTIES"/>
    <x v="0"/>
    <s v="ACTIVA"/>
    <n v="565500"/>
    <n v="714.13"/>
    <n v="0"/>
    <m/>
    <n v="10"/>
    <n v="605.63"/>
    <n v="98.5"/>
    <n v="1.2628293545534925E-3"/>
    <n v="0.1"/>
    <n v="60.563000000000002"/>
    <n v="0"/>
    <n v="0"/>
    <n v="60.563000000000002"/>
    <n v="9.69008"/>
    <n v="70.253079999999997"/>
    <n v="1.21126"/>
    <n v="0"/>
    <n v="1.21126"/>
    <m/>
    <n v="59.351739999999999"/>
    <s v="OLEA"/>
    <n v="0.35"/>
    <n v="20.773108999999998"/>
    <m/>
    <m/>
    <n v="20.773108999999998"/>
    <m/>
    <n v="70.253079999999997"/>
    <n v="70.253079999999997"/>
    <n v="0"/>
    <s v="ACTIVA"/>
    <d v="2022-05-18T00:00:00"/>
    <m/>
    <s v="EXTENDED"/>
    <s v="FIRE"/>
    <m/>
    <m/>
    <m/>
  </r>
  <r>
    <x v="4"/>
    <s v="Yes"/>
    <d v="2022-03-01T00:00:00"/>
    <d v="2022-03-29T00:00:00"/>
    <d v="2022-03-01T00:00:00"/>
    <d v="2022-12-31T00:00:00"/>
    <s v="000-157/AIB RDC/2022"/>
    <n v="2"/>
    <s v="INCORPORATION"/>
    <s v="33002-000001-017-003-0000032"/>
    <s v="CARGOMAN Sarl"/>
    <s v="Aviation"/>
    <s v="ANDY"/>
    <s v="Apphia"/>
    <s v="MOTOR TPL"/>
    <s v="MOTOR TPL"/>
    <x v="2"/>
    <s v="SUNU"/>
    <n v="0"/>
    <n v="230.84"/>
    <n v="0"/>
    <m/>
    <n v="0"/>
    <n v="199"/>
    <n v="31.84"/>
    <e v="#DIV/0!"/>
    <n v="0.1"/>
    <n v="19.900000000000002"/>
    <n v="0"/>
    <n v="0"/>
    <n v="19.900000000000002"/>
    <n v="3.1840000000000006"/>
    <n v="23.084000000000003"/>
    <n v="0.39800000000000008"/>
    <n v="0"/>
    <n v="0.39800000000000008"/>
    <m/>
    <n v="19.502000000000002"/>
    <m/>
    <m/>
    <n v="0"/>
    <m/>
    <m/>
    <n v="0"/>
    <m/>
    <n v="23.084000000000003"/>
    <n v="23.084000000000003"/>
    <n v="0"/>
    <s v="SUNU"/>
    <d v="2022-06-01T00:00:00"/>
    <m/>
    <s v="RENEWED"/>
    <s v="MOTOR TPL"/>
    <m/>
    <m/>
    <m/>
  </r>
  <r>
    <x v="4"/>
    <s v="Yes"/>
    <d v="2022-03-01T00:00:00"/>
    <d v="2022-03-01T00:00:00"/>
    <d v="2022-03-01T00:00:00"/>
    <d v="2023-01-31T00:00:00"/>
    <s v="000-158/AIB RDC/2022"/>
    <n v="0"/>
    <s v="SOUSCRIPTION"/>
    <s v="12005-33002-0015-13001-00000068-2022"/>
    <s v="EASTCASTLE INFRASTRUCTURE DRC SARLU"/>
    <m/>
    <s v="RAMSY"/>
    <s v="Apphia"/>
    <s v="TRC"/>
    <s v="CONSTRUCTIONS"/>
    <x v="1"/>
    <s v="MAYFAIR"/>
    <n v="16060000"/>
    <n v="46254.84"/>
    <n v="0"/>
    <n v="0"/>
    <n v="100"/>
    <n v="39099.01"/>
    <n v="6271.84"/>
    <n v="2.8801270236612701E-3"/>
    <n v="0.10584411216550001"/>
    <n v="4138.4000000000069"/>
    <n v="0"/>
    <n v="0"/>
    <n v="4138.4000000000069"/>
    <n v="662.14400000000114"/>
    <n v="4800.5440000000081"/>
    <n v="82.768000000000143"/>
    <n v="0"/>
    <n v="82.768000000000143"/>
    <m/>
    <n v="4055.6320000000069"/>
    <s v="MARSH"/>
    <n v="0.3"/>
    <n v="1216.689600000002"/>
    <n v="1216.689600000002"/>
    <d v="2023-09-19T00:00:00"/>
    <n v="0"/>
    <m/>
    <n v="4800.5440000000081"/>
    <n v="4800.5440000000081"/>
    <n v="0"/>
    <s v="MAYFAIR"/>
    <d v="2022-05-18T00:00:00"/>
    <m/>
    <s v="EXTENDED"/>
    <s v="TRC"/>
    <m/>
    <m/>
    <m/>
  </r>
  <r>
    <x v="4"/>
    <s v="Yes"/>
    <d v="2022-03-01T00:00:00"/>
    <d v="2022-03-01T00:00:00"/>
    <d v="2022-03-01T00:00:00"/>
    <d v="2023-01-31T00:00:00"/>
    <s v="000-159/AIB RDC/2022"/>
    <n v="0"/>
    <s v="SOUSCRIPTION"/>
    <s v="12005-33002-0015-13001-00000070-2022"/>
    <s v="EASTCASTLE INFRASTRUCTURE DRC SARLU"/>
    <m/>
    <s v="RAMSY"/>
    <s v="Apphia"/>
    <s v="TRC"/>
    <s v="CONSTRUCTIONS"/>
    <x v="1"/>
    <s v="MAYFAIR"/>
    <n v="16060000"/>
    <n v="21142.74"/>
    <n v="0"/>
    <n v="0"/>
    <n v="100"/>
    <n v="17817.57"/>
    <n v="2866.81"/>
    <n v="1.3164844333748444E-3"/>
    <n v="0.105844399657192"/>
    <n v="1885.8899999999944"/>
    <n v="0"/>
    <n v="0"/>
    <n v="1885.8899999999944"/>
    <n v="301.74239999999912"/>
    <n v="2187.6323999999936"/>
    <n v="37.71779999999989"/>
    <n v="0"/>
    <n v="37.71779999999989"/>
    <m/>
    <n v="1848.1721999999945"/>
    <s v="MARSH"/>
    <n v="0.3"/>
    <n v="554.45165999999836"/>
    <n v="554.45165999999836"/>
    <d v="2023-09-19T00:00:00"/>
    <n v="0"/>
    <m/>
    <n v="2187.6323999999936"/>
    <n v="2187.6323999999936"/>
    <n v="0"/>
    <s v="MAYFAIR"/>
    <d v="2022-05-18T00:00:00"/>
    <m/>
    <s v="EXTENDED"/>
    <s v="TRC"/>
    <m/>
    <m/>
    <m/>
  </r>
  <r>
    <x v="4"/>
    <s v="Yes"/>
    <d v="2022-03-01T00:00:00"/>
    <d v="2022-03-03T00:00:00"/>
    <d v="2022-03-01T00:00:00"/>
    <d v="2023-02-28T00:00:00"/>
    <s v="000-160/AIB RDC/2022"/>
    <n v="0"/>
    <s v="SOUSCRIPTION"/>
    <s v="01-IMR-2022-000055"/>
    <s v="CMA CGM"/>
    <m/>
    <s v="SYNTYCHE"/>
    <s v="Apphia"/>
    <s v="FIRE"/>
    <s v="PROPERTIES"/>
    <x v="6"/>
    <s v="SFA"/>
    <n v="0"/>
    <n v="4919.03"/>
    <n v="0"/>
    <n v="0"/>
    <n v="30.69"/>
    <n v="4137.9799999999996"/>
    <n v="666.99"/>
    <e v="#DIV/0!"/>
    <n v="0.1"/>
    <n v="413.798"/>
    <n v="0"/>
    <n v="0"/>
    <n v="413.798"/>
    <n v="66.207679999999996"/>
    <n v="480.00567999999998"/>
    <n v="8.2759599999999995"/>
    <n v="0"/>
    <n v="8.2759599999999995"/>
    <m/>
    <n v="405.52204"/>
    <m/>
    <m/>
    <n v="0"/>
    <m/>
    <m/>
    <n v="0"/>
    <m/>
    <n v="480.00567999999998"/>
    <n v="480.00567999999998"/>
    <n v="0"/>
    <s v="SFA"/>
    <d v="2022-04-25T00:00:00"/>
    <m/>
    <s v="RENEWED"/>
    <s v="FIRE"/>
    <m/>
    <m/>
    <m/>
  </r>
  <r>
    <x v="4"/>
    <s v="Yes"/>
    <d v="2022-03-01T00:00:00"/>
    <d v="2022-03-03T00:00:00"/>
    <d v="2022-03-01T00:00:00"/>
    <d v="2023-02-28T00:00:00"/>
    <s v="000-161/AIB RDC/2022"/>
    <n v="0"/>
    <s v="SOUSCRIPTION"/>
    <s v="01-RCG-2022-000020"/>
    <s v="CMA CGM"/>
    <m/>
    <s v="SYNTYCHE"/>
    <s v="Apphia"/>
    <s v="GENERAL LIABILITY"/>
    <s v="LIABILITIES"/>
    <x v="6"/>
    <s v="SFA"/>
    <n v="0"/>
    <n v="3035.85"/>
    <n v="0"/>
    <n v="0"/>
    <n v="22.75"/>
    <n v="2550"/>
    <n v="411.64"/>
    <e v="#DIV/0!"/>
    <n v="0.1"/>
    <n v="255"/>
    <n v="0"/>
    <n v="0"/>
    <n v="255"/>
    <n v="40.800000000000004"/>
    <n v="295.8"/>
    <n v="5.1000000000000005"/>
    <n v="0"/>
    <n v="5.1000000000000005"/>
    <m/>
    <n v="249.9"/>
    <m/>
    <m/>
    <n v="0"/>
    <m/>
    <m/>
    <n v="0"/>
    <m/>
    <n v="295.8"/>
    <n v="295.8"/>
    <n v="0"/>
    <s v="SFA"/>
    <d v="2022-04-25T00:00:00"/>
    <m/>
    <s v="RENEWED"/>
    <s v="GENERAL LIABILITY"/>
    <m/>
    <m/>
    <m/>
  </r>
  <r>
    <x v="4"/>
    <s v="Yes"/>
    <d v="2022-03-01T00:00:00"/>
    <d v="2022-02-15T00:00:00"/>
    <d v="2022-03-01T00:00:00"/>
    <d v="2022-07-31T00:00:00"/>
    <s v="000-162/AIB RDC/2022"/>
    <n v="1"/>
    <s v="RENOUVELLEMENT"/>
    <s v="01-RCAP-2021-000028"/>
    <s v="Thomas Masureel"/>
    <s v="PERSON"/>
    <s v="ANDY"/>
    <s v="Apphia"/>
    <s v="MOTOR TPL"/>
    <s v="MOTOR TPL"/>
    <x v="6"/>
    <s v="SFA"/>
    <m/>
    <n v="172.47"/>
    <n v="0"/>
    <m/>
    <n v="2.16"/>
    <n v="144"/>
    <n v="23.39"/>
    <e v="#DIV/0!"/>
    <n v="0.1"/>
    <n v="14.4"/>
    <n v="0"/>
    <n v="0"/>
    <n v="14.4"/>
    <n v="2.3040000000000003"/>
    <n v="16.704000000000001"/>
    <n v="0.28800000000000003"/>
    <n v="0"/>
    <n v="0.28800000000000003"/>
    <s v="En cours de traitement 2022 Groupe #02"/>
    <n v="14.112"/>
    <m/>
    <m/>
    <n v="0"/>
    <m/>
    <m/>
    <n v="0"/>
    <m/>
    <n v="16.704000000000001"/>
    <n v="16.704000000000001"/>
    <n v="0"/>
    <s v="SFA"/>
    <d v="2022-03-29T00:00:00"/>
    <m/>
    <s v="ONCE OFF"/>
    <s v="MOTOR TPL"/>
    <m/>
    <m/>
    <m/>
  </r>
  <r>
    <x v="4"/>
    <s v="Yes"/>
    <d v="2022-05-28T00:00:00"/>
    <d v="2022-02-04T00:00:00"/>
    <d v="2022-03-01T00:00:00"/>
    <d v="2023-03-02T00:00:00"/>
    <s v="000-163/AIB RDC/2022"/>
    <n v="0"/>
    <s v="SOUSCRIPTION"/>
    <s v="12003-33002-0005-111-00000171-2022 / 72000041"/>
    <s v="Bolloré Transport &amp; Logistics / Bolloré"/>
    <s v="TRANSPORT"/>
    <s v="SYNTYCHE"/>
    <s v="Victor"/>
    <s v="MARINE CARGO / GIT"/>
    <s v="MARINE"/>
    <x v="4"/>
    <s v="RAWSUR"/>
    <n v="7629"/>
    <n v="129.80000000000001"/>
    <m/>
    <m/>
    <n v="10"/>
    <n v="100"/>
    <n v="17.600000000000001"/>
    <n v="1.7014025429283E-2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4"/>
    <s v="Yes"/>
    <d v="2022-10-10T00:00:00"/>
    <d v="2022-09-07T00:00:00"/>
    <d v="2022-03-01T00:00:00"/>
    <d v="2023-02-28T00:00:00"/>
    <s v="000-164/AIB RDC/2022"/>
    <n v="0"/>
    <s v="SOUSCRIPTION"/>
    <s v="00016991"/>
    <s v="Barrick Gold Corporation/Kibali Gold"/>
    <s v="MINING"/>
    <s v="ANDY"/>
    <s v="Andy"/>
    <s v="MARINE CARGO / GIT"/>
    <s v="MARINE"/>
    <x v="6"/>
    <s v="McGILL"/>
    <n v="0"/>
    <n v="60395.28"/>
    <n v="7643.38"/>
    <n v="-3312.14"/>
    <n v="226.56"/>
    <n v="43312.5"/>
    <n v="8189.19"/>
    <e v="#DIV/0!"/>
    <n v="0"/>
    <n v="0"/>
    <n v="1299.3719999999998"/>
    <n v="0"/>
    <n v="1299.3719999999998"/>
    <n v="207.89951999999997"/>
    <n v="1507.2715199999998"/>
    <n v="25.987439999999996"/>
    <n v="0"/>
    <n v="25.987439999999996"/>
    <m/>
    <n v="1273.3845599999997"/>
    <m/>
    <m/>
    <n v="0"/>
    <m/>
    <m/>
    <n v="0"/>
    <m/>
    <n v="1507.2715199999998"/>
    <n v="1507.2715199999998"/>
    <n v="0"/>
    <s v="SFA"/>
    <d v="2022-10-28T00:00:00"/>
    <m/>
    <s v="RENEWED"/>
    <s v="MARINE CARGO / GIT"/>
    <m/>
    <m/>
    <m/>
  </r>
  <r>
    <x v="4"/>
    <s v="Yes"/>
    <d v="2022-11-08T00:00:00"/>
    <d v="2022-03-01T00:00:00"/>
    <d v="2022-03-01T00:00:00"/>
    <d v="2023-02-28T00:00:00"/>
    <s v="000-165/AIB RDC/2022"/>
    <n v="0"/>
    <s v="SOUSCRIPTION"/>
    <s v="33002-0001-101-0001271"/>
    <s v="Activa Assurances"/>
    <s v="INSURANCE"/>
    <s v="ANDY"/>
    <s v="Andy"/>
    <s v="GPA"/>
    <s v="MEDICAL &amp; GPA"/>
    <x v="2"/>
    <s v="SUNU"/>
    <n v="0"/>
    <n v="6417.03"/>
    <n v="0"/>
    <m/>
    <n v="54.77"/>
    <n v="5477.16"/>
    <n v="885.1"/>
    <e v="#DIV/0!"/>
    <n v="0.1"/>
    <n v="547.71600000000001"/>
    <n v="0"/>
    <n v="0"/>
    <n v="547.71600000000001"/>
    <n v="87.634560000000008"/>
    <n v="635.35055999999997"/>
    <n v="10.954320000000001"/>
    <n v="0"/>
    <n v="10.954320000000001"/>
    <m/>
    <n v="536.76167999999996"/>
    <m/>
    <m/>
    <n v="0"/>
    <m/>
    <m/>
    <n v="0"/>
    <m/>
    <n v="635.35055999999997"/>
    <n v="635.35055999999997"/>
    <n v="0"/>
    <s v="SUNU"/>
    <d v="2022-10-24T00:00:00"/>
    <m/>
    <s v="RENEWED"/>
    <s v="GPA"/>
    <m/>
    <m/>
    <m/>
  </r>
  <r>
    <x v="2"/>
    <s v="Yes"/>
    <d v="2022-10-06T00:00:00"/>
    <d v="2022-10-06T00:00:00"/>
    <d v="2022-10-06T00:00:00"/>
    <d v="2023-04-22T00:00:00"/>
    <s v="000-166/AIB RDC/2022"/>
    <n v="8"/>
    <s v="INCORPORATION"/>
    <s v="12003-33002-0001-103-00000927-2022 / 30000011"/>
    <s v="Chemaf SA"/>
    <s v="MINING"/>
    <s v="ANDY"/>
    <s v="Nyota"/>
    <s v="MOTOR TPL"/>
    <s v="MOTOR TPL"/>
    <x v="4"/>
    <s v="RAWSUR"/>
    <n v="0"/>
    <n v="115.06"/>
    <n v="0"/>
    <n v="0"/>
    <n v="10"/>
    <n v="87.51"/>
    <n v="15.6"/>
    <e v="#DIV/0!"/>
    <n v="0.1"/>
    <n v="8.7510000000000012"/>
    <n v="0"/>
    <n v="0"/>
    <n v="8.7510000000000012"/>
    <n v="1.4001600000000003"/>
    <n v="10.151160000000001"/>
    <n v="0.17502000000000004"/>
    <m/>
    <n v="0.17502000000000004"/>
    <m/>
    <n v="8.5759800000000013"/>
    <m/>
    <m/>
    <n v="0"/>
    <m/>
    <m/>
    <n v="0"/>
    <m/>
    <m/>
    <n v="10.151160000000001"/>
    <n v="10.151160000000001"/>
    <s v="RAWSUR"/>
    <m/>
    <m/>
    <s v="RENEWED"/>
    <s v="MOTOR TPL"/>
    <m/>
    <m/>
    <s v="En attente du paiement de la prime"/>
  </r>
  <r>
    <x v="4"/>
    <s v="Yes"/>
    <d v="2022-03-01T00:00:00"/>
    <d v="2022-03-04T00:00:00"/>
    <d v="2022-03-02T00:00:00"/>
    <d v="2023-03-02T00:00:00"/>
    <s v="000-167/AIB RDC/2022"/>
    <n v="0"/>
    <s v="SOUSCRIPTION"/>
    <s v="12001-33002-0001-103-0001984-2022"/>
    <s v="KATSHIOMPA NTUMBA TOUBERT"/>
    <m/>
    <s v="ALICE"/>
    <s v="Alice"/>
    <s v="COMP MOTOR"/>
    <s v="MOTOR COMP"/>
    <x v="0"/>
    <s v="ACTIVA"/>
    <n v="80000"/>
    <n v="3949.77"/>
    <m/>
    <m/>
    <n v="33.71"/>
    <n v="3371.26"/>
    <n v="544.79999999999995"/>
    <n v="4.9372125000000003E-2"/>
    <n v="0.14910000000000001"/>
    <n v="502.65486600000008"/>
    <n v="0"/>
    <n v="0"/>
    <n v="502.65486600000008"/>
    <n v="80.424778560000021"/>
    <n v="583.07964456000013"/>
    <n v="10.053097320000003"/>
    <n v="0"/>
    <n v="10.053097320000003"/>
    <m/>
    <n v="492.60176868000008"/>
    <s v="NIRAJ"/>
    <n v="0.2"/>
    <n v="98.520353736000018"/>
    <n v="98.520353736000018"/>
    <d v="2022-09-26T00:00:00"/>
    <n v="0"/>
    <s v="PT006/AIB RDC/2022"/>
    <n v="583.07964456000013"/>
    <n v="583.07964456000013"/>
    <n v="0"/>
    <s v="ACTIVA"/>
    <d v="2022-05-18T00:00:00"/>
    <m/>
    <s v="RENEWING..."/>
    <s v="COMP MOTOR"/>
    <m/>
    <m/>
    <m/>
  </r>
  <r>
    <x v="4"/>
    <s v="Yes"/>
    <d v="2022-03-01T00:00:00"/>
    <d v="2022-03-04T00:00:00"/>
    <d v="2022-03-04T00:00:00"/>
    <d v="2022-04-03T00:00:00"/>
    <s v="000-168/AIB RDC/2022"/>
    <n v="0"/>
    <s v="SOUSCRIPTION"/>
    <s v="12001-33002-0014-00001993-2022"/>
    <s v="BOLLORE TRANSPORT &amp; LOGISTICS RDC"/>
    <s v="TRANSPORT"/>
    <s v="SYNTYCHE"/>
    <s v="Grace"/>
    <s v="MARINE CARGO / GIT"/>
    <s v="MARINE"/>
    <x v="0"/>
    <s v="ACTIVA"/>
    <m/>
    <n v="107.88"/>
    <m/>
    <m/>
    <n v="10"/>
    <n v="83"/>
    <n v="14.88"/>
    <e v="#DIV/0!"/>
    <n v="0.15"/>
    <n v="12.45"/>
    <n v="0"/>
    <n v="0"/>
    <n v="12.45"/>
    <n v="1.992"/>
    <n v="14.442"/>
    <n v="0.249"/>
    <n v="0"/>
    <n v="0.249"/>
    <m/>
    <n v="12.200999999999999"/>
    <m/>
    <m/>
    <n v="0"/>
    <m/>
    <m/>
    <n v="0"/>
    <m/>
    <n v="14.442"/>
    <n v="14.442"/>
    <n v="0"/>
    <s v="ACTIVA"/>
    <d v="2022-05-18T00:00:00"/>
    <m/>
    <s v="ONCE OFF"/>
    <s v="MARINE CARGO / GIT"/>
    <m/>
    <m/>
    <m/>
  </r>
  <r>
    <x v="4"/>
    <s v="Yes"/>
    <d v="2022-03-01T00:00:00"/>
    <d v="2022-03-08T00:00:00"/>
    <d v="2022-03-09T00:00:00"/>
    <d v="2023-01-19T00:00:00"/>
    <s v="000-169/AIB RDC/2022"/>
    <n v="14"/>
    <s v="INCORPORATION"/>
    <s v="01-RCAP-2021-000013"/>
    <s v="GSA"/>
    <s v="SECURITY"/>
    <s v="SYNTYCHE"/>
    <s v="Grâce"/>
    <s v="MOTOR TPL"/>
    <s v="MOTOR TPL"/>
    <x v="6"/>
    <s v="SFA"/>
    <n v="0"/>
    <n v="1334.45"/>
    <n v="0"/>
    <n v="0"/>
    <n v="16.7"/>
    <n v="1114.2"/>
    <n v="180.94"/>
    <e v="#DIV/0!"/>
    <n v="0.1"/>
    <n v="111.42000000000002"/>
    <n v="0"/>
    <n v="0"/>
    <n v="111.42000000000002"/>
    <n v="17.827200000000001"/>
    <n v="129.24720000000002"/>
    <n v="2.2284000000000002"/>
    <n v="0"/>
    <n v="2.2284000000000002"/>
    <m/>
    <n v="109.19160000000002"/>
    <m/>
    <m/>
    <n v="0"/>
    <m/>
    <m/>
    <n v="0"/>
    <m/>
    <n v="129.24720000000002"/>
    <n v="129.24720000000002"/>
    <n v="0"/>
    <s v="SFA"/>
    <d v="2022-04-25T00:00:00"/>
    <m/>
    <s v="RENEWED"/>
    <s v="MOTOR TPL"/>
    <m/>
    <m/>
    <m/>
  </r>
  <r>
    <x v="4"/>
    <s v="Yes"/>
    <d v="2022-09-07T00:00:00"/>
    <d v="2022-08-25T00:00:00"/>
    <d v="2022-03-09T00:00:00"/>
    <d v="2022-05-08T00:00:00"/>
    <s v="000-170/AIB RDC/2022"/>
    <n v="0"/>
    <s v="SOUSCRIPTION"/>
    <s v="12002-33002-0022-111-00016910-2022"/>
    <s v="BARAKA MINING / Bolloré"/>
    <m/>
    <s v="SYNTYCHE"/>
    <s v="Victor"/>
    <s v="MARINE CARGO / GIT"/>
    <s v="MARINE"/>
    <x v="6"/>
    <s v="SFA"/>
    <n v="100000"/>
    <n v="350.05"/>
    <m/>
    <m/>
    <m/>
    <n v="293.04000000000002"/>
    <m/>
    <n v="3.5005000000000001E-3"/>
    <n v="0.15"/>
    <n v="43.956000000000003"/>
    <n v="0"/>
    <n v="0"/>
    <n v="43.956000000000003"/>
    <n v="7.032960000000001"/>
    <n v="50.988960000000006"/>
    <n v="0.87912000000000012"/>
    <n v="0"/>
    <n v="0.87912000000000012"/>
    <m/>
    <n v="43.076880000000003"/>
    <s v="BOLLORE"/>
    <n v="0.4"/>
    <n v="17.230752000000003"/>
    <n v="17.230752000000003"/>
    <d v="2022-11-02T00:00:00"/>
    <n v="0"/>
    <s v="PT009/AIB RDC/2022"/>
    <n v="50.988960000000006"/>
    <n v="50.988960000000006"/>
    <n v="0"/>
    <s v="SFA"/>
    <d v="2022-09-19T00:00:00"/>
    <m/>
    <s v="ONCE OFF"/>
    <s v="MARINE CARGO / GIT"/>
    <m/>
    <m/>
    <m/>
  </r>
  <r>
    <x v="4"/>
    <s v="Yes"/>
    <d v="2022-03-08T00:00:00"/>
    <d v="2022-03-11T00:00:00"/>
    <d v="2022-03-10T00:00:00"/>
    <d v="2023-03-09T00:00:00"/>
    <s v="000-171/AIB RDC/2022"/>
    <n v="0"/>
    <s v="SOUSCRIPTION"/>
    <s v="13001/01/0700/00255/2022"/>
    <s v="MAFRICOM"/>
    <s v="FOOD MANIFACTURERS"/>
    <s v="RAMSY"/>
    <s v="Apphia"/>
    <s v="MOTOR TPL"/>
    <s v="MOTOR TPL"/>
    <x v="1"/>
    <s v="MAYFAIR"/>
    <n v="1000000"/>
    <n v="14130.5"/>
    <m/>
    <m/>
    <n v="610"/>
    <n v="11365"/>
    <n v="1916"/>
    <n v="1.4130500000000001E-2"/>
    <n v="0.1"/>
    <n v="1136.5"/>
    <n v="0"/>
    <n v="0"/>
    <n v="1136.5"/>
    <n v="181.84"/>
    <n v="1318.34"/>
    <n v="22.73"/>
    <n v="0"/>
    <n v="22.73"/>
    <m/>
    <n v="1113.77"/>
    <m/>
    <m/>
    <n v="0"/>
    <m/>
    <m/>
    <n v="0"/>
    <m/>
    <n v="1318.34"/>
    <n v="1318.34"/>
    <n v="0"/>
    <s v="MAYFAIR"/>
    <d v="2022-05-18T00:00:00"/>
    <m/>
    <s v="RENEWED"/>
    <s v="MOTOR TPL"/>
    <m/>
    <m/>
    <m/>
  </r>
  <r>
    <x v="4"/>
    <s v="Yes"/>
    <d v="2022-03-09T00:00:00"/>
    <d v="2022-03-11T00:00:00"/>
    <d v="2022-03-10T00:00:00"/>
    <d v="2023-03-09T00:00:00"/>
    <s v="000-172/AIB RDC/2022"/>
    <n v="0"/>
    <s v="SOUSCRIPTION"/>
    <s v="13001/01/0700/00256/2022"/>
    <s v="NUTRI AFRICA"/>
    <s v="FOOD MANIFACTURERS"/>
    <s v="RAMSY"/>
    <s v="Apphia"/>
    <s v="MOTOR TPL"/>
    <s v="MOTOR TPL"/>
    <x v="1"/>
    <s v="MAYFAIR"/>
    <n v="1000000"/>
    <n v="4409.66"/>
    <m/>
    <m/>
    <n v="280"/>
    <n v="3457"/>
    <n v="597.91999999999996"/>
    <n v="4.4096600000000001E-3"/>
    <n v="0.1"/>
    <n v="345.70000000000005"/>
    <n v="0"/>
    <n v="0"/>
    <n v="345.70000000000005"/>
    <n v="55.312000000000012"/>
    <n v="401.01200000000006"/>
    <n v="6.9140000000000015"/>
    <n v="0"/>
    <n v="6.9140000000000015"/>
    <m/>
    <n v="338.78600000000006"/>
    <m/>
    <m/>
    <n v="0"/>
    <m/>
    <m/>
    <n v="0"/>
    <m/>
    <n v="401.01200000000006"/>
    <n v="401.01200000000006"/>
    <n v="0"/>
    <s v="MAYFAIR"/>
    <d v="2022-05-18T00:00:00"/>
    <m/>
    <s v="RENEWED"/>
    <s v="MOTOR TPL"/>
    <m/>
    <m/>
    <m/>
  </r>
  <r>
    <x v="4"/>
    <s v="Yes"/>
    <d v="2022-03-02T00:00:00"/>
    <d v="2022-03-31T00:00:00"/>
    <d v="2022-03-29T00:00:00"/>
    <d v="2023-03-28T00:00:00"/>
    <s v="000-173/AIB RDC/2022"/>
    <n v="0"/>
    <s v="SOUSCRIPTION"/>
    <s v="12002-33002-0002-112-00016105-2022"/>
    <s v="GYM &amp; TONIC"/>
    <s v="SPORT"/>
    <s v="RAMSY"/>
    <s v="Apphia"/>
    <s v="FIRE"/>
    <s v="PROPERTIES"/>
    <x v="6"/>
    <s v="SFA"/>
    <n v="75000"/>
    <n v="403.95"/>
    <m/>
    <m/>
    <n v="11.64"/>
    <n v="330.7"/>
    <n v="54.77"/>
    <n v="5.3860000000000002E-3"/>
    <n v="0.1"/>
    <n v="33.07"/>
    <n v="0"/>
    <n v="0"/>
    <n v="33.07"/>
    <n v="5.2911999999999999"/>
    <n v="38.361199999999997"/>
    <n v="0.66139999999999999"/>
    <n v="0"/>
    <n v="0.66139999999999999"/>
    <m/>
    <n v="32.4086"/>
    <m/>
    <m/>
    <n v="0"/>
    <m/>
    <m/>
    <n v="0"/>
    <m/>
    <n v="38.361199999999997"/>
    <n v="38.361199999999997"/>
    <n v="0"/>
    <s v="SFA"/>
    <d v="2022-04-25T00:00:00"/>
    <m/>
    <s v="RENEWED"/>
    <s v="FIRE"/>
    <m/>
    <m/>
    <m/>
  </r>
  <r>
    <x v="3"/>
    <s v="Yes"/>
    <d v="2022-07-08T00:00:00"/>
    <d v="2022-05-10T00:00:00"/>
    <d v="2022-02-10T00:00:00"/>
    <d v="2023-02-09T00:00:00"/>
    <s v="000-174/AIB RDC/2022"/>
    <n v="0"/>
    <s v="SOUSCRIPTION"/>
    <s v="12003-33002-0012-108-00000017-2022 / 75600003"/>
    <s v="MALU AVIATION"/>
    <s v="Aviation"/>
    <s v="SYNTYCHE"/>
    <s v="Michée"/>
    <s v="AVIATION HULL ALL RISK"/>
    <s v="PROPERTIES"/>
    <x v="4"/>
    <s v="JWS"/>
    <n v="0"/>
    <n v="136998"/>
    <n v="17400"/>
    <m/>
    <n v="100"/>
    <n v="98600"/>
    <n v="18576"/>
    <e v="#DIV/0!"/>
    <n v="0"/>
    <n v="0"/>
    <n v="5220"/>
    <n v="9999.9999999999654"/>
    <n v="15219.999999999965"/>
    <n v="2435.1999999999944"/>
    <n v="17655.199999999961"/>
    <n v="304.3999999999993"/>
    <n v="0"/>
    <n v="304.3999999999993"/>
    <m/>
    <n v="14915.599999999966"/>
    <m/>
    <m/>
    <n v="0"/>
    <m/>
    <m/>
    <n v="0"/>
    <m/>
    <n v="17655.199999999961"/>
    <n v="17655.199999999961"/>
    <n v="0"/>
    <s v="RAWSUR"/>
    <d v="2022-12-06T00:00:00"/>
    <m/>
    <s v="CANCELLED"/>
    <s v="AVIATION HULL ALL RISK"/>
    <m/>
    <m/>
    <m/>
  </r>
  <r>
    <x v="4"/>
    <s v="Yes"/>
    <d v="2022-03-02T00:00:00"/>
    <d v="2022-03-18T00:00:00"/>
    <d v="2022-03-11T00:00:00"/>
    <d v="2022-04-09T00:00:00"/>
    <s v="000-175/AIB RDC/2022"/>
    <n v="0"/>
    <s v="SOUSCRIPTION"/>
    <s v="12002-33002-0022-111-00015983-2022"/>
    <s v="PANACO / Bolloré"/>
    <m/>
    <s v="SYNTYCHE"/>
    <s v="Victor"/>
    <s v="MARINE CARGO / GIT"/>
    <s v="MARINE"/>
    <x v="6"/>
    <s v="SFA"/>
    <n v="108868.01"/>
    <n v="408.98"/>
    <n v="0"/>
    <m/>
    <n v="20"/>
    <n v="326.60000000000002"/>
    <n v="55.45"/>
    <n v="3.7566590957251816E-3"/>
    <n v="0.15"/>
    <n v="48.99"/>
    <n v="0"/>
    <n v="0"/>
    <n v="48.99"/>
    <n v="7.8384000000000009"/>
    <n v="56.828400000000002"/>
    <n v="0.97980000000000012"/>
    <n v="0"/>
    <n v="0.97980000000000012"/>
    <m/>
    <n v="48.010200000000005"/>
    <s v="BOLLORE"/>
    <n v="0.4"/>
    <n v="19.204080000000005"/>
    <n v="19.204080000000005"/>
    <d v="2022-09-30T00:00:00"/>
    <n v="0"/>
    <s v="PT008/AIB RDC/2022"/>
    <n v="56.828400000000002"/>
    <n v="56.828400000000002"/>
    <n v="0"/>
    <s v="SFA"/>
    <d v="2022-04-25T00:00:00"/>
    <m/>
    <s v="ONCE OFF"/>
    <s v="MARINE CARGO / GIT"/>
    <m/>
    <m/>
    <m/>
  </r>
  <r>
    <x v="4"/>
    <s v="Yes"/>
    <d v="2022-03-02T00:00:00"/>
    <d v="2022-03-11T00:00:00"/>
    <d v="2022-03-11T00:00:00"/>
    <d v="2022-03-25T00:00:00"/>
    <s v="000-176/AIB RDC/2022"/>
    <n v="3"/>
    <s v="INCORPORATION"/>
    <s v="01-TRA-2021-000025"/>
    <s v="Teichmann Group / Kongo River"/>
    <s v="MINING"/>
    <s v="ANDY"/>
    <s v="Andy"/>
    <s v="COMP MOTOR"/>
    <s v="MOTOR COMP"/>
    <x v="6"/>
    <s v="SFA"/>
    <n v="0"/>
    <n v="468.52"/>
    <n v="0"/>
    <m/>
    <n v="5.86"/>
    <n v="391.19"/>
    <n v="63.52"/>
    <e v="#DIV/0!"/>
    <n v="0.15"/>
    <n v="58.6785"/>
    <n v="0"/>
    <n v="0"/>
    <n v="58.6785"/>
    <n v="9.38856"/>
    <n v="68.067059999999998"/>
    <n v="1.17357"/>
    <n v="0"/>
    <n v="1.17357"/>
    <m/>
    <n v="57.504930000000002"/>
    <m/>
    <m/>
    <n v="0"/>
    <m/>
    <m/>
    <n v="0"/>
    <m/>
    <n v="68.067059999999998"/>
    <n v="68.067059999999998"/>
    <n v="0"/>
    <s v="SFA"/>
    <d v="2022-04-25T00:00:00"/>
    <m/>
    <s v="RENEWED"/>
    <s v="COMP MOTOR"/>
    <m/>
    <m/>
    <m/>
  </r>
  <r>
    <x v="4"/>
    <s v="Yes"/>
    <d v="2022-03-02T00:00:00"/>
    <d v="2022-03-31T00:00:00"/>
    <d v="2022-03-29T00:00:00"/>
    <d v="2023-03-28T00:00:00"/>
    <s v="000-177/AIB RDC/2022"/>
    <n v="0"/>
    <s v="SOUSCRIPTION"/>
    <s v="12002-33002-0002-112-00016115-2022"/>
    <s v="GYM &amp; TONIC"/>
    <s v="SPORT"/>
    <s v="RAMSY"/>
    <s v="Apphia"/>
    <s v="PUBLIC LIABILITY"/>
    <s v="LIABILITIES"/>
    <x v="6"/>
    <s v="SFA"/>
    <n v="75000"/>
    <n v="613.6"/>
    <m/>
    <m/>
    <n v="20"/>
    <n v="500"/>
    <n v="83.2"/>
    <n v="8.1813333333333339E-3"/>
    <n v="0.15"/>
    <n v="75"/>
    <n v="0"/>
    <n v="0"/>
    <n v="75"/>
    <n v="12"/>
    <n v="87"/>
    <n v="1.5"/>
    <n v="0"/>
    <n v="1.5"/>
    <m/>
    <n v="73.5"/>
    <m/>
    <m/>
    <n v="0"/>
    <m/>
    <m/>
    <n v="0"/>
    <m/>
    <n v="87"/>
    <n v="87"/>
    <n v="0"/>
    <s v="SFA"/>
    <d v="2022-04-25T00:00:00"/>
    <m/>
    <s v="RENEWED"/>
    <s v="PUBLIC LIABILITY"/>
    <m/>
    <m/>
    <m/>
  </r>
  <r>
    <x v="8"/>
    <s v="Yes"/>
    <d v="2022-03-03T00:00:00"/>
    <d v="2022-04-19T00:00:00"/>
    <d v="2022-04-15T00:00:00"/>
    <d v="2022-04-17T00:00:00"/>
    <s v="000-178/AIB RDC/2022"/>
    <n v="0"/>
    <s v="SOUSCRIPTION"/>
    <s v="00016175"/>
    <s v="SACIM / Bolloré"/>
    <m/>
    <s v="SYNTYCHE"/>
    <s v="Victor"/>
    <s v="MARINE CARGO / GIT"/>
    <s v="MARINE"/>
    <x v="6"/>
    <s v="SFA"/>
    <n v="36442.980000000003"/>
    <n v="95.83"/>
    <m/>
    <m/>
    <n v="20"/>
    <n v="61.22"/>
    <n v="13"/>
    <n v="2.6295873718340263E-3"/>
    <n v="0.15"/>
    <n v="9.1829999999999998"/>
    <n v="0"/>
    <n v="0"/>
    <n v="9.1829999999999998"/>
    <n v="1.4692799999999999"/>
    <n v="10.652279999999999"/>
    <n v="0.18365999999999999"/>
    <n v="0"/>
    <n v="0.18365999999999999"/>
    <m/>
    <n v="8.9993400000000001"/>
    <s v="BOLLORE"/>
    <n v="0.4"/>
    <n v="3.599736"/>
    <n v="3.599736"/>
    <d v="2022-09-30T00:00:00"/>
    <n v="0"/>
    <s v="PT008/AIB RDC/2022"/>
    <n v="10.652279999999999"/>
    <n v="10.652279999999999"/>
    <n v="0"/>
    <s v="SFA"/>
    <d v="2022-05-18T00:00:00"/>
    <m/>
    <s v="ONCE OFF"/>
    <s v="MARINE CARGO / GIT"/>
    <m/>
    <m/>
    <m/>
  </r>
  <r>
    <x v="4"/>
    <s v="Yes"/>
    <d v="2022-09-07T00:00:00"/>
    <d v="2022-08-15T00:00:00"/>
    <d v="2022-03-17T00:00:00"/>
    <d v="2022-05-16T00:00:00"/>
    <s v="000-179/AIB RDC/2022"/>
    <n v="0"/>
    <s v="SOUSCRIPTION"/>
    <s v="00016838"/>
    <s v="INVEST CONGO / Bolloré"/>
    <m/>
    <s v="SYNTYCHE"/>
    <s v="Victor"/>
    <s v="MARINE CARGO / GIT"/>
    <s v="MARINE"/>
    <x v="6"/>
    <s v="SFA"/>
    <n v="271993.39"/>
    <n v="1146.93"/>
    <m/>
    <m/>
    <n v="20"/>
    <n v="951.99"/>
    <n v="155.52000000000001"/>
    <n v="4.2167568851581285E-3"/>
    <n v="0.15"/>
    <n v="142.79849999999999"/>
    <n v="0"/>
    <n v="0"/>
    <n v="142.79849999999999"/>
    <n v="22.847759999999997"/>
    <n v="165.64625999999998"/>
    <n v="2.8559699999999997"/>
    <n v="0"/>
    <n v="2.8559699999999997"/>
    <m/>
    <n v="139.94252999999998"/>
    <s v="BOLLORE"/>
    <n v="0.4"/>
    <n v="55.977011999999995"/>
    <n v="55.977011999999995"/>
    <d v="2022-11-02T00:00:00"/>
    <n v="0"/>
    <s v="PT009/AIB RDC/2022"/>
    <n v="165.64625999999998"/>
    <n v="165.64625999999998"/>
    <n v="0"/>
    <s v="SFA"/>
    <d v="2022-09-19T00:00:00"/>
    <m/>
    <s v="ONCE OFF"/>
    <s v="MARINE CARGO / GIT"/>
    <m/>
    <m/>
    <m/>
  </r>
  <r>
    <x v="8"/>
    <s v="Yes"/>
    <d v="2022-03-03T00:00:00"/>
    <d v="2022-04-15T00:00:00"/>
    <d v="2022-04-15T00:00:00"/>
    <d v="2023-02-04T00:00:00"/>
    <s v="000-180/AIB RDC/2022"/>
    <n v="1"/>
    <s v="INCORPORATION"/>
    <s v="01-TRA-2022-000008"/>
    <s v="Group Optorg / Katanga Motors"/>
    <s v="Distribution"/>
    <s v="ANDY"/>
    <s v="Andy"/>
    <s v="COMP MOTOR"/>
    <s v="MOTOR COMP"/>
    <x v="6"/>
    <s v="SFA"/>
    <n v="0"/>
    <n v="688.15"/>
    <n v="0"/>
    <m/>
    <n v="8.6199999999999992"/>
    <n v="574.55999999999995"/>
    <n v="93.3"/>
    <e v="#DIV/0!"/>
    <n v="0.15"/>
    <n v="86.183999999999983"/>
    <n v="0"/>
    <n v="0"/>
    <n v="86.183999999999983"/>
    <n v="13.789439999999997"/>
    <n v="99.973439999999982"/>
    <n v="1.7236799999999997"/>
    <n v="0"/>
    <n v="1.7236799999999997"/>
    <m/>
    <n v="84.460319999999982"/>
    <s v="OLEA"/>
    <n v="0.35"/>
    <n v="29.561111999999991"/>
    <m/>
    <m/>
    <n v="29.561111999999991"/>
    <m/>
    <n v="99.973439999999982"/>
    <n v="99.973439999999982"/>
    <n v="0"/>
    <s v="SFA"/>
    <d v="2022-05-18T00:00:00"/>
    <m/>
    <s v="RENEWED"/>
    <s v="COMP MOTOR"/>
    <m/>
    <m/>
    <m/>
  </r>
  <r>
    <x v="4"/>
    <s v="Yes"/>
    <d v="2022-03-03T00:00:00"/>
    <d v="2022-03-24T00:00:00"/>
    <d v="2022-03-15T00:00:00"/>
    <d v="2023-03-14T00:00:00"/>
    <s v="000-181/AIB RDC/2022"/>
    <n v="0"/>
    <s v="SOUSCRIPTION"/>
    <s v="12002-33002-0002-112-00016073-2022"/>
    <s v="GSA"/>
    <s v="SECURITY"/>
    <s v="SYNTYCHE"/>
    <s v="Michée"/>
    <s v="FIRE"/>
    <s v="PROPERTIES"/>
    <x v="6"/>
    <s v="SFA"/>
    <n v="0"/>
    <n v="2999.98"/>
    <n v="0"/>
    <n v="0"/>
    <n v="22.59"/>
    <n v="2519.7800000000002"/>
    <n v="406.77"/>
    <e v="#DIV/0!"/>
    <n v="0.1"/>
    <n v="251.97800000000004"/>
    <n v="0"/>
    <n v="0"/>
    <n v="251.97800000000004"/>
    <n v="40.316480000000006"/>
    <n v="292.29448000000002"/>
    <n v="5.0395600000000007"/>
    <n v="0"/>
    <n v="5.0395600000000007"/>
    <m/>
    <n v="246.93844000000004"/>
    <m/>
    <m/>
    <n v="0"/>
    <m/>
    <m/>
    <n v="0"/>
    <m/>
    <n v="292.29448000000002"/>
    <n v="292.29448000000002"/>
    <n v="0"/>
    <s v="SFA"/>
    <d v="2022-04-25T00:00:00"/>
    <m/>
    <s v="RENEWING..."/>
    <s v="FIRE"/>
    <m/>
    <m/>
    <m/>
  </r>
  <r>
    <x v="4"/>
    <s v="Yes"/>
    <d v="2022-03-09T00:00:00"/>
    <d v="2022-03-18T00:00:00"/>
    <d v="2022-03-16T00:00:00"/>
    <d v="2023-03-15T00:00:00"/>
    <s v="000-182/AIB RDC/2022"/>
    <n v="0"/>
    <s v="SOUSCRIPTION"/>
    <s v="12001-33002-0001-103-00002051-2022"/>
    <s v="FERONIA - PLANTATIONS ET HUILERIES DU CONGO ( PHC)"/>
    <s v="SERVICE"/>
    <s v="RAMSY"/>
    <s v="Hermine"/>
    <s v="COMP MOTOR"/>
    <s v="MOTOR COMP"/>
    <x v="0"/>
    <s v="ACTIVA"/>
    <n v="729200"/>
    <n v="34608.89"/>
    <n v="0"/>
    <m/>
    <n v="342.66"/>
    <n v="34262.230000000003"/>
    <n v="0"/>
    <n v="4.7461450905101482E-2"/>
    <n v="0.1469"/>
    <n v="5033.1215870000005"/>
    <n v="0"/>
    <n v="0"/>
    <n v="5033.1215870000005"/>
    <n v="805.29945392000013"/>
    <n v="5838.4210409200005"/>
    <n v="100.66243174000002"/>
    <n v="0"/>
    <n v="100.66243174000002"/>
    <m/>
    <n v="4932.4591552600004"/>
    <m/>
    <m/>
    <n v="0"/>
    <m/>
    <m/>
    <n v="0"/>
    <m/>
    <n v="5838.4210409200005"/>
    <n v="5838.4210409200005"/>
    <n v="0"/>
    <s v="ACTIVA"/>
    <d v="2022-05-18T00:00:00"/>
    <m/>
    <s v="RENEWED"/>
    <s v="COMP MOTOR"/>
    <m/>
    <m/>
    <m/>
  </r>
  <r>
    <x v="4"/>
    <s v="Yes"/>
    <d v="2022-03-03T00:00:00"/>
    <d v="2022-04-05T00:00:00"/>
    <d v="2022-03-17T00:00:00"/>
    <d v="2023-03-16T00:00:00"/>
    <s v="000-183/AIB RDC/2022"/>
    <n v="0"/>
    <s v="SOUSCRIPTION"/>
    <s v="00016130"/>
    <s v="NUTRI AFRICA"/>
    <s v="FOOD MANIFACTURERS"/>
    <s v="RAMSY"/>
    <s v="Apphia"/>
    <s v="FIRE"/>
    <s v="PROPERTIES"/>
    <x v="6"/>
    <s v="SFA"/>
    <n v="2738800"/>
    <n v="4090.82"/>
    <m/>
    <m/>
    <n v="41.8"/>
    <n v="3424.98"/>
    <n v="554.67999999999995"/>
    <n v="1.4936541551044253E-3"/>
    <n v="0.1"/>
    <n v="342.49800000000005"/>
    <n v="0"/>
    <n v="0"/>
    <n v="342.49800000000005"/>
    <n v="54.799680000000009"/>
    <n v="397.29768000000007"/>
    <n v="6.8499600000000012"/>
    <n v="0"/>
    <n v="6.8499600000000012"/>
    <m/>
    <n v="335.64804000000004"/>
    <m/>
    <m/>
    <n v="0"/>
    <m/>
    <m/>
    <n v="0"/>
    <m/>
    <n v="397.29768000000007"/>
    <n v="397.29768000000007"/>
    <n v="0"/>
    <s v="SFA"/>
    <d v="2022-05-18T00:00:00"/>
    <m/>
    <s v="RENEWED"/>
    <s v="FIRE"/>
    <m/>
    <m/>
    <m/>
  </r>
  <r>
    <x v="4"/>
    <s v="Yes"/>
    <d v="2022-03-05T00:00:00"/>
    <d v="2022-04-05T00:00:00"/>
    <d v="2022-03-17T00:00:00"/>
    <d v="2023-03-16T00:00:00"/>
    <s v="000-184/AIB RDC/2022"/>
    <n v="0"/>
    <s v="SOUSCRIPTION"/>
    <s v="00016128"/>
    <s v="MAFRICOM"/>
    <s v="FOOD MANIFACTURERS"/>
    <s v="RAMSY"/>
    <s v="Apphia"/>
    <s v="FIRE"/>
    <s v="PROPERTIES"/>
    <x v="6"/>
    <s v="SFA"/>
    <n v="9998625"/>
    <n v="14809.12"/>
    <m/>
    <m/>
    <n v="191.74"/>
    <n v="12358.37"/>
    <n v="2008.02"/>
    <n v="1.4811156534023429E-3"/>
    <n v="0.1"/>
    <n v="1235.8370000000002"/>
    <n v="0"/>
    <n v="0"/>
    <n v="1235.8370000000002"/>
    <n v="197.73392000000004"/>
    <n v="1433.5709200000003"/>
    <n v="24.716740000000005"/>
    <n v="0"/>
    <n v="24.716740000000005"/>
    <m/>
    <n v="1211.1202600000001"/>
    <m/>
    <m/>
    <n v="0"/>
    <m/>
    <m/>
    <n v="0"/>
    <m/>
    <n v="1433.5709200000003"/>
    <n v="1433.5709200000003"/>
    <n v="0"/>
    <s v="SFA"/>
    <d v="2022-05-18T00:00:00"/>
    <m/>
    <s v="RENEWED"/>
    <s v="FIRE"/>
    <m/>
    <m/>
    <m/>
  </r>
  <r>
    <x v="4"/>
    <s v="Yes"/>
    <d v="2022-03-05T00:00:00"/>
    <d v="2022-04-05T00:00:00"/>
    <d v="2022-03-17T00:00:00"/>
    <d v="2023-03-16T00:00:00"/>
    <s v="000-185/AIB RDC/2022"/>
    <n v="0"/>
    <s v="SOUSCRIPTION"/>
    <s v="00016129"/>
    <s v="HOPITAL OASIS"/>
    <s v="HOSPITAL"/>
    <s v="RAMSY"/>
    <s v="Apphia"/>
    <s v="FIRE"/>
    <s v="PROPERTIES"/>
    <x v="6"/>
    <s v="SFA"/>
    <n v="1100000"/>
    <n v="2333.25"/>
    <m/>
    <m/>
    <n v="19.78"/>
    <n v="1957.56"/>
    <n v="316.37"/>
    <n v="2.1211363636363637E-3"/>
    <n v="0.1"/>
    <n v="195.756"/>
    <n v="0"/>
    <n v="0"/>
    <n v="195.756"/>
    <n v="31.320959999999999"/>
    <n v="227.07695999999999"/>
    <n v="3.9151199999999999"/>
    <n v="0"/>
    <n v="3.9151199999999999"/>
    <m/>
    <n v="191.84088"/>
    <m/>
    <m/>
    <n v="0"/>
    <m/>
    <m/>
    <n v="0"/>
    <m/>
    <n v="227.07695999999999"/>
    <n v="227.07695999999999"/>
    <n v="0"/>
    <s v="SFA"/>
    <d v="2022-05-18T00:00:00"/>
    <m/>
    <s v="RENEWED"/>
    <s v="FIRE"/>
    <m/>
    <m/>
    <m/>
  </r>
  <r>
    <x v="4"/>
    <s v="Yes"/>
    <d v="2022-03-05T00:00:00"/>
    <d v="2022-04-05T00:00:00"/>
    <d v="2022-03-17T00:00:00"/>
    <d v="2023-03-16T00:00:00"/>
    <s v="000-186/AIB RDC/2022"/>
    <n v="0"/>
    <s v="SOUSCRIPTION"/>
    <s v="12002-33002-0002-112-00016127-2022"/>
    <s v="MAFRICOM"/>
    <s v="FOOD MANIFACTURERS"/>
    <s v="RAMSY"/>
    <s v="Apphia"/>
    <s v="FIRE"/>
    <s v="PROPERTIES"/>
    <x v="6"/>
    <s v="SFA"/>
    <n v="350000"/>
    <n v="493.25"/>
    <m/>
    <m/>
    <n v="20"/>
    <n v="398.01"/>
    <n v="66.88"/>
    <n v="1.4092857142857143E-3"/>
    <n v="0.2"/>
    <n v="79.602000000000004"/>
    <n v="0"/>
    <n v="0"/>
    <n v="79.602000000000004"/>
    <n v="12.736320000000001"/>
    <n v="92.33832000000001"/>
    <n v="1.5920400000000001"/>
    <n v="0"/>
    <n v="1.5920400000000001"/>
    <m/>
    <n v="78.009960000000007"/>
    <m/>
    <m/>
    <n v="0"/>
    <m/>
    <m/>
    <n v="0"/>
    <m/>
    <n v="92.33832000000001"/>
    <n v="92.33832000000001"/>
    <n v="0"/>
    <s v="SFA"/>
    <d v="2022-05-18T00:00:00"/>
    <m/>
    <s v="RENEWED"/>
    <s v="FIRE"/>
    <m/>
    <m/>
    <m/>
  </r>
  <r>
    <x v="4"/>
    <s v="Yes"/>
    <d v="2022-03-05T00:00:00"/>
    <d v="2022-04-13T00:00:00"/>
    <d v="2022-03-17T00:00:00"/>
    <d v="2023-03-16T00:00:00"/>
    <s v="000-187/AIB RDC/2022"/>
    <n v="0"/>
    <s v="SOUSCRIPTION"/>
    <s v="00016126"/>
    <s v="MAFRICOM"/>
    <s v="FOOD MANIFACTURERS"/>
    <s v="RAMSY"/>
    <s v="Apphia"/>
    <s v="PVT"/>
    <s v="POLITICAL VIOLENCE"/>
    <x v="6"/>
    <s v="SFA"/>
    <n v="9998625"/>
    <n v="20525.16"/>
    <n v="1817.7"/>
    <m/>
    <n v="87.4"/>
    <n v="15489.11"/>
    <n v="2783.07"/>
    <n v="2.0527982597607171E-3"/>
    <n v="0.15"/>
    <n v="2323.3665000000001"/>
    <n v="0"/>
    <n v="0"/>
    <n v="2323.3665000000001"/>
    <n v="371.73864000000003"/>
    <n v="2695.1051400000001"/>
    <n v="46.467330000000004"/>
    <n v="0"/>
    <n v="46.467330000000004"/>
    <m/>
    <n v="2276.8991700000001"/>
    <m/>
    <m/>
    <n v="0"/>
    <m/>
    <m/>
    <n v="0"/>
    <m/>
    <n v="2695.1051400000001"/>
    <n v="2695.1051400000001"/>
    <n v="0"/>
    <s v="SFA"/>
    <d v="2022-05-18T00:00:00"/>
    <m/>
    <s v="RENEWED"/>
    <s v="PVT"/>
    <m/>
    <m/>
    <m/>
  </r>
  <r>
    <x v="4"/>
    <s v="Yes"/>
    <d v="2022-03-05T00:00:00"/>
    <d v="2022-04-05T00:00:00"/>
    <d v="2022-03-17T00:00:00"/>
    <d v="2023-03-16T00:00:00"/>
    <s v="000-188/AIB RDC/2022"/>
    <n v="0"/>
    <s v="SOUSCRIPTION"/>
    <s v="00016125"/>
    <s v="NUTRI AFRICA"/>
    <s v="FOOD MANIFACTURERS"/>
    <s v="RAMSY"/>
    <s v="Apphia"/>
    <s v="PVT"/>
    <s v="POLITICAL VIOLENCE"/>
    <x v="6"/>
    <s v="SFA"/>
    <n v="2738800"/>
    <n v="6668.72"/>
    <n v="842.64"/>
    <m/>
    <n v="33.869999999999997"/>
    <n v="4774.96"/>
    <n v="904.23"/>
    <n v="2.4349057981597781E-3"/>
    <n v="0.15"/>
    <n v="716.24400000000003"/>
    <n v="0"/>
    <n v="0"/>
    <n v="716.24400000000003"/>
    <n v="114.59904"/>
    <n v="830.84303999999997"/>
    <n v="14.32488"/>
    <n v="0"/>
    <n v="14.32488"/>
    <m/>
    <n v="701.91912000000002"/>
    <m/>
    <m/>
    <n v="0"/>
    <m/>
    <m/>
    <n v="0"/>
    <m/>
    <n v="830.84303999999997"/>
    <n v="830.84303999999997"/>
    <n v="0"/>
    <s v="SFA"/>
    <d v="2022-05-18T00:00:00"/>
    <m/>
    <s v="RENEWED"/>
    <s v="PVT"/>
    <m/>
    <m/>
    <m/>
  </r>
  <r>
    <x v="4"/>
    <s v="Yes"/>
    <d v="2022-03-05T00:00:00"/>
    <d v="2022-04-05T00:00:00"/>
    <d v="2022-03-17T00:00:00"/>
    <d v="2023-03-16T00:00:00"/>
    <s v="000-189/AIB RDC/2022"/>
    <n v="0"/>
    <s v="SOUSCRIPTION"/>
    <s v="00016124"/>
    <s v="NUTRI AFRICA"/>
    <s v="FOOD MANIFACTURERS"/>
    <s v="RAMSY"/>
    <s v="Apphia"/>
    <s v="MARINE CARGO / GIT"/>
    <s v="MARINE"/>
    <x v="6"/>
    <s v="SFA"/>
    <n v="260000"/>
    <n v="700.66"/>
    <m/>
    <m/>
    <n v="8.7799999999999994"/>
    <n v="585.01"/>
    <n v="95.01"/>
    <n v="2.6948461538461536E-3"/>
    <n v="0.15"/>
    <n v="87.751499999999993"/>
    <n v="0"/>
    <n v="0"/>
    <n v="87.751499999999993"/>
    <n v="14.040239999999999"/>
    <n v="101.79173999999999"/>
    <n v="1.7550299999999999"/>
    <n v="0"/>
    <n v="1.7550299999999999"/>
    <m/>
    <n v="85.996469999999988"/>
    <m/>
    <m/>
    <n v="0"/>
    <m/>
    <m/>
    <n v="0"/>
    <m/>
    <n v="101.79173999999999"/>
    <n v="101.79173999999999"/>
    <n v="0"/>
    <s v="SFA"/>
    <d v="2022-05-18T00:00:00"/>
    <m/>
    <s v="RENEWED"/>
    <s v="MARINE CARGO / GIT"/>
    <m/>
    <m/>
    <m/>
  </r>
  <r>
    <x v="4"/>
    <s v="Yes"/>
    <d v="2022-03-07T00:00:00"/>
    <d v="2022-04-01T00:00:00"/>
    <d v="2022-03-17T00:00:00"/>
    <d v="2023-03-16T00:00:00"/>
    <s v="000-190/AIB RDC/2022"/>
    <n v="0"/>
    <s v="SOUSCRIPTION"/>
    <s v="00016123"/>
    <s v="MAFRICOM"/>
    <s v="FOOD MANIFACTURERS"/>
    <s v="RAMSY"/>
    <s v="Apphia"/>
    <s v="MARINE CARGO / GIT"/>
    <s v="MARINE"/>
    <x v="6"/>
    <s v="SFA"/>
    <n v="7740000"/>
    <n v="20858.3"/>
    <m/>
    <m/>
    <n v="261.23"/>
    <n v="17415.29"/>
    <n v="2828.24"/>
    <n v="2.6948708010335917E-3"/>
    <n v="0.15"/>
    <n v="2612.2935000000002"/>
    <n v="0"/>
    <n v="0"/>
    <n v="2612.2935000000002"/>
    <n v="417.96696000000003"/>
    <n v="3030.2604600000004"/>
    <n v="52.245870000000004"/>
    <n v="0"/>
    <n v="52.245870000000004"/>
    <m/>
    <n v="2560.04763"/>
    <m/>
    <m/>
    <n v="0"/>
    <m/>
    <m/>
    <n v="0"/>
    <m/>
    <n v="3030.2604600000004"/>
    <n v="3030.2604600000004"/>
    <n v="0"/>
    <s v="SFA"/>
    <d v="2022-05-18T00:00:00"/>
    <m/>
    <s v="RENEWED"/>
    <s v="MARINE CARGO / GIT"/>
    <m/>
    <m/>
    <m/>
  </r>
  <r>
    <x v="4"/>
    <s v="Yes"/>
    <d v="2022-03-09T00:00:00"/>
    <d v="2022-03-17T00:00:00"/>
    <d v="2022-03-17T00:00:00"/>
    <d v="2022-04-16T00:00:00"/>
    <s v="000-191/AIB RDC/2022"/>
    <n v="0"/>
    <s v="SOUSCRIPTION"/>
    <s v="12001-33002-0014-111-0000408-2022"/>
    <s v="BOLLORE TRANSPORT &amp; LOGISTICS RDC"/>
    <s v="TRANSPORT"/>
    <s v="SYNTYCHE"/>
    <s v="Grâce"/>
    <s v="MARINE CARGO / GIT"/>
    <s v="MARINE"/>
    <x v="0"/>
    <s v="ACTIVA"/>
    <m/>
    <n v="640.23"/>
    <m/>
    <m/>
    <n v="10"/>
    <n v="541.91999999999996"/>
    <n v="88.31"/>
    <e v="#DIV/0!"/>
    <n v="0.15"/>
    <n v="81.287999999999997"/>
    <n v="0"/>
    <n v="0"/>
    <n v="81.287999999999997"/>
    <n v="13.006079999999999"/>
    <n v="94.294079999999994"/>
    <n v="1.6257599999999999"/>
    <n v="0"/>
    <n v="1.6257599999999999"/>
    <m/>
    <n v="79.662239999999997"/>
    <m/>
    <m/>
    <n v="0"/>
    <m/>
    <m/>
    <n v="0"/>
    <m/>
    <n v="94.294079999999994"/>
    <n v="94.294079999999994"/>
    <n v="0"/>
    <s v="ACTIVA"/>
    <d v="2022-05-18T00:00:00"/>
    <m/>
    <s v="ONCE OFF"/>
    <s v="MARINE CARGO / GIT"/>
    <m/>
    <m/>
    <m/>
  </r>
  <r>
    <x v="4"/>
    <s v="Yes"/>
    <d v="2022-03-18T00:00:00"/>
    <d v="2022-03-21T00:00:00"/>
    <d v="2022-03-22T00:00:00"/>
    <d v="2022-06-21T00:00:00"/>
    <s v="000-192/AIB RDC/2022"/>
    <n v="0"/>
    <s v="SOUSCRIPTION"/>
    <s v="12003-33002-0005-111-00000228-2022 / 70100012"/>
    <s v="PANACO / Bolloré"/>
    <m/>
    <s v="SYNTYCHE"/>
    <s v="Victor"/>
    <s v="MARINE CARGO / GIT"/>
    <s v="MARINE"/>
    <x v="4"/>
    <s v="RAWSUR"/>
    <n v="23385"/>
    <n v="129.80000000000001"/>
    <n v="0"/>
    <m/>
    <m/>
    <n v="100"/>
    <m/>
    <n v="5.5505666025229853E-3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5-20T00:00:00"/>
    <m/>
    <s v="ONCE OFF"/>
    <s v="MARINE CARGO / GIT"/>
    <m/>
    <m/>
    <m/>
  </r>
  <r>
    <x v="4"/>
    <s v="Yes"/>
    <d v="2022-03-07T00:00:00"/>
    <d v="2022-04-01T00:00:00"/>
    <d v="2022-03-18T00:00:00"/>
    <d v="2022-03-20T00:00:00"/>
    <s v="000-193/AIB RDC/2022"/>
    <n v="0"/>
    <s v="SOUSCRIPTION"/>
    <s v="00016121"/>
    <s v="DEZIWA / Bolloré"/>
    <m/>
    <s v="SYNTYCHE"/>
    <s v="Victor"/>
    <s v="MARINE CARGO / GIT"/>
    <s v="MARINE"/>
    <x v="6"/>
    <s v="SFA"/>
    <n v="56435.3"/>
    <n v="135.47999999999999"/>
    <m/>
    <m/>
    <m/>
    <n v="94.82"/>
    <m/>
    <n v="2.4006251406477859E-3"/>
    <n v="0.15"/>
    <n v="14.222999999999999"/>
    <n v="0"/>
    <n v="0"/>
    <n v="14.222999999999999"/>
    <n v="2.2756799999999999"/>
    <n v="16.49868"/>
    <n v="0.28445999999999999"/>
    <n v="0"/>
    <n v="0.28445999999999999"/>
    <m/>
    <n v="13.93854"/>
    <s v="BOLLORE"/>
    <n v="0.4"/>
    <n v="5.5754160000000006"/>
    <n v="5.5754160000000006"/>
    <d v="2022-09-30T00:00:00"/>
    <n v="0"/>
    <s v="PT008/AIB RDC/2022"/>
    <n v="16.49868"/>
    <n v="16.49868"/>
    <n v="0"/>
    <s v="SFA"/>
    <d v="2022-05-18T00:00:00"/>
    <m/>
    <s v="ONCE OFF"/>
    <s v="MARINE CARGO / GIT"/>
    <m/>
    <m/>
    <m/>
  </r>
  <r>
    <x v="4"/>
    <s v="Yes"/>
    <d v="2022-03-07T00:00:00"/>
    <d v="2022-03-22T00:00:00"/>
    <d v="2022-03-22T00:00:00"/>
    <d v="2022-09-06T00:00:00"/>
    <s v="000-194/AIB RDC/2022"/>
    <n v="3"/>
    <s v="INCORPORATION"/>
    <s v="01-TRA-2020-000059"/>
    <s v="Sandvik Mining &amp; Construction Sarl"/>
    <s v="MINING"/>
    <s v="ANDY"/>
    <s v="Andy"/>
    <s v="COMP MOTOR"/>
    <s v="MOTOR COMP"/>
    <x v="6"/>
    <s v="SFA"/>
    <n v="0"/>
    <n v="393.44"/>
    <n v="0"/>
    <m/>
    <n v="4.92"/>
    <n v="328.44"/>
    <n v="53.33"/>
    <e v="#DIV/0!"/>
    <n v="0.15"/>
    <n v="49.265999999999998"/>
    <n v="0"/>
    <n v="0"/>
    <n v="49.265999999999998"/>
    <n v="7.8825599999999998"/>
    <n v="57.148559999999996"/>
    <n v="0.98531999999999997"/>
    <n v="0"/>
    <n v="0.98531999999999997"/>
    <m/>
    <n v="48.280679999999997"/>
    <s v="AFINBRO"/>
    <n v="0.5"/>
    <n v="24.140339999999998"/>
    <n v="24.140339999999998"/>
    <d v="2022-09-05T00:00:00"/>
    <n v="0"/>
    <s v="PT004/AIB RDC/2022"/>
    <n v="57.148559999999996"/>
    <n v="57.148559999999996"/>
    <n v="0"/>
    <s v="SFA"/>
    <d v="2022-04-25T00:00:00"/>
    <m/>
    <s v="RENEWED"/>
    <s v="COMP MOTOR"/>
    <m/>
    <m/>
    <m/>
  </r>
  <r>
    <x v="4"/>
    <s v="Yes"/>
    <d v="2022-03-09T00:00:00"/>
    <d v="2022-03-24T00:00:00"/>
    <d v="2022-03-22T00:00:00"/>
    <d v="2023-03-21T00:00:00"/>
    <s v="000-195/AIB RDC/2022"/>
    <n v="0"/>
    <s v="SOUSCRIPTION"/>
    <s v="33002-0017-003-0001417-00005"/>
    <s v="MASHAMBA FOODS"/>
    <s v="Distribution"/>
    <s v="ANDY"/>
    <s v="Andy"/>
    <s v="COMP MOTOR"/>
    <s v="MOTOR COMP"/>
    <x v="2"/>
    <s v="SUNU"/>
    <m/>
    <n v="10656.34"/>
    <n v="0"/>
    <n v="0"/>
    <n v="90.96"/>
    <n v="9095.5499999999993"/>
    <n v="1469.84"/>
    <e v="#DIV/0!"/>
    <n v="0.15"/>
    <n v="1364.3324999999998"/>
    <n v="0"/>
    <n v="0"/>
    <n v="1364.3324999999998"/>
    <n v="218.29319999999996"/>
    <n v="1582.6256999999996"/>
    <n v="27.286649999999995"/>
    <n v="0"/>
    <n v="27.286649999999995"/>
    <m/>
    <n v="1337.0458499999997"/>
    <s v="O'NEILS"/>
    <n v="0.5"/>
    <n v="668.52292499999987"/>
    <n v="668.52"/>
    <d v="2023-10-20T00:00:00"/>
    <n v="2.9249999998910425E-3"/>
    <m/>
    <n v="1582.6256999999996"/>
    <n v="1582.6256999999996"/>
    <n v="0"/>
    <s v="SUNU"/>
    <d v="2022-06-01T00:00:00"/>
    <m/>
    <s v="RENEWED"/>
    <s v="COMP MOTOR"/>
    <m/>
    <m/>
    <m/>
  </r>
  <r>
    <x v="4"/>
    <s v="Yes"/>
    <d v="2022-03-07T00:00:00"/>
    <d v="2022-04-04T00:00:00"/>
    <d v="2022-03-22T00:00:00"/>
    <d v="2022-09-06T00:00:00"/>
    <s v="000-196/AIB RDC/2022"/>
    <n v="4"/>
    <s v="INCORPORATION"/>
    <s v="01-TRA-2020-000059"/>
    <s v="Sandvik Mining &amp; Construction Sarl"/>
    <s v="MINING"/>
    <s v="ANDY"/>
    <s v="Andy"/>
    <s v="COMP MOTOR"/>
    <s v="MOTOR COMP"/>
    <x v="6"/>
    <s v="SFA"/>
    <m/>
    <n v="843.4"/>
    <n v="0"/>
    <m/>
    <n v="10.55"/>
    <n v="704.2"/>
    <n v="114.36"/>
    <e v="#DIV/0!"/>
    <n v="0.15"/>
    <n v="105.63000000000001"/>
    <n v="0"/>
    <n v="0"/>
    <n v="105.63000000000001"/>
    <n v="16.9008"/>
    <n v="122.53080000000001"/>
    <n v="2.1126"/>
    <n v="0"/>
    <n v="2.1126"/>
    <m/>
    <n v="103.51740000000001"/>
    <s v="AFINBRO"/>
    <n v="0.5"/>
    <n v="51.758700000000005"/>
    <n v="51.758700000000005"/>
    <d v="2022-09-05T00:00:00"/>
    <n v="0"/>
    <s v="PT004/AIB RDC/2022"/>
    <n v="122.53080000000001"/>
    <n v="122.53080000000001"/>
    <n v="0"/>
    <s v="SFA"/>
    <d v="2022-05-18T00:00:00"/>
    <m/>
    <s v="RENEWED"/>
    <s v="COMP MOTOR"/>
    <m/>
    <m/>
    <m/>
  </r>
  <r>
    <x v="4"/>
    <s v="Yes"/>
    <d v="2022-03-07T00:00:00"/>
    <d v="2022-03-23T00:00:00"/>
    <d v="2022-03-23T00:00:00"/>
    <d v="2023-03-22T00:00:00"/>
    <s v="000-197/AIB RDC/2022"/>
    <n v="0"/>
    <s v="SOUSCRIPTION"/>
    <s v="00016055"/>
    <s v="AFRICELL RDC Sa"/>
    <s v="TELECOM"/>
    <s v="RAMSY"/>
    <s v="Apphia"/>
    <s v="MOTOR TPL"/>
    <s v="MOTOR TPL"/>
    <x v="6"/>
    <s v="SFA"/>
    <n v="1000000"/>
    <n v="21576.39"/>
    <m/>
    <m/>
    <n v="270.22000000000003"/>
    <n v="18014.849999999999"/>
    <n v="2925.61"/>
    <n v="2.1576390000000001E-2"/>
    <n v="0.1"/>
    <n v="1801.4849999999999"/>
    <n v="0"/>
    <n v="0"/>
    <n v="1801.4849999999999"/>
    <n v="288.23759999999999"/>
    <n v="2089.7226000000001"/>
    <n v="36.029699999999998"/>
    <n v="0"/>
    <n v="36.029699999999998"/>
    <m/>
    <n v="1765.4552999999999"/>
    <s v="Aucun"/>
    <n v="0"/>
    <n v="0"/>
    <m/>
    <m/>
    <n v="0"/>
    <m/>
    <n v="2089.7226000000001"/>
    <n v="2089.7226000000001"/>
    <n v="0"/>
    <s v="SFA"/>
    <d v="2022-04-25T00:00:00"/>
    <m/>
    <s v="RENEWED"/>
    <s v="MOTOR TPL"/>
    <m/>
    <m/>
    <m/>
  </r>
  <r>
    <x v="4"/>
    <s v="Yes"/>
    <d v="2022-03-07T00:00:00"/>
    <d v="2022-03-23T00:00:00"/>
    <d v="2022-03-23T00:00:00"/>
    <d v="2023-03-22T00:00:00"/>
    <s v="000-198/AIB RDC/2022"/>
    <n v="0"/>
    <s v="SOUSCRIPTION"/>
    <s v="00016054"/>
    <s v="AFRI MOBILE MONEY"/>
    <s v="TELECOM"/>
    <s v="RAMSY"/>
    <s v="Apphia"/>
    <s v="MOTOR TPL"/>
    <s v="MOTOR TPL"/>
    <x v="6"/>
    <s v="SFA"/>
    <n v="1000000"/>
    <n v="1322.22"/>
    <m/>
    <m/>
    <n v="16.55"/>
    <n v="1103.97"/>
    <n v="179.28"/>
    <n v="1.32222E-3"/>
    <n v="0.1"/>
    <n v="110.39700000000001"/>
    <n v="0"/>
    <n v="0"/>
    <n v="110.39700000000001"/>
    <n v="17.663520000000002"/>
    <n v="128.06052"/>
    <n v="2.2079400000000002"/>
    <n v="0"/>
    <n v="2.2079400000000002"/>
    <m/>
    <n v="108.18906000000001"/>
    <s v="Aucun"/>
    <n v="0"/>
    <n v="0"/>
    <m/>
    <m/>
    <n v="0"/>
    <m/>
    <n v="128.06052"/>
    <n v="128.06052"/>
    <n v="0"/>
    <s v="SFA"/>
    <d v="2022-04-25T00:00:00"/>
    <m/>
    <s v="RENEWED"/>
    <s v="MOTOR TPL"/>
    <m/>
    <m/>
    <m/>
  </r>
  <r>
    <x v="4"/>
    <s v="Yes"/>
    <d v="2022-03-09T00:00:00"/>
    <d v="2022-03-31T00:00:00"/>
    <d v="2022-03-23T00:00:00"/>
    <d v="2023-03-22T00:00:00"/>
    <s v="000-199/AIB RDC/2022"/>
    <n v="0"/>
    <s v="SOUSCRIPTION"/>
    <s v="33002-0009-112-0001419"/>
    <s v="MASHAMBA FOODS"/>
    <s v="Distribution"/>
    <s v="ANDY"/>
    <s v="Andy"/>
    <s v="FIRE"/>
    <s v="PROPERTIES"/>
    <x v="2"/>
    <s v="SUNU"/>
    <n v="562455"/>
    <n v="1310.07"/>
    <n v="0"/>
    <n v="0"/>
    <n v="11.18"/>
    <n v="1118.19"/>
    <n v="180.7"/>
    <n v="2.3291996693068778E-3"/>
    <n v="0.1"/>
    <n v="111.81900000000002"/>
    <n v="0"/>
    <n v="0"/>
    <n v="111.81900000000002"/>
    <n v="17.891040000000004"/>
    <n v="129.71004000000002"/>
    <n v="2.2363800000000005"/>
    <n v="0"/>
    <n v="2.2363800000000005"/>
    <m/>
    <n v="109.58262000000002"/>
    <s v="O'NEILS"/>
    <n v="0.5"/>
    <n v="54.79131000000001"/>
    <n v="54.79"/>
    <d v="2023-10-20T00:00:00"/>
    <n v="1.3100000000108025E-3"/>
    <m/>
    <n v="129.71004000000002"/>
    <n v="129.71004000000002"/>
    <n v="0"/>
    <s v="SUNU"/>
    <d v="2022-06-01T00:00:00"/>
    <m/>
    <s v="RENEWED"/>
    <s v="FIRE"/>
    <m/>
    <m/>
    <m/>
  </r>
  <r>
    <x v="4"/>
    <s v="Yes"/>
    <d v="2022-03-09T00:00:00"/>
    <d v="2022-03-31T00:00:00"/>
    <d v="2022-03-23T00:00:00"/>
    <d v="2023-03-22T00:00:00"/>
    <s v="000-200/AIB RDC/2022"/>
    <n v="0"/>
    <s v="SOUSCRIPTION"/>
    <s v="33002-0009-113-0001418"/>
    <s v="MASHAMBA FOODS"/>
    <s v="Distribution"/>
    <s v="ANDY"/>
    <s v="Andy"/>
    <s v="GENERAL LIABILITY"/>
    <s v="LIABILITIES"/>
    <x v="2"/>
    <s v="SUNU"/>
    <m/>
    <n v="1288.76"/>
    <n v="0"/>
    <n v="0"/>
    <n v="11"/>
    <n v="1100"/>
    <n v="177.76"/>
    <e v="#DIV/0!"/>
    <n v="0.1"/>
    <n v="110"/>
    <n v="0"/>
    <n v="0"/>
    <n v="110"/>
    <n v="17.600000000000001"/>
    <n v="127.6"/>
    <n v="2.2000000000000002"/>
    <n v="0"/>
    <n v="2.2000000000000002"/>
    <m/>
    <n v="107.8"/>
    <s v="O'NEILS"/>
    <n v="0.5"/>
    <n v="53.9"/>
    <n v="53.9"/>
    <d v="2023-10-20T00:00:00"/>
    <n v="0"/>
    <m/>
    <n v="127.6"/>
    <n v="127.6"/>
    <n v="0"/>
    <s v="SUNU"/>
    <d v="2022-06-01T00:00:00"/>
    <m/>
    <s v="RENEWED"/>
    <s v="GENERAL LIABILITY"/>
    <m/>
    <m/>
    <m/>
  </r>
  <r>
    <x v="4"/>
    <s v="Yes"/>
    <d v="2022-03-07T00:00:00"/>
    <d v="2022-03-25T00:00:00"/>
    <d v="2022-03-25T00:00:00"/>
    <d v="2023-01-19T00:00:00"/>
    <s v="000-201/AIB RDC/2022"/>
    <n v="15"/>
    <s v="INCORPORATION"/>
    <s v="01-RCAP-2021-000013"/>
    <s v="GSA"/>
    <s v="SECURITY"/>
    <s v="SYNTYCHE"/>
    <s v="Michée"/>
    <s v="MOTOR TPL"/>
    <s v="MOTOR TPL"/>
    <x v="6"/>
    <s v="SFA"/>
    <n v="0"/>
    <n v="258.7"/>
    <n v="0"/>
    <n v="0"/>
    <n v="3.24"/>
    <n v="216"/>
    <n v="35.07"/>
    <e v="#DIV/0!"/>
    <n v="0.1"/>
    <n v="21.6"/>
    <n v="0"/>
    <n v="0"/>
    <n v="21.6"/>
    <n v="3.4560000000000004"/>
    <n v="25.056000000000001"/>
    <n v="0.43200000000000005"/>
    <n v="0"/>
    <n v="0.43200000000000005"/>
    <m/>
    <n v="21.168000000000003"/>
    <m/>
    <m/>
    <n v="0"/>
    <m/>
    <m/>
    <n v="0"/>
    <m/>
    <n v="25.056000000000001"/>
    <n v="25.056000000000001"/>
    <n v="0"/>
    <s v="SFA"/>
    <d v="2022-04-25T00:00:00"/>
    <m/>
    <s v="RENEWED"/>
    <s v="MOTOR TPL"/>
    <m/>
    <m/>
    <m/>
  </r>
  <r>
    <x v="9"/>
    <s v="Yes"/>
    <d v="2022-09-07T00:00:00"/>
    <d v="2022-08-31T00:00:00"/>
    <d v="2022-08-24T00:00:00"/>
    <d v="2022-09-23T00:00:00"/>
    <s v="000-202/AIB RDC/2022"/>
    <n v="0"/>
    <s v="SOUSCRIPTION"/>
    <s v="00016935"/>
    <s v="SACIM / Bolloré"/>
    <m/>
    <s v="SYNTYCHE"/>
    <s v="Victor"/>
    <s v="MARINE CARGO / GIT"/>
    <s v="MARINE"/>
    <x v="6"/>
    <s v="SFA"/>
    <n v="59984.99"/>
    <n v="172.66"/>
    <m/>
    <m/>
    <n v="20"/>
    <n v="126.33"/>
    <n v="23.41"/>
    <n v="2.8783867430835614E-3"/>
    <n v="0.15"/>
    <n v="18.9495"/>
    <n v="0"/>
    <n v="0"/>
    <n v="18.9495"/>
    <n v="3.0319199999999999"/>
    <n v="21.98142"/>
    <n v="0.37898999999999999"/>
    <n v="0"/>
    <n v="0.37898999999999999"/>
    <m/>
    <n v="18.570509999999999"/>
    <s v="BOLLORE"/>
    <n v="0.4"/>
    <n v="7.428204"/>
    <n v="7.428204"/>
    <d v="2022-11-02T00:00:00"/>
    <n v="0"/>
    <s v="PT009/AIB RDC/2022"/>
    <n v="21.98142"/>
    <n v="21.98142"/>
    <n v="0"/>
    <s v="SFA"/>
    <d v="2022-09-19T00:00:00"/>
    <m/>
    <s v="ONCE OFF"/>
    <s v="MARINE CARGO / GIT"/>
    <m/>
    <m/>
    <m/>
  </r>
  <r>
    <x v="4"/>
    <s v="Yes"/>
    <d v="2022-03-07T00:00:00"/>
    <d v="2022-04-23T00:00:00"/>
    <d v="2022-03-22T00:00:00"/>
    <d v="2022-03-24T00:00:00"/>
    <s v="000-203/AIB RDC/2022"/>
    <n v="0"/>
    <s v="SOUSCRIPTION"/>
    <s v="00016201"/>
    <s v="T-THREE DRILLING / Bolloré"/>
    <m/>
    <s v="SYNTYCHE"/>
    <s v="Victor"/>
    <s v="MARINE CARGO / GIT"/>
    <s v="MARINE"/>
    <x v="6"/>
    <s v="SFA"/>
    <n v="38945.120000000003"/>
    <n v="100.78"/>
    <n v="0"/>
    <m/>
    <n v="20"/>
    <n v="65.42"/>
    <n v="13.66"/>
    <n v="2.5877439843554209E-3"/>
    <n v="0.15"/>
    <n v="9.8130000000000006"/>
    <n v="0"/>
    <n v="0"/>
    <n v="9.8130000000000006"/>
    <n v="1.5700800000000001"/>
    <n v="11.383080000000001"/>
    <n v="0.19626000000000002"/>
    <n v="0"/>
    <n v="0.19626000000000002"/>
    <m/>
    <n v="9.6167400000000001"/>
    <s v="BOLLORE"/>
    <n v="0.4"/>
    <n v="3.8466960000000001"/>
    <n v="3.8466960000000001"/>
    <d v="2022-09-30T00:00:00"/>
    <n v="0"/>
    <s v="PT008/AIB RDC/2022"/>
    <n v="11.383080000000001"/>
    <n v="11.383080000000001"/>
    <n v="0"/>
    <s v="SFA"/>
    <d v="2022-05-18T00:00:00"/>
    <m/>
    <s v="ONCE OFF"/>
    <s v="MARINE CARGO / GIT"/>
    <m/>
    <m/>
    <m/>
  </r>
  <r>
    <x v="4"/>
    <s v="Yes"/>
    <d v="2022-03-07T00:00:00"/>
    <d v="2022-03-17T00:00:00"/>
    <d v="2022-03-28T00:00:00"/>
    <d v="2023-03-27T00:00:00"/>
    <s v="000-204/AIB RDC/2022"/>
    <n v="0"/>
    <s v="SOUSCRIPTION"/>
    <s v="12002-33002-0002-112-00015974-2022"/>
    <s v="AFRICA MEDIA Sarl"/>
    <s v="MEDIA"/>
    <s v="RAMSY"/>
    <s v="Apphia"/>
    <s v="FIRE"/>
    <s v="PROPERTIES"/>
    <x v="6"/>
    <s v="SFA"/>
    <n v="572500"/>
    <n v="3653.24"/>
    <m/>
    <m/>
    <n v="25.35"/>
    <n v="3070.63"/>
    <n v="495.35"/>
    <n v="6.3812052401746719E-3"/>
    <n v="0.1"/>
    <n v="307.06300000000005"/>
    <n v="0"/>
    <n v="0"/>
    <n v="307.06300000000005"/>
    <n v="49.130080000000007"/>
    <n v="356.19308000000007"/>
    <n v="6.1412600000000008"/>
    <n v="0"/>
    <n v="6.1412600000000008"/>
    <m/>
    <n v="300.92174000000006"/>
    <s v="Aucun"/>
    <n v="0"/>
    <n v="0"/>
    <m/>
    <m/>
    <n v="0"/>
    <m/>
    <n v="356.19308000000007"/>
    <n v="356.19308000000007"/>
    <n v="0"/>
    <s v="SFA"/>
    <d v="2022-04-25T00:00:00"/>
    <m/>
    <s v="RENEWED"/>
    <s v="FIRE"/>
    <m/>
    <m/>
    <m/>
  </r>
  <r>
    <x v="4"/>
    <s v="Yes"/>
    <d v="2022-03-07T00:00:00"/>
    <d v="2022-03-21T00:00:00"/>
    <d v="2022-03-28T00:00:00"/>
    <d v="2023-03-27T00:00:00"/>
    <s v="000-205/AIB RDC/2022"/>
    <n v="0"/>
    <s v="SOUSCRIPTION"/>
    <s v="12002-33002-0002-112-00016051-2022"/>
    <s v="AFRICELL RDC Sa"/>
    <s v="TELECOM"/>
    <s v="RAMSY"/>
    <s v="Apphia"/>
    <s v="FIRE"/>
    <s v="PROPERTIES"/>
    <x v="6"/>
    <s v="SFA"/>
    <n v="1333000"/>
    <n v="3729.44"/>
    <m/>
    <m/>
    <n v="25.67"/>
    <n v="3134.88"/>
    <n v="505.69"/>
    <n v="2.7977794448612154E-3"/>
    <n v="0.1"/>
    <n v="313.48800000000006"/>
    <n v="0"/>
    <n v="0"/>
    <n v="313.48800000000006"/>
    <n v="50.158080000000012"/>
    <n v="363.6460800000001"/>
    <n v="6.2697600000000016"/>
    <n v="0"/>
    <n v="6.2697600000000016"/>
    <m/>
    <n v="307.21824000000004"/>
    <s v="Aucun"/>
    <n v="0"/>
    <n v="0"/>
    <m/>
    <m/>
    <n v="0"/>
    <m/>
    <n v="363.6460800000001"/>
    <n v="363.6460800000001"/>
    <n v="0"/>
    <s v="SFA"/>
    <d v="2022-04-25T00:00:00"/>
    <m/>
    <s v="RENEWED"/>
    <s v="FIRE"/>
    <m/>
    <m/>
    <m/>
  </r>
  <r>
    <x v="4"/>
    <s v="Yes"/>
    <d v="2022-03-07T00:00:00"/>
    <d v="2022-03-21T00:00:00"/>
    <d v="2022-03-28T00:00:00"/>
    <d v="2023-03-27T00:00:00"/>
    <s v="000-206/AIB RDC/2022"/>
    <n v="0"/>
    <s v="SOUSCRIPTION"/>
    <s v="12002-33002-0002-112-00016050-2022"/>
    <s v="AFRICELL RDC Sa"/>
    <s v="TELECOM"/>
    <s v="RAMSY"/>
    <s v="Victor"/>
    <s v="FIRE"/>
    <s v="PROPERTIES"/>
    <x v="6"/>
    <s v="SFA"/>
    <n v="4064062.5"/>
    <n v="9867.9"/>
    <m/>
    <m/>
    <n v="51.55"/>
    <n v="8311.08"/>
    <n v="1338.02"/>
    <n v="2.4280876585928489E-3"/>
    <n v="0.1"/>
    <n v="831.10800000000006"/>
    <n v="0"/>
    <n v="0"/>
    <n v="831.10800000000006"/>
    <n v="132.97728000000001"/>
    <n v="964.08528000000001"/>
    <n v="16.622160000000001"/>
    <n v="0"/>
    <n v="16.622160000000001"/>
    <m/>
    <n v="814.48584000000005"/>
    <s v="Aucun"/>
    <n v="0"/>
    <n v="0"/>
    <m/>
    <m/>
    <n v="0"/>
    <m/>
    <n v="964.08528000000001"/>
    <n v="964.08528000000001"/>
    <n v="0"/>
    <s v="SFA"/>
    <d v="2022-04-25T00:00:00"/>
    <m/>
    <s v="RENEWED"/>
    <s v="FIRE"/>
    <m/>
    <m/>
    <m/>
  </r>
  <r>
    <x v="4"/>
    <s v="Yes"/>
    <d v="2022-03-07T00:00:00"/>
    <d v="2022-03-17T00:00:00"/>
    <d v="2022-03-28T00:00:00"/>
    <d v="2023-03-27T00:00:00"/>
    <s v="000-207/AIB RDC/2022"/>
    <n v="0"/>
    <s v="SOUSCRIPTION"/>
    <s v="12002-33002-0002-112-00015975-2022"/>
    <s v="AFRICA MEDIA Sarl"/>
    <s v="MEDIA"/>
    <s v="RAMSY"/>
    <s v="Victor"/>
    <s v="FIRE"/>
    <s v="PROPERTIES"/>
    <x v="6"/>
    <s v="SFA"/>
    <n v="599000"/>
    <n v="3175.94"/>
    <m/>
    <m/>
    <n v="23.34"/>
    <n v="2668.15"/>
    <n v="430.65"/>
    <n v="5.3020701168614362E-3"/>
    <n v="0.1"/>
    <n v="266.815"/>
    <n v="0"/>
    <n v="0"/>
    <n v="266.815"/>
    <n v="42.690400000000004"/>
    <n v="309.50540000000001"/>
    <n v="5.3363000000000005"/>
    <n v="0"/>
    <n v="5.3363000000000005"/>
    <m/>
    <n v="261.4787"/>
    <s v="Aucun"/>
    <n v="0"/>
    <n v="0"/>
    <m/>
    <m/>
    <n v="0"/>
    <m/>
    <n v="309.50540000000001"/>
    <n v="309.50540000000001"/>
    <n v="0"/>
    <s v="SFA"/>
    <d v="2022-04-25T00:00:00"/>
    <m/>
    <s v="RENEWED"/>
    <s v="FIRE"/>
    <m/>
    <m/>
    <m/>
  </r>
  <r>
    <x v="4"/>
    <s v="Yes"/>
    <d v="2022-03-07T00:00:00"/>
    <d v="2022-03-22T00:00:00"/>
    <d v="2022-03-15T00:00:00"/>
    <d v="2023-03-14T00:00:00"/>
    <s v="000-208/AIB RDC/2022"/>
    <n v="0"/>
    <s v="SOUSCRIPTION"/>
    <s v="12002-33002-0002-112-00016052-2022"/>
    <s v="AFRI MOBILE MONEY"/>
    <s v="TELECOM"/>
    <s v="RAMSY"/>
    <s v="Victor"/>
    <s v="FIRE"/>
    <s v="PROPERTIES"/>
    <x v="6"/>
    <s v="SFA"/>
    <n v="1354687.5"/>
    <n v="2936.66"/>
    <m/>
    <m/>
    <n v="22.33"/>
    <n v="2466.37"/>
    <n v="398.19"/>
    <n v="2.1677767012687429E-3"/>
    <n v="0.1"/>
    <n v="246.637"/>
    <n v="0"/>
    <n v="0"/>
    <n v="246.637"/>
    <n v="39.461919999999999"/>
    <n v="286.09892000000002"/>
    <n v="4.9327399999999999"/>
    <n v="0"/>
    <n v="4.9327399999999999"/>
    <m/>
    <n v="241.70426"/>
    <s v="Aucun"/>
    <n v="0"/>
    <n v="0"/>
    <m/>
    <m/>
    <n v="0"/>
    <m/>
    <n v="286.09892000000002"/>
    <n v="286.09892000000002"/>
    <n v="0"/>
    <s v="SFA"/>
    <d v="2022-04-25T00:00:00"/>
    <m/>
    <s v="RENEWED"/>
    <s v="FIRE"/>
    <m/>
    <m/>
    <m/>
  </r>
  <r>
    <x v="8"/>
    <s v="Yes"/>
    <d v="2022-03-07T00:00:00"/>
    <d v="2022-04-16T00:00:00"/>
    <d v="2022-04-12T00:00:00"/>
    <d v="2022-04-14T00:00:00"/>
    <s v="000-209/AIB RDC/2022"/>
    <n v="0"/>
    <s v="SOUSCRIPTION"/>
    <s v="00016166"/>
    <s v="Bolloré Transport &amp; Logistics / Bolloré"/>
    <s v="TRANSPORT"/>
    <s v="SYNTYCHE"/>
    <s v="Victor"/>
    <s v="MARINE CARGO / GIT"/>
    <s v="MARINE"/>
    <x v="6"/>
    <s v="SFA"/>
    <n v="9513.4500000000007"/>
    <n v="150.5"/>
    <m/>
    <m/>
    <n v="20"/>
    <n v="107.55"/>
    <n v="20.41"/>
    <n v="1.5819707887254359E-2"/>
    <n v="0.15"/>
    <n v="16.1325"/>
    <n v="0"/>
    <n v="0"/>
    <n v="16.1325"/>
    <n v="2.5811999999999999"/>
    <n v="18.713699999999999"/>
    <n v="0.32264999999999999"/>
    <n v="0"/>
    <n v="0.32264999999999999"/>
    <m/>
    <n v="15.809850000000001"/>
    <s v="BOLLORE"/>
    <n v="0.4"/>
    <n v="6.3239400000000003"/>
    <n v="6.3239400000000003"/>
    <d v="2022-09-30T00:00:00"/>
    <n v="0"/>
    <s v="PT008/AIB RDC/2022"/>
    <n v="18.713699999999999"/>
    <n v="18.713699999999999"/>
    <n v="0"/>
    <s v="SFA"/>
    <d v="2022-05-18T00:00:00"/>
    <m/>
    <s v="ONCE OFF"/>
    <s v="MARINE CARGO / GIT"/>
    <m/>
    <m/>
    <m/>
  </r>
  <r>
    <x v="4"/>
    <s v="Yes"/>
    <d v="2022-03-08T00:00:00"/>
    <d v="2022-03-28T00:00:00"/>
    <d v="2022-03-28T00:00:00"/>
    <d v="2022-09-03T00:00:00"/>
    <s v="000-210/AIB RDC/2022"/>
    <n v="1"/>
    <s v="INCORPORATION"/>
    <s v="01-TRA-2020-000056"/>
    <s v="RUBAMIN"/>
    <m/>
    <s v="SYNTYCHE"/>
    <s v="Grâce"/>
    <s v="COMP MOTOR"/>
    <s v="MOTOR COMP"/>
    <x v="6"/>
    <s v="SFA"/>
    <m/>
    <n v="512.77"/>
    <m/>
    <m/>
    <n v="6.42"/>
    <n v="428.14"/>
    <n v="69.52"/>
    <e v="#DIV/0!"/>
    <n v="0.15"/>
    <n v="64.220999999999989"/>
    <n v="0"/>
    <n v="0"/>
    <n v="64.220999999999989"/>
    <n v="10.275359999999999"/>
    <n v="74.496359999999981"/>
    <n v="1.2844199999999999"/>
    <n v="0"/>
    <n v="1.2844199999999999"/>
    <m/>
    <n v="62.936579999999992"/>
    <m/>
    <m/>
    <n v="0"/>
    <m/>
    <m/>
    <n v="0"/>
    <m/>
    <n v="74.496359999999981"/>
    <n v="74.496359999999981"/>
    <n v="0"/>
    <s v="SFA"/>
    <d v="2022-04-25T00:00:00"/>
    <m/>
    <s v="LOST"/>
    <s v="COMP MOTOR"/>
    <m/>
    <m/>
    <m/>
  </r>
  <r>
    <x v="4"/>
    <s v="Yes"/>
    <d v="2022-03-08T00:00:00"/>
    <d v="2022-03-28T00:00:00"/>
    <d v="2022-03-28T00:00:00"/>
    <d v="2022-09-03T00:00:00"/>
    <s v="000-211/AIB RDC/2022"/>
    <n v="2"/>
    <s v="INCORPORATION"/>
    <s v="01-TRA-2020-000055"/>
    <s v="RUBACO"/>
    <m/>
    <s v="SYNTYCHE"/>
    <s v="Grâce"/>
    <s v="COMP MOTOR"/>
    <s v="MOTOR COMP"/>
    <x v="6"/>
    <s v="SFA"/>
    <m/>
    <n v="6301.54"/>
    <m/>
    <m/>
    <n v="78.88"/>
    <n v="5261.38"/>
    <n v="854.44"/>
    <e v="#DIV/0!"/>
    <n v="0.15"/>
    <n v="789.20699999999999"/>
    <n v="0"/>
    <n v="0"/>
    <n v="789.20699999999999"/>
    <n v="126.27312000000001"/>
    <n v="915.48011999999994"/>
    <n v="15.784140000000001"/>
    <n v="0"/>
    <n v="15.784140000000001"/>
    <m/>
    <n v="773.42286000000001"/>
    <m/>
    <m/>
    <n v="0"/>
    <m/>
    <m/>
    <n v="0"/>
    <m/>
    <n v="915.48011999999994"/>
    <n v="915.48011999999994"/>
    <n v="0"/>
    <s v="SFA"/>
    <d v="2022-04-25T00:00:00"/>
    <m/>
    <s v="LOST"/>
    <s v="COMP MOTOR"/>
    <m/>
    <m/>
    <m/>
  </r>
  <r>
    <x v="4"/>
    <s v="Yes"/>
    <d v="2022-03-08T00:00:00"/>
    <d v="2022-03-30T00:00:00"/>
    <d v="2022-03-29T00:00:00"/>
    <d v="2023-03-28T00:00:00"/>
    <s v="000-212/AIB RDC/2022"/>
    <n v="0"/>
    <s v="SOUSCRIPTION"/>
    <s v="12002-33002-0002-112-00016100-2022"/>
    <s v="Glencore DRC"/>
    <s v="MINING"/>
    <s v="ANDY"/>
    <s v="Andy"/>
    <s v="FIRE"/>
    <s v="PROPERTIES"/>
    <x v="6"/>
    <s v="SFA"/>
    <n v="4051444380"/>
    <n v="4576.16"/>
    <n v="0"/>
    <m/>
    <n v="29.24"/>
    <n v="3848.87"/>
    <n v="620.5"/>
    <n v="1.1295132231335235E-6"/>
    <n v="0.1"/>
    <n v="384.887"/>
    <n v="0"/>
    <n v="0"/>
    <n v="384.887"/>
    <n v="61.581920000000004"/>
    <n v="446.46892000000003"/>
    <n v="7.6977400000000005"/>
    <n v="0"/>
    <n v="7.6977400000000005"/>
    <m/>
    <n v="377.18925999999999"/>
    <m/>
    <m/>
    <n v="0"/>
    <m/>
    <m/>
    <n v="0"/>
    <m/>
    <n v="446.46892000000003"/>
    <n v="446.46892000000003"/>
    <n v="0"/>
    <s v="SFA"/>
    <d v="2022-04-25T00:00:00"/>
    <m/>
    <s v="RENEWING..."/>
    <s v="FIRE"/>
    <m/>
    <m/>
    <m/>
  </r>
  <r>
    <x v="4"/>
    <s v="Yes"/>
    <d v="2022-03-08T00:00:00"/>
    <d v="2022-03-30T00:00:00"/>
    <d v="2022-03-29T00:00:00"/>
    <d v="2023-03-28T00:00:00"/>
    <s v="000-213/AIB RDC/2022"/>
    <n v="0"/>
    <s v="SOUSCRIPTION"/>
    <s v="12002-33002-0002-112-00016091-2022"/>
    <s v="Glencore DRC"/>
    <s v="MINING"/>
    <s v="ANDY"/>
    <s v="Andy"/>
    <s v="FIRE"/>
    <s v="PROPERTIES"/>
    <x v="6"/>
    <s v="SFA"/>
    <n v="2638478"/>
    <n v="2202.13"/>
    <n v="0"/>
    <m/>
    <n v="19.23"/>
    <n v="1846.99"/>
    <n v="298.60000000000002"/>
    <n v="8.3462132335384263E-4"/>
    <n v="0.2"/>
    <n v="369.39800000000002"/>
    <n v="0"/>
    <n v="0"/>
    <n v="369.39800000000002"/>
    <n v="59.103680000000004"/>
    <n v="428.50168000000002"/>
    <n v="7.3879600000000005"/>
    <n v="0"/>
    <n v="7.3879600000000005"/>
    <m/>
    <n v="362.01004"/>
    <m/>
    <m/>
    <n v="0"/>
    <m/>
    <m/>
    <n v="0"/>
    <m/>
    <n v="428.50168000000002"/>
    <n v="428.50168000000002"/>
    <n v="0"/>
    <s v="SFA"/>
    <d v="2022-04-25T00:00:00"/>
    <m/>
    <s v="RENEWING..."/>
    <s v="FIRE"/>
    <m/>
    <m/>
    <m/>
  </r>
  <r>
    <x v="4"/>
    <s v="Yes"/>
    <d v="2022-03-09T00:00:00"/>
    <d v="2022-03-30T00:00:00"/>
    <d v="2022-03-29T00:00:00"/>
    <d v="2023-01-31T00:00:00"/>
    <s v="000-214/AIB RDC/2022"/>
    <n v="5"/>
    <s v="INCORPORATION"/>
    <s v="12001-33002-0001-104-0001845-2022"/>
    <s v="CFAO RDC / Loxea RDC"/>
    <s v="TRANSPORT"/>
    <s v="ANDY"/>
    <s v="Andy"/>
    <s v="COMP MOTOR"/>
    <s v="MOTOR COMP"/>
    <x v="0"/>
    <s v="ACTIVA"/>
    <n v="82237"/>
    <n v="3381.1"/>
    <n v="0"/>
    <m/>
    <n v="28.86"/>
    <n v="2885.1"/>
    <n v="466.36"/>
    <n v="4.1114097060933642E-2"/>
    <n v="0.1467"/>
    <n v="423.24417"/>
    <n v="0"/>
    <n v="86.552999999999997"/>
    <n v="509.79716999999999"/>
    <n v="81.567547200000007"/>
    <n v="591.36471719999997"/>
    <n v="10.195943400000001"/>
    <n v="0"/>
    <n v="10.195943400000001"/>
    <m/>
    <n v="499.60122660000002"/>
    <s v="Aucun"/>
    <m/>
    <n v="0"/>
    <m/>
    <m/>
    <n v="0"/>
    <m/>
    <n v="591.36471719999997"/>
    <n v="591.36471719999997"/>
    <n v="0"/>
    <s v="ACTIVA"/>
    <d v="2022-05-18T00:00:00"/>
    <m/>
    <s v="RENEWED"/>
    <s v="COMP MOTOR"/>
    <m/>
    <m/>
    <s v="Vérification auprès de Mr. Money pour confirmation du paiement "/>
  </r>
  <r>
    <x v="4"/>
    <s v="Yes"/>
    <d v="2022-03-09T00:00:00"/>
    <d v="2022-03-31T00:00:00"/>
    <d v="2022-03-30T00:00:00"/>
    <d v="2022-04-29T00:00:00"/>
    <s v="000-215/AIB RDC/2022"/>
    <n v="0"/>
    <s v="SOUSCRIPTION"/>
    <s v="12001-33002-0014-111-00002107-20022"/>
    <s v="BOLLORE TRANSPORT &amp; LOGISTICS RDC"/>
    <s v="TRANSPORT"/>
    <s v="SYNTYCHE"/>
    <s v="Grâce"/>
    <s v="MARINE CARGO / GIT"/>
    <s v="MARINE"/>
    <x v="0"/>
    <s v="ACTIVA"/>
    <m/>
    <n v="34.799999999999997"/>
    <m/>
    <m/>
    <n v="10"/>
    <n v="25"/>
    <n v="5.6000000000000005"/>
    <e v="#DIV/0!"/>
    <n v="0.15"/>
    <n v="3.75"/>
    <n v="0"/>
    <n v="0"/>
    <n v="3.75"/>
    <n v="0.6"/>
    <n v="4.3499999999999996"/>
    <n v="7.4999999999999997E-2"/>
    <n v="0"/>
    <n v="7.4999999999999997E-2"/>
    <m/>
    <n v="3.6749999999999998"/>
    <m/>
    <m/>
    <n v="0"/>
    <m/>
    <m/>
    <n v="0"/>
    <m/>
    <n v="4.3499999999999996"/>
    <n v="4.3499999999999996"/>
    <n v="0"/>
    <s v="ACTIVA"/>
    <d v="2022-05-18T00:00:00"/>
    <m/>
    <s v="ONCE OFF"/>
    <s v="MARINE CARGO / GIT"/>
    <m/>
    <m/>
    <m/>
  </r>
  <r>
    <x v="4"/>
    <s v="Yes"/>
    <d v="2022-03-09T00:00:00"/>
    <d v="2022-03-31T00:00:00"/>
    <d v="2022-03-30T00:00:00"/>
    <d v="2022-04-29T00:00:00"/>
    <s v="000-216/AIB RDC/2022"/>
    <n v="0"/>
    <s v="SOUSCRIPTION"/>
    <s v="12001-33001-0014-111-00002108-2022"/>
    <s v="BOLLORE TRANSPORT &amp; LOGISTICS RDC"/>
    <s v="TRANSPORT"/>
    <s v="SYNTYCHE"/>
    <s v="Grâce"/>
    <s v="MARINE CARGO / GIT"/>
    <s v="MARINE"/>
    <x v="0"/>
    <s v="ACTIVA"/>
    <m/>
    <n v="47.5"/>
    <m/>
    <m/>
    <n v="10"/>
    <n v="30.95"/>
    <n v="6.5520000000000005"/>
    <e v="#DIV/0!"/>
    <n v="0.15"/>
    <n v="4.6425000000000001"/>
    <n v="0"/>
    <n v="0"/>
    <n v="4.6425000000000001"/>
    <n v="0.74280000000000002"/>
    <n v="5.3853"/>
    <n v="9.2850000000000002E-2"/>
    <n v="0"/>
    <n v="9.2850000000000002E-2"/>
    <m/>
    <n v="4.5496499999999997"/>
    <m/>
    <m/>
    <n v="0"/>
    <m/>
    <m/>
    <n v="0"/>
    <m/>
    <n v="5.3853"/>
    <n v="5.3853"/>
    <n v="0"/>
    <s v="ACTIVA"/>
    <d v="2022-05-18T00:00:00"/>
    <m/>
    <s v="ONCE OFF"/>
    <s v="MARINE CARGO / GIT"/>
    <m/>
    <m/>
    <m/>
  </r>
  <r>
    <x v="4"/>
    <s v="Yes"/>
    <d v="2022-03-18T00:00:00"/>
    <d v="2022-03-31T00:00:00"/>
    <d v="2022-03-30T00:00:00"/>
    <d v="2022-04-29T00:00:00"/>
    <s v="000-217/AIB RDC/2022"/>
    <n v="0"/>
    <s v="SOUSCRIPTION"/>
    <s v="12001-33001-0014-111-00002106-2022"/>
    <s v="BOLLORE TRANSPORT &amp; LOGISTICS RDC"/>
    <s v="TRANSPORT"/>
    <s v="SYNTYCHE"/>
    <s v="Grâce"/>
    <s v="MARINE CARGO / GIT"/>
    <s v="MARINE"/>
    <x v="0"/>
    <s v="ACTIVA"/>
    <m/>
    <n v="158.63"/>
    <m/>
    <m/>
    <n v="10"/>
    <n v="126.75"/>
    <n v="21.88"/>
    <e v="#DIV/0!"/>
    <n v="0.15"/>
    <n v="19.012499999999999"/>
    <n v="0"/>
    <n v="0"/>
    <n v="19.012499999999999"/>
    <n v="3.0419999999999998"/>
    <n v="22.054499999999997"/>
    <n v="0.38024999999999998"/>
    <n v="0"/>
    <n v="0.38024999999999998"/>
    <m/>
    <n v="18.632249999999999"/>
    <m/>
    <m/>
    <n v="0"/>
    <m/>
    <m/>
    <n v="0"/>
    <m/>
    <n v="22.054499999999997"/>
    <n v="22.054499999999997"/>
    <n v="0"/>
    <s v="ACTIVA"/>
    <d v="2022-05-18T00:00:00"/>
    <m/>
    <s v="ONCE OFF"/>
    <s v="MARINE CARGO / GIT"/>
    <m/>
    <m/>
    <m/>
  </r>
  <r>
    <x v="4"/>
    <s v="Yes"/>
    <d v="2022-03-18T00:00:00"/>
    <d v="2022-03-29T00:00:00"/>
    <d v="2022-03-31T00:00:00"/>
    <d v="2023-03-30T00:00:00"/>
    <s v="000-218/AIB RDC/2022"/>
    <n v="0"/>
    <s v="SOUSCRIPTION"/>
    <n v="30000009"/>
    <s v="Ivanhoe Mines Energy DRC Sarl"/>
    <s v="MINING"/>
    <s v="ANDY"/>
    <s v="Andy"/>
    <s v="MOTOR TPL"/>
    <s v="MOTOR TPL"/>
    <x v="4"/>
    <s v="RAWSUR"/>
    <m/>
    <n v="1507.92"/>
    <n v="0"/>
    <m/>
    <n v="40"/>
    <n v="1244"/>
    <n v="204.44"/>
    <e v="#DIV/0!"/>
    <n v="0.1"/>
    <n v="124.4"/>
    <n v="0"/>
    <n v="0"/>
    <n v="124.4"/>
    <n v="19.904"/>
    <n v="144.304"/>
    <n v="2.488"/>
    <n v="0"/>
    <n v="2.488"/>
    <m/>
    <n v="121.91200000000001"/>
    <m/>
    <m/>
    <n v="0"/>
    <m/>
    <m/>
    <n v="0"/>
    <m/>
    <n v="144.304"/>
    <n v="144.304"/>
    <n v="0"/>
    <s v="RAWSUR"/>
    <d v="2022-05-20T00:00:00"/>
    <m/>
    <s v="RENEWING..."/>
    <s v="MOTOR TPL"/>
    <m/>
    <m/>
    <m/>
  </r>
  <r>
    <x v="4"/>
    <s v="Yes"/>
    <d v="2022-03-18T00:00:00"/>
    <d v="2022-03-07T00:00:00"/>
    <d v="2022-03-08T00:00:00"/>
    <d v="2022-04-07T00:00:00"/>
    <s v="000-219/AIB RDC/2022"/>
    <n v="0"/>
    <s v="SOUSCRIPTION"/>
    <s v="12003-33002-0001-103-00000559-2022 / 30000007"/>
    <s v="TITAN DRILLING CONGO SAS / Bolloré"/>
    <m/>
    <s v="SYNTYCHE"/>
    <s v="Victor"/>
    <s v="MOTOR TPL"/>
    <s v="MOTOR TPL"/>
    <x v="4"/>
    <s v="RAWSUR"/>
    <m/>
    <n v="217.92"/>
    <n v="0"/>
    <m/>
    <n v="30"/>
    <n v="154.68"/>
    <n v="29.55"/>
    <e v="#DIV/0!"/>
    <n v="0.1"/>
    <n v="15.468000000000002"/>
    <n v="0"/>
    <n v="0"/>
    <n v="15.468000000000002"/>
    <n v="2.4748800000000002"/>
    <n v="17.942880000000002"/>
    <n v="0.30936000000000002"/>
    <n v="0"/>
    <n v="0.30936000000000002"/>
    <m/>
    <n v="15.158640000000002"/>
    <s v="BOLLORE"/>
    <n v="0.4"/>
    <n v="6.0634560000000013"/>
    <n v="6.0634560000000013"/>
    <d v="2022-09-30T00:00:00"/>
    <n v="0"/>
    <s v="PT008/AIB RDC/2022"/>
    <n v="17.942880000000002"/>
    <n v="17.942880000000002"/>
    <n v="0"/>
    <s v="RAWSUR"/>
    <d v="2022-05-20T00:00:00"/>
    <m/>
    <s v="ONCE OFF"/>
    <s v="MOTOR TPL"/>
    <m/>
    <m/>
    <m/>
  </r>
  <r>
    <x v="4"/>
    <s v="Yes"/>
    <d v="2022-03-18T00:00:00"/>
    <d v="2022-03-23T00:00:00"/>
    <d v="2022-03-23T00:00:00"/>
    <d v="2022-04-22T00:00:00"/>
    <s v="000-220/AIB RDC/2022"/>
    <n v="0"/>
    <s v="SOUSCRIPTION"/>
    <s v="12003-33002-0001-103-00000696-2022 / 30000008"/>
    <s v="TITAN DRILLING CONGO SAS / Bolloré"/>
    <m/>
    <s v="SYNTYCHE"/>
    <s v="Victor"/>
    <s v="MOTOR TPL"/>
    <s v="MOTOR TPL"/>
    <x v="4"/>
    <s v="RAWSUR"/>
    <m/>
    <n v="250.47"/>
    <n v="0"/>
    <m/>
    <n v="30"/>
    <n v="182.25"/>
    <n v="33.96"/>
    <e v="#DIV/0!"/>
    <n v="0.1"/>
    <n v="18.225000000000001"/>
    <n v="0"/>
    <n v="0"/>
    <n v="18.225000000000001"/>
    <n v="2.9160000000000004"/>
    <n v="21.141000000000002"/>
    <n v="0.36450000000000005"/>
    <n v="0"/>
    <n v="0.36450000000000005"/>
    <m/>
    <n v="17.860500000000002"/>
    <s v="BOLLORE"/>
    <n v="0.4"/>
    <n v="7.1442000000000014"/>
    <n v="7.1442000000000014"/>
    <d v="2022-09-30T00:00:00"/>
    <n v="0"/>
    <s v="PT008/AIB RDC/2022"/>
    <n v="21.141000000000002"/>
    <n v="21.141000000000002"/>
    <n v="0"/>
    <s v="RAWSUR"/>
    <d v="2022-05-20T00:00:00"/>
    <m/>
    <s v="ONCE OFF"/>
    <s v="MOTOR TPL"/>
    <m/>
    <m/>
    <m/>
  </r>
  <r>
    <x v="4"/>
    <s v="Yes"/>
    <d v="2022-03-23T00:00:00"/>
    <d v="2022-04-01T00:00:00"/>
    <d v="2022-03-01T00:00:00"/>
    <d v="2023-02-28T00:00:00"/>
    <s v="000-221/AIB RDC/2022"/>
    <n v="2"/>
    <s v="RENOUVELLEMENT"/>
    <s v="12003-33002-0003-112-00000111-2022 / 45000009"/>
    <s v="Barrick Gold Corporation/Kibali Gold"/>
    <s v="MINING"/>
    <s v="ANDY"/>
    <s v="Andy"/>
    <s v="PROPERTY DAMAGE &amp; BI"/>
    <s v="PROPERTIES"/>
    <x v="4"/>
    <s v="EMERALD AFRICA"/>
    <n v="250000000"/>
    <n v="3385147.02"/>
    <n v="273904.02"/>
    <n v="-179189.55"/>
    <n v="0"/>
    <n v="2567530.21"/>
    <n v="483299.8"/>
    <n v="1.3540588080000001E-2"/>
    <n v="0.3"/>
    <n v="0"/>
    <n v="82171.206000000006"/>
    <n v="0"/>
    <n v="82171.206000000006"/>
    <n v="13147.392960000001"/>
    <n v="95318.598960000003"/>
    <n v="1643.4241200000001"/>
    <n v="0"/>
    <n v="1643.4241200000001"/>
    <m/>
    <n v="80527.78188000001"/>
    <m/>
    <m/>
    <n v="0"/>
    <m/>
    <m/>
    <n v="0"/>
    <m/>
    <n v="95318.598960000003"/>
    <n v="95318.598960000003"/>
    <n v="0"/>
    <s v="RAWSUR"/>
    <d v="2022-05-20T00:00:00"/>
    <m/>
    <s v="RENEWED"/>
    <s v="PROPERTY DAMAGE &amp; BI"/>
    <m/>
    <m/>
    <m/>
  </r>
  <r>
    <x v="4"/>
    <s v="Yes"/>
    <d v="2022-11-08T00:00:00"/>
    <d v="2022-10-31T00:00:00"/>
    <d v="2022-03-01T00:00:00"/>
    <d v="2023-02-28T00:00:00"/>
    <s v="000-222/AIB RDC/2022"/>
    <n v="0"/>
    <s v="SOUSCRIPTION"/>
    <s v="00017416"/>
    <s v="Barrick Gold Corporation/Kibali Gold"/>
    <s v="MINING"/>
    <s v="ANDY"/>
    <s v="Andy"/>
    <s v="MARINE CARGO / GIT"/>
    <s v="MARINE"/>
    <x v="6"/>
    <s v="AIG"/>
    <n v="15000000"/>
    <n v="25632.38"/>
    <n v="3258.35"/>
    <n v="0"/>
    <n v="0"/>
    <n v="18464"/>
    <n v="3475.57"/>
    <n v="1.7088253333333333E-3"/>
    <n v="0"/>
    <n v="0"/>
    <n v="977.50499999999988"/>
    <n v="0"/>
    <n v="977.50499999999988"/>
    <n v="156.40079999999998"/>
    <n v="1133.9057999999998"/>
    <n v="19.550099999999997"/>
    <n v="0"/>
    <n v="19.550099999999997"/>
    <m/>
    <n v="957.95489999999984"/>
    <m/>
    <m/>
    <n v="0"/>
    <m/>
    <m/>
    <n v="0"/>
    <m/>
    <n v="1133.9057999999998"/>
    <n v="1133.9057999999998"/>
    <n v="0"/>
    <s v="SFA"/>
    <d v="2022-11-22T00:00:00"/>
    <m/>
    <s v="RENEWING..."/>
    <s v="MARINE CARGO / GIT"/>
    <m/>
    <m/>
    <m/>
  </r>
  <r>
    <x v="4"/>
    <s v="Yes"/>
    <d v="2022-07-08T00:00:00"/>
    <d v="2022-06-11T00:00:00"/>
    <d v="2022-03-01T00:00:00"/>
    <d v="2023-02-28T00:00:00"/>
    <s v="000-223/AIB RDC/2022"/>
    <n v="0"/>
    <s v="SOUSCRIPTION"/>
    <s v="00016433"/>
    <s v="Chemaf SA"/>
    <s v="MINING"/>
    <s v="ANDY"/>
    <s v="Andy"/>
    <s v="MARINE CARGO / GIT"/>
    <s v="MARINE"/>
    <x v="6"/>
    <s v="AIG"/>
    <n v="10000000"/>
    <n v="309057.27"/>
    <n v="39286.94"/>
    <n v="0"/>
    <n v="0"/>
    <n v="222626"/>
    <n v="41906.07"/>
    <n v="3.0905727000000001E-2"/>
    <n v="0"/>
    <n v="0"/>
    <n v="11786.082"/>
    <m/>
    <n v="11786.082"/>
    <n v="1885.7731200000001"/>
    <n v="13671.85512"/>
    <n v="235.72164000000001"/>
    <n v="0"/>
    <n v="235.72164000000001"/>
    <m/>
    <n v="11550.360360000001"/>
    <m/>
    <m/>
    <n v="0"/>
    <m/>
    <m/>
    <n v="0"/>
    <m/>
    <n v="13671.85512"/>
    <n v="13671.85512"/>
    <n v="0"/>
    <s v="SFA"/>
    <d v="2022-08-08T00:00:00"/>
    <m/>
    <s v="RENEWED"/>
    <s v="MARINE CARGO / GIT"/>
    <m/>
    <m/>
    <m/>
  </r>
  <r>
    <x v="4"/>
    <s v="Yes"/>
    <d v="2022-03-08T00:00:00"/>
    <d v="2022-04-21T00:00:00"/>
    <d v="2022-03-30T00:00:00"/>
    <d v="2023-05-03T00:00:00"/>
    <s v="000-224/AIB RDC/2022"/>
    <n v="0"/>
    <s v="SOUSCRIPTION"/>
    <s v="12002-33002-0006-114-16195-2022"/>
    <s v="LUANO GRANDES PROPRIETES  S.A.R.L"/>
    <s v="CONSTRUCTION"/>
    <s v="ANDY"/>
    <s v="Andy"/>
    <s v="TRC"/>
    <s v="CONSTRUCTIONS"/>
    <x v="6"/>
    <s v="SFA"/>
    <n v="5552191.1200000001"/>
    <n v="20268.84"/>
    <n v="0"/>
    <m/>
    <n v="95.41"/>
    <n v="17081.57"/>
    <n v="2748.32"/>
    <n v="3.6506019987294675E-3"/>
    <n v="0.15"/>
    <n v="2562.2354999999998"/>
    <m/>
    <m/>
    <n v="2562.2354999999998"/>
    <n v="409.95767999999998"/>
    <n v="2972.1931799999998"/>
    <n v="51.244709999999998"/>
    <n v="0"/>
    <n v="51.244709999999998"/>
    <m/>
    <n v="2510.9907899999998"/>
    <m/>
    <m/>
    <n v="0"/>
    <m/>
    <m/>
    <n v="0"/>
    <m/>
    <n v="2972.1931799999998"/>
    <n v="2972.1931799999998"/>
    <n v="0"/>
    <s v="SFA"/>
    <d v="2022-05-18T00:00:00"/>
    <m/>
    <s v="EXTENDED"/>
    <s v="TRC"/>
    <m/>
    <m/>
    <m/>
  </r>
  <r>
    <x v="4"/>
    <s v="Yes"/>
    <d v="2022-03-23T00:00:00"/>
    <d v="2022-04-01T00:00:00"/>
    <d v="2022-03-31T00:00:00"/>
    <d v="2023-03-30T00:00:00"/>
    <s v="000-225/AIB RDC/2022"/>
    <n v="0"/>
    <s v="SOUSCRIPTION"/>
    <s v="12003-33002-0005-111-00000352-2022 / 73200016"/>
    <s v="EXCELLEN MINERALS / Bolloré"/>
    <m/>
    <s v="RAMSY"/>
    <s v="Apphia"/>
    <s v="MARINE CARGO / GIT"/>
    <s v="MARINE"/>
    <x v="4"/>
    <s v="RAWSUR"/>
    <n v="25000000"/>
    <n v="41418"/>
    <n v="0"/>
    <m/>
    <n v="100"/>
    <n v="35000"/>
    <n v="5616"/>
    <n v="1.65672E-3"/>
    <n v="0.15"/>
    <n v="5250"/>
    <m/>
    <m/>
    <n v="5250"/>
    <n v="840"/>
    <n v="6090"/>
    <n v="105"/>
    <n v="0"/>
    <n v="105"/>
    <m/>
    <n v="5145"/>
    <s v="BOLLORE"/>
    <n v="0.4"/>
    <n v="2058"/>
    <n v="2058"/>
    <d v="2022-09-30T00:00:00"/>
    <n v="0"/>
    <s v="PT008/AIB RDC/2022"/>
    <n v="6090"/>
    <n v="6090"/>
    <n v="0"/>
    <s v="RAWSUR"/>
    <d v="2022-05-20T00:00:00"/>
    <m/>
    <s v="ONCE OFF"/>
    <s v="MARINE CARGO / GIT"/>
    <m/>
    <m/>
    <m/>
  </r>
  <r>
    <x v="4"/>
    <s v="Yes"/>
    <d v="2022-03-23T00:00:00"/>
    <d v="2022-04-01T00:00:00"/>
    <d v="2022-03-31T00:00:00"/>
    <d v="2023-03-30T00:00:00"/>
    <s v="000-226/AIB RDC/2022"/>
    <n v="0"/>
    <s v="SOUSCRIPTION"/>
    <s v="12003-33002-0005-111-00000351-2022 / 73200017"/>
    <s v="LUILU RESSOURCES / Bolloré"/>
    <m/>
    <s v="RAMSY"/>
    <s v="Apphia"/>
    <s v="MARINE CARGO / GIT"/>
    <s v="MARINE"/>
    <x v="4"/>
    <s v="RAWSUR"/>
    <n v="45000000"/>
    <n v="74458"/>
    <n v="0"/>
    <m/>
    <n v="100"/>
    <n v="63000"/>
    <n v="10096"/>
    <n v="1.6546222222222223E-3"/>
    <n v="0.15"/>
    <n v="9450"/>
    <m/>
    <m/>
    <n v="9450"/>
    <n v="1512"/>
    <n v="10962"/>
    <n v="189"/>
    <n v="0"/>
    <n v="189"/>
    <m/>
    <n v="9261"/>
    <s v="BOLLORE"/>
    <n v="0.4"/>
    <n v="3704.4"/>
    <n v="3704.4"/>
    <d v="2022-09-30T00:00:00"/>
    <n v="0"/>
    <s v="PT008/AIB RDC/2022"/>
    <n v="10962"/>
    <n v="10962"/>
    <n v="0"/>
    <s v="RAWSUR"/>
    <d v="2022-05-20T00:00:00"/>
    <m/>
    <s v="ONCE OFF"/>
    <s v="MARINE CARGO / GIT"/>
    <m/>
    <m/>
    <m/>
  </r>
  <r>
    <x v="4"/>
    <s v="Yes"/>
    <d v="2022-03-23T00:00:00"/>
    <d v="2022-04-01T00:00:00"/>
    <d v="2022-03-31T00:00:00"/>
    <d v="2023-03-30T00:00:00"/>
    <s v="000-227/AIB RDC/2022"/>
    <n v="0"/>
    <s v="SOUSCRIPTION"/>
    <s v="12003-33002-0012-108-00000012-2022 / 75600002"/>
    <s v="RAWBANK SA"/>
    <s v="Banking"/>
    <s v="RAMSY"/>
    <s v="Apphia"/>
    <s v="AVIATION HULL ALL RISK"/>
    <s v="AVIATION"/>
    <x v="4"/>
    <s v="RAWSUR"/>
    <n v="10000000"/>
    <n v="107028.36"/>
    <n v="13827.55"/>
    <m/>
    <n v="100"/>
    <n v="76774.45"/>
    <n v="14512.32"/>
    <n v="1.0702836E-2"/>
    <n v="0"/>
    <n v="0"/>
    <n v="4148.2649999999994"/>
    <m/>
    <n v="4148.2649999999994"/>
    <n v="663.72239999999988"/>
    <n v="4811.9873999999991"/>
    <n v="82.965299999999985"/>
    <n v="0"/>
    <n v="82.965299999999985"/>
    <m/>
    <n v="4065.2996999999996"/>
    <m/>
    <m/>
    <n v="0"/>
    <m/>
    <m/>
    <n v="0"/>
    <m/>
    <n v="4811.9873999999991"/>
    <n v="4811.9873999999991"/>
    <n v="0"/>
    <s v="RAWSUR"/>
    <d v="2022-05-20T00:00:00"/>
    <m/>
    <s v="RENEWING..."/>
    <s v="AVIATION HULL ALL RISK"/>
    <m/>
    <m/>
    <m/>
  </r>
  <r>
    <x v="4"/>
    <s v="Yes"/>
    <d v="2022-03-08T00:00:00"/>
    <d v="2022-04-05T00:00:00"/>
    <d v="2022-03-17T00:00:00"/>
    <d v="2022-03-17T00:00:00"/>
    <s v="000-228/AIB RDC/2022"/>
    <n v="1"/>
    <s v="RESILIATION"/>
    <s v="01-IMR-2021-000190"/>
    <s v="MAFRICOM"/>
    <s v="FOOD MANIFACTURERS"/>
    <s v="RAMSY"/>
    <s v="Apphia"/>
    <s v="FIRE/HOME"/>
    <s v="PROPERTIES"/>
    <x v="6"/>
    <s v="SFA"/>
    <m/>
    <n v="-266.95999999999998"/>
    <m/>
    <m/>
    <n v="0"/>
    <n v="-230.14"/>
    <n v="-36.82"/>
    <e v="#DIV/0!"/>
    <n v="0.2"/>
    <n v="-46.027999999999999"/>
    <m/>
    <m/>
    <n v="-46.027999999999999"/>
    <n v="-7.3644800000000004"/>
    <n v="-53.392479999999999"/>
    <n v="-0.92056000000000004"/>
    <m/>
    <n v="-0.92056000000000004"/>
    <m/>
    <n v="-45.107439999999997"/>
    <m/>
    <m/>
    <n v="0"/>
    <m/>
    <m/>
    <n v="0"/>
    <m/>
    <n v="-53.392479999999999"/>
    <n v="-53.392479999999999"/>
    <n v="0"/>
    <s v="SFA"/>
    <d v="2022-05-18T00:00:00"/>
    <m/>
    <s v="CANCELLED"/>
    <s v="FIRE/HOME"/>
    <m/>
    <m/>
    <m/>
  </r>
  <r>
    <x v="4"/>
    <s v="Yes"/>
    <d v="2022-03-08T00:00:00"/>
    <d v="2022-04-05T00:00:00"/>
    <d v="2022-03-17T00:00:00"/>
    <d v="2022-03-17T00:00:00"/>
    <s v="000-229/AIB RDC/2022"/>
    <n v="1"/>
    <s v="RESILIATION"/>
    <s v="01-IMR-2021-000191"/>
    <s v="MAFRICOM"/>
    <s v="FOOD MANIFACTURERS"/>
    <s v="RAMSY"/>
    <s v="Apphia"/>
    <s v="FIRE"/>
    <s v="PROPERTIES"/>
    <x v="6"/>
    <s v="SFA"/>
    <m/>
    <n v="-7179.3"/>
    <m/>
    <m/>
    <n v="0"/>
    <n v="-6189.05"/>
    <n v="-990.25"/>
    <e v="#DIV/0!"/>
    <n v="0.1"/>
    <n v="-618.90500000000009"/>
    <m/>
    <m/>
    <n v="-618.90500000000009"/>
    <n v="-99.024800000000013"/>
    <n v="-717.92980000000011"/>
    <n v="-12.378100000000002"/>
    <m/>
    <n v="-12.378100000000002"/>
    <m/>
    <n v="-606.52690000000007"/>
    <m/>
    <m/>
    <n v="0"/>
    <m/>
    <m/>
    <n v="0"/>
    <m/>
    <n v="-717.92980000000011"/>
    <n v="-717.92980000000011"/>
    <n v="0"/>
    <s v="SFA"/>
    <d v="2022-05-18T00:00:00"/>
    <m/>
    <s v="CANCELLED"/>
    <s v="FIRE"/>
    <m/>
    <m/>
    <m/>
  </r>
  <r>
    <x v="4"/>
    <s v="Yes"/>
    <d v="2022-03-08T00:00:00"/>
    <d v="2022-04-05T00:00:00"/>
    <d v="2022-03-17T00:00:00"/>
    <d v="2022-03-17T00:00:00"/>
    <s v="000-230/AIB RDC/2022"/>
    <n v="1"/>
    <s v="RESILIATION"/>
    <s v="01-IMR-2021-000192"/>
    <s v="NUTRI AFRICA"/>
    <s v="FOOD MANIFACTURERS"/>
    <s v="RAMSY"/>
    <s v="Apphia"/>
    <s v="FIRE"/>
    <s v="PROPERTIES"/>
    <x v="6"/>
    <s v="SFA"/>
    <m/>
    <n v="-2490.6"/>
    <m/>
    <m/>
    <n v="0"/>
    <n v="-2147.0700000000002"/>
    <n v="-343.53"/>
    <e v="#DIV/0!"/>
    <n v="0.1"/>
    <n v="-214.70700000000002"/>
    <n v="0"/>
    <n v="0"/>
    <n v="-214.70700000000002"/>
    <n v="-34.353120000000004"/>
    <n v="-249.06012000000004"/>
    <n v="-4.2941400000000005"/>
    <n v="0"/>
    <n v="-4.2941400000000005"/>
    <m/>
    <n v="-210.41286000000002"/>
    <m/>
    <m/>
    <n v="0"/>
    <m/>
    <m/>
    <n v="0"/>
    <m/>
    <n v="-249.06012000000004"/>
    <n v="-249.06012000000004"/>
    <n v="0"/>
    <s v="SFA"/>
    <d v="2022-05-18T00:00:00"/>
    <m/>
    <s v="CANCELLED"/>
    <s v="FIRE"/>
    <m/>
    <m/>
    <m/>
  </r>
  <r>
    <x v="4"/>
    <s v="Yes"/>
    <d v="2022-03-08T00:00:00"/>
    <d v="2022-04-12T00:00:00"/>
    <d v="2022-03-17T00:00:00"/>
    <d v="2022-03-17T00:00:00"/>
    <s v="000-231/AIB RDC/2022"/>
    <n v="1"/>
    <s v="RESILIATION"/>
    <s v="01-IMR-2021-000234"/>
    <s v="HOPITAL OASIS"/>
    <s v="HOSPITAL"/>
    <s v="RAMSY"/>
    <s v="Apphia"/>
    <s v="FIRE"/>
    <s v="PROPERTIES"/>
    <x v="6"/>
    <s v="SFA"/>
    <m/>
    <n v="-1545.08"/>
    <m/>
    <m/>
    <n v="0"/>
    <n v="-1331.96"/>
    <n v="-213.11"/>
    <e v="#DIV/0!"/>
    <n v="0.1"/>
    <n v="-133.196"/>
    <m/>
    <m/>
    <n v="-133.196"/>
    <n v="-21.311360000000001"/>
    <n v="-154.50736000000001"/>
    <n v="-2.6639200000000001"/>
    <n v="0"/>
    <n v="-2.6639200000000001"/>
    <m/>
    <n v="-130.53208000000001"/>
    <m/>
    <m/>
    <n v="0"/>
    <m/>
    <m/>
    <n v="0"/>
    <m/>
    <n v="-154.50736000000001"/>
    <n v="-154.50736000000001"/>
    <n v="0"/>
    <s v="SFA"/>
    <d v="2022-05-18T00:00:00"/>
    <m/>
    <s v="CANCELLED"/>
    <s v="FIRE"/>
    <m/>
    <m/>
    <m/>
  </r>
  <r>
    <x v="4"/>
    <s v="Yes"/>
    <d v="2022-03-08T00:00:00"/>
    <d v="2022-04-12T00:00:00"/>
    <d v="2022-03-17T00:00:00"/>
    <d v="2022-03-17T00:00:00"/>
    <s v="000-232/AIB RDC/2022"/>
    <n v="6"/>
    <s v="RESILIATION"/>
    <s v="01-RCAP-2021-000085"/>
    <s v="MAFRICOM"/>
    <s v="FOOD MANIFACTURERS"/>
    <s v="RAMSY"/>
    <s v="Apphia"/>
    <s v="MOTOR TPL"/>
    <s v="MOTOR TPL"/>
    <x v="6"/>
    <s v="SFA"/>
    <m/>
    <n v="-1612.86"/>
    <m/>
    <m/>
    <n v="0"/>
    <n v="-1390.4"/>
    <n v="-222.46"/>
    <e v="#DIV/0!"/>
    <n v="0.1"/>
    <n v="-139.04000000000002"/>
    <m/>
    <m/>
    <n v="-139.04000000000002"/>
    <n v="-22.246400000000005"/>
    <n v="-161.28640000000001"/>
    <n v="-2.7808000000000006"/>
    <n v="0"/>
    <n v="-2.7808000000000006"/>
    <m/>
    <n v="-136.25920000000002"/>
    <m/>
    <m/>
    <n v="0"/>
    <m/>
    <m/>
    <n v="0"/>
    <m/>
    <n v="-161.28640000000001"/>
    <n v="-161.28640000000001"/>
    <n v="0"/>
    <s v="SFA"/>
    <d v="2022-05-18T00:00:00"/>
    <m/>
    <s v="CANCELLED"/>
    <s v="MOTOR TPL"/>
    <m/>
    <s v="MAYFAIR"/>
    <m/>
  </r>
  <r>
    <x v="4"/>
    <s v="Yes"/>
    <d v="2022-03-08T00:00:00"/>
    <d v="2022-04-12T00:00:00"/>
    <d v="2022-03-17T00:00:00"/>
    <d v="2022-03-17T00:00:00"/>
    <s v="000-233/AIB RDC/2022"/>
    <n v="1"/>
    <s v="RESILIATION"/>
    <s v="01-RCAP-2021-000086"/>
    <s v="NUTRI AFRICA"/>
    <s v="FOOD MANIFACTURERS"/>
    <s v="RAMSY"/>
    <s v="Apphia"/>
    <s v="MOTOR TPL"/>
    <s v="MOTOR TPL"/>
    <x v="6"/>
    <s v="SFA"/>
    <m/>
    <n v="-709.81"/>
    <m/>
    <m/>
    <n v="0"/>
    <n v="-611.91"/>
    <n v="-97.91"/>
    <e v="#DIV/0!"/>
    <n v="0.1"/>
    <n v="-61.191000000000003"/>
    <n v="0"/>
    <n v="0"/>
    <n v="-61.191000000000003"/>
    <n v="-9.790560000000001"/>
    <n v="-70.981560000000002"/>
    <n v="-1.2238200000000001"/>
    <m/>
    <n v="-1.2238200000000001"/>
    <m/>
    <n v="-59.967179999999999"/>
    <m/>
    <m/>
    <n v="0"/>
    <m/>
    <m/>
    <n v="0"/>
    <m/>
    <n v="-70.981560000000002"/>
    <n v="-70.981560000000002"/>
    <n v="0"/>
    <s v="SFA"/>
    <d v="2022-05-18T00:00:00"/>
    <m/>
    <s v="CANCELLED"/>
    <s v="MOTOR TPL"/>
    <m/>
    <m/>
    <m/>
  </r>
  <r>
    <x v="4"/>
    <s v="Yes"/>
    <d v="2022-03-08T00:00:00"/>
    <d v="2022-04-13T00:00:00"/>
    <d v="2022-03-17T00:00:00"/>
    <d v="2022-03-17T00:00:00"/>
    <s v="000-234/AIB RDC/2022"/>
    <n v="1"/>
    <s v="RESILIATION"/>
    <s v="01-RVP-2021-000023"/>
    <s v="MAFRICOM"/>
    <s v="FOOD MANIFACTURERS"/>
    <s v="RAMSY"/>
    <s v="Apphia"/>
    <s v="PVT"/>
    <s v="POLITICAL VIOLENCE"/>
    <x v="6"/>
    <s v="SFA"/>
    <m/>
    <n v="-942.21"/>
    <m/>
    <m/>
    <n v="0"/>
    <n v="-690.41"/>
    <n v="-129.96"/>
    <e v="#DIV/0!"/>
    <n v="0.15"/>
    <n v="-103.5615"/>
    <m/>
    <m/>
    <n v="-103.5615"/>
    <n v="-16.569839999999999"/>
    <n v="-120.13133999999999"/>
    <n v="-2.0712299999999999"/>
    <m/>
    <n v="-2.0712299999999999"/>
    <m/>
    <n v="-101.49027"/>
    <m/>
    <m/>
    <n v="0"/>
    <m/>
    <m/>
    <n v="0"/>
    <m/>
    <n v="-120.13133999999999"/>
    <n v="-120.13133999999999"/>
    <n v="0"/>
    <s v="SFA"/>
    <d v="2022-05-18T00:00:00"/>
    <m/>
    <s v="CANCELLED"/>
    <s v="PVT"/>
    <m/>
    <m/>
    <m/>
  </r>
  <r>
    <x v="4"/>
    <s v="Yes"/>
    <d v="2022-03-23T00:00:00"/>
    <d v="2022-03-02T00:00:00"/>
    <d v="2022-03-04T00:00:00"/>
    <d v="2022-04-03T00:00:00"/>
    <s v="000-235/AIB RDC/2022"/>
    <n v="0"/>
    <s v="SOUSCRIPTION"/>
    <s v="12003-33002-0005-111-00000176-2022 / 72000042"/>
    <s v="ORICA / Bolloré"/>
    <m/>
    <s v="SYNTYCHE"/>
    <s v="Victor"/>
    <s v="MARINE CARGO / GIT"/>
    <s v="MARINE"/>
    <x v="4"/>
    <s v="RAWSUR"/>
    <n v="5383"/>
    <n v="129.80000000000001"/>
    <n v="0"/>
    <n v="0"/>
    <n v="10"/>
    <n v="100"/>
    <n v="17.600000000000001"/>
    <n v="2.4112948170165339E-2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5-20T00:00:00"/>
    <m/>
    <s v="ONCE OFF"/>
    <s v="MARINE CARGO / GIT"/>
    <m/>
    <m/>
    <m/>
  </r>
  <r>
    <x v="4"/>
    <s v="Yes"/>
    <d v="2022-03-23T00:00:00"/>
    <d v="2022-03-25T00:00:00"/>
    <d v="2022-03-28T00:00:00"/>
    <d v="2022-04-27T00:00:00"/>
    <s v="000-236/AIB RDC/2022"/>
    <n v="0"/>
    <s v="SOUSCRIPTION"/>
    <s v="12003-33002-0005-111-00000253-2022 / 72000043"/>
    <s v="ORICA / Bolloré"/>
    <m/>
    <s v="SYNTYCHE"/>
    <s v="Victor"/>
    <s v="MARINE CARGO / GIT"/>
    <s v="MARINE"/>
    <x v="4"/>
    <s v="RAWSUR"/>
    <n v="13441"/>
    <n v="129.80000000000001"/>
    <n v="0"/>
    <n v="0"/>
    <n v="10"/>
    <n v="100"/>
    <n v="17.600000000000001"/>
    <n v="9.6570195669965046E-3"/>
    <n v="0.15"/>
    <n v="15"/>
    <m/>
    <m/>
    <n v="15"/>
    <n v="2.4"/>
    <n v="17.399999999999999"/>
    <n v="0.3"/>
    <m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4"/>
    <s v="Yes"/>
    <d v="2022-03-18T00:00:00"/>
    <d v="2022-04-04T00:00:00"/>
    <d v="2022-03-07T00:00:00"/>
    <d v="2022-12-07T00:00:00"/>
    <s v="000-237/AIB RDC/2022"/>
    <n v="3"/>
    <s v="INCORPORATION"/>
    <s v="12001-09002/3002/200 0000801"/>
    <s v="OPPORTUNITY INTERNATIONAL / Max Frédéric Woodley"/>
    <m/>
    <s v="ALICE"/>
    <s v="Alice"/>
    <s v="GPA"/>
    <s v="MEDICAL &amp; GPA"/>
    <x v="0"/>
    <s v="ACTIVA"/>
    <n v="0"/>
    <n v="182.32"/>
    <n v="0"/>
    <n v="0"/>
    <n v="10"/>
    <n v="147.18"/>
    <n v="25.14"/>
    <e v="#DIV/0!"/>
    <n v="0.1"/>
    <n v="14.718000000000002"/>
    <n v="0"/>
    <n v="0"/>
    <n v="14.718000000000002"/>
    <n v="2.3548800000000005"/>
    <n v="17.072880000000001"/>
    <n v="0.29436000000000007"/>
    <n v="0"/>
    <n v="0.29436000000000007"/>
    <m/>
    <n v="14.423640000000002"/>
    <s v="OLEA"/>
    <n v="0.35"/>
    <n v="5.0482740000000002"/>
    <m/>
    <m/>
    <n v="5.0482740000000002"/>
    <m/>
    <n v="17.072880000000001"/>
    <n v="17.072880000000001"/>
    <n v="0"/>
    <s v="ACTIVA"/>
    <d v="2022-05-20T00:00:00"/>
    <m/>
    <s v="RENEWED"/>
    <s v="GPA"/>
    <m/>
    <m/>
    <m/>
  </r>
  <r>
    <x v="8"/>
    <s v="Yes"/>
    <d v="2022-04-01T00:00:00"/>
    <d v="2022-04-01T00:00:00"/>
    <d v="2022-04-01T00:00:00"/>
    <d v="2023-03-31T00:00:00"/>
    <s v="000-238/AIB RDC/2022"/>
    <n v="0"/>
    <s v="SOUSCRIPTION"/>
    <s v="12005-33002-0010-13002-00001063-2022"/>
    <s v="Ivanhoe Mines Exploration DRC Sarl"/>
    <s v="MINING"/>
    <s v="ANDY"/>
    <s v="Andy"/>
    <s v="COMP MOTOR"/>
    <s v="MOTOR COMP"/>
    <x v="1"/>
    <s v="MAYFAIR"/>
    <n v="812603.42"/>
    <n v="32001.93"/>
    <n v="0"/>
    <m/>
    <n v="160"/>
    <n v="26960.28"/>
    <n v="4339.24"/>
    <n v="3.9381977988721728E-2"/>
    <n v="0.15"/>
    <n v="4044.0419999999995"/>
    <n v="0"/>
    <n v="0"/>
    <n v="4044.0419999999995"/>
    <n v="647.04671999999994"/>
    <n v="4691.0887199999997"/>
    <n v="80.880839999999992"/>
    <n v="0"/>
    <n v="80.880839999999992"/>
    <m/>
    <n v="3963.1611599999997"/>
    <m/>
    <m/>
    <n v="0"/>
    <m/>
    <m/>
    <n v="0"/>
    <m/>
    <n v="4691.0887199999997"/>
    <n v="4691.0887199999997"/>
    <n v="0"/>
    <s v="MAYFAIR"/>
    <d v="2022-05-18T00:00:00"/>
    <m/>
    <s v="RENEWED"/>
    <s v="COMP MOTOR"/>
    <m/>
    <m/>
    <m/>
  </r>
  <r>
    <x v="8"/>
    <s v="Yes"/>
    <d v="2022-04-01T00:00:00"/>
    <d v="2022-03-29T00:00:00"/>
    <d v="2022-04-01T00:00:00"/>
    <d v="2023-03-31T00:00:00"/>
    <s v="000-239/AIB RDC/2022"/>
    <n v="0"/>
    <s v="SOUSCRIPTION"/>
    <s v="33002-0009-112-0001511"/>
    <s v="Shalina Healthcare Sarl"/>
    <s v="Distribution"/>
    <s v="ANDY"/>
    <s v="Andy"/>
    <s v="FIRE"/>
    <s v="PROPERTIES"/>
    <x v="2"/>
    <s v="SUNU"/>
    <n v="12600000"/>
    <n v="13604.62"/>
    <n v="0"/>
    <m/>
    <n v="116.12"/>
    <n v="11612"/>
    <n v="1876.5"/>
    <n v="1.0797317460317462E-3"/>
    <n v="0.1"/>
    <n v="1161.2"/>
    <n v="0"/>
    <n v="0"/>
    <n v="1161.2"/>
    <n v="185.792"/>
    <n v="1346.992"/>
    <n v="23.224"/>
    <n v="0"/>
    <n v="23.224"/>
    <m/>
    <n v="1137.9760000000001"/>
    <m/>
    <m/>
    <n v="0"/>
    <m/>
    <m/>
    <n v="0"/>
    <m/>
    <n v="1346.992"/>
    <n v="1346.992"/>
    <n v="0"/>
    <s v="SUNU"/>
    <d v="2022-05-30T00:00:00"/>
    <m/>
    <s v="RENEWED"/>
    <s v="FIRE"/>
    <m/>
    <m/>
    <m/>
  </r>
  <r>
    <x v="8"/>
    <s v="Yes"/>
    <d v="2022-04-01T00:00:00"/>
    <d v="2022-04-01T00:00:00"/>
    <d v="2022-04-01T00:00:00"/>
    <d v="2023-03-31T00:00:00"/>
    <s v="000-240/AIB RDC/2022"/>
    <n v="0"/>
    <s v="SOUSCRIPTION"/>
    <s v="12001-33002-0006-112-000002091-2022"/>
    <s v="All Terrain DRC Service ( ATS)"/>
    <s v="Distribution"/>
    <s v="ANDY"/>
    <s v="Andy"/>
    <s v="FIRE"/>
    <s v="PROPERTIES"/>
    <x v="0"/>
    <s v="ACTIVA"/>
    <m/>
    <n v="679.28"/>
    <n v="0"/>
    <m/>
    <n v="10"/>
    <n v="575.59"/>
    <n v="93.69"/>
    <e v="#DIV/0!"/>
    <n v="0.1"/>
    <n v="57.559000000000005"/>
    <n v="0"/>
    <n v="0"/>
    <n v="57.559000000000005"/>
    <n v="9.2094400000000007"/>
    <n v="66.768439999999998"/>
    <n v="1.1511800000000001"/>
    <n v="0"/>
    <n v="1.1511800000000001"/>
    <m/>
    <n v="56.407820000000001"/>
    <m/>
    <m/>
    <n v="0"/>
    <m/>
    <m/>
    <n v="0"/>
    <m/>
    <n v="66.768439999999998"/>
    <n v="66.768439999999998"/>
    <n v="0"/>
    <s v="ACTIVA"/>
    <d v="2022-05-20T00:00:00"/>
    <m/>
    <s v="RENEWED"/>
    <s v="FIRE"/>
    <m/>
    <m/>
    <m/>
  </r>
  <r>
    <x v="8"/>
    <s v="Yes"/>
    <d v="2022-04-01T00:00:00"/>
    <d v="2022-04-01T00:00:00"/>
    <d v="2022-04-01T00:00:00"/>
    <d v="2023-03-31T00:00:00"/>
    <s v="000-241/AIB RDC/2022"/>
    <n v="0"/>
    <s v="SOUSCRIPTION"/>
    <s v="12001-33002-0005-113-000002092-2022"/>
    <s v="All Terrain DRC Service ( ATS)"/>
    <s v="Distribution"/>
    <s v="ANDY"/>
    <s v="Andy"/>
    <s v="GENERAL LIABILITY"/>
    <s v="LIABILITIES"/>
    <x v="0"/>
    <s v="ACTIVA"/>
    <m/>
    <n v="2719.28"/>
    <n v="0"/>
    <m/>
    <n v="23.21"/>
    <n v="2321"/>
    <n v="375.07"/>
    <e v="#DIV/0!"/>
    <n v="0.15"/>
    <n v="348.15"/>
    <n v="0"/>
    <n v="0"/>
    <n v="348.15"/>
    <n v="55.704000000000001"/>
    <n v="403.85399999999998"/>
    <n v="6.9630000000000001"/>
    <n v="0"/>
    <n v="6.9630000000000001"/>
    <m/>
    <n v="341.18699999999995"/>
    <m/>
    <m/>
    <n v="0"/>
    <m/>
    <m/>
    <n v="0"/>
    <m/>
    <n v="403.85399999999998"/>
    <n v="403.85399999999998"/>
    <n v="0"/>
    <s v="ACTIVA"/>
    <d v="2022-05-20T00:00:00"/>
    <m/>
    <s v="RENEWED"/>
    <s v="GENERAL LIABILITY"/>
    <m/>
    <m/>
    <m/>
  </r>
  <r>
    <x v="8"/>
    <s v="Yes"/>
    <d v="2022-04-02T00:00:00"/>
    <d v="2022-03-30T00:00:00"/>
    <d v="2022-04-02T00:00:00"/>
    <d v="2023-04-01T00:00:00"/>
    <s v="000-242/AIB RDC/2022"/>
    <n v="0"/>
    <s v="SOUSCRIPTION"/>
    <s v="12002-33002-0004-103-00016095-2022"/>
    <s v="AMBASSADE DE BELGIQUE"/>
    <s v="EMBASSY"/>
    <s v="RAMSY"/>
    <s v="Victor"/>
    <s v="MOTOR TPL"/>
    <s v="MOTOR TPL"/>
    <x v="6"/>
    <s v="SFA"/>
    <n v="0"/>
    <n v="3196.44"/>
    <m/>
    <m/>
    <m/>
    <n v="3087.5"/>
    <m/>
    <e v="#DIV/0!"/>
    <n v="0.1"/>
    <n v="308.75"/>
    <n v="0"/>
    <n v="0"/>
    <n v="308.75"/>
    <n v="49.4"/>
    <n v="358.15"/>
    <n v="6.1749999999999998"/>
    <n v="0"/>
    <n v="6.1749999999999998"/>
    <m/>
    <n v="302.57499999999999"/>
    <m/>
    <m/>
    <n v="0"/>
    <m/>
    <m/>
    <n v="0"/>
    <m/>
    <n v="358.15"/>
    <n v="358.15"/>
    <n v="0"/>
    <s v="SFA"/>
    <d v="2022-04-25T00:00:00"/>
    <m/>
    <s v="RENEWED"/>
    <s v="MOTOR TPL"/>
    <m/>
    <m/>
    <m/>
  </r>
  <r>
    <x v="8"/>
    <s v="Yes"/>
    <d v="2022-04-02T00:00:00"/>
    <d v="2022-03-26T00:00:00"/>
    <d v="2022-04-02T00:00:00"/>
    <d v="2023-04-01T00:00:00"/>
    <s v="000-243/AIB RDC/2022"/>
    <n v="0"/>
    <s v="SOUSCRIPTION"/>
    <s v="12002-33002-0004-103-00016080-2022"/>
    <s v="AMBASSADE DE BELGIQUE"/>
    <s v="EMBASSY"/>
    <s v="RAMSY"/>
    <s v="Victor"/>
    <s v="MOTOR TPL"/>
    <s v="MOTOR TPL"/>
    <x v="6"/>
    <s v="SFA"/>
    <n v="0"/>
    <n v="327.14999999999998"/>
    <m/>
    <m/>
    <m/>
    <n v="316"/>
    <m/>
    <e v="#DIV/0!"/>
    <n v="0.1"/>
    <n v="31.6"/>
    <n v="0"/>
    <n v="0"/>
    <n v="31.6"/>
    <n v="5.056"/>
    <n v="36.655999999999999"/>
    <n v="0.63200000000000001"/>
    <n v="0"/>
    <n v="0.63200000000000001"/>
    <m/>
    <n v="30.968"/>
    <m/>
    <m/>
    <n v="0"/>
    <m/>
    <m/>
    <n v="0"/>
    <m/>
    <n v="36.655999999999999"/>
    <n v="36.655999999999999"/>
    <n v="0"/>
    <s v="SFA"/>
    <d v="2022-04-25T00:00:00"/>
    <m/>
    <s v="RENEWED"/>
    <s v="MOTOR TPL"/>
    <m/>
    <m/>
    <m/>
  </r>
  <r>
    <x v="7"/>
    <s v="Yes"/>
    <d v="2022-07-07T00:00:00"/>
    <d v="2022-05-10T00:00:00"/>
    <d v="2022-05-06T00:00:00"/>
    <d v="2022-05-26T00:00:00"/>
    <s v="000-244/AIB RDC/2022"/>
    <n v="0"/>
    <s v="SOUSCRIPTION"/>
    <s v="33002-0004-119-0001409"/>
    <s v="Mme Levo Nana"/>
    <s v="INDIVIDUAL"/>
    <s v="ANDY"/>
    <s v="Andy"/>
    <s v="TRAVEL"/>
    <s v="MEDICAL &amp; GPA"/>
    <x v="2"/>
    <s v="SUNU"/>
    <n v="0"/>
    <n v="32.6"/>
    <n v="0"/>
    <m/>
    <m/>
    <n v="27.55"/>
    <m/>
    <e v="#DIV/0!"/>
    <n v="0.2"/>
    <n v="5.5100000000000007"/>
    <n v="0"/>
    <n v="0"/>
    <n v="5.5100000000000007"/>
    <n v="0.88160000000000016"/>
    <n v="6.3916000000000004"/>
    <n v="0.11020000000000002"/>
    <n v="0"/>
    <n v="0.11020000000000002"/>
    <m/>
    <n v="5.3998000000000008"/>
    <m/>
    <m/>
    <n v="0"/>
    <m/>
    <m/>
    <n v="0"/>
    <m/>
    <n v="6.3916000000000004"/>
    <n v="6.3916000000000004"/>
    <n v="0"/>
    <s v="SUNU"/>
    <d v="2022-06-01T00:00:00"/>
    <m/>
    <s v="ONCE OFF"/>
    <s v="TRAVEL"/>
    <m/>
    <m/>
    <m/>
  </r>
  <r>
    <x v="4"/>
    <s v="Yes"/>
    <d v="2022-03-08T00:00:00"/>
    <d v="2022-03-16T00:00:00"/>
    <d v="2022-03-09T00:00:00"/>
    <d v="2022-07-15T00:00:00"/>
    <s v="000-245/AIB RDC/2022"/>
    <n v="0"/>
    <s v="SOUSCRIPTION"/>
    <s v="12002-33002-0002-112-00016001-2022"/>
    <s v="Thomas stevens"/>
    <s v="INDIVIDUAL"/>
    <s v="RAMSY"/>
    <s v="Ramsy"/>
    <s v="FIRE"/>
    <s v="PROPERTIES"/>
    <x v="6"/>
    <s v="SFA"/>
    <n v="849390"/>
    <n v="728.8"/>
    <n v="0"/>
    <n v="0"/>
    <n v="13.02"/>
    <n v="604.61"/>
    <n v="98.82"/>
    <n v="8.5802752563604459E-4"/>
    <n v="0.2"/>
    <n v="120.92200000000001"/>
    <n v="0"/>
    <n v="0"/>
    <n v="120.92200000000001"/>
    <n v="19.347520000000003"/>
    <n v="140.26952"/>
    <n v="2.4184400000000004"/>
    <n v="0"/>
    <n v="2.4184400000000004"/>
    <m/>
    <n v="118.50356000000001"/>
    <m/>
    <m/>
    <n v="0"/>
    <m/>
    <m/>
    <n v="0"/>
    <m/>
    <n v="140.26952"/>
    <n v="140.26952"/>
    <n v="0"/>
    <s v="SFA"/>
    <d v="2022-04-25T00:00:00"/>
    <m/>
    <s v="ONCE OFF"/>
    <s v="FIRE"/>
    <m/>
    <m/>
    <m/>
  </r>
  <r>
    <x v="4"/>
    <s v="Yes"/>
    <d v="2022-03-18T00:00:00"/>
    <d v="2022-03-29T00:00:00"/>
    <d v="2022-03-09T00:00:00"/>
    <d v="2023-03-08T00:00:00"/>
    <s v="000-246/AIB RDC/2022"/>
    <n v="0"/>
    <s v="SOUSCRIPTION"/>
    <s v="12001-33002-007-121-00001496-2021"/>
    <s v="ELISABETH GLASER PEDIATRIC AIDS FOUNDATION ( EGPAF)"/>
    <m/>
    <s v="ANDY"/>
    <s v="Andy"/>
    <s v="FIRE"/>
    <s v="PROPERTIES"/>
    <x v="0"/>
    <s v="ACTIVA"/>
    <n v="0"/>
    <n v="4472.24"/>
    <n v="0"/>
    <n v="0"/>
    <n v="44.28"/>
    <n v="4427.8900000000003"/>
    <n v="0"/>
    <e v="#DIV/0!"/>
    <n v="0.1"/>
    <n v="442.78900000000004"/>
    <n v="0"/>
    <n v="0"/>
    <n v="442.78900000000004"/>
    <n v="70.846240000000009"/>
    <n v="513.63524000000007"/>
    <n v="8.8557800000000011"/>
    <n v="0"/>
    <n v="8.8557800000000011"/>
    <m/>
    <n v="433.93322000000006"/>
    <s v="OLEA"/>
    <n v="0.35"/>
    <n v="151.87662700000001"/>
    <m/>
    <m/>
    <n v="151.87662700000001"/>
    <m/>
    <n v="513.63524000000007"/>
    <n v="513.63524000000007"/>
    <n v="0"/>
    <s v="ACTIVA"/>
    <d v="2022-05-18T00:00:00"/>
    <m/>
    <s v="RENEWED"/>
    <s v="FIRE"/>
    <m/>
    <m/>
    <m/>
  </r>
  <r>
    <x v="4"/>
    <s v="Yes"/>
    <d v="2022-03-18T00:00:00"/>
    <d v="2022-03-29T00:00:00"/>
    <d v="2022-03-09T00:00:00"/>
    <d v="2023-03-08T00:00:00"/>
    <s v="000-247/AIB RDC/2022"/>
    <n v="0"/>
    <s v="SOUSCRIPTION"/>
    <s v="12001-33002-005-113-00001562-2021"/>
    <s v="ELISABETH GLASER PEDIATRIC AIDS FOUNDATION ( EGPAF)"/>
    <m/>
    <s v="ANDY"/>
    <s v="Andy"/>
    <s v="GENERAL LIABILITY"/>
    <s v="LIABILITIES"/>
    <x v="0"/>
    <s v="ACTIVA"/>
    <n v="0"/>
    <n v="3044.61"/>
    <n v="0"/>
    <n v="0"/>
    <n v="30.14"/>
    <n v="3014.47"/>
    <n v="0"/>
    <e v="#DIV/0!"/>
    <n v="0.15"/>
    <n v="452.17049999999995"/>
    <n v="0"/>
    <n v="0"/>
    <n v="452.17049999999995"/>
    <n v="72.347279999999998"/>
    <n v="524.5177799999999"/>
    <n v="9.0434099999999997"/>
    <n v="0"/>
    <n v="9.0434099999999997"/>
    <m/>
    <n v="443.12708999999995"/>
    <s v="OLEA"/>
    <n v="0.35"/>
    <n v="155.09448149999997"/>
    <m/>
    <m/>
    <n v="155.09448149999997"/>
    <m/>
    <n v="524.5177799999999"/>
    <n v="524.5177799999999"/>
    <n v="0"/>
    <s v="ACTIVA"/>
    <d v="2022-05-18T00:00:00"/>
    <m/>
    <s v="RENEWED"/>
    <s v="GENERAL LIABILITY"/>
    <m/>
    <m/>
    <m/>
  </r>
  <r>
    <x v="8"/>
    <s v="Yes"/>
    <d v="2022-04-12T00:00:00"/>
    <d v="2022-04-22T00:00:00"/>
    <d v="2022-04-20T00:00:00"/>
    <d v="2023-04-19T00:00:00"/>
    <s v="000-248/AIB RDC/2022"/>
    <n v="0"/>
    <s v="SOUSCRIPTION"/>
    <s v="12002-33002-0004-104-00016200-2022"/>
    <s v="Teichmann Group / T3 Projects"/>
    <s v="MINING"/>
    <s v="ANDY"/>
    <s v="Andy"/>
    <s v="COMP MOTOR"/>
    <s v="MOTOR COMP"/>
    <x v="6"/>
    <s v="SFA"/>
    <n v="204647.07"/>
    <n v="10843.51"/>
    <n v="0"/>
    <n v="0"/>
    <n v="135.74"/>
    <n v="9053.69"/>
    <n v="1470.3"/>
    <n v="5.2986392622186088E-2"/>
    <n v="0.15"/>
    <n v="1358.0535"/>
    <m/>
    <m/>
    <n v="1358.0535"/>
    <n v="217.28855999999999"/>
    <n v="1575.3420599999999"/>
    <n v="27.161069999999999"/>
    <n v="0"/>
    <n v="27.161069999999999"/>
    <m/>
    <n v="1330.8924299999999"/>
    <s v="O'NEILS"/>
    <n v="0.5"/>
    <n v="665.44621499999994"/>
    <n v="665.44621499999994"/>
    <d v="2022-11-02T00:00:00"/>
    <n v="0"/>
    <s v="PT011/AIB RDC/2022"/>
    <n v="1575.3420599999999"/>
    <n v="1575.3420599999999"/>
    <n v="0"/>
    <s v="SFA"/>
    <d v="2022-05-18T00:00:00"/>
    <m/>
    <s v="RENEWED"/>
    <s v="COMP MOTOR"/>
    <m/>
    <m/>
    <m/>
  </r>
  <r>
    <x v="8"/>
    <s v="Yes"/>
    <d v="2022-04-12T00:00:00"/>
    <d v="2022-04-19T00:00:00"/>
    <d v="2022-04-19T00:00:00"/>
    <d v="2023-04-18T00:00:00"/>
    <s v="000-249/AIB RDC/2022"/>
    <n v="0"/>
    <s v="SOUSCRIPTION"/>
    <s v="12002-33002-0004-104-00016188-2022"/>
    <s v="Teichmann Group / Kongo River"/>
    <s v="MINING"/>
    <s v="ANDY"/>
    <s v="Andy"/>
    <s v="COMP MOTOR"/>
    <s v="MOTOR COMP"/>
    <x v="6"/>
    <s v="SFA"/>
    <n v="741713"/>
    <n v="28259.74"/>
    <n v="0"/>
    <n v="0"/>
    <n v="353.8"/>
    <n v="23595.14"/>
    <n v="3831.83"/>
    <n v="3.8100640004961488E-2"/>
    <n v="0.15"/>
    <n v="3539.2709999999997"/>
    <m/>
    <m/>
    <n v="3539.2709999999997"/>
    <n v="566.28336000000002"/>
    <n v="4105.5543600000001"/>
    <n v="70.785420000000002"/>
    <n v="0"/>
    <n v="70.785420000000002"/>
    <m/>
    <n v="3468.4855799999996"/>
    <s v="O'NEILS"/>
    <n v="0.5"/>
    <n v="1734.2427899999998"/>
    <n v="1734.2427899999998"/>
    <d v="2022-11-02T00:00:00"/>
    <n v="0"/>
    <s v="PT011/AIB RDC/2022"/>
    <n v="4105.5543600000001"/>
    <n v="4105.5543600000001"/>
    <n v="0"/>
    <s v="SFA"/>
    <d v="2022-05-18T00:00:00"/>
    <m/>
    <s v="RENEWED"/>
    <s v="COMP MOTOR"/>
    <m/>
    <m/>
    <m/>
  </r>
  <r>
    <x v="8"/>
    <s v="Yes"/>
    <d v="2022-04-04T00:00:00"/>
    <d v="2022-04-06T00:00:00"/>
    <d v="2022-04-06T00:00:00"/>
    <d v="2023-04-05T00:00:00"/>
    <s v="000-250/AIB RDC/2022"/>
    <n v="0"/>
    <s v="SOUSCRIPTION"/>
    <s v="12002-33002-0004-104-00016133-2022"/>
    <s v="Group Optorg / Tractafric Equipment (Kolwezi)"/>
    <m/>
    <s v="ANDY"/>
    <s v="Andy"/>
    <s v="COMP MOTOR"/>
    <s v="MOTOR COMP"/>
    <x v="6"/>
    <s v="SFA"/>
    <n v="198797.02"/>
    <n v="10578.04"/>
    <n v="0"/>
    <n v="0"/>
    <n v="0"/>
    <n v="8831.9699999999993"/>
    <m/>
    <n v="5.3210254358943616E-2"/>
    <n v="0.15"/>
    <n v="1324.7954999999999"/>
    <m/>
    <m/>
    <n v="1324.7954999999999"/>
    <n v="211.96727999999999"/>
    <n v="1536.76278"/>
    <n v="26.495909999999999"/>
    <n v="0"/>
    <n v="26.495909999999999"/>
    <m/>
    <n v="1298.2995899999999"/>
    <s v="OLEA"/>
    <n v="0.35"/>
    <n v="454.40485649999994"/>
    <m/>
    <m/>
    <n v="454.40485649999994"/>
    <m/>
    <n v="1536.76278"/>
    <n v="1536.76278"/>
    <n v="0"/>
    <s v="SFA"/>
    <d v="2022-05-18T00:00:00"/>
    <m/>
    <m/>
    <s v="COMP MOTOR"/>
    <m/>
    <m/>
    <m/>
  </r>
  <r>
    <x v="8"/>
    <s v="Yes"/>
    <d v="2022-07-08T00:00:00"/>
    <d v="2022-05-01T00:00:00"/>
    <d v="2022-04-01T00:00:00"/>
    <d v="2023-03-31T00:00:00"/>
    <s v="000-251/AIB RDC/2022"/>
    <n v="1"/>
    <s v="RENOUVELLEMENT"/>
    <s v="12003-33002-0010-113-00000055-2022 / 60100001"/>
    <s v="CFAO RDC / CFAO Motors, Loxea &amp; CFAO Technologies"/>
    <s v="Distribution"/>
    <s v="ANDY"/>
    <s v="Andy"/>
    <s v="GENERAL LIABILITY"/>
    <s v="LIABILITIES"/>
    <x v="4"/>
    <s v="OLEA"/>
    <n v="91371028.640000001"/>
    <n v="6649.4"/>
    <n v="0"/>
    <n v="0"/>
    <n v="150"/>
    <n v="5485.0899999999992"/>
    <n v="901.6099999999999"/>
    <n v="7.2773614338944356E-5"/>
    <n v="0.08"/>
    <n v="438.80719999999997"/>
    <n v="0"/>
    <n v="0"/>
    <n v="438.80719999999997"/>
    <n v="70.209152000000003"/>
    <n v="509.01635199999998"/>
    <n v="8.7761440000000004"/>
    <n v="0"/>
    <n v="8.7761440000000004"/>
    <m/>
    <n v="430.03105599999998"/>
    <s v="OLEA"/>
    <n v="0.35"/>
    <n v="150.51086959999998"/>
    <m/>
    <m/>
    <n v="150.51086959999998"/>
    <m/>
    <n v="509.01635199999998"/>
    <n v="509.01635199999998"/>
    <n v="0"/>
    <s v="RAWSUR"/>
    <d v="2023-01-20T00:00:00"/>
    <m/>
    <s v="RENEWING..."/>
    <s v="GENERAL LIABILITY"/>
    <m/>
    <m/>
    <m/>
  </r>
  <r>
    <x v="8"/>
    <s v="Yes"/>
    <d v="2022-07-08T00:00:00"/>
    <d v="2022-06-27T00:00:00"/>
    <d v="2022-04-01T00:00:00"/>
    <d v="2023-03-31T00:00:00"/>
    <s v="000-252/AIB RDC/2022"/>
    <n v="0"/>
    <s v="SOUSCRIPTION"/>
    <s v="00016565"/>
    <s v="AIRTEL DRC"/>
    <s v="TELECOM"/>
    <s v="ANDY"/>
    <s v="Andy"/>
    <s v="FIRE"/>
    <s v="PROPERTIES"/>
    <x v="6"/>
    <s v="UAP OLD MUTUAL"/>
    <n v="50000000"/>
    <n v="139415.28"/>
    <n v="18932"/>
    <n v="-9516.49"/>
    <m/>
    <n v="107281.36"/>
    <n v="20194.14"/>
    <n v="2.7883055999999998E-3"/>
    <n v="0"/>
    <n v="0"/>
    <n v="2824.6529999999998"/>
    <n v="13211.99"/>
    <n v="16036.643"/>
    <n v="2565.8628800000001"/>
    <n v="18602.505880000001"/>
    <n v="320.73286000000002"/>
    <n v="0"/>
    <n v="320.73286000000002"/>
    <m/>
    <n v="15715.91014"/>
    <s v="Gras Savoye Kenya"/>
    <n v="0.48759218726355003"/>
    <n v="7662.9550000000045"/>
    <n v="7662.9550000000045"/>
    <d v="2022-09-21T00:00:00"/>
    <n v="0"/>
    <s v="PT005/AIB RDC/2022"/>
    <n v="18602.505880000001"/>
    <n v="18602.505880000001"/>
    <n v="0"/>
    <s v="SFA"/>
    <d v="2022-08-08T00:00:00"/>
    <m/>
    <s v="RENEWING..."/>
    <s v="FIRE"/>
    <m/>
    <m/>
    <m/>
  </r>
  <r>
    <x v="8"/>
    <s v="Yes"/>
    <d v="2022-04-11T00:00:00"/>
    <d v="2022-04-13T00:00:00"/>
    <d v="2022-04-13T00:00:00"/>
    <d v="2023-01-31T00:00:00"/>
    <s v="000-253/AIB RDC/2022"/>
    <n v="6"/>
    <s v="INCORPORATION"/>
    <s v="12001-33002-0001-104-0001845-2022"/>
    <s v="CFAO RDC / Loxea RDC"/>
    <s v="Distribution"/>
    <s v="ANDY"/>
    <s v="Andy"/>
    <s v="COMP MOTOR"/>
    <s v="MOTOR COMP"/>
    <x v="0"/>
    <s v="ACTIVA"/>
    <n v="87230"/>
    <n v="3135.45"/>
    <n v="0"/>
    <n v="0"/>
    <n v="26.76"/>
    <n v="2676.18"/>
    <n v="432.47"/>
    <n v="3.5944629141350451E-2"/>
    <n v="0.1469"/>
    <n v="393.13084199999997"/>
    <n v="0"/>
    <n v="80.285399999999996"/>
    <n v="473.41624199999995"/>
    <n v="75.746598719999994"/>
    <n v="549.16284071999996"/>
    <n v="9.4683248399999993"/>
    <n v="0"/>
    <n v="9.4683248399999993"/>
    <m/>
    <n v="463.94791715999997"/>
    <s v="Aucun"/>
    <m/>
    <n v="0"/>
    <m/>
    <m/>
    <n v="0"/>
    <m/>
    <n v="549.16284071999996"/>
    <n v="549.16284071999996"/>
    <n v="0"/>
    <s v="ACTIVA"/>
    <d v="2022-05-20T00:00:00"/>
    <m/>
    <s v="RENEWED"/>
    <s v="COMP MOTOR"/>
    <m/>
    <m/>
    <s v="Vérification auprès de Mr. Money pour confirmation du paiement "/>
  </r>
  <r>
    <x v="8"/>
    <s v="Yes"/>
    <d v="2022-04-11T00:00:00"/>
    <d v="2022-04-15T00:00:00"/>
    <d v="2022-04-15T00:00:00"/>
    <d v="2022-05-14T00:00:00"/>
    <s v="000-254/AIB RDC/2022"/>
    <n v="1"/>
    <s v="PROROGATION"/>
    <s v="12005-33002-0008-13001-00001525-2022"/>
    <s v="Liquid Telecom DRC"/>
    <s v="Communication"/>
    <s v="ANDY"/>
    <s v="Andy"/>
    <s v="FIRE"/>
    <s v="PROPERTIES"/>
    <x v="1"/>
    <s v="MAYFAIR"/>
    <n v="18246456.469999999"/>
    <n v="3785.75"/>
    <n v="0"/>
    <n v="0"/>
    <n v="20"/>
    <n v="3188.26"/>
    <n v="513.32000000000005"/>
    <n v="2.0747864146796719E-4"/>
    <n v="0.15"/>
    <n v="478.23900000000003"/>
    <m/>
    <m/>
    <n v="478.23900000000003"/>
    <n v="76.518240000000006"/>
    <n v="554.75724000000002"/>
    <n v="9.5647800000000007"/>
    <n v="0"/>
    <n v="9.5647800000000007"/>
    <m/>
    <n v="468.67422000000005"/>
    <s v="MARSH"/>
    <n v="0.3"/>
    <n v="140.60226600000001"/>
    <n v="93.73"/>
    <d v="2023-09-19T00:00:00"/>
    <n v="46.87226600000001"/>
    <m/>
    <n v="554.75724000000002"/>
    <n v="554.75724000000002"/>
    <n v="0"/>
    <s v="MAYFAIR"/>
    <d v="2023-10-04T00:00:00"/>
    <m/>
    <s v="RENEWED"/>
    <s v="FIRE"/>
    <m/>
    <m/>
    <s v="Le client ne fait que promettre le paiement jusque-là"/>
  </r>
  <r>
    <x v="8"/>
    <s v="Yes"/>
    <d v="2022-04-11T00:00:00"/>
    <d v="2022-04-15T00:00:00"/>
    <d v="2022-04-15T00:00:00"/>
    <d v="2022-05-14T00:00:00"/>
    <s v="000-255/AIB RDC/2022"/>
    <n v="1"/>
    <s v="PROROGATION"/>
    <s v="12005-33002-0009-13001-00001536-2022"/>
    <s v="Liquid Telecom DRC"/>
    <s v="Communication"/>
    <s v="ANDY"/>
    <s v="Andy"/>
    <s v="PVT"/>
    <s v="POLITICAL VIOLENCE"/>
    <x v="1"/>
    <s v="MAYFAIR"/>
    <n v="18246456.469999999"/>
    <n v="4346.67"/>
    <n v="0"/>
    <n v="0"/>
    <n v="20"/>
    <n v="3663.62"/>
    <n v="589.38"/>
    <n v="2.3821995285202904E-4"/>
    <n v="0.15"/>
    <n v="549.54300000000001"/>
    <m/>
    <m/>
    <n v="549.54300000000001"/>
    <n v="87.926879999999997"/>
    <n v="637.46987999999999"/>
    <n v="10.99086"/>
    <n v="0"/>
    <n v="10.99086"/>
    <m/>
    <n v="538.55214000000001"/>
    <s v="MARSH"/>
    <n v="0.3"/>
    <n v="161.565642"/>
    <n v="161.565642"/>
    <d v="2023-09-19T00:00:00"/>
    <n v="0"/>
    <m/>
    <n v="637.46987999999999"/>
    <n v="637.46987999999999"/>
    <n v="0"/>
    <s v="MAYFAIR"/>
    <d v="2023-10-04T00:00:00"/>
    <m/>
    <s v="RENEWED"/>
    <s v="PVT"/>
    <m/>
    <m/>
    <s v="Le client ne fait que promettre le paiement jusque-là"/>
  </r>
  <r>
    <x v="8"/>
    <s v="Yes"/>
    <d v="2022-04-11T00:00:00"/>
    <d v="2022-04-15T00:00:00"/>
    <d v="2022-04-15T00:00:00"/>
    <d v="2023-01-31T00:00:00"/>
    <s v="000-256/AIB RDC/2022"/>
    <n v="7"/>
    <s v="INCORPORATION"/>
    <s v="12001-33002-0001-104-0001845-2022"/>
    <s v="CFAO RDC / Loxea RDC"/>
    <s v="Distribution"/>
    <s v="ANDY"/>
    <s v="Andy"/>
    <s v="COMP MOTOR"/>
    <s v="MOTOR COMP"/>
    <x v="0"/>
    <s v="ACTIVA"/>
    <n v="886849"/>
    <n v="32202.83"/>
    <n v="0"/>
    <n v="0"/>
    <n v="276.86"/>
    <n v="27486.2"/>
    <n v="4441.7700000000004"/>
    <n v="3.6311514136002865E-2"/>
    <n v="0.14598343896209701"/>
    <n v="4012.5299999999907"/>
    <n v="0"/>
    <n v="824.58600000000001"/>
    <n v="4837.1159999999909"/>
    <n v="773.93855999999857"/>
    <n v="5611.0545599999896"/>
    <n v="96.742319999999822"/>
    <n v="0"/>
    <n v="96.742319999999822"/>
    <m/>
    <n v="4740.3736799999915"/>
    <s v="Aucun"/>
    <m/>
    <n v="0"/>
    <m/>
    <m/>
    <n v="0"/>
    <m/>
    <n v="5611.0545599999896"/>
    <n v="5611.0545599999896"/>
    <n v="0"/>
    <s v="ACTIVA"/>
    <d v="2022-07-06T00:00:00"/>
    <m/>
    <s v="RENEWED"/>
    <s v="COMP MOTOR"/>
    <m/>
    <m/>
    <m/>
  </r>
  <r>
    <x v="8"/>
    <s v="Yes"/>
    <d v="2022-04-12T00:00:00"/>
    <d v="2022-04-15T00:00:00"/>
    <d v="2022-04-15T00:00:00"/>
    <d v="2023-01-31T00:00:00"/>
    <s v="000-257/AIB RDC/2022"/>
    <n v="8"/>
    <s v="INCORPORATION"/>
    <s v="12001-33002-0001-104-0001845-2022"/>
    <s v="CFAO RDC / Loxea RDC"/>
    <s v="Distribution"/>
    <s v="ANDY"/>
    <s v="Andy"/>
    <s v="COMP MOTOR"/>
    <s v="MOTOR COMP"/>
    <x v="0"/>
    <s v="ACTIVA"/>
    <n v="96780"/>
    <n v="3987.75"/>
    <n v="0"/>
    <n v="0"/>
    <n v="34.04"/>
    <n v="3403.68"/>
    <n v="550.03"/>
    <n v="4.1204277743335398E-2"/>
    <n v="0.14604780707939599"/>
    <n v="497.09999999999854"/>
    <n v="0"/>
    <n v="102.11039999999998"/>
    <n v="599.21039999999857"/>
    <n v="95.873663999999778"/>
    <n v="695.08406399999831"/>
    <n v="11.984207999999972"/>
    <n v="0"/>
    <n v="11.984207999999972"/>
    <m/>
    <n v="587.2261919999986"/>
    <s v="Aucun"/>
    <m/>
    <n v="0"/>
    <m/>
    <m/>
    <n v="0"/>
    <m/>
    <n v="695.08406399999808"/>
    <n v="695.08406399999808"/>
    <n v="0"/>
    <s v="ACTIVA"/>
    <d v="2022-07-06T00:00:00"/>
    <m/>
    <s v="RENEWED"/>
    <s v="COMP MOTOR"/>
    <m/>
    <m/>
    <m/>
  </r>
  <r>
    <x v="8"/>
    <s v="Yes"/>
    <d v="2022-04-12T00:00:00"/>
    <d v="2022-04-27T00:00:00"/>
    <d v="2022-04-15T00:00:00"/>
    <d v="2022-09-06T00:00:00"/>
    <s v="000-258/AIB RDC/2022"/>
    <n v="5"/>
    <s v="INCORPORATION"/>
    <s v="01-TRA-2020-000059"/>
    <s v="Sandvik Mining &amp; Construction Sarl"/>
    <s v="MINING"/>
    <s v="ANDY"/>
    <s v="Andy"/>
    <s v="COMP MOTOR"/>
    <s v="MOTOR COMP"/>
    <x v="6"/>
    <s v="SFA"/>
    <n v="0"/>
    <n v="1428.29"/>
    <n v="0"/>
    <n v="0"/>
    <n v="17.89"/>
    <n v="1192.52"/>
    <n v="193.67"/>
    <e v="#DIV/0!"/>
    <n v="0.15"/>
    <n v="178.87799999999999"/>
    <n v="0"/>
    <n v="0"/>
    <n v="178.87799999999999"/>
    <n v="28.620479999999997"/>
    <n v="207.49847999999997"/>
    <n v="3.5775599999999996"/>
    <n v="0"/>
    <n v="3.5775599999999996"/>
    <m/>
    <n v="175.30043999999998"/>
    <s v="AFINBRO"/>
    <n v="0.5"/>
    <n v="87.65021999999999"/>
    <n v="87.65021999999999"/>
    <d v="2022-09-05T00:00:00"/>
    <n v="0"/>
    <s v="PT004/AIB RDC/2022"/>
    <n v="207.49847999999997"/>
    <n v="207.49847999999997"/>
    <n v="0"/>
    <s v="SFA"/>
    <d v="2022-05-18T00:00:00"/>
    <m/>
    <s v="RENEWED"/>
    <s v="COMP MOTOR"/>
    <m/>
    <m/>
    <m/>
  </r>
  <r>
    <x v="8"/>
    <s v="Yes"/>
    <d v="2022-04-20T00:00:00"/>
    <d v="2022-04-22T00:00:00"/>
    <d v="2022-04-23T00:00:00"/>
    <d v="2023-04-22T00:00:00"/>
    <s v="000-259/AIB RDC/2022"/>
    <n v="0"/>
    <s v="SOUSCRIPTION"/>
    <s v="12003-33002-0001-103-00000927-2022 / 30000011"/>
    <s v="Chemaf SA"/>
    <s v="MINING"/>
    <s v="ANDY"/>
    <s v="Andy"/>
    <s v="MOTOR TPL"/>
    <s v="MOTOR TPL"/>
    <x v="4"/>
    <s v="RAWSUR"/>
    <n v="0"/>
    <n v="308755.21999999997"/>
    <n v="0"/>
    <n v="0"/>
    <n v="1000"/>
    <n v="260657.93"/>
    <n v="41865.240000000005"/>
    <e v="#DIV/0!"/>
    <n v="0.1"/>
    <n v="26065.793000000001"/>
    <m/>
    <m/>
    <n v="26065.793000000001"/>
    <n v="4170.5268800000003"/>
    <n v="30236.319880000003"/>
    <n v="521.31586000000004"/>
    <n v="0"/>
    <n v="521.31586000000004"/>
    <m/>
    <n v="25544.477140000003"/>
    <m/>
    <m/>
    <n v="0"/>
    <m/>
    <m/>
    <n v="0"/>
    <m/>
    <n v="30236.319880000003"/>
    <n v="30236.319880000003"/>
    <n v="0"/>
    <s v="RAWSUR"/>
    <d v="2022-08-24T00:00:00"/>
    <m/>
    <s v="RENEWED"/>
    <s v="MOTOR TPL"/>
    <m/>
    <m/>
    <m/>
  </r>
  <r>
    <x v="7"/>
    <s v="Yes"/>
    <d v="2022-04-20T00:00:00"/>
    <d v="2022-05-03T00:00:00"/>
    <d v="2022-05-01T00:00:00"/>
    <d v="2022-06-30T00:00:00"/>
    <s v="000-260/AIB RDC/2022"/>
    <n v="2"/>
    <s v="PROROGATION"/>
    <s v="01-TRC-2020-000013"/>
    <s v="LUANO GRANDES PROPRIETES  S.A.R.L"/>
    <s v="CONSTRUCTION"/>
    <s v="ANDY"/>
    <s v="Andy"/>
    <s v="TRC"/>
    <s v="CONSTRUCTIONS"/>
    <x v="6"/>
    <s v="SFA"/>
    <n v="0"/>
    <n v="2061.6"/>
    <n v="0"/>
    <n v="0"/>
    <n v="20"/>
    <n v="1727.12"/>
    <n v="279.54000000000002"/>
    <e v="#DIV/0!"/>
    <n v="0.15"/>
    <n v="259.06799999999998"/>
    <m/>
    <m/>
    <n v="259.06799999999998"/>
    <n v="41.450879999999998"/>
    <n v="300.51887999999997"/>
    <n v="5.1813599999999997"/>
    <n v="0"/>
    <n v="5.1813599999999997"/>
    <m/>
    <n v="253.88663999999997"/>
    <m/>
    <m/>
    <n v="0"/>
    <m/>
    <m/>
    <n v="0"/>
    <m/>
    <n v="300.51887999999997"/>
    <n v="300.51887999999997"/>
    <n v="0"/>
    <s v="SFA"/>
    <d v="2022-06-23T00:00:00"/>
    <m/>
    <s v="EXTENDED"/>
    <s v="TRC"/>
    <m/>
    <m/>
    <m/>
  </r>
  <r>
    <x v="7"/>
    <s v="Yes"/>
    <d v="2022-04-20T00:00:00"/>
    <d v="2022-05-03T00:00:00"/>
    <d v="2022-05-01T00:00:00"/>
    <d v="2022-06-30T00:00:00"/>
    <s v="000-261/AIB RDC/2022"/>
    <n v="3"/>
    <s v="PROROGATION"/>
    <s v="01-TRC-2020-000015"/>
    <s v="LUANO GRANDES PROPRIETES  S.A.R.L"/>
    <s v="CONSTRUCTION"/>
    <s v="ANDY"/>
    <s v="Andy"/>
    <s v="TRC"/>
    <s v="CONSTRUCTIONS"/>
    <x v="6"/>
    <s v="SFA"/>
    <n v="0"/>
    <n v="3903.78"/>
    <n v="0"/>
    <n v="0"/>
    <n v="26.41"/>
    <n v="3281.88"/>
    <n v="529.33000000000004"/>
    <e v="#DIV/0!"/>
    <n v="0.15"/>
    <n v="492.28199999999998"/>
    <m/>
    <m/>
    <n v="492.28199999999998"/>
    <n v="78.765119999999996"/>
    <n v="571.04711999999995"/>
    <n v="9.8456399999999995"/>
    <n v="0"/>
    <n v="9.8456399999999995"/>
    <m/>
    <n v="482.43635999999998"/>
    <m/>
    <m/>
    <n v="0"/>
    <m/>
    <m/>
    <n v="0"/>
    <m/>
    <n v="571.04711999999995"/>
    <n v="571.04711999999995"/>
    <n v="0"/>
    <s v="SFA"/>
    <d v="2022-06-23T00:00:00"/>
    <m/>
    <s v="EXTENDED"/>
    <s v="TRC"/>
    <m/>
    <m/>
    <m/>
  </r>
  <r>
    <x v="7"/>
    <s v="Yes"/>
    <d v="2022-04-08T00:00:00"/>
    <d v="2022-04-08T00:00:00"/>
    <d v="2022-05-08T00:00:00"/>
    <d v="2022-05-16T00:00:00"/>
    <s v="000-262/AIB RDC/2022"/>
    <n v="0"/>
    <s v="SOUSCRIPTION"/>
    <s v="33002-0004-119-0001539"/>
    <s v="Mr ANGOUA Willy"/>
    <s v="PERSON"/>
    <s v="ANDY"/>
    <s v="Andy"/>
    <s v="TRAVEL"/>
    <s v="MEDICAL &amp; GPA"/>
    <x v="2"/>
    <s v="SUNU"/>
    <n v="0"/>
    <n v="15.22"/>
    <n v="0"/>
    <n v="0"/>
    <n v="0.26"/>
    <n v="12.86"/>
    <n v="2.1"/>
    <e v="#DIV/0!"/>
    <n v="0.2"/>
    <n v="2.5720000000000001"/>
    <m/>
    <m/>
    <n v="2.5720000000000001"/>
    <n v="0.41152"/>
    <n v="2.9835199999999999"/>
    <n v="5.144E-2"/>
    <n v="0"/>
    <n v="5.144E-2"/>
    <m/>
    <n v="2.5205600000000001"/>
    <m/>
    <m/>
    <n v="0"/>
    <m/>
    <m/>
    <n v="0"/>
    <m/>
    <n v="2.9835199999999999"/>
    <n v="2.9835199999999999"/>
    <n v="0"/>
    <s v="SUNU"/>
    <d v="2022-05-30T00:00:00"/>
    <m/>
    <s v="ONCE OFF"/>
    <s v="TRAVEL"/>
    <m/>
    <m/>
    <m/>
  </r>
  <r>
    <x v="9"/>
    <s v="Yes"/>
    <d v="2022-08-30T00:00:00"/>
    <d v="2022-08-29T00:00:00"/>
    <d v="2022-08-29T00:00:00"/>
    <d v="2023-01-31T00:00:00"/>
    <s v="000-263/AIB RDC/2022"/>
    <n v="17"/>
    <s v="INCORPORATION"/>
    <s v="12001-33002-0001-104-0001845-2023"/>
    <s v="CFAO RDC / Loxea RDC"/>
    <s v="Distribution"/>
    <s v="ANDY"/>
    <s v="Andy"/>
    <s v="COMP MOTOR"/>
    <s v="MOTOR COMP"/>
    <x v="0"/>
    <s v="ACTIVA"/>
    <n v="169084.31"/>
    <n v="4086.17"/>
    <n v="0"/>
    <n v="0"/>
    <n v="34.880000000000003"/>
    <n v="3487.69"/>
    <n v="563.6"/>
    <n v="2.4166464647133731E-2"/>
    <n v="0.14515338232469099"/>
    <n v="506.25000000000153"/>
    <n v="0"/>
    <n v="104.6307"/>
    <n v="610.88070000000153"/>
    <n v="97.74091200000025"/>
    <n v="708.62161200000173"/>
    <n v="12.217614000000031"/>
    <n v="0"/>
    <n v="12.217614000000031"/>
    <m/>
    <n v="598.6630860000015"/>
    <s v="Aucun"/>
    <m/>
    <n v="0"/>
    <m/>
    <m/>
    <n v="0"/>
    <m/>
    <n v="708.62161200000173"/>
    <n v="708.62161200000173"/>
    <n v="0"/>
    <s v="ACTIVA"/>
    <d v="2022-09-27T00:00:00"/>
    <m/>
    <s v="RENEWED"/>
    <s v="COMP MOTOR"/>
    <m/>
    <m/>
    <s v="Vérification auprès de Mr. Money pour confirmation du paiement "/>
  </r>
  <r>
    <x v="8"/>
    <s v="Yes"/>
    <d v="2022-04-04T00:00:00"/>
    <d v="2022-04-11T00:00:00"/>
    <d v="2022-04-07T00:00:00"/>
    <d v="2023-04-06T00:00:00"/>
    <s v="000-264/AIB RDC/2022"/>
    <n v="0"/>
    <s v="SOUSCRIPTION"/>
    <s v="2002-33002-0002-112-00016145-2022"/>
    <s v="KAMPI YA BOMA"/>
    <m/>
    <s v="SYNTYCHE"/>
    <s v="Grace"/>
    <s v="FIRE"/>
    <s v="PROPERTIES"/>
    <x v="6"/>
    <s v="SFA"/>
    <n v="0"/>
    <n v="6562.93"/>
    <n v="0"/>
    <n v="0"/>
    <m/>
    <n v="5524.18"/>
    <m/>
    <e v="#DIV/0!"/>
    <n v="0.1"/>
    <n v="552.41800000000001"/>
    <m/>
    <m/>
    <n v="552.41800000000001"/>
    <n v="88.386880000000005"/>
    <n v="640.80488000000003"/>
    <n v="11.048360000000001"/>
    <m/>
    <n v="11.048360000000001"/>
    <m/>
    <n v="541.36964"/>
    <m/>
    <m/>
    <n v="0"/>
    <m/>
    <m/>
    <n v="0"/>
    <m/>
    <n v="640.80488000000003"/>
    <n v="640.80488000000003"/>
    <n v="0"/>
    <s v="SFA"/>
    <d v="2022-05-18T00:00:00"/>
    <m/>
    <s v="RENEWED"/>
    <s v="FIRE"/>
    <m/>
    <m/>
    <m/>
  </r>
  <r>
    <x v="8"/>
    <s v="Yes"/>
    <d v="2022-04-12T00:00:00"/>
    <d v="2022-04-28T00:00:00"/>
    <d v="2022-04-28T00:00:00"/>
    <d v="2022-06-12T00:00:00"/>
    <s v="000-265/AIB RDC/2022"/>
    <n v="1"/>
    <s v="INCORPORATION"/>
    <s v="01-TRA-2020-000031"/>
    <s v="INDUSTRIAL SERVICES"/>
    <m/>
    <s v="SYNTYCHE"/>
    <s v="Grace"/>
    <s v="COMP MOTOR"/>
    <s v="MOTOR COMP"/>
    <x v="6"/>
    <s v="SFA"/>
    <n v="0"/>
    <n v="770.99"/>
    <n v="0"/>
    <n v="0"/>
    <n v="9.66"/>
    <n v="643.72"/>
    <n v="104.54"/>
    <e v="#DIV/0!"/>
    <n v="0.15"/>
    <n v="96.558000000000007"/>
    <n v="0"/>
    <n v="0"/>
    <n v="96.558000000000007"/>
    <n v="15.449280000000002"/>
    <n v="112.00728000000001"/>
    <n v="1.9311600000000002"/>
    <m/>
    <n v="1.9311600000000002"/>
    <m/>
    <n v="94.626840000000001"/>
    <m/>
    <m/>
    <n v="0"/>
    <m/>
    <m/>
    <n v="0"/>
    <m/>
    <n v="112.00728000000001"/>
    <n v="112.00728000000001"/>
    <n v="0"/>
    <s v="SFA"/>
    <d v="2022-05-18T00:00:00"/>
    <m/>
    <s v="RENEWED"/>
    <s v="COMP MOTOR"/>
    <m/>
    <m/>
    <m/>
  </r>
  <r>
    <x v="8"/>
    <s v="Yes"/>
    <d v="2022-04-18T00:00:00"/>
    <d v="2022-04-26T00:00:00"/>
    <d v="2022-04-25T00:00:00"/>
    <d v="2022-05-24T00:00:00"/>
    <s v="000-266/AIB RDC/2022"/>
    <n v="0"/>
    <s v="SOUSCRIPTION"/>
    <s v="12001-33002-0014-111-00002213-2022"/>
    <s v="BOLLORE TRANSPORT &amp; LOGISTICS RDC"/>
    <s v="TRANSPORT"/>
    <s v="SYNTYCHE"/>
    <s v="Grace"/>
    <s v="MARINE CARGO / GIT"/>
    <s v="MARINE"/>
    <x v="0"/>
    <s v="ACTIVA"/>
    <n v="0"/>
    <n v="38.4"/>
    <n v="0"/>
    <n v="0"/>
    <n v="10"/>
    <n v="23.1"/>
    <n v="5.2960000000000003"/>
    <e v="#DIV/0!"/>
    <n v="0.15"/>
    <n v="3.4650000000000003"/>
    <n v="0"/>
    <n v="0"/>
    <n v="3.4650000000000003"/>
    <n v="0.55440000000000011"/>
    <n v="4.0194000000000001"/>
    <n v="6.9300000000000014E-2"/>
    <n v="0"/>
    <n v="6.9300000000000014E-2"/>
    <m/>
    <n v="3.3957000000000002"/>
    <m/>
    <m/>
    <n v="0"/>
    <m/>
    <m/>
    <n v="0"/>
    <m/>
    <n v="4.0194000000000001"/>
    <n v="4.0194000000000001"/>
    <n v="0"/>
    <s v="ACTIVA"/>
    <d v="2022-05-20T00:00:00"/>
    <m/>
    <s v="ONCE OFF"/>
    <s v="MARINE CARGO / GIT"/>
    <m/>
    <m/>
    <m/>
  </r>
  <r>
    <x v="8"/>
    <s v="Yes"/>
    <d v="2022-04-12T00:00:00"/>
    <d v="2022-04-28T00:00:00"/>
    <d v="2022-04-27T00:00:00"/>
    <d v="2023-04-26T00:00:00"/>
    <s v="000-267/AIB RDC/2022"/>
    <n v="0"/>
    <s v="SOUSCRIPTION"/>
    <s v="12002-33002-0002-112-00016220-2022"/>
    <s v="DRINK STORE"/>
    <m/>
    <s v="SYNTYCHE"/>
    <s v="Grace"/>
    <s v="FIRE"/>
    <s v="PROPERTIES"/>
    <x v="6"/>
    <s v="SFA"/>
    <n v="0"/>
    <n v="508.64"/>
    <n v="0"/>
    <n v="0"/>
    <n v="20"/>
    <n v="411.05"/>
    <n v="68.97"/>
    <e v="#DIV/0!"/>
    <n v="0.1"/>
    <n v="41.105000000000004"/>
    <m/>
    <m/>
    <n v="41.105000000000004"/>
    <n v="6.5768000000000004"/>
    <n v="47.681800000000003"/>
    <n v="0.82210000000000005"/>
    <m/>
    <n v="0.82210000000000005"/>
    <m/>
    <n v="40.282900000000005"/>
    <m/>
    <m/>
    <n v="0"/>
    <m/>
    <m/>
    <n v="0"/>
    <m/>
    <n v="47.681800000000003"/>
    <n v="47.681800000000003"/>
    <n v="0"/>
    <s v="SFA"/>
    <d v="2022-05-18T00:00:00"/>
    <m/>
    <s v="RENEWING..."/>
    <s v="FIRE"/>
    <m/>
    <m/>
    <m/>
  </r>
  <r>
    <x v="8"/>
    <s v="Yes"/>
    <d v="2022-04-04T00:00:00"/>
    <d v="2022-04-07T00:00:00"/>
    <d v="2022-04-04T00:00:00"/>
    <d v="2022-04-06T00:00:00"/>
    <s v="000-268/AIB RDC/2022"/>
    <n v="0"/>
    <s v="SOUSCRIPTION"/>
    <s v="12002-33002-0022-111-00016137-2022"/>
    <s v="MANDLA SERVICES / Bolloré"/>
    <m/>
    <s v="SYNTYCHE"/>
    <s v="Victor"/>
    <s v="MARINE CARGO / GIT"/>
    <s v="MARINE"/>
    <x v="6"/>
    <s v="SFA"/>
    <n v="416.5"/>
    <n v="141.6"/>
    <n v="0"/>
    <n v="0"/>
    <m/>
    <n v="100"/>
    <m/>
    <n v="0.33997599039615845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SFA"/>
    <d v="2022-05-18T00:00:00"/>
    <m/>
    <s v="ONCE OFF"/>
    <s v="MARINE CARGO / GIT"/>
    <m/>
    <m/>
    <m/>
  </r>
  <r>
    <x v="8"/>
    <s v="Yes"/>
    <d v="2022-04-04T00:00:00"/>
    <d v="2022-04-07T00:00:00"/>
    <d v="2022-04-04T00:00:00"/>
    <d v="2022-04-06T00:00:00"/>
    <s v="000-269/AIB RDC/2022"/>
    <n v="0"/>
    <s v="SOUSCRIPTION"/>
    <s v="12002-33002-0022-111-00016138-2022"/>
    <s v="MANDLA SERVICES / Bolloré"/>
    <m/>
    <s v="SYNTYCHE"/>
    <s v="Victor"/>
    <s v="MARINE CARGO / GIT"/>
    <s v="MARINE"/>
    <x v="6"/>
    <s v="SFA"/>
    <n v="309.58999999999997"/>
    <n v="141.6"/>
    <n v="0"/>
    <n v="0"/>
    <m/>
    <n v="100"/>
    <m/>
    <n v="0.4573791143124778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SFA"/>
    <d v="2022-05-18T00:00:00"/>
    <m/>
    <s v="ONCE OFF"/>
    <s v="MARINE CARGO / GIT"/>
    <m/>
    <m/>
    <m/>
  </r>
  <r>
    <x v="8"/>
    <s v="Yes"/>
    <d v="2022-04-04T00:00:00"/>
    <d v="2022-04-07T00:00:00"/>
    <d v="2022-04-04T00:00:00"/>
    <d v="2022-04-06T00:00:00"/>
    <s v="000-270/AIB RDC/2022"/>
    <n v="0"/>
    <s v="SOUSCRIPTION"/>
    <s v="12002-33002-0022-111-00016139-2022"/>
    <s v="MANDLA SERVICES / Bolloré"/>
    <m/>
    <s v="SYNTYCHE"/>
    <s v="Victor"/>
    <s v="MARINE CARGO / GIT"/>
    <s v="MARINE"/>
    <x v="6"/>
    <s v="SFA"/>
    <n v="950.43"/>
    <n v="141.6"/>
    <n v="0"/>
    <n v="0"/>
    <m/>
    <n v="100"/>
    <m/>
    <n v="0.14898519617436318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SFA"/>
    <d v="2022-05-18T00:00:00"/>
    <m/>
    <s v="ONCE OFF"/>
    <s v="MARINE CARGO / GIT"/>
    <m/>
    <m/>
    <m/>
  </r>
  <r>
    <x v="8"/>
    <s v="Yes"/>
    <d v="2022-04-04T00:00:00"/>
    <d v="2022-04-05T00:00:00"/>
    <d v="2022-04-06T00:00:00"/>
    <d v="2022-07-05T00:00:00"/>
    <s v="000-271/AIB RDC/2022"/>
    <n v="0"/>
    <s v="SOUSCRIPTION"/>
    <s v="12003-33002-0005-111-00000281-2022 / 73200020"/>
    <s v="DEZIWA / Bolloré"/>
    <m/>
    <s v="SYNTYCHE"/>
    <s v="Michée"/>
    <s v="MARINE CARGO / GIT"/>
    <s v="MARINE"/>
    <x v="4"/>
    <s v="RAWSUR"/>
    <n v="2938282.96"/>
    <n v="10618.94"/>
    <n v="0"/>
    <n v="0"/>
    <m/>
    <n v="8709.1"/>
    <m/>
    <n v="3.6139950251762006E-3"/>
    <n v="0.15"/>
    <n v="1306.365"/>
    <m/>
    <m/>
    <n v="1306.365"/>
    <n v="209.01840000000001"/>
    <n v="1515.3833999999999"/>
    <n v="26.127300000000002"/>
    <m/>
    <n v="26.127300000000002"/>
    <m/>
    <n v="1280.2376999999999"/>
    <s v="BOLLORE"/>
    <n v="0.4"/>
    <n v="512.09507999999994"/>
    <n v="512.09507999999994"/>
    <d v="2022-09-30T00:00:00"/>
    <n v="0"/>
    <s v="PT008/AIB RDC/2022"/>
    <n v="1515.3833999999999"/>
    <n v="1515.3833999999999"/>
    <n v="0"/>
    <s v="RAWSUR"/>
    <d v="2022-05-20T00:00:00"/>
    <m/>
    <s v="ONCE OFF"/>
    <s v="MARINE CARGO / GIT"/>
    <m/>
    <m/>
    <m/>
  </r>
  <r>
    <x v="8"/>
    <s v="Yes"/>
    <d v="2022-04-12T00:00:00"/>
    <d v="2022-04-18T00:00:00"/>
    <d v="2022-04-21T00:00:00"/>
    <d v="2022-07-20T00:00:00"/>
    <s v="000-272/AIB RDC/2022"/>
    <n v="0"/>
    <s v="SOUSCRIPTION"/>
    <s v="12003-33002-0005-111-00000347-2022 / 73200021"/>
    <s v="WUHUANG CONSTRUCTION ET COMMERCE RDC SAS ( WHCC) / Bolloré"/>
    <m/>
    <s v="SYNTYCHE"/>
    <s v="Michée"/>
    <s v="MARINE CARGO / GIT"/>
    <s v="MARINE"/>
    <x v="4"/>
    <s v="RAWSUR"/>
    <n v="32659"/>
    <n v="165.95"/>
    <n v="0"/>
    <n v="0"/>
    <n v="10"/>
    <n v="130.84"/>
    <n v="22.5"/>
    <n v="5.0812945895465263E-3"/>
    <n v="0.15"/>
    <n v="19.626000000000001"/>
    <m/>
    <m/>
    <n v="19.626000000000001"/>
    <n v="3.1401600000000003"/>
    <n v="22.766160000000003"/>
    <n v="0.39252000000000004"/>
    <m/>
    <n v="0.39252000000000004"/>
    <m/>
    <n v="19.23348"/>
    <s v="BOLLORE"/>
    <n v="0.4"/>
    <n v="7.6933920000000002"/>
    <n v="7.6933920000000002"/>
    <d v="2022-09-30T00:00:00"/>
    <n v="0"/>
    <s v="PT008/AIB RDC/2022"/>
    <n v="22.766160000000003"/>
    <n v="22.766160000000003"/>
    <n v="0"/>
    <s v="RAWSUR"/>
    <d v="2022-05-20T00:00:00"/>
    <m/>
    <s v="ONCE OFF"/>
    <s v="MARINE CARGO / GIT"/>
    <m/>
    <m/>
    <m/>
  </r>
  <r>
    <x v="8"/>
    <s v="Yes"/>
    <d v="2022-04-15T00:00:00"/>
    <d v="2022-04-19T00:00:00"/>
    <d v="2022-04-19T00:00:00"/>
    <d v="2022-05-18T00:00:00"/>
    <s v="000-273/AIB RDC/2022"/>
    <n v="0"/>
    <s v="SOUSCRIPTION"/>
    <s v="12003-33002-0005-111-00000358-2022 / 72000044"/>
    <s v="MAKALA COAL COMPANY / Bolloré"/>
    <m/>
    <s v="SYNTYCHE"/>
    <s v="Michée"/>
    <s v="MARINE CARGO / GIT"/>
    <s v="MARINE"/>
    <x v="4"/>
    <s v="RAWSUR"/>
    <n v="1127"/>
    <n v="129.80000000000001"/>
    <n v="0"/>
    <n v="0"/>
    <n v="10"/>
    <n v="100"/>
    <n v="17.600000000000001"/>
    <n v="0.11517302573203195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5-20T00:00:00"/>
    <m/>
    <s v="ONCE OFF"/>
    <s v="MARINE CARGO / GIT"/>
    <m/>
    <m/>
    <m/>
  </r>
  <r>
    <x v="8"/>
    <s v="Yes"/>
    <d v="2022-04-15T00:00:00"/>
    <d v="2022-04-21T00:00:00"/>
    <d v="2022-04-19T00:00:00"/>
    <d v="2023-04-18T00:00:00"/>
    <s v="000-274/AIB RDC/2022"/>
    <n v="0"/>
    <s v="SOUSCRIPTION"/>
    <s v="12002-33002-0002-112-00016194-2022"/>
    <s v="ALLIED INSURANCE BROKERS ( AIB) RDC SA"/>
    <s v="INSURANCE"/>
    <s v="SYNTYCHE"/>
    <s v="Syntyche"/>
    <s v="FIRE"/>
    <s v="PROPERTIES"/>
    <x v="6"/>
    <s v="SFA"/>
    <n v="90000"/>
    <n v="365.83"/>
    <n v="0"/>
    <n v="0"/>
    <n v="20"/>
    <n v="290.02999999999997"/>
    <n v="49.6"/>
    <n v="4.0647777777777774E-3"/>
    <n v="0.1"/>
    <n v="29.003"/>
    <n v="0"/>
    <n v="0"/>
    <n v="29.003"/>
    <n v="4.6404800000000002"/>
    <n v="33.643479999999997"/>
    <n v="0.58006000000000002"/>
    <m/>
    <n v="0.58006000000000002"/>
    <m/>
    <n v="28.422940000000001"/>
    <m/>
    <m/>
    <n v="0"/>
    <m/>
    <m/>
    <n v="0"/>
    <m/>
    <n v="33.643479999999997"/>
    <n v="33.643479999999997"/>
    <n v="0"/>
    <s v="SFA"/>
    <d v="2022-05-18T00:00:00"/>
    <m/>
    <s v="RENEWED"/>
    <s v="FIRE"/>
    <m/>
    <m/>
    <m/>
  </r>
  <r>
    <x v="8"/>
    <s v="Yes"/>
    <d v="2022-04-05T00:00:00"/>
    <d v="2022-04-11T00:00:00"/>
    <d v="2022-04-07T00:00:00"/>
    <d v="2022-08-13T00:00:00"/>
    <s v="000-275/AIB RDC/2022"/>
    <n v="2"/>
    <s v="INCORPORATION"/>
    <s v="1/01/070/00048/2020"/>
    <s v="FABRI METAL CONGO SARL ( FAMECO)"/>
    <s v="MANUFACTURE"/>
    <s v="RAMSY"/>
    <s v="Apphia"/>
    <s v="MOTOR TPL"/>
    <s v="MOTOR TPL"/>
    <x v="1"/>
    <s v="MAYFAIR"/>
    <m/>
    <n v="161.21"/>
    <n v="0"/>
    <n v="0"/>
    <m/>
    <n v="116.62"/>
    <m/>
    <e v="#DIV/0!"/>
    <n v="0.1"/>
    <n v="11.662000000000001"/>
    <m/>
    <m/>
    <n v="11.662000000000001"/>
    <n v="1.8659200000000002"/>
    <n v="13.527920000000002"/>
    <n v="0.23324000000000003"/>
    <m/>
    <n v="0.23324000000000003"/>
    <m/>
    <n v="11.42876"/>
    <m/>
    <m/>
    <n v="0"/>
    <m/>
    <m/>
    <n v="0"/>
    <m/>
    <n v="13.527920000000002"/>
    <n v="13.527920000000002"/>
    <n v="0"/>
    <s v="MAYFAIR"/>
    <d v="2022-07-04T00:00:00"/>
    <m/>
    <s v="RENEWED"/>
    <s v="MOTOR TPL"/>
    <m/>
    <s v="MAYFAIR"/>
    <m/>
  </r>
  <r>
    <x v="8"/>
    <s v="Yes"/>
    <d v="2022-04-05T00:00:00"/>
    <d v="2022-04-09T00:00:00"/>
    <d v="2022-04-09T00:00:00"/>
    <d v="2023-04-08T00:00:00"/>
    <s v="000-276/AIB RDC/2022"/>
    <n v="0"/>
    <s v="SOUSCRIPTION"/>
    <s v="12005-33002-0010-13001-00001333-2022"/>
    <s v="GARDAWORLD DRC SARL"/>
    <s v="SECURITY"/>
    <s v="RAMSY"/>
    <s v="Apphia"/>
    <s v="MOTOR TPL"/>
    <s v="MOTOR TPL"/>
    <x v="1"/>
    <s v="MAYFAIR"/>
    <n v="0"/>
    <n v="3734.7"/>
    <n v="0"/>
    <n v="0"/>
    <n v="190"/>
    <n v="2975"/>
    <n v="506.4"/>
    <e v="#DIV/0!"/>
    <n v="0.1"/>
    <n v="297.5"/>
    <n v="0"/>
    <m/>
    <n v="297.5"/>
    <n v="47.6"/>
    <n v="345.1"/>
    <n v="5.95"/>
    <m/>
    <n v="5.95"/>
    <m/>
    <n v="291.55"/>
    <m/>
    <m/>
    <n v="0"/>
    <m/>
    <m/>
    <n v="0"/>
    <m/>
    <n v="345.1"/>
    <n v="345.1"/>
    <n v="0"/>
    <s v="MAYFAIR"/>
    <d v="2022-07-30T00:00:00"/>
    <m/>
    <s v="RENEWED"/>
    <s v="MOTOR TPL"/>
    <m/>
    <m/>
    <m/>
  </r>
  <r>
    <x v="3"/>
    <s v="Yes"/>
    <d v="2022-02-24T00:00:00"/>
    <d v="2022-03-15T00:00:00"/>
    <d v="2022-02-20T00:00:00"/>
    <d v="2023-02-19T00:00:00"/>
    <s v="000-277/AIB RDC/2022"/>
    <n v="1"/>
    <s v="RENOUVELLEMENT"/>
    <s v="12005-33002-0014-13001-00000271-2022"/>
    <s v="CONGO ŒUFS SARL"/>
    <s v="FOOD MANIFACTURERS"/>
    <s v="RAMSY"/>
    <s v="Apphia"/>
    <s v="GENERAL LIABILITY"/>
    <s v="LIABILITIES"/>
    <x v="1"/>
    <s v="MAYFAIR"/>
    <n v="0"/>
    <n v="2420.4"/>
    <n v="0"/>
    <n v="0"/>
    <n v="20"/>
    <n v="2352.94"/>
    <n v="0"/>
    <e v="#DIV/0!"/>
    <n v="0.15"/>
    <n v="352.94099999999997"/>
    <m/>
    <m/>
    <n v="352.94099999999997"/>
    <n v="0"/>
    <n v="352.94099999999997"/>
    <n v="7.0588199999999999"/>
    <m/>
    <n v="7.0588199999999999"/>
    <m/>
    <n v="345.88217999999995"/>
    <m/>
    <m/>
    <n v="0"/>
    <m/>
    <m/>
    <n v="0"/>
    <m/>
    <n v="352.94"/>
    <n v="352.94"/>
    <n v="0"/>
    <s v="MAYFAIR"/>
    <d v="2023-06-29T00:00:00"/>
    <m/>
    <s v="RENEWED"/>
    <s v="GENERAL LIABILITY"/>
    <m/>
    <m/>
    <s v="Paiement échelonné"/>
  </r>
  <r>
    <x v="3"/>
    <s v="Yes"/>
    <d v="2022-02-24T00:00:00"/>
    <d v="2022-03-15T00:00:00"/>
    <d v="2022-02-20T00:00:00"/>
    <d v="2023-02-19T00:00:00"/>
    <s v="000-278/AIB RDC/2022"/>
    <n v="1"/>
    <s v="RENOUVELLEMENT"/>
    <s v="12005-33002-0008-13001-00000270-2022"/>
    <s v="CONGO ŒUFS SARL"/>
    <s v="FOOD MANIFACTURERS"/>
    <s v="RAMSY"/>
    <s v="Apphia"/>
    <s v="PROPERTY DAMAGE &amp; BI"/>
    <s v="PROPERTIES"/>
    <x v="1"/>
    <s v="MAYFAIR"/>
    <n v="7380069.1799999997"/>
    <n v="10052.4"/>
    <n v="0"/>
    <n v="0"/>
    <n v="20"/>
    <n v="9835.2900000000009"/>
    <n v="0"/>
    <n v="1.3621010528250901E-3"/>
    <n v="0.15"/>
    <n v="1475.2935"/>
    <m/>
    <m/>
    <n v="1475.2935"/>
    <n v="0"/>
    <n v="1475.2935"/>
    <n v="29.505870000000002"/>
    <m/>
    <n v="29.505870000000002"/>
    <m/>
    <n v="1445.78763"/>
    <m/>
    <m/>
    <n v="0"/>
    <m/>
    <m/>
    <n v="0"/>
    <m/>
    <n v="1475.2935"/>
    <n v="1475.2935"/>
    <n v="0"/>
    <s v="MAYFAIR"/>
    <d v="2023-06-29T00:00:00"/>
    <m/>
    <s v="RENEWED"/>
    <s v="PROPERTY DAMAGE &amp; BI"/>
    <m/>
    <m/>
    <s v="Paiement échelonné"/>
  </r>
  <r>
    <x v="3"/>
    <s v="Yes"/>
    <d v="2022-02-24T00:00:00"/>
    <d v="2022-03-15T00:00:00"/>
    <d v="2022-02-20T00:00:00"/>
    <d v="2023-02-19T00:00:00"/>
    <s v="000-279/AIB RDC/2022"/>
    <n v="1"/>
    <s v="RENOUVELLEMENT"/>
    <s v="12005-33002-0009-13001-00000269-2022"/>
    <s v="CONGO ŒUFS SARL"/>
    <s v="FOOD MANIFACTURERS"/>
    <s v="RAMSY"/>
    <s v="Apphia"/>
    <s v="PVT"/>
    <s v="POLITICAL VIOLENCE"/>
    <x v="1"/>
    <s v="MAYFAIR"/>
    <n v="7380069.1799999997"/>
    <n v="5426.4"/>
    <n v="0"/>
    <n v="0"/>
    <n v="20"/>
    <n v="5300"/>
    <n v="0"/>
    <n v="7.3527766036469587E-4"/>
    <n v="0.05"/>
    <n v="265"/>
    <m/>
    <m/>
    <n v="265"/>
    <n v="0"/>
    <n v="265"/>
    <n v="5.3"/>
    <m/>
    <n v="5.3"/>
    <m/>
    <n v="259.7"/>
    <m/>
    <m/>
    <n v="0"/>
    <m/>
    <m/>
    <n v="0"/>
    <m/>
    <n v="265"/>
    <n v="265"/>
    <n v="0"/>
    <s v="MAYFAIR"/>
    <d v="2023-06-29T00:00:00"/>
    <m/>
    <s v="RENEWED"/>
    <s v="PVT"/>
    <m/>
    <m/>
    <s v="Paiement échelonné"/>
  </r>
  <r>
    <x v="8"/>
    <s v="Yes"/>
    <d v="2022-04-15T00:00:00"/>
    <d v="2022-04-23T00:00:00"/>
    <d v="2022-04-22T00:00:00"/>
    <d v="2022-06-20T00:00:00"/>
    <s v="000-280/AIB RDC/2022"/>
    <n v="0"/>
    <s v="SOUSCRIPTION"/>
    <s v="12002-33002-0022-111-00016203-2022"/>
    <s v="AFRICELL RDC Sa"/>
    <s v="TELECOM"/>
    <s v="RAMSY"/>
    <s v="Apphia"/>
    <s v="MARINE CARGO / GIT"/>
    <s v="MARINE"/>
    <x v="6"/>
    <s v="SFA"/>
    <n v="6929135"/>
    <n v="16102"/>
    <n v="0"/>
    <n v="0"/>
    <m/>
    <n v="13444.1"/>
    <m/>
    <n v="2.3238109807356905E-3"/>
    <n v="0.15"/>
    <n v="2016.615"/>
    <n v="0"/>
    <n v="0"/>
    <n v="2016.615"/>
    <n v="322.65840000000003"/>
    <n v="2339.2734"/>
    <n v="40.332300000000004"/>
    <n v="0"/>
    <n v="40.332300000000004"/>
    <m/>
    <n v="1976.2827"/>
    <m/>
    <n v="0"/>
    <n v="0"/>
    <m/>
    <m/>
    <n v="0"/>
    <m/>
    <n v="2339.2734"/>
    <n v="2339.2734"/>
    <n v="0"/>
    <s v="SFA"/>
    <d v="2022-05-18T00:00:00"/>
    <m/>
    <s v="ONCE OFF"/>
    <s v="MARINE CARGO / GIT"/>
    <m/>
    <m/>
    <m/>
  </r>
  <r>
    <x v="8"/>
    <s v="Yes"/>
    <d v="2022-04-15T00:00:00"/>
    <d v="2022-04-23T00:00:00"/>
    <d v="2022-04-22T00:00:00"/>
    <d v="2023-04-21T00:00:00"/>
    <s v="000-281/AIB RDC/2022"/>
    <n v="0"/>
    <s v="SOUSCRIPTION"/>
    <s v="12002-33002-0022-111-00016202-2022"/>
    <s v="AFRICELL RDC Sa"/>
    <s v="TELECOM"/>
    <s v="RAMSY"/>
    <s v="Apphia"/>
    <s v="MARINE CARGO / GIT"/>
    <s v="MARINE"/>
    <x v="6"/>
    <s v="SFA"/>
    <n v="6333241"/>
    <n v="16687.71"/>
    <n v="0"/>
    <n v="0"/>
    <m/>
    <n v="13933.13"/>
    <m/>
    <n v="2.634939993598854E-3"/>
    <n v="0.15"/>
    <n v="2089.9694999999997"/>
    <n v="0"/>
    <n v="0"/>
    <n v="2089.9694999999997"/>
    <n v="334.39511999999996"/>
    <n v="2424.3646199999998"/>
    <n v="41.799389999999995"/>
    <n v="0"/>
    <n v="41.799389999999995"/>
    <m/>
    <n v="2048.1701099999996"/>
    <m/>
    <n v="0"/>
    <n v="0"/>
    <m/>
    <m/>
    <n v="0"/>
    <m/>
    <n v="2424.3646199999998"/>
    <n v="2424.3646199999998"/>
    <n v="0"/>
    <s v="SFA"/>
    <d v="2022-05-18T00:00:00"/>
    <m/>
    <s v="RENEWED"/>
    <s v="MARINE CARGO / GIT"/>
    <m/>
    <m/>
    <m/>
  </r>
  <r>
    <x v="7"/>
    <s v="Yes"/>
    <d v="2022-04-27T00:00:00"/>
    <d v="2022-05-10T00:00:00"/>
    <d v="2022-05-07T00:00:00"/>
    <d v="2023-03-22T00:00:00"/>
    <s v="000-282/AIB RDC/2022"/>
    <n v="1"/>
    <s v="INCORPORATION"/>
    <s v="00016055"/>
    <s v="AFRICELL RDC Sa"/>
    <s v="TELECOM"/>
    <s v="RAMSY"/>
    <s v="Apphia"/>
    <s v="MOTOR TPL"/>
    <s v="MOTOR TPL"/>
    <x v="6"/>
    <s v="SFA"/>
    <n v="0"/>
    <n v="431.16"/>
    <n v="0"/>
    <n v="0"/>
    <n v="5.4"/>
    <n v="360"/>
    <n v="58.46"/>
    <e v="#DIV/0!"/>
    <n v="0.1"/>
    <n v="36"/>
    <n v="0"/>
    <n v="0"/>
    <n v="36"/>
    <n v="5.76"/>
    <n v="41.76"/>
    <n v="0.72"/>
    <n v="0"/>
    <n v="0.72"/>
    <m/>
    <n v="35.28"/>
    <s v="Aucun"/>
    <n v="0"/>
    <n v="0"/>
    <m/>
    <m/>
    <n v="0"/>
    <m/>
    <n v="41.76"/>
    <n v="41.76"/>
    <n v="0"/>
    <s v="SFA"/>
    <d v="2022-06-23T00:00:00"/>
    <m/>
    <s v="RENEWED"/>
    <s v="MOTOR TPL"/>
    <m/>
    <m/>
    <m/>
  </r>
  <r>
    <x v="7"/>
    <s v="Yes"/>
    <d v="2022-04-28T00:00:00"/>
    <d v="2022-05-13T00:00:00"/>
    <d v="2022-05-13T00:00:00"/>
    <d v="2023-03-22T00:00:00"/>
    <s v="000-283/AIB RDC/2022"/>
    <n v="1"/>
    <s v="INCORPORATION"/>
    <s v="00016054"/>
    <s v="AFRI MOBILE MONEY"/>
    <s v="TELECOM"/>
    <s v="RAMSY"/>
    <s v="Apphia"/>
    <s v="MOTOR TPL"/>
    <s v="MOTOR TPL"/>
    <x v="6"/>
    <s v="SFA"/>
    <n v="5500"/>
    <n v="431.16"/>
    <n v="0"/>
    <n v="0"/>
    <n v="5.4"/>
    <n v="360"/>
    <n v="58.46"/>
    <n v="7.8392727272727281E-2"/>
    <n v="0.1"/>
    <n v="36"/>
    <n v="0"/>
    <n v="0"/>
    <n v="36"/>
    <n v="5.76"/>
    <n v="41.76"/>
    <n v="0.72"/>
    <n v="0"/>
    <n v="0.72"/>
    <m/>
    <n v="35.28"/>
    <s v="Aucun"/>
    <n v="0"/>
    <n v="0"/>
    <m/>
    <m/>
    <n v="0"/>
    <m/>
    <n v="41.76"/>
    <n v="41.76"/>
    <n v="0"/>
    <s v="SFA"/>
    <d v="2022-06-23T00:00:00"/>
    <m/>
    <s v="RENEWED"/>
    <s v="MOTOR TPL"/>
    <m/>
    <m/>
    <m/>
  </r>
  <r>
    <x v="8"/>
    <s v="Yes"/>
    <d v="2022-04-15T00:00:00"/>
    <d v="2022-04-27T00:00:00"/>
    <d v="2022-04-26T00:00:00"/>
    <d v="2023-04-25T00:00:00"/>
    <s v="000-284/AIB RDC/2022"/>
    <n v="0"/>
    <s v="SOUSCRIPTION"/>
    <s v="12002-33002-0002-112-00016216-2022"/>
    <s v="NDAKO YA BANA"/>
    <s v="ONG"/>
    <s v="ALICE"/>
    <s v="Alice"/>
    <s v="FIRE"/>
    <s v="PROPERTIES"/>
    <x v="6"/>
    <s v="SFA"/>
    <n v="16000"/>
    <n v="209.73"/>
    <n v="0"/>
    <m/>
    <n v="20"/>
    <n v="157.74"/>
    <n v="28.44"/>
    <n v="1.3108125E-2"/>
    <n v="0.1"/>
    <n v="15.774000000000001"/>
    <m/>
    <m/>
    <n v="15.774000000000001"/>
    <n v="2.5238400000000003"/>
    <n v="18.297840000000001"/>
    <n v="0.31548000000000004"/>
    <n v="0"/>
    <n v="0.31548000000000004"/>
    <m/>
    <n v="15.45852"/>
    <m/>
    <m/>
    <n v="0"/>
    <m/>
    <m/>
    <n v="0"/>
    <m/>
    <n v="18.297840000000001"/>
    <n v="18.297840000000001"/>
    <n v="0"/>
    <s v="SFA"/>
    <d v="2022-05-18T00:00:00"/>
    <m/>
    <m/>
    <s v="FIRE"/>
    <m/>
    <m/>
    <m/>
  </r>
  <r>
    <x v="8"/>
    <s v="Yes"/>
    <d v="2022-04-04T00:00:00"/>
    <d v="2022-04-07T00:00:00"/>
    <d v="2022-04-06T00:00:00"/>
    <d v="2023-04-05T00:00:00"/>
    <s v="000-285/AIB RDC/2022"/>
    <n v="0"/>
    <s v="SOUSCRIPTION"/>
    <s v="00016140"/>
    <s v="CEGELEC RDC"/>
    <s v="Distribution"/>
    <s v="ALICE"/>
    <s v="Alice"/>
    <s v="FIRE"/>
    <s v="PROPERTIES"/>
    <x v="6"/>
    <s v="SFA"/>
    <m/>
    <n v="702.09"/>
    <n v="0"/>
    <n v="0"/>
    <m/>
    <n v="574.99"/>
    <m/>
    <e v="#DIV/0!"/>
    <n v="0.1"/>
    <n v="57.499000000000002"/>
    <m/>
    <m/>
    <n v="57.499000000000002"/>
    <n v="9.19984"/>
    <n v="66.698840000000004"/>
    <n v="1.14998"/>
    <n v="0"/>
    <n v="1.14998"/>
    <m/>
    <n v="56.349020000000003"/>
    <s v="Aucun"/>
    <m/>
    <n v="0"/>
    <m/>
    <m/>
    <n v="0"/>
    <m/>
    <n v="66.698840000000004"/>
    <n v="66.698840000000004"/>
    <n v="0"/>
    <s v="SFA"/>
    <d v="2022-05-18T00:00:00"/>
    <m/>
    <m/>
    <s v="FIRE"/>
    <m/>
    <m/>
    <m/>
  </r>
  <r>
    <x v="4"/>
    <s v="Yes"/>
    <d v="2022-03-18T00:00:00"/>
    <d v="2022-04-19T00:00:00"/>
    <d v="2022-03-10T00:00:00"/>
    <d v="2023-03-09T00:00:00"/>
    <s v="000-286/AIB RDC/2022"/>
    <n v="0"/>
    <s v="SOUSCRIPTION"/>
    <s v="12001-09007/3002/3300000493"/>
    <s v="TERMINAL CONTAINER KINSHASA (TCK)"/>
    <s v="TRANSPORT"/>
    <s v="ANDY"/>
    <s v="Michée"/>
    <s v="FIRE"/>
    <s v="PROPERTIES"/>
    <x v="0"/>
    <s v="ACTIVA"/>
    <m/>
    <n v="7364.36"/>
    <m/>
    <m/>
    <n v="62.86"/>
    <n v="6285.68"/>
    <n v="1015.77"/>
    <e v="#DIV/0!"/>
    <n v="0.1"/>
    <n v="628.5680000000001"/>
    <m/>
    <m/>
    <n v="628.5680000000001"/>
    <n v="100.57088000000002"/>
    <n v="729.13888000000009"/>
    <n v="12.571360000000002"/>
    <n v="0"/>
    <n v="12.571360000000002"/>
    <m/>
    <n v="615.99664000000007"/>
    <m/>
    <m/>
    <n v="0"/>
    <m/>
    <m/>
    <n v="0"/>
    <m/>
    <n v="729.13888000000009"/>
    <n v="729.13888000000009"/>
    <n v="0"/>
    <s v="ACTIVA"/>
    <d v="2022-05-20T00:00:00"/>
    <m/>
    <s v="RENEWED"/>
    <s v="FIRE"/>
    <m/>
    <m/>
    <s v="Ok, présentement mise en paiement dans l'état de janvier 2023."/>
  </r>
  <r>
    <x v="4"/>
    <s v="Yes"/>
    <d v="2022-03-23T00:00:00"/>
    <d v="2022-04-26T00:00:00"/>
    <d v="2022-03-13T00:00:00"/>
    <d v="2023-12-31T00:00:00"/>
    <s v="000-287/AIB RDC/2022"/>
    <n v="0"/>
    <s v="SOUSCRIPTION"/>
    <s v="12005-33002-0014-13001-00001504-2022"/>
    <s v="DRUGS FOR NEGLECTED DISEASES INITIATIVE (DNDI) KINSHASA"/>
    <m/>
    <s v="ALICE"/>
    <s v="Alice"/>
    <s v="PI"/>
    <s v="LIABILITIES"/>
    <x v="1"/>
    <s v="MAYFAIR"/>
    <m/>
    <n v="32674.89"/>
    <n v="0"/>
    <n v="0"/>
    <n v="20"/>
    <n v="27670.59"/>
    <n v="4430.49"/>
    <e v="#DIV/0!"/>
    <n v="4.4999999999999998E-2"/>
    <n v="1245.1765499999999"/>
    <m/>
    <m/>
    <n v="1245.1765499999999"/>
    <n v="199.22824799999998"/>
    <n v="1444.4047979999998"/>
    <n v="24.903530999999997"/>
    <n v="0"/>
    <n v="24.903530999999997"/>
    <m/>
    <n v="1220.273019"/>
    <m/>
    <m/>
    <n v="0"/>
    <m/>
    <m/>
    <n v="0"/>
    <m/>
    <n v="1444.4047979999998"/>
    <n v="1444.4047979999998"/>
    <n v="0"/>
    <s v="MAYFAIR"/>
    <d v="2022-06-07T00:00:00"/>
    <m/>
    <m/>
    <s v="PI"/>
    <m/>
    <m/>
    <m/>
  </r>
  <r>
    <x v="8"/>
    <s v="Yes"/>
    <d v="2022-04-18T00:00:00"/>
    <d v="2022-04-26T00:00:00"/>
    <d v="2022-04-18T00:00:00"/>
    <d v="2023-04-17T00:00:00"/>
    <s v="000-288/AIB RDC/2022"/>
    <n v="0"/>
    <s v="SOUSCRIPTION"/>
    <s v="12005-33002-0007-13001-00001732-2022"/>
    <s v="AFRICOS SARL"/>
    <m/>
    <s v="ALICE"/>
    <s v="Alice"/>
    <s v="MARINE CARGO / GIT"/>
    <s v="MARINE"/>
    <x v="1"/>
    <s v="MAYFAIR"/>
    <n v="0"/>
    <n v="62700"/>
    <n v="0"/>
    <n v="0"/>
    <n v="100"/>
    <n v="53036"/>
    <n v="8501"/>
    <e v="#DIV/0!"/>
    <n v="0.15"/>
    <n v="7955.4"/>
    <n v="0"/>
    <m/>
    <n v="7955.4"/>
    <n v="1272.864"/>
    <n v="9228.2639999999992"/>
    <n v="159.108"/>
    <n v="0"/>
    <n v="159.108"/>
    <m/>
    <n v="7796.2919999999995"/>
    <m/>
    <m/>
    <n v="0"/>
    <m/>
    <m/>
    <n v="0"/>
    <m/>
    <n v="9228.2639999999992"/>
    <n v="9228.2639999999992"/>
    <n v="0"/>
    <s v="MAYFAIR"/>
    <d v="2022-06-07T00:00:00"/>
    <m/>
    <m/>
    <s v="MARINE CARGO / GIT"/>
    <m/>
    <m/>
    <m/>
  </r>
  <r>
    <x v="8"/>
    <s v="Yes"/>
    <d v="2022-04-18T00:00:00"/>
    <d v="2022-04-29T00:00:00"/>
    <d v="2022-04-18T00:00:00"/>
    <d v="2023-04-17T00:00:00"/>
    <s v="000-289/AIB RDC/2022"/>
    <n v="0"/>
    <s v="SOUSCRIPTION"/>
    <s v="12005-33002-0008-13001-00001582-2022"/>
    <s v="LAXMAN CONGO SARL, GLOBAL TRADING CONGO SARL, BRAVIO COMERICO GERAL LDA"/>
    <m/>
    <s v="ALICE"/>
    <s v="Alice"/>
    <s v="FIRE"/>
    <s v="PROPERTIES"/>
    <x v="1"/>
    <s v="MAYFAIR"/>
    <n v="73760000"/>
    <n v="73318"/>
    <n v="0"/>
    <n v="0"/>
    <n v="300"/>
    <n v="61935"/>
    <n v="9957.92"/>
    <n v="9.940075921908893E-4"/>
    <n v="0.15"/>
    <n v="9290.25"/>
    <n v="0"/>
    <m/>
    <n v="9290.25"/>
    <n v="1486.44"/>
    <n v="10776.69"/>
    <n v="185.80500000000001"/>
    <n v="0"/>
    <n v="185.80500000000001"/>
    <m/>
    <n v="9104.4449999999997"/>
    <m/>
    <m/>
    <n v="0"/>
    <m/>
    <m/>
    <n v="0"/>
    <m/>
    <n v="10776.69"/>
    <n v="10776.69"/>
    <n v="0"/>
    <s v="MAYFAIR"/>
    <d v="2022-06-07T00:00:00"/>
    <m/>
    <m/>
    <s v="FIRE"/>
    <m/>
    <m/>
    <m/>
  </r>
  <r>
    <x v="3"/>
    <s v="Yes"/>
    <d v="2022-05-20T00:00:00"/>
    <d v="2022-05-31T00:00:00"/>
    <d v="2022-02-01T00:00:00"/>
    <d v="2022-07-27T00:00:00"/>
    <s v="000-290/AIB RDC/2022"/>
    <n v="1"/>
    <s v="INCORPORATION"/>
    <s v="01-AVI-2021-000011"/>
    <s v="Boss Mining"/>
    <s v="MINING"/>
    <s v="ANDY"/>
    <s v="Syntyche"/>
    <s v="AVIATION HULL ALL RISK"/>
    <s v="AVIATION"/>
    <x v="6"/>
    <s v="SFA"/>
    <n v="0"/>
    <n v="15811.34"/>
    <n v="1999.92"/>
    <n v="0"/>
    <n v="66.66"/>
    <n v="11332.86"/>
    <n v="2143.91"/>
    <e v="#DIV/0!"/>
    <n v="0"/>
    <n v="0"/>
    <n v="599.976"/>
    <n v="0"/>
    <n v="599.976"/>
    <n v="95.996160000000003"/>
    <n v="695.97216000000003"/>
    <n v="11.99952"/>
    <n v="0"/>
    <n v="11.99952"/>
    <m/>
    <n v="587.97648000000004"/>
    <m/>
    <m/>
    <n v="0"/>
    <m/>
    <m/>
    <n v="0"/>
    <m/>
    <n v="695.97216000000003"/>
    <n v="695.97216000000003"/>
    <n v="0"/>
    <s v="SFA"/>
    <d v="2022-06-23T00:00:00"/>
    <m/>
    <s v="RENEWED"/>
    <s v="AVIATION HULL ALL RISK"/>
    <m/>
    <m/>
    <m/>
  </r>
  <r>
    <x v="4"/>
    <s v="Yes"/>
    <d v="2022-05-23T00:00:00"/>
    <d v="2022-08-24T00:00:00"/>
    <d v="2022-03-01T00:00:00"/>
    <d v="2023-02-28T00:00:00"/>
    <s v="000-291/AIB RDC/2022"/>
    <n v="3"/>
    <s v="RENOUVELLEMENT"/>
    <n v="60100003"/>
    <s v="Ivanhoe Mines DRC (Kipushi Corporation - Ivanhoe Mines Energy DRS Sarl - Ivanhoe Mines Exploration Sarl)"/>
    <s v="MINING"/>
    <s v="ANDY"/>
    <s v="Andy"/>
    <s v="GENERAL LIABILITY"/>
    <s v="LIABILITIES"/>
    <x v="4"/>
    <s v="MARSH"/>
    <n v="1000000"/>
    <n v="13178.52"/>
    <n v="1672.24"/>
    <n v="0"/>
    <n v="20"/>
    <n v="9476"/>
    <n v="1786.92"/>
    <n v="1.3178520000000001E-2"/>
    <n v="0"/>
    <n v="0"/>
    <n v="501.67199999999997"/>
    <n v="0"/>
    <n v="501.67199999999997"/>
    <n v="80.26751999999999"/>
    <n v="581.9395199999999"/>
    <n v="10.033439999999999"/>
    <n v="0"/>
    <n v="10.033439999999999"/>
    <m/>
    <n v="491.63855999999998"/>
    <s v="MARSH"/>
    <n v="0"/>
    <n v="0"/>
    <m/>
    <m/>
    <n v="0"/>
    <m/>
    <n v="581.9395199999999"/>
    <n v="581.9395199999999"/>
    <n v="0"/>
    <s v="RAWSUR"/>
    <d v="2022-09-28T00:00:00"/>
    <m/>
    <s v="RENEWING..."/>
    <s v="GENERAL LIABILITY"/>
    <m/>
    <m/>
    <m/>
  </r>
  <r>
    <x v="4"/>
    <s v="Yes"/>
    <d v="2022-03-07T00:00:00"/>
    <d v="2022-05-01T00:00:00"/>
    <d v="2022-03-01T00:00:00"/>
    <d v="2023-02-28T00:00:00"/>
    <s v="000-292/AIB RDC/2022"/>
    <n v="3"/>
    <s v="RENOUVELLEMENT"/>
    <s v="12003-33002-0003-112-00000117-2022 / 45000007 / 45000004 / 45000005"/>
    <s v="Ivanhoe Mines DRC (Kipushi Corporation - Ivanhoe Mines Energy DRS Sarl - Ivanhoe Mines Exploration Sarl)"/>
    <s v="MINING"/>
    <s v="ANDY"/>
    <s v="Andy"/>
    <s v="FIRE"/>
    <s v="PROPERTIES"/>
    <x v="4"/>
    <s v="MARSH"/>
    <n v="86446091.489999995"/>
    <n v="293741.40000000002"/>
    <n v="37332.590000000004"/>
    <m/>
    <n v="50"/>
    <n v="211550.87999999998"/>
    <n v="39829.33"/>
    <n v="3.397972018595887E-3"/>
    <n v="0"/>
    <n v="0"/>
    <n v="11199.777"/>
    <n v="0"/>
    <n v="11199.777"/>
    <n v="1791.96432"/>
    <n v="12991.741320000001"/>
    <n v="223.99554000000001"/>
    <n v="0"/>
    <n v="223.99554000000001"/>
    <m/>
    <n v="10975.78146"/>
    <s v="MARSH"/>
    <n v="0"/>
    <n v="0"/>
    <m/>
    <m/>
    <n v="0"/>
    <m/>
    <n v="12991.741320000001"/>
    <n v="12991.741320000001"/>
    <n v="0"/>
    <s v="RAWSUR"/>
    <d v="2022-09-28T00:00:00"/>
    <m/>
    <s v="RENEWING..."/>
    <s v="FIRE"/>
    <m/>
    <m/>
    <m/>
  </r>
  <r>
    <x v="8"/>
    <s v="Yes"/>
    <d v="2022-04-21T00:00:00"/>
    <d v="2022-05-18T00:00:00"/>
    <d v="2022-04-21T00:00:00"/>
    <d v="2023-04-20T00:00:00"/>
    <s v="000-293/AIB RDC/2022"/>
    <n v="0"/>
    <s v="SOUSCRIPTION"/>
    <s v="12002-33002-0007-101-00016328-2022"/>
    <s v="Group Optorg / Tractafric Equipment"/>
    <s v="Distribution"/>
    <s v="ANDY"/>
    <s v="Andy"/>
    <s v="GPA"/>
    <s v="MEDICAL &amp; GPA"/>
    <x v="6"/>
    <s v="SFA"/>
    <n v="0"/>
    <n v="2392.42"/>
    <n v="0"/>
    <n v="0"/>
    <n v="179.11"/>
    <n v="1848.38"/>
    <n v="324.39"/>
    <e v="#DIV/0!"/>
    <n v="0.1"/>
    <n v="184.83800000000002"/>
    <n v="0"/>
    <n v="0"/>
    <n v="184.83800000000002"/>
    <n v="29.574080000000006"/>
    <n v="214.41208000000003"/>
    <n v="3.6967600000000007"/>
    <n v="0"/>
    <n v="3.6967600000000007"/>
    <m/>
    <n v="181.14124000000001"/>
    <s v="OLEA"/>
    <n v="0.35"/>
    <n v="63.399433999999999"/>
    <m/>
    <m/>
    <n v="63.399433999999999"/>
    <m/>
    <n v="214.41208000000003"/>
    <n v="214.41208000000003"/>
    <n v="0"/>
    <s v="SFA"/>
    <d v="2022-06-23T00:00:00"/>
    <m/>
    <m/>
    <s v="GPA"/>
    <m/>
    <m/>
    <m/>
  </r>
  <r>
    <x v="8"/>
    <s v="Yes"/>
    <d v="2022-05-25T00:00:00"/>
    <d v="2022-05-31T00:00:00"/>
    <d v="2022-04-01T00:00:00"/>
    <d v="2023-03-31T00:00:00"/>
    <s v="000-294/AIB RDC/2022"/>
    <n v="0"/>
    <s v="SOUSCRIPTION"/>
    <s v="12001-33002-0007-121-00002149-2022"/>
    <s v="CFAO RDC / CFAO Motors"/>
    <s v="Distribution"/>
    <s v="ANDY"/>
    <s v="Andy"/>
    <s v="FIRE"/>
    <s v="PROPERTIES"/>
    <x v="0"/>
    <s v="ACTIVA"/>
    <n v="46433927"/>
    <n v="46260.52"/>
    <n v="0"/>
    <n v="0"/>
    <n v="394.85"/>
    <n v="39484.910000000003"/>
    <n v="6380.76"/>
    <n v="9.9626551077620462E-4"/>
    <n v="0.1"/>
    <n v="3948.4910000000004"/>
    <n v="0"/>
    <n v="0"/>
    <n v="3948.4910000000004"/>
    <n v="631.7585600000001"/>
    <n v="4580.2495600000002"/>
    <n v="78.969820000000013"/>
    <n v="0"/>
    <n v="78.969820000000013"/>
    <m/>
    <n v="3869.5211800000006"/>
    <s v="OLEA"/>
    <n v="0.35"/>
    <n v="1354.3324130000001"/>
    <m/>
    <m/>
    <n v="1354.3324130000001"/>
    <m/>
    <n v="4580.2495600000002"/>
    <n v="4580.2495600000002"/>
    <n v="0"/>
    <s v="ACTIVA"/>
    <d v="2022-07-06T00:00:00"/>
    <m/>
    <s v="RENEWING..."/>
    <s v="FIRE"/>
    <m/>
    <m/>
    <m/>
  </r>
  <r>
    <x v="8"/>
    <s v="Yes"/>
    <d v="2022-05-25T00:00:00"/>
    <d v="2022-06-01T00:00:00"/>
    <d v="2022-04-01T00:00:00"/>
    <d v="2023-03-31T00:00:00"/>
    <s v="000-295/AIB RDC/2022"/>
    <n v="0"/>
    <s v="SOUSCRIPTION"/>
    <s v="12001-33002-0007-121-00002148-2022"/>
    <s v="CFAO RDC / CFAO Technologie"/>
    <s v="Technologie"/>
    <s v="ANDY"/>
    <s v="Andy"/>
    <s v="FIRE"/>
    <s v="PROPERTIES"/>
    <x v="0"/>
    <s v="ACTIVA"/>
    <n v="540385.4"/>
    <n v="536.24"/>
    <n v="0"/>
    <n v="0"/>
    <n v="4.58"/>
    <n v="457.7"/>
    <n v="73.959999999999994"/>
    <n v="9.9232880829126769E-4"/>
    <n v="0.1"/>
    <n v="45.77"/>
    <n v="0"/>
    <n v="0"/>
    <n v="45.77"/>
    <n v="7.3232000000000008"/>
    <n v="53.093200000000003"/>
    <n v="0.9154000000000001"/>
    <n v="0"/>
    <n v="0.9154000000000001"/>
    <m/>
    <n v="44.854600000000005"/>
    <s v="OLEA"/>
    <n v="0.35"/>
    <n v="15.699110000000001"/>
    <m/>
    <m/>
    <n v="15.699110000000001"/>
    <m/>
    <n v="53.093200000000003"/>
    <n v="53.093200000000003"/>
    <n v="0"/>
    <s v="ACTIVA"/>
    <d v="2022-07-29T00:00:00"/>
    <m/>
    <s v="RENEWING..."/>
    <s v="FIRE"/>
    <m/>
    <m/>
    <m/>
  </r>
  <r>
    <x v="8"/>
    <s v="Yes"/>
    <d v="2022-05-25T00:00:00"/>
    <d v="2022-06-02T00:00:00"/>
    <d v="2022-04-01T00:00:00"/>
    <d v="2023-03-31T00:00:00"/>
    <s v="000-296/AIB RDC/2022"/>
    <n v="0"/>
    <s v="SOUSCRIPTION"/>
    <s v="12001-33002-0007-121-00002147-2022"/>
    <s v="CFAO RDC / Loxea RDC"/>
    <s v="Distribution"/>
    <s v="ANDY"/>
    <s v="Andy"/>
    <s v="FIRE"/>
    <s v="PROPERTIES"/>
    <x v="0"/>
    <s v="ACTIVA"/>
    <n v="9187815.1999999993"/>
    <n v="9153.5"/>
    <n v="0"/>
    <n v="0"/>
    <n v="78.13"/>
    <n v="7812.82"/>
    <n v="1262.55"/>
    <n v="9.9626514037853093E-4"/>
    <n v="0.1"/>
    <n v="781.28200000000004"/>
    <n v="0"/>
    <n v="0"/>
    <n v="781.28200000000004"/>
    <n v="125.00512000000001"/>
    <n v="906.28712000000007"/>
    <n v="15.625640000000001"/>
    <n v="0"/>
    <n v="15.625640000000001"/>
    <m/>
    <n v="765.65636000000006"/>
    <s v="OLEA"/>
    <n v="0.35"/>
    <n v="267.97972600000003"/>
    <m/>
    <m/>
    <n v="267.97972600000003"/>
    <m/>
    <n v="906.28712000000007"/>
    <n v="906.28712000000007"/>
    <n v="0"/>
    <s v="ACTIVA"/>
    <d v="2022-07-29T00:00:00"/>
    <m/>
    <s v="RENEWING..."/>
    <s v="FIRE"/>
    <m/>
    <m/>
    <m/>
  </r>
  <r>
    <x v="10"/>
    <s v="Yes"/>
    <d v="2022-05-18T00:00:00"/>
    <d v="2023-03-27T00:00:00"/>
    <d v="2022-06-01T00:00:00"/>
    <d v="2023-05-31T00:00:00"/>
    <s v="000-297/AIB RDC/2022"/>
    <n v="0"/>
    <s v="SOUSCRIPTION"/>
    <n v="60100012"/>
    <s v="Barrick Gold Corporation/Kibali Gold"/>
    <s v="MINING"/>
    <s v="ANDY"/>
    <s v="Andy"/>
    <s v="GENERAL LIABILITY"/>
    <s v="LIABILITIES"/>
    <x v="4"/>
    <s v="GIB INSURANCE BROKERS"/>
    <n v="10000000"/>
    <n v="123830.59"/>
    <n v="15741.18"/>
    <n v="-6296.47"/>
    <n v="0"/>
    <n v="89200"/>
    <n v="16790.59"/>
    <n v="1.2383059E-2"/>
    <n v="0"/>
    <n v="0"/>
    <n v="2833.4129999999996"/>
    <n v="0"/>
    <n v="2833.4129999999996"/>
    <n v="453.34607999999992"/>
    <n v="3286.7590799999994"/>
    <n v="56.668259999999989"/>
    <n v="0"/>
    <n v="56.668259999999989"/>
    <m/>
    <n v="2776.7447399999996"/>
    <m/>
    <m/>
    <n v="0"/>
    <m/>
    <m/>
    <n v="0"/>
    <m/>
    <n v="3286.7590799999994"/>
    <n v="3286.7590799999994"/>
    <n v="0"/>
    <s v="RAWSUR"/>
    <d v="2023-04-27T00:00:00"/>
    <m/>
    <s v="RENEWING..."/>
    <s v="GENERAL LIABILITY"/>
    <m/>
    <m/>
    <m/>
  </r>
  <r>
    <x v="10"/>
    <s v="Yes"/>
    <d v="2022-04-21T00:00:00"/>
    <d v="2022-05-23T00:00:00"/>
    <d v="2022-06-01T00:00:00"/>
    <d v="2023-05-31T00:00:00"/>
    <s v="000-298/AIB RDC/2022"/>
    <n v="0"/>
    <s v="SOUSCRIPTION"/>
    <s v="12002-33002-0022-111-00016342-2022"/>
    <s v="KAMOA COPPER SA"/>
    <s v="MINING"/>
    <s v="ANDY"/>
    <s v="Andy"/>
    <s v="MARINE CARGO / GIT"/>
    <s v="MARINE"/>
    <x v="6"/>
    <s v="SFA"/>
    <n v="50000000"/>
    <n v="119021.44"/>
    <n v="0"/>
    <n v="0"/>
    <n v="1490.63"/>
    <n v="99375"/>
    <n v="16138.5"/>
    <n v="2.3804288000000002E-3"/>
    <n v="0.15"/>
    <n v="14906.25"/>
    <n v="0"/>
    <n v="0"/>
    <n v="14906.25"/>
    <n v="2385"/>
    <n v="17291.25"/>
    <n v="298.125"/>
    <m/>
    <n v="298.125"/>
    <m/>
    <n v="14608.125"/>
    <m/>
    <m/>
    <n v="0"/>
    <m/>
    <m/>
    <n v="0"/>
    <m/>
    <n v="17291.25"/>
    <n v="17291.25"/>
    <n v="0"/>
    <s v="SFA"/>
    <d v="2022-06-23T00:00:00"/>
    <m/>
    <s v="RENEWED"/>
    <s v="MARINE CARGO / GIT"/>
    <m/>
    <m/>
    <m/>
  </r>
  <r>
    <x v="10"/>
    <s v="Yes"/>
    <d v="2022-05-11T00:00:00"/>
    <d v="2022-06-13T00:00:00"/>
    <d v="2022-06-01T00:00:00"/>
    <d v="2023-05-31T00:00:00"/>
    <s v="000-299/AIB RDC/2022"/>
    <n v="0"/>
    <s v="SOUSCRIPTION"/>
    <s v="00016452"/>
    <s v="KAMOA COPPER SA"/>
    <s v="MINING"/>
    <s v="ANDY"/>
    <s v="Andy"/>
    <s v="FIRE"/>
    <s v="PROPERTIES"/>
    <x v="6"/>
    <s v="SFA"/>
    <n v="50000000"/>
    <n v="69250.039999999994"/>
    <n v="8426.4699999999993"/>
    <n v="0"/>
    <n v="260"/>
    <n v="50000"/>
    <n v="9389.84"/>
    <n v="1.3850007999999998E-3"/>
    <n v="0.1"/>
    <n v="5000"/>
    <n v="0"/>
    <n v="0"/>
    <n v="5000"/>
    <n v="800"/>
    <n v="5800"/>
    <n v="100"/>
    <m/>
    <n v="100"/>
    <m/>
    <n v="4900"/>
    <m/>
    <m/>
    <n v="0"/>
    <m/>
    <m/>
    <n v="0"/>
    <m/>
    <n v="5800"/>
    <n v="5800"/>
    <n v="0"/>
    <s v="SFA"/>
    <d v="2022-08-08T00:00:00"/>
    <m/>
    <s v="LOST"/>
    <s v="FIRE"/>
    <m/>
    <m/>
    <m/>
  </r>
  <r>
    <x v="10"/>
    <s v="Yes"/>
    <d v="2022-05-28T00:00:00"/>
    <d v="2022-05-30T00:00:00"/>
    <d v="2022-06-18T00:00:00"/>
    <d v="2022-09-30T00:00:00"/>
    <s v="000-300/AIB RDC/2022"/>
    <n v="0"/>
    <s v="SOUSCRIPTION"/>
    <s v="1449SCHRDC"/>
    <s v="JESSICA DESUZA"/>
    <s v="PERSON"/>
    <s v="ALICE"/>
    <s v="Alice"/>
    <s v="TRAVEL"/>
    <s v="MEDICAL &amp; GPA"/>
    <x v="2"/>
    <s v="SUNU"/>
    <n v="0"/>
    <n v="80.41"/>
    <n v="0"/>
    <n v="0"/>
    <n v="1.36"/>
    <n v="67.959999999999994"/>
    <n v="11.09"/>
    <e v="#DIV/0!"/>
    <n v="0.2"/>
    <n v="13.591999999999999"/>
    <n v="0"/>
    <n v="0"/>
    <n v="13.591999999999999"/>
    <n v="2.1747199999999998"/>
    <n v="15.766719999999999"/>
    <n v="0.27183999999999997"/>
    <m/>
    <n v="0.27183999999999997"/>
    <m/>
    <n v="13.32016"/>
    <m/>
    <m/>
    <n v="0"/>
    <m/>
    <m/>
    <n v="0"/>
    <m/>
    <n v="15.766719999999999"/>
    <n v="15.766719999999999"/>
    <n v="0"/>
    <s v="SUNU"/>
    <d v="2022-07-07T00:00:00"/>
    <m/>
    <s v="ONCE OFF"/>
    <s v="TRAVEL"/>
    <m/>
    <m/>
    <m/>
  </r>
  <r>
    <x v="7"/>
    <s v="Yes"/>
    <d v="2022-05-24T00:00:00"/>
    <d v="2022-05-27T00:00:00"/>
    <d v="2022-05-27T00:00:00"/>
    <d v="2023-02-04T00:00:00"/>
    <s v="000-301/AIB RDC/2022"/>
    <n v="2"/>
    <s v="INCORPORATION"/>
    <s v="01-TRA-2022-000008"/>
    <s v="Group Optorg / Katanga Motors"/>
    <s v="Distribution"/>
    <s v="ANDY"/>
    <s v="Andy"/>
    <s v="COMP MOTOR"/>
    <s v="MOTOR COMP"/>
    <x v="6"/>
    <s v="SFA"/>
    <n v="0"/>
    <n v="253.28"/>
    <n v="0"/>
    <n v="0"/>
    <n v="3.17"/>
    <n v="211.48"/>
    <n v="34.340000000000003"/>
    <e v="#DIV/0!"/>
    <n v="0.15"/>
    <n v="31.721999999999998"/>
    <n v="0"/>
    <n v="0"/>
    <n v="31.721999999999998"/>
    <n v="5.07552"/>
    <n v="36.797519999999999"/>
    <n v="0.63444"/>
    <m/>
    <n v="0.63444"/>
    <m/>
    <n v="31.087559999999996"/>
    <s v="OLEA"/>
    <n v="0.35"/>
    <n v="10.880645999999999"/>
    <m/>
    <m/>
    <n v="10.880645999999999"/>
    <m/>
    <n v="36.797519999999999"/>
    <n v="36.797519999999999"/>
    <n v="0"/>
    <s v="SFA"/>
    <d v="2023-03-20T00:00:00"/>
    <m/>
    <s v="RENEWED"/>
    <s v="COMP MOTOR"/>
    <m/>
    <m/>
    <m/>
  </r>
  <r>
    <x v="7"/>
    <s v="Yes"/>
    <d v="2022-05-27T00:00:00"/>
    <d v="2022-05-25T00:00:00"/>
    <d v="2022-05-27T00:00:00"/>
    <d v="2023-02-04T00:00:00"/>
    <s v="000-302/AIB RDC/2022"/>
    <n v="3"/>
    <s v="RISTOURNE"/>
    <s v="01-TRA-2022-000008"/>
    <s v="Group Optorg / Katanga Motors"/>
    <s v="Distribution"/>
    <s v="ANDY"/>
    <s v="Andy"/>
    <s v="COMP MOTOR"/>
    <s v="MOTOR COMP"/>
    <x v="6"/>
    <s v="SFA"/>
    <n v="0"/>
    <n v="-243.14"/>
    <n v="0"/>
    <n v="0"/>
    <n v="0"/>
    <n v="-209.6"/>
    <n v="-33.54"/>
    <e v="#DIV/0!"/>
    <n v="0.15"/>
    <n v="-31.439999999999998"/>
    <n v="0"/>
    <n v="0"/>
    <n v="-31.439999999999998"/>
    <n v="-5.0303999999999993"/>
    <n v="-36.470399999999998"/>
    <n v="-0.62879999999999991"/>
    <m/>
    <n v="-0.62879999999999991"/>
    <m/>
    <n v="-30.811199999999999"/>
    <s v="OLEA"/>
    <n v="0.35"/>
    <n v="-10.783919999999998"/>
    <m/>
    <m/>
    <n v="-10.783919999999998"/>
    <m/>
    <n v="-36.470399999999998"/>
    <n v="-36.470399999999998"/>
    <n v="0"/>
    <s v="SFA"/>
    <d v="2023-03-20T00:00:00"/>
    <m/>
    <s v="RENEWED"/>
    <s v="COMP MOTOR"/>
    <m/>
    <m/>
    <m/>
  </r>
  <r>
    <x v="7"/>
    <s v="Yes"/>
    <d v="2022-05-02T00:00:00"/>
    <d v="2022-05-10T00:00:00"/>
    <d v="2022-05-10T00:00:00"/>
    <d v="2023-05-09T00:00:00"/>
    <s v="000-303/AIB RDC/2022"/>
    <n v="0"/>
    <s v="SOUSCRIPTION"/>
    <s v="12003-33002-0001-103-00001062-2022 / 30000014 301"/>
    <s v="Kai Peng Mining Sarl (KPM)"/>
    <s v="MINING"/>
    <s v="ANDY"/>
    <s v="Nyota"/>
    <s v="MOTOR TPL"/>
    <s v="MOTOR TPL"/>
    <x v="4"/>
    <s v="RAWSUR"/>
    <n v="0"/>
    <n v="24732.78"/>
    <n v="0"/>
    <n v="0"/>
    <n v="400"/>
    <n v="20560"/>
    <n v="3353.49"/>
    <e v="#DIV/0!"/>
    <n v="0.1"/>
    <n v="2056"/>
    <m/>
    <m/>
    <n v="2056"/>
    <n v="328.96"/>
    <n v="2384.96"/>
    <n v="41.12"/>
    <m/>
    <n v="41.12"/>
    <m/>
    <n v="2014.88"/>
    <m/>
    <m/>
    <n v="0"/>
    <m/>
    <m/>
    <n v="0"/>
    <m/>
    <n v="2384.96"/>
    <n v="2384.96"/>
    <n v="0"/>
    <s v="RAWSUR"/>
    <d v="2022-07-05T00:00:00"/>
    <m/>
    <m/>
    <s v="MOTOR TPL"/>
    <m/>
    <m/>
    <m/>
  </r>
  <r>
    <x v="7"/>
    <s v="Yes"/>
    <d v="2022-05-18T00:00:00"/>
    <d v="2022-05-30T00:00:00"/>
    <d v="2022-05-12T00:00:00"/>
    <d v="2023-01-31T00:00:00"/>
    <s v="000-304/AIB RDC/2022"/>
    <n v="9"/>
    <s v="INCORPORATION"/>
    <s v="12001-33002-0001-104-0001845-2022"/>
    <s v="CFAO RDC / Loxea RDC"/>
    <s v="Distribution"/>
    <s v="ANDY"/>
    <s v="Andy"/>
    <s v="COMP MOTOR"/>
    <s v="MOTOR COMP"/>
    <x v="0"/>
    <s v="ACTIVA"/>
    <n v="38860"/>
    <n v="1319.26"/>
    <n v="0"/>
    <n v="0"/>
    <n v="11.26"/>
    <n v="1126.03"/>
    <n v="181.97"/>
    <n v="3.3949047864127641E-2"/>
    <n v="0.14686606397527699"/>
    <n v="165.37559401808113"/>
    <n v="0"/>
    <n v="33.780899999999995"/>
    <n v="199.15649401808113"/>
    <n v="31.865039042892981"/>
    <n v="231.02153306097412"/>
    <n v="3.9831298803616226"/>
    <n v="0"/>
    <n v="3.9831298803616226"/>
    <m/>
    <n v="195.17336413771952"/>
    <s v="Aucun"/>
    <m/>
    <n v="0"/>
    <m/>
    <m/>
    <n v="0"/>
    <m/>
    <n v="231.02153306097412"/>
    <n v="231.02153306097412"/>
    <n v="0"/>
    <s v="ACTIVA"/>
    <d v="2022-07-06T00:00:00"/>
    <m/>
    <s v="RENEWED"/>
    <s v="COMP MOTOR"/>
    <m/>
    <m/>
    <s v="Vérification auprès de Mr. Money pour confirmation du paiement "/>
  </r>
  <r>
    <x v="7"/>
    <s v="Yes"/>
    <d v="2022-05-14T00:00:00"/>
    <d v="2023-09-05T00:00:00"/>
    <d v="2022-05-15T00:00:00"/>
    <d v="2023-04-14T00:00:00"/>
    <s v="000-305/AIB RDC/2022"/>
    <n v="2"/>
    <s v="RENOUVELLEMENT"/>
    <s v="12005-33002-0009-13001-00001536-2022"/>
    <s v="Liquid Telecom DRC"/>
    <s v="Communication"/>
    <s v="ANDY"/>
    <s v="Andy"/>
    <s v="PVT"/>
    <s v="POLITICAL VIOLENCE"/>
    <x v="1"/>
    <s v="MAYFAIR"/>
    <n v="18246456.469999999"/>
    <n v="48392.26"/>
    <n v="0"/>
    <n v="0"/>
    <n v="100"/>
    <n v="40910.39"/>
    <n v="6561.66"/>
    <n v="2.652145641514799E-3"/>
    <n v="0.15"/>
    <n v="6136.5585000000001"/>
    <m/>
    <m/>
    <n v="6136.5585000000001"/>
    <n v="981.84936000000005"/>
    <n v="7118.4078600000003"/>
    <n v="122.73117000000001"/>
    <n v="0"/>
    <n v="122.73117000000001"/>
    <m/>
    <n v="6013.8273300000001"/>
    <s v="MARSH"/>
    <n v="0.3"/>
    <n v="1804.148199"/>
    <n v="1804.148199"/>
    <d v="2023-09-19T00:00:00"/>
    <n v="0"/>
    <m/>
    <n v="7118.4078600000003"/>
    <n v="7118.4078600000003"/>
    <n v="0"/>
    <s v="MAYFAIR"/>
    <d v="2023-11-01T00:00:00"/>
    <m/>
    <s v="RENEWING..."/>
    <s v="PVT"/>
    <m/>
    <m/>
    <s v="Le client ne fait que promettre le paiement jusque-là"/>
  </r>
  <r>
    <x v="7"/>
    <s v="Yes"/>
    <d v="2022-05-14T00:00:00"/>
    <d v="2023-08-21T00:00:00"/>
    <d v="2022-05-15T00:00:00"/>
    <d v="2023-04-14T00:00:00"/>
    <s v="000-306/AIB RDC/2022"/>
    <n v="2"/>
    <s v="RENOUVELLEMENT"/>
    <s v="12005-33002-0008-13001-00001525-2022"/>
    <s v="Liquid Telecom DRC"/>
    <s v="Communication"/>
    <s v="ANDY"/>
    <s v="Andy"/>
    <s v="FIRE"/>
    <s v="PROPERTIES"/>
    <x v="1"/>
    <s v="MAYFAIR"/>
    <n v="18246456.469999999"/>
    <n v="42128.69"/>
    <n v="0"/>
    <n v="0"/>
    <n v="100"/>
    <n v="35602.28"/>
    <n v="5712.36"/>
    <n v="2.308869673915376E-3"/>
    <n v="0.15"/>
    <n v="5340.3419999999996"/>
    <m/>
    <n v="5340.3419999999996"/>
    <n v="10680.683999999999"/>
    <n v="1708.9094399999999"/>
    <n v="12389.593439999999"/>
    <n v="213.61367999999999"/>
    <n v="0"/>
    <n v="213.61367999999999"/>
    <m/>
    <n v="10467.070319999999"/>
    <s v="MARSH"/>
    <n v="0.3"/>
    <n v="3140.1210959999994"/>
    <n v="1046.71"/>
    <d v="2023-09-19T00:00:00"/>
    <n v="2093.4110959999994"/>
    <m/>
    <n v="12389.593439999999"/>
    <n v="12389.593439999999"/>
    <n v="0"/>
    <s v="MAYFAIR"/>
    <d v="2023-10-04T00:00:00"/>
    <m/>
    <s v="RENEWING..."/>
    <s v="FIRE"/>
    <m/>
    <m/>
    <s v="Le client ne fait que promettre le paiement jusque-là"/>
  </r>
  <r>
    <x v="7"/>
    <s v="Yes"/>
    <d v="2022-05-19T00:00:00"/>
    <d v="2022-06-02T00:00:00"/>
    <d v="2022-05-18T00:00:00"/>
    <d v="2023-06-30T00:00:00"/>
    <s v="000-307/AIB RDC/2022"/>
    <n v="0"/>
    <s v="SOUSCRIPTION"/>
    <s v="12005-33002-0007-13001-00002326-2022"/>
    <s v="Teichmann Group / T3 Projects"/>
    <s v="MINING"/>
    <s v="ANDY"/>
    <s v="Andy"/>
    <s v="MARINE CARGO / GIT"/>
    <s v="MARINE"/>
    <x v="1"/>
    <s v="MAYFAIR"/>
    <n v="2070000"/>
    <n v="5492"/>
    <n v="0"/>
    <n v="0"/>
    <n v="100"/>
    <n v="4554"/>
    <n v="745"/>
    <n v="2.6531400966183574E-3"/>
    <n v="0.15"/>
    <n v="683.1"/>
    <m/>
    <m/>
    <n v="683.1"/>
    <n v="109.29600000000001"/>
    <n v="792.39600000000007"/>
    <n v="13.662000000000001"/>
    <n v="0"/>
    <n v="13.662000000000001"/>
    <m/>
    <n v="669.43799999999999"/>
    <s v="O'NEILS"/>
    <n v="0.5"/>
    <n v="334.71899999999999"/>
    <n v="334.71899999999999"/>
    <d v="2022-11-02T00:00:00"/>
    <n v="0"/>
    <s v="PT011/AIB RDC/2022"/>
    <n v="792.39600000000007"/>
    <n v="792.39600000000007"/>
    <n v="0"/>
    <s v="MAYFAIR"/>
    <d v="2022-07-04T00:00:00"/>
    <m/>
    <s v="RENEWING..."/>
    <s v="MARINE CARGO / GIT"/>
    <m/>
    <m/>
    <m/>
  </r>
  <r>
    <x v="7"/>
    <s v="Yes"/>
    <d v="2022-05-24T00:00:00"/>
    <d v="2022-05-25T00:00:00"/>
    <d v="2022-05-03T00:00:00"/>
    <d v="2022-08-02T00:00:00"/>
    <s v="000-308/AIB RDC/2022"/>
    <n v="0"/>
    <s v="SOUSCRIPTION"/>
    <s v="12001-33002-0014-111-00002279-2022"/>
    <s v="CanoKin Sarl"/>
    <s v="Imprimerie"/>
    <s v="ANDY"/>
    <s v="Andy"/>
    <s v="MARINE CARGO / GIT"/>
    <s v="MARINE"/>
    <x v="0"/>
    <s v="ACTIVA"/>
    <n v="54527.5"/>
    <n v="226.66"/>
    <n v="0"/>
    <n v="0"/>
    <n v="10"/>
    <n v="185.39"/>
    <n v="31.26"/>
    <n v="4.1568016138645641E-3"/>
    <n v="0.15"/>
    <n v="27.808499999999999"/>
    <m/>
    <m/>
    <n v="27.808499999999999"/>
    <n v="4.4493599999999995"/>
    <n v="32.257860000000001"/>
    <n v="0.55616999999999994"/>
    <m/>
    <n v="0.55616999999999994"/>
    <m/>
    <n v="27.252329999999997"/>
    <m/>
    <m/>
    <n v="0"/>
    <m/>
    <m/>
    <n v="0"/>
    <m/>
    <n v="32.257860000000001"/>
    <n v="32.257860000000001"/>
    <n v="0"/>
    <s v="ACTIVA"/>
    <d v="2022-07-06T00:00:00"/>
    <m/>
    <s v="CANCELLED"/>
    <s v="MARINE CARGO / GIT"/>
    <m/>
    <m/>
    <m/>
  </r>
  <r>
    <x v="2"/>
    <s v="Yes"/>
    <d v="2022-10-21T00:00:00"/>
    <d v="2022-10-21T00:00:00"/>
    <d v="2022-10-21T00:00:00"/>
    <d v="2023-04-22T00:00:00"/>
    <s v="000-309/AIB RDC/2022"/>
    <n v="9"/>
    <s v="INCORPORATION"/>
    <s v="12003-33002-0001-103-00000927-2022 / 30000011"/>
    <s v="Chemaf SA"/>
    <s v="MINING"/>
    <s v="ANDY"/>
    <s v="Nyota"/>
    <s v="MOTOR TPL"/>
    <s v="MOTOR TPL"/>
    <x v="4"/>
    <s v="RAWSUR"/>
    <n v="0"/>
    <n v="107.28"/>
    <n v="0"/>
    <n v="0"/>
    <n v="10"/>
    <n v="80.91"/>
    <n v="14.55"/>
    <e v="#DIV/0!"/>
    <n v="0.1"/>
    <n v="8.0909999999999993"/>
    <n v="0"/>
    <n v="0"/>
    <n v="8.0909999999999993"/>
    <n v="1.2945599999999999"/>
    <n v="9.3855599999999999"/>
    <n v="0.16181999999999999"/>
    <m/>
    <n v="0.16181999999999999"/>
    <m/>
    <n v="7.9291799999999997"/>
    <m/>
    <m/>
    <n v="0"/>
    <m/>
    <m/>
    <n v="0"/>
    <m/>
    <m/>
    <n v="9.3855599999999999"/>
    <n v="9.3855599999999999"/>
    <s v="RAWSUR"/>
    <m/>
    <m/>
    <s v="RENEWED"/>
    <s v="MOTOR TPL"/>
    <m/>
    <m/>
    <s v="En attente du paiement de la prime"/>
  </r>
  <r>
    <x v="2"/>
    <s v="No"/>
    <d v="2023-08-25T00:00:00"/>
    <m/>
    <d v="2022-10-11T00:00:00"/>
    <d v="2023-10-10T00:00:00"/>
    <s v="000-310/AIB RDC/2022"/>
    <n v="5"/>
    <s v="INCORPORATION"/>
    <s v="00017295"/>
    <s v="Confiance DRC Sarl"/>
    <m/>
    <s v="ANDY"/>
    <s v="Sabrina"/>
    <s v="MARINE CARGO / GIT"/>
    <s v="MARINE"/>
    <x v="6"/>
    <s v="SFA"/>
    <n v="0"/>
    <n v="6211.8"/>
    <n v="0"/>
    <n v="0"/>
    <n v="111"/>
    <n v="5244"/>
    <n v="856.8"/>
    <e v="#DIV/0!"/>
    <n v="0.15"/>
    <n v="786.6"/>
    <n v="0"/>
    <n v="0"/>
    <n v="786.6"/>
    <n v="125.85600000000001"/>
    <n v="912.45600000000002"/>
    <n v="15.732000000000001"/>
    <m/>
    <n v="15.732000000000001"/>
    <m/>
    <n v="770.86800000000005"/>
    <m/>
    <m/>
    <n v="0"/>
    <m/>
    <m/>
    <n v="0"/>
    <m/>
    <m/>
    <n v="912.45600000000002"/>
    <n v="912.45600000000002"/>
    <s v="SFA"/>
    <m/>
    <m/>
    <m/>
    <m/>
    <m/>
    <m/>
    <m/>
  </r>
  <r>
    <x v="7"/>
    <s v="Yes"/>
    <d v="2022-05-31T00:00:00"/>
    <d v="2022-05-28T00:00:00"/>
    <d v="2022-05-26T00:00:00"/>
    <d v="2023-01-31T00:00:00"/>
    <s v="000-311/AIB RDC/2022"/>
    <n v="10"/>
    <s v="INCORPORATION"/>
    <s v="12001-33002-0001-104-0001845-2022"/>
    <s v="CFAO RDC / Loxea RDC"/>
    <s v="Distribution"/>
    <s v="ANDY"/>
    <s v="Andy"/>
    <s v="COMP MOTOR"/>
    <s v="MOTOR COMP"/>
    <x v="0"/>
    <s v="ACTIVA"/>
    <n v="353340"/>
    <n v="11147.75"/>
    <n v="0"/>
    <n v="0"/>
    <n v="95.15"/>
    <n v="9514.98"/>
    <n v="1537.62"/>
    <n v="3.1549640572819379E-2"/>
    <n v="0.14844802616505801"/>
    <n v="1412.4800000000037"/>
    <n v="0"/>
    <n v="285.44939999999997"/>
    <n v="1697.9294000000036"/>
    <n v="271.66870400000056"/>
    <n v="1969.5981040000042"/>
    <n v="33.95858800000007"/>
    <n v="0"/>
    <n v="33.95858800000007"/>
    <m/>
    <n v="1663.9708120000037"/>
    <s v="Aucun"/>
    <m/>
    <n v="0"/>
    <m/>
    <m/>
    <n v="0"/>
    <m/>
    <n v="1969.5981040000042"/>
    <n v="1969.5981040000042"/>
    <n v="0"/>
    <s v="ACTIVA"/>
    <d v="2022-07-29T00:00:00"/>
    <m/>
    <s v="RENEWED"/>
    <s v="COMP MOTOR"/>
    <m/>
    <m/>
    <s v="Vérification auprès de Mr. Money pour confirmation du paiement "/>
  </r>
  <r>
    <x v="7"/>
    <s v="Yes"/>
    <d v="2022-05-31T00:00:00"/>
    <d v="2022-05-31T00:00:00"/>
    <d v="2022-05-30T00:00:00"/>
    <d v="2023-01-31T00:00:00"/>
    <s v="000-312/AIB RDC/2022"/>
    <n v="11"/>
    <s v="INCORPORATION"/>
    <s v="12001-33002-0001-104-0001845-2022"/>
    <s v="CFAO RDC / Loxea RDC"/>
    <s v="Distribution"/>
    <s v="ANDY"/>
    <s v="Andy"/>
    <s v="COMP MOTOR"/>
    <s v="MOTOR COMP"/>
    <x v="0"/>
    <s v="ACTIVA"/>
    <n v="71472"/>
    <n v="2150.46"/>
    <n v="0"/>
    <n v="0"/>
    <n v="18.350000000000001"/>
    <n v="1835.49"/>
    <n v="296.61"/>
    <n v="3.0088146406984553E-2"/>
    <n v="0.14735574696675"/>
    <n v="270.46999999999997"/>
    <n v="0"/>
    <n v="55.064699999999995"/>
    <n v="325.53469999999999"/>
    <n v="52.085552"/>
    <n v="377.62025199999999"/>
    <n v="6.510694"/>
    <n v="0"/>
    <n v="6.510694"/>
    <m/>
    <n v="319.02400599999999"/>
    <s v="Aucun"/>
    <m/>
    <n v="0"/>
    <m/>
    <m/>
    <n v="0"/>
    <m/>
    <n v="377.62025199999999"/>
    <n v="377.62025199999999"/>
    <n v="0"/>
    <s v="ACTIVA"/>
    <d v="2022-07-29T00:00:00"/>
    <m/>
    <s v="RENEWED"/>
    <s v="COMP MOTOR"/>
    <m/>
    <m/>
    <s v="Vérification auprès de Mr. Money pour confirmation du paiement "/>
  </r>
  <r>
    <x v="2"/>
    <s v="No"/>
    <d v="2022-11-04T00:00:00"/>
    <d v="2022-10-12T00:00:00"/>
    <d v="2022-10-12T00:00:00"/>
    <d v="2022-11-11T00:00:00"/>
    <s v="000-313/AIB RDC/2022"/>
    <n v="0"/>
    <s v="SOUSCRIPTION"/>
    <s v="12002-33002-0022-111-00017229-2022"/>
    <s v="DEZIWA / Bolloré"/>
    <m/>
    <s v="SYNTYCHE"/>
    <s v="Victor"/>
    <s v="MARINE CARGO / GIT"/>
    <s v="MARINE"/>
    <x v="6"/>
    <s v="SFA"/>
    <n v="222634.44"/>
    <n v="433.43"/>
    <n v="0"/>
    <n v="0"/>
    <n v="20"/>
    <n v="347.31"/>
    <n v="58.77"/>
    <n v="1.9468236810082035E-3"/>
    <n v="0.15"/>
    <n v="52.096499999999999"/>
    <n v="0"/>
    <n v="0"/>
    <n v="52.096499999999999"/>
    <n v="8.3354400000000002"/>
    <n v="60.431939999999997"/>
    <n v="1.04193"/>
    <m/>
    <n v="1.04193"/>
    <m/>
    <n v="51.054569999999998"/>
    <s v="BOLLORE"/>
    <n v="0.4"/>
    <n v="20.421828000000001"/>
    <m/>
    <m/>
    <n v="20.421828000000001"/>
    <m/>
    <m/>
    <n v="60.431939999999997"/>
    <n v="60.431939999999997"/>
    <s v="SFA"/>
    <m/>
    <m/>
    <s v="ONCE OFF"/>
    <s v="MARINE CARGO / GIT"/>
    <m/>
    <m/>
    <s v="Nous allons réclamer la com en janvier"/>
  </r>
  <r>
    <x v="3"/>
    <s v="No"/>
    <m/>
    <m/>
    <d v="2022-02-15T00:00:00"/>
    <d v="2022-03-16T00:00:00"/>
    <s v="000-314/AIB RDC/2022"/>
    <n v="0"/>
    <s v="SOUSCRIPTION"/>
    <s v="01-PRP-CRG-2022-000035"/>
    <s v="DEZIWA / Bolloré"/>
    <m/>
    <s v="SYNTYCHE"/>
    <s v="Victor"/>
    <s v="MARINE CARGO / GIT"/>
    <s v="MARINE"/>
    <x v="6"/>
    <s v="SFA"/>
    <n v="31129"/>
    <n v="401.2"/>
    <n v="0"/>
    <n v="0"/>
    <m/>
    <n v="320"/>
    <m/>
    <n v="1.2888303511195348E-2"/>
    <n v="0.15"/>
    <n v="48"/>
    <n v="0"/>
    <n v="0"/>
    <n v="48"/>
    <n v="7.68"/>
    <n v="55.68"/>
    <n v="0.96"/>
    <n v="0"/>
    <n v="0.96"/>
    <m/>
    <n v="47.04"/>
    <s v="BOLLORE"/>
    <n v="0.4"/>
    <n v="18.815999999999999"/>
    <m/>
    <m/>
    <n v="18.815999999999999"/>
    <m/>
    <m/>
    <n v="55.68"/>
    <n v="55.68"/>
    <s v="SFA"/>
    <m/>
    <m/>
    <s v="ONCE OFF"/>
    <s v="MARINE CARGO / GIT"/>
    <m/>
    <m/>
    <s v="Prime en cours de paiement "/>
  </r>
  <r>
    <x v="7"/>
    <s v="Yes"/>
    <d v="2022-07-08T00:00:00"/>
    <d v="2022-06-21T00:00:00"/>
    <d v="2022-05-20T00:00:00"/>
    <d v="2023-05-19T00:00:00"/>
    <s v="000-315/AIB RDC/2022"/>
    <n v="0"/>
    <s v="SOUSCRIPTION"/>
    <s v="12005-33002-0001-13001-00001478-2022"/>
    <s v="ASRAMES"/>
    <s v="SERVICE"/>
    <s v="RAMSY"/>
    <s v="Apphia"/>
    <s v="GPA"/>
    <s v="MEDICAL &amp; GPA"/>
    <x v="1"/>
    <s v="MAYFAIR"/>
    <n v="0"/>
    <n v="5614.44"/>
    <n v="0"/>
    <n v="0"/>
    <n v="20"/>
    <n v="4738"/>
    <n v="761.28"/>
    <e v="#DIV/0!"/>
    <n v="0.1"/>
    <n v="473.8"/>
    <m/>
    <m/>
    <n v="473.8"/>
    <n v="75.808000000000007"/>
    <n v="549.60800000000006"/>
    <n v="9.4760000000000009"/>
    <m/>
    <n v="9.4760000000000009"/>
    <m/>
    <n v="464.32400000000001"/>
    <m/>
    <m/>
    <n v="0"/>
    <m/>
    <m/>
    <n v="0"/>
    <m/>
    <n v="549.60800000000006"/>
    <n v="549.60800000000006"/>
    <n v="0"/>
    <s v="MAYFAIR"/>
    <d v="2022-07-30T00:00:00"/>
    <m/>
    <s v="RENEWING..."/>
    <s v="GPA"/>
    <m/>
    <m/>
    <m/>
  </r>
  <r>
    <x v="7"/>
    <s v="Yes"/>
    <d v="2022-05-28T00:00:00"/>
    <d v="2022-05-28T00:00:00"/>
    <d v="2022-05-03T00:00:00"/>
    <d v="2023-05-02T00:00:00"/>
    <s v="000-316/AIB RDC/2022"/>
    <n v="0"/>
    <s v="SOUSCRIPTION"/>
    <s v="33002-0017-003-0000037 / 009"/>
    <s v="HELIOS INFRACO DRC SARL"/>
    <s v="INFRASTRUCTURE"/>
    <s v="RAMSY"/>
    <s v="Apphia"/>
    <s v="COMP MOTOR"/>
    <s v="MOTOR COMP"/>
    <x v="2"/>
    <s v="SUNU"/>
    <n v="1806854.72"/>
    <n v="35753"/>
    <n v="0"/>
    <n v="0"/>
    <n v="305.16000000000003"/>
    <n v="30516.39"/>
    <n v="4931.45"/>
    <n v="1.9787423750372138E-2"/>
    <n v="0.125"/>
    <n v="3814.5487499999999"/>
    <m/>
    <n v="0"/>
    <n v="3814.5487499999999"/>
    <n v="610.32780000000002"/>
    <n v="4424.87655"/>
    <n v="76.290975000000003"/>
    <m/>
    <n v="76.290975000000003"/>
    <m/>
    <n v="3738.257775"/>
    <s v="OLEA"/>
    <n v="0.35"/>
    <n v="1308.39022125"/>
    <n v="1308.39022125"/>
    <d v="2023-05-24T00:00:00"/>
    <n v="0"/>
    <m/>
    <n v="4424.87655"/>
    <n v="4424.87655"/>
    <n v="0"/>
    <s v="SUNU"/>
    <d v="2022-07-07T00:00:00"/>
    <m/>
    <s v="RENEWED"/>
    <s v="COMP MOTOR"/>
    <m/>
    <m/>
    <m/>
  </r>
  <r>
    <x v="7"/>
    <s v="Yes"/>
    <d v="2022-04-29T00:00:00"/>
    <d v="2022-05-01T00:00:00"/>
    <d v="2022-05-01T00:00:00"/>
    <d v="2023-04-30T00:00:00"/>
    <s v="000-317/AIB RDC/2022"/>
    <n v="2"/>
    <s v="RENOUVELLEMENT"/>
    <s v="12003-33002-0003-112-00000116-2022 / 45000008"/>
    <s v="HELIOS INFRACO DRC SARL"/>
    <s v="INFRASTRUCTURE"/>
    <s v="RAMSY"/>
    <s v="Apphia"/>
    <s v="PROPERTY DAMAGE &amp; BI"/>
    <s v="PROPERTIES"/>
    <x v="4"/>
    <s v="RAWSUR"/>
    <n v="163249891"/>
    <n v="406980.17"/>
    <n v="15995.81"/>
    <n v="0"/>
    <n v="100"/>
    <n v="328802.64"/>
    <n v="55183.75"/>
    <n v="2.4929889233432931E-3"/>
    <n v="0"/>
    <n v="0"/>
    <n v="4798.7429999999995"/>
    <n v="46921.03"/>
    <n v="51719.773000000001"/>
    <n v="8275.1636799999997"/>
    <n v="59994.936679999999"/>
    <n v="1034.39546"/>
    <m/>
    <n v="1034.39546"/>
    <m/>
    <n v="50685.377540000001"/>
    <s v="OLEA"/>
    <n v="0.5"/>
    <n v="25342.688770000001"/>
    <n v="25342.688770000001"/>
    <d v="2023-05-24T00:00:00"/>
    <n v="0"/>
    <m/>
    <n v="59994.936679999999"/>
    <n v="59994.936679999999"/>
    <n v="0"/>
    <s v="RAWSUR"/>
    <d v="2022-07-05T00:00:00"/>
    <m/>
    <s v="RENEWING..."/>
    <s v="PROPERTY DAMAGE &amp; BI"/>
    <m/>
    <m/>
    <m/>
  </r>
  <r>
    <x v="7"/>
    <s v="Yes"/>
    <d v="2022-04-29T00:00:00"/>
    <d v="2022-05-20T00:00:00"/>
    <d v="2022-05-01T00:00:00"/>
    <d v="2023-04-30T00:00:00"/>
    <s v="000-318/AIB RDC/2022"/>
    <n v="2"/>
    <s v="RENOUVELLEMENT"/>
    <s v="12003-33002-0006-122-00000020-2022 / 59000003"/>
    <s v="HELIOS INFRACO DRC SARL"/>
    <s v="INFRASTRUCTURE"/>
    <s v="RAMSY"/>
    <s v="Apphia"/>
    <s v="PVT"/>
    <s v="POLITICAL VIOLENCE"/>
    <x v="4"/>
    <s v="RAWSUR"/>
    <n v="15255584.32"/>
    <n v="23432.51"/>
    <n v="0"/>
    <n v="0"/>
    <n v="100"/>
    <n v="19758.060000000001"/>
    <n v="3177.29"/>
    <n v="1.5359955743733844E-3"/>
    <n v="0.15"/>
    <n v="2963.7090000000003"/>
    <m/>
    <n v="0"/>
    <n v="2963.7090000000003"/>
    <n v="474.19344000000007"/>
    <n v="3437.9024400000003"/>
    <n v="59.274180000000008"/>
    <m/>
    <n v="59.274180000000008"/>
    <m/>
    <n v="2904.4348200000004"/>
    <s v="OLEA"/>
    <n v="0.35"/>
    <n v="1016.5521870000001"/>
    <n v="1016.5521870000001"/>
    <d v="2023-05-24T00:00:00"/>
    <n v="0"/>
    <m/>
    <n v="3437.9024400000003"/>
    <n v="3437.9024400000003"/>
    <n v="0"/>
    <s v="RAWSUR"/>
    <d v="2022-07-05T00:00:00"/>
    <m/>
    <s v="RENEWING..."/>
    <s v="PVT"/>
    <m/>
    <m/>
    <m/>
  </r>
  <r>
    <x v="7"/>
    <s v="Yes"/>
    <d v="2022-04-29T00:00:00"/>
    <d v="2022-05-01T00:00:00"/>
    <d v="2022-05-01T00:00:00"/>
    <d v="2023-04-30T00:00:00"/>
    <s v="000-319/AIB RDC/2022"/>
    <n v="2"/>
    <s v="RENOUVELLEMENT"/>
    <s v="12003-33002-0010-113-00000014-2022 / 60400002"/>
    <s v="HELIOS INFRACO DRC SARL"/>
    <s v="INFRASTRUCTURE"/>
    <s v="RAMSY"/>
    <s v="Apphia"/>
    <s v="GENERAL LIABILITY"/>
    <s v="LIABILITIES"/>
    <x v="4"/>
    <s v="RAWSUR"/>
    <n v="5000000"/>
    <n v="33522.410000000003"/>
    <n v="0"/>
    <n v="0"/>
    <n v="100"/>
    <n v="28308.82"/>
    <n v="4545.41"/>
    <n v="6.7044820000000003E-3"/>
    <n v="0.15"/>
    <n v="4246.3229999999994"/>
    <m/>
    <n v="0"/>
    <n v="4246.3229999999994"/>
    <n v="679.41167999999993"/>
    <n v="4925.7346799999996"/>
    <n v="84.926459999999992"/>
    <m/>
    <n v="84.926459999999992"/>
    <m/>
    <n v="4161.3965399999997"/>
    <s v="OLEA"/>
    <n v="0.35"/>
    <n v="1456.4887889999998"/>
    <n v="1456.4887889999998"/>
    <d v="2023-05-24T00:00:00"/>
    <n v="0"/>
    <m/>
    <n v="4925.7346799999996"/>
    <n v="4925.7346799999996"/>
    <n v="0"/>
    <s v="RAWSUR"/>
    <d v="2022-07-05T00:00:00"/>
    <m/>
    <s v="RENEWED"/>
    <s v="GENERAL LIABILITY"/>
    <m/>
    <m/>
    <m/>
  </r>
  <r>
    <x v="7"/>
    <s v="Yes"/>
    <d v="2022-04-29T00:00:00"/>
    <d v="2022-05-18T00:00:00"/>
    <d v="2022-05-01T00:00:00"/>
    <d v="2023-04-30T00:00:00"/>
    <s v="000-320/AIB RDC/2022"/>
    <n v="2"/>
    <s v="RENOUVELLEMENT"/>
    <s v="12003-33002-0003-112-00000039-2022 / 301  45000012"/>
    <s v="HELIOS INFRACO DRC SARL"/>
    <s v="INFRASTRUCTURE"/>
    <s v="RAMSY"/>
    <s v="Apphia"/>
    <s v="FIRE"/>
    <s v="PROPERTIES"/>
    <x v="4"/>
    <s v="RAWSUR"/>
    <n v="15255584.32"/>
    <n v="36057.71"/>
    <n v="0"/>
    <n v="0"/>
    <n v="100"/>
    <n v="30457.38"/>
    <n v="4889.18"/>
    <n v="2.3635744946674058E-3"/>
    <n v="0.15"/>
    <n v="4568.607"/>
    <m/>
    <n v="0"/>
    <n v="4568.607"/>
    <n v="730.97712000000001"/>
    <n v="5299.5841199999995"/>
    <n v="91.372140000000002"/>
    <m/>
    <n v="91.372140000000002"/>
    <m/>
    <n v="4477.2348599999996"/>
    <s v="OLEA"/>
    <n v="0.35"/>
    <n v="1567.0322009999998"/>
    <n v="1567.0322009999998"/>
    <d v="2023-05-24T00:00:00"/>
    <n v="0"/>
    <m/>
    <n v="5299.5841199999995"/>
    <n v="5299.5841199999995"/>
    <n v="0"/>
    <s v="RAWSUR"/>
    <d v="2022-07-05T00:00:00"/>
    <m/>
    <s v="RENEWED"/>
    <s v="FIRE"/>
    <m/>
    <m/>
    <m/>
  </r>
  <r>
    <x v="7"/>
    <s v="Yes"/>
    <d v="2022-05-09T00:00:00"/>
    <d v="2022-05-09T00:00:00"/>
    <d v="2022-05-09T00:00:00"/>
    <d v="2023-03-15T00:00:00"/>
    <s v="000-321/AIB RDC/2022"/>
    <n v="1"/>
    <s v="INCORPORATION"/>
    <s v="12001-33002-0001-103-00002051-2022"/>
    <s v="FERONIA - PLANTATIONS ET HUILERIES DU CONGO ( PHC)"/>
    <s v="SERVICE"/>
    <s v="RAMSY"/>
    <s v="Apphia"/>
    <s v="COMP MOTOR"/>
    <s v="MOTOR COMP"/>
    <x v="0"/>
    <s v="ACTIVA"/>
    <n v="85000"/>
    <n v="3413.78"/>
    <n v="0"/>
    <n v="0"/>
    <n v="38.03"/>
    <n v="3375.75"/>
    <n v="0"/>
    <n v="4.0162117647058827E-2"/>
    <n v="0.145683181515219"/>
    <n v="491.79000000000053"/>
    <m/>
    <m/>
    <n v="491.79000000000053"/>
    <n v="78.686400000000091"/>
    <n v="570.47640000000058"/>
    <n v="9.8358000000000114"/>
    <n v="0"/>
    <n v="9.8358000000000114"/>
    <m/>
    <n v="481.95420000000053"/>
    <m/>
    <m/>
    <n v="0"/>
    <m/>
    <m/>
    <n v="0"/>
    <m/>
    <n v="570.47640000000058"/>
    <n v="570.47640000000058"/>
    <n v="0"/>
    <s v="ACTIVA"/>
    <d v="2022-07-06T00:00:00"/>
    <m/>
    <s v="RENEWED"/>
    <s v="COMP MOTOR"/>
    <m/>
    <m/>
    <m/>
  </r>
  <r>
    <x v="7"/>
    <s v="Yes"/>
    <d v="2022-05-04T00:00:00"/>
    <d v="2022-05-04T00:00:00"/>
    <d v="2022-05-04T00:00:00"/>
    <d v="2022-10-12T00:00:00"/>
    <s v="000-322/AIB RDC/2022"/>
    <n v="1"/>
    <s v="INCORPORATION"/>
    <s v="01-RCAP-2021-000164"/>
    <s v="ALLIED INSURANCE BROKERS ( AIB) RDC SA"/>
    <s v="INSURANCE"/>
    <s v="RAMSY"/>
    <s v="Apphia"/>
    <s v="MOTOR TPL"/>
    <s v="MOTOR TPL"/>
    <x v="6"/>
    <s v="SFA"/>
    <n v="7000"/>
    <n v="199.24"/>
    <n v="0"/>
    <n v="0"/>
    <n v="2.5"/>
    <n v="166.36"/>
    <n v="27.01"/>
    <n v="2.8462857142857144E-2"/>
    <n v="0.1"/>
    <n v="16.636000000000003"/>
    <n v="0"/>
    <n v="0"/>
    <n v="16.636000000000003"/>
    <n v="2.6617600000000006"/>
    <n v="19.297760000000004"/>
    <n v="0.33272000000000007"/>
    <m/>
    <n v="0.33272000000000007"/>
    <m/>
    <n v="16.303280000000004"/>
    <m/>
    <m/>
    <n v="0"/>
    <m/>
    <m/>
    <n v="0"/>
    <m/>
    <n v="19.297760000000004"/>
    <n v="19.297760000000004"/>
    <n v="0"/>
    <s v="SFA"/>
    <d v="2022-06-23T00:00:00"/>
    <m/>
    <s v="RENEWED"/>
    <s v="MOTOR TPL"/>
    <n v="889.89"/>
    <s v="SFA"/>
    <m/>
  </r>
  <r>
    <x v="7"/>
    <s v="Yes"/>
    <d v="2022-05-13T00:00:00"/>
    <d v="2022-05-13T00:00:00"/>
    <d v="2022-05-13T00:00:00"/>
    <d v="2023-03-09T00:00:00"/>
    <s v="000-323/AIB RDC/2022"/>
    <n v="1"/>
    <s v="INCORPORATION"/>
    <s v="13001/01/0700/00255/2022"/>
    <s v="MAFRICOM"/>
    <s v="FOOD MANIFACTURERS"/>
    <s v="RAMSY"/>
    <s v="Apphia"/>
    <s v="MOTOR TPL"/>
    <s v="MOTOR TPL"/>
    <x v="1"/>
    <s v="MAYFAIR"/>
    <n v="80000"/>
    <n v="966.02"/>
    <n v="0"/>
    <n v="0"/>
    <n v="30"/>
    <n v="788.66"/>
    <n v="130.99"/>
    <n v="1.2075249999999999E-2"/>
    <n v="0.1"/>
    <n v="78.866"/>
    <m/>
    <m/>
    <n v="78.866"/>
    <n v="12.61856"/>
    <n v="91.484560000000002"/>
    <n v="1.5773200000000001"/>
    <m/>
    <n v="1.5773200000000001"/>
    <m/>
    <n v="77.288679999999999"/>
    <m/>
    <m/>
    <n v="0"/>
    <m/>
    <m/>
    <n v="0"/>
    <m/>
    <n v="91.484560000000002"/>
    <n v="91.484560000000002"/>
    <n v="0"/>
    <s v="MAYFAIR"/>
    <d v="2022-07-04T00:00:00"/>
    <m/>
    <s v="RENEWED"/>
    <s v="MOTOR TPL"/>
    <m/>
    <m/>
    <m/>
  </r>
  <r>
    <x v="7"/>
    <s v="Yes"/>
    <d v="2022-05-26T00:00:00"/>
    <d v="2022-05-26T00:00:00"/>
    <d v="2022-05-25T00:00:00"/>
    <d v="2022-08-13T00:00:00"/>
    <s v="000-324/AIB RDC/2022"/>
    <n v="3"/>
    <s v="INCORPORATION"/>
    <s v="1/01/070/00048/2020"/>
    <s v="FABRI METAL CONGO SARL ( FAMECO)"/>
    <s v="TRANSFORMATION"/>
    <s v="RAMSY"/>
    <s v="Apphia"/>
    <s v="MOTOR TPL"/>
    <s v="MOTOR TPL"/>
    <x v="1"/>
    <s v="MAYFAIR"/>
    <n v="5000"/>
    <n v="63.8"/>
    <n v="0"/>
    <n v="0"/>
    <n v="10"/>
    <n v="44.07"/>
    <n v="8.65"/>
    <n v="1.2759999999999999E-2"/>
    <n v="0.1"/>
    <n v="4.407"/>
    <m/>
    <m/>
    <n v="4.407"/>
    <n v="0.70511999999999997"/>
    <n v="5.11212"/>
    <n v="8.8139999999999996E-2"/>
    <m/>
    <n v="8.8139999999999996E-2"/>
    <m/>
    <n v="4.3188599999999999"/>
    <m/>
    <m/>
    <n v="0"/>
    <m/>
    <m/>
    <n v="0"/>
    <m/>
    <n v="5.11212"/>
    <n v="5.11212"/>
    <n v="0"/>
    <s v="MAYFAIR"/>
    <d v="2022-07-04T00:00:00"/>
    <m/>
    <s v="RENEWED"/>
    <s v="MOTOR TPL"/>
    <m/>
    <s v="MAYFAIR"/>
    <m/>
  </r>
  <r>
    <x v="7"/>
    <s v="Yes"/>
    <d v="2022-05-25T00:00:00"/>
    <d v="2022-05-30T00:00:00"/>
    <d v="2022-05-30T00:00:00"/>
    <d v="2023-05-29T00:00:00"/>
    <s v="000-325/AIB RDC/2022"/>
    <n v="0"/>
    <s v="SOUSCRIPTION"/>
    <s v="12001-33002-0001-103-00002313-2022"/>
    <s v="GROUPE VIVENDI AFRICA ( GVA)"/>
    <s v="Distribution"/>
    <s v="ALICE"/>
    <s v="Alice"/>
    <s v="COMP MOTOR"/>
    <s v="MOTOR COMP"/>
    <x v="0"/>
    <s v="ACTIVA"/>
    <n v="0"/>
    <n v="3785.52"/>
    <n v="0"/>
    <n v="0"/>
    <n v="32.31"/>
    <n v="3231.07"/>
    <n v="522.14"/>
    <e v="#DIV/0!"/>
    <n v="0.13319963232221901"/>
    <n v="430.3773360073522"/>
    <n v="0"/>
    <n v="0"/>
    <n v="430.3773360073522"/>
    <n v="68.860373761176348"/>
    <n v="499.23770976852853"/>
    <n v="8.6075467201470435"/>
    <n v="0"/>
    <n v="8.6075467201470435"/>
    <m/>
    <n v="421.76978928720513"/>
    <m/>
    <m/>
    <n v="0"/>
    <m/>
    <m/>
    <n v="0"/>
    <m/>
    <n v="499.23770976852853"/>
    <n v="499.23770976852853"/>
    <n v="0"/>
    <s v="ACTIVA"/>
    <d v="2022-07-06T00:00:00"/>
    <m/>
    <s v="RENEWED"/>
    <s v="COMP MOTOR"/>
    <m/>
    <m/>
    <m/>
  </r>
  <r>
    <x v="7"/>
    <s v="Yes"/>
    <d v="2022-05-28T00:00:00"/>
    <d v="2022-06-03T00:00:00"/>
    <d v="2022-05-31T00:00:00"/>
    <d v="2022-06-05T00:00:00"/>
    <s v="000-326/AIB RDC/2022"/>
    <n v="0"/>
    <s v="SOUSCRIPTION"/>
    <s v="33002-0004-119-0001956/0001"/>
    <s v="SANTA CLARA MACEDO FERNANDES"/>
    <m/>
    <s v="ALICE"/>
    <s v="Alice"/>
    <s v="TRAVEL"/>
    <s v="MEDICAL &amp; GPA"/>
    <x v="2"/>
    <s v="SUNU"/>
    <n v="0"/>
    <n v="28.26"/>
    <n v="0"/>
    <n v="0"/>
    <n v="0.48"/>
    <n v="23.88"/>
    <n v="3.9"/>
    <e v="#DIV/0!"/>
    <n v="0.2"/>
    <n v="4.7759999999999998"/>
    <m/>
    <m/>
    <n v="4.7759999999999998"/>
    <n v="0.76415999999999995"/>
    <n v="5.5401600000000002"/>
    <n v="9.5519999999999994E-2"/>
    <m/>
    <n v="9.5519999999999994E-2"/>
    <m/>
    <n v="4.6804800000000002"/>
    <m/>
    <m/>
    <n v="0"/>
    <m/>
    <m/>
    <n v="0"/>
    <m/>
    <n v="5.5401600000000002"/>
    <n v="5.5401600000000002"/>
    <n v="0"/>
    <s v="SUNU"/>
    <d v="2022-07-07T00:00:00"/>
    <m/>
    <s v="ONCE OFF"/>
    <s v="TRAVEL"/>
    <m/>
    <m/>
    <m/>
  </r>
  <r>
    <x v="7"/>
    <s v="No"/>
    <d v="2022-05-20T00:00:00"/>
    <d v="2022-05-20T00:00:00"/>
    <d v="2022-05-20T00:00:00"/>
    <d v="2022-12-31T00:00:00"/>
    <s v="000-327/AIB RDC/2022"/>
    <n v="4"/>
    <s v="INCORPORATION"/>
    <s v="12001-09008/1005/2300001495"/>
    <s v="OPPORTUNITY INTERNATIONAL"/>
    <m/>
    <s v="ALICE"/>
    <s v="Alice"/>
    <s v="MEDICAL"/>
    <s v="MEDICAL &amp; GPA"/>
    <x v="3"/>
    <s v="ACTIVA/GGA"/>
    <n v="0"/>
    <n v="1810"/>
    <n v="0"/>
    <n v="0"/>
    <n v="0"/>
    <n v="1290.53"/>
    <n v="0"/>
    <e v="#DIV/0!"/>
    <n v="0.05"/>
    <n v="64.526499999999999"/>
    <n v="0"/>
    <n v="0"/>
    <n v="64.526499999999999"/>
    <n v="0"/>
    <n v="64.526499999999999"/>
    <n v="1.29053"/>
    <n v="0"/>
    <n v="1.29053"/>
    <m/>
    <n v="63.235970000000002"/>
    <s v="OLEA"/>
    <n v="0.35"/>
    <n v="22.132589499999998"/>
    <m/>
    <m/>
    <n v="22.132589499999998"/>
    <m/>
    <n v="64.526499999999999"/>
    <n v="64.526499999999999"/>
    <n v="0"/>
    <s v="ACTIVA/GGA"/>
    <d v="2023-06-28T00:00:00"/>
    <m/>
    <s v="RENEWED"/>
    <s v="MEDICAL"/>
    <m/>
    <m/>
    <s v="Commision à collecter dans le bordereau de Mai"/>
  </r>
  <r>
    <x v="7"/>
    <s v="Yes"/>
    <d v="2022-05-24T00:00:00"/>
    <d v="2022-05-28T00:00:00"/>
    <d v="2022-05-25T00:00:00"/>
    <d v="2022-05-27T00:00:00"/>
    <s v="000-328/AIB RDC/2022"/>
    <n v="0"/>
    <s v="SOUSCRIPTION"/>
    <s v="12002-33002-0022-111-00016370-2022"/>
    <s v="MANDLA SERVICES / Bolloré"/>
    <m/>
    <s v="SYNTYCHE"/>
    <s v="Victor"/>
    <s v="MARINE CARGO / GIT"/>
    <s v="MARINE"/>
    <x v="6"/>
    <s v="SFA"/>
    <n v="2077.2600000000002"/>
    <n v="94.4"/>
    <n v="0"/>
    <n v="0"/>
    <n v="20"/>
    <n v="60"/>
    <n v="12.8"/>
    <n v="4.5444479747359504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5-13T00:00:00"/>
    <d v="2022-05-12T00:00:00"/>
    <d v="2022-05-13T00:00:00"/>
    <d v="2022-06-12T00:00:00"/>
    <s v="000-329/AIB RDC/2022"/>
    <n v="0"/>
    <s v="SOUSCRIPTION"/>
    <s v="12003-33002-0005-111-00000477-2022 / 72000045"/>
    <s v="ORICA / Bolloré"/>
    <m/>
    <s v="SYNTYCHE"/>
    <s v="Victor"/>
    <s v="MARINE CARGO / GIT"/>
    <s v="MARINE"/>
    <x v="4"/>
    <s v="RAWSUR"/>
    <n v="1623"/>
    <n v="129.80000000000001"/>
    <n v="0"/>
    <n v="0"/>
    <n v="10"/>
    <n v="100"/>
    <n v="17.600000000000001"/>
    <n v="7.9975354282193475E-2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09-30T00:00:00"/>
    <n v="0"/>
    <s v="PT008/AIB RDC/2022"/>
    <n v="17.399999999999999"/>
    <n v="17.399999999999999"/>
    <n v="0"/>
    <s v="RAWSUR"/>
    <d v="2022-07-05T00:00:00"/>
    <m/>
    <s v="ONCE OFF"/>
    <s v="MARINE CARGO / GIT"/>
    <m/>
    <m/>
    <m/>
  </r>
  <r>
    <x v="2"/>
    <s v="No"/>
    <d v="2022-11-04T00:00:00"/>
    <d v="2022-10-12T00:00:00"/>
    <d v="2022-10-12T00:00:00"/>
    <d v="2022-11-11T00:00:00"/>
    <s v="000-330/AIB RDC/2022"/>
    <n v="0"/>
    <s v="SOUSCRIPTION"/>
    <s v="12002-33002-0022-111-00017230-2022"/>
    <s v="DEZIWA / Bolloré"/>
    <m/>
    <s v="SYNTYCHE"/>
    <s v="Victor"/>
    <s v="MARINE CARGO / GIT"/>
    <s v="MARINE"/>
    <x v="6"/>
    <s v="SFA"/>
    <n v="166125.38"/>
    <n v="329.41"/>
    <n v="0"/>
    <n v="0"/>
    <n v="20"/>
    <n v="259.16000000000003"/>
    <n v="44.67"/>
    <n v="1.982899903675164E-3"/>
    <n v="0.15"/>
    <n v="38.874000000000002"/>
    <n v="0"/>
    <n v="0"/>
    <n v="38.874000000000002"/>
    <n v="6.2198400000000005"/>
    <n v="45.09384"/>
    <n v="0.77748000000000006"/>
    <m/>
    <n v="0.77748000000000006"/>
    <m/>
    <n v="38.096520000000005"/>
    <s v="BOLLORE"/>
    <n v="0.4"/>
    <n v="15.238608000000003"/>
    <m/>
    <m/>
    <n v="15.238608000000003"/>
    <m/>
    <m/>
    <n v="45.09384"/>
    <n v="45.09384"/>
    <s v="SFA"/>
    <m/>
    <m/>
    <s v="ONCE OFF"/>
    <s v="MARINE CARGO / GIT"/>
    <m/>
    <m/>
    <s v="Nous allons réclamer la com en janvier"/>
  </r>
  <r>
    <x v="2"/>
    <s v="No"/>
    <d v="2022-11-04T00:00:00"/>
    <d v="2022-10-12T00:00:00"/>
    <d v="2022-10-12T00:00:00"/>
    <d v="2023-01-11T00:00:00"/>
    <s v="000-331/AIB RDC/2022"/>
    <n v="0"/>
    <s v="SOUSCRIPTION"/>
    <s v="12002-33002-0022-111-00017228-2022"/>
    <s v="DEZIWA / Bolloré"/>
    <m/>
    <s v="SYNTYCHE"/>
    <s v="Victor"/>
    <s v="MARINE CARGO / GIT"/>
    <s v="MARINE"/>
    <x v="6"/>
    <s v="SFA"/>
    <n v="145318.93"/>
    <n v="291.10000000000002"/>
    <n v="0"/>
    <n v="0"/>
    <n v="20"/>
    <n v="226.7"/>
    <n v="39.47"/>
    <n v="2.0031801775584231E-3"/>
    <n v="0.15"/>
    <n v="34.004999999999995"/>
    <n v="0"/>
    <n v="0"/>
    <n v="34.004999999999995"/>
    <n v="5.4407999999999994"/>
    <n v="39.445799999999991"/>
    <n v="0.68009999999999993"/>
    <m/>
    <n v="0.68009999999999993"/>
    <m/>
    <n v="33.324899999999992"/>
    <s v="BOLLORE"/>
    <n v="0.4"/>
    <n v="13.329959999999998"/>
    <m/>
    <m/>
    <n v="13.329959999999998"/>
    <m/>
    <m/>
    <n v="39.445799999999991"/>
    <n v="39.445799999999991"/>
    <s v="SFA"/>
    <m/>
    <m/>
    <s v="ONCE OFF"/>
    <s v="MARINE CARGO / GIT"/>
    <m/>
    <m/>
    <s v="Nous allons réclamer la com en janvier"/>
  </r>
  <r>
    <x v="7"/>
    <s v="Yes"/>
    <d v="2022-04-28T00:00:00"/>
    <d v="2022-05-16T00:00:00"/>
    <d v="2022-05-09T00:00:00"/>
    <d v="2022-05-11T00:00:00"/>
    <s v="000-332/AIB RDC/2022"/>
    <n v="0"/>
    <s v="SOUSCRIPTION"/>
    <s v="12002-33002-0022-111-00016311-2022"/>
    <s v="TAF LINK SARL / Bolloré"/>
    <m/>
    <s v="SYNTYCHE"/>
    <s v="Victor"/>
    <s v="MARINE CARGO / GIT"/>
    <s v="MARINE"/>
    <x v="6"/>
    <s v="SFA"/>
    <n v="2190"/>
    <n v="94.4"/>
    <n v="0"/>
    <n v="0"/>
    <n v="20"/>
    <n v="60"/>
    <n v="12.8"/>
    <n v="4.3105022831050228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7-08T00:00:00"/>
    <d v="2022-06-08T00:00:00"/>
    <d v="2022-05-20T00:00:00"/>
    <d v="2022-06-19T00:00:00"/>
    <s v="000-333/AIB RDC/2022"/>
    <n v="0"/>
    <s v="SOUSCRIPTION"/>
    <s v="33002-0001-101-0002017 / 0001"/>
    <s v="Prince LENGE YANKONDE KAKUBO"/>
    <s v="PERSON"/>
    <s v="SYNTYCHE"/>
    <s v="Grâce"/>
    <s v="GPA"/>
    <s v="MEDICAL &amp; GPA"/>
    <x v="2"/>
    <s v="SUNU"/>
    <n v="0"/>
    <n v="45.82"/>
    <n v="0"/>
    <n v="0"/>
    <n v="10"/>
    <n v="29.5"/>
    <n v="6.32"/>
    <e v="#DIV/0!"/>
    <n v="0.2"/>
    <n v="5.9"/>
    <m/>
    <m/>
    <n v="5.9"/>
    <n v="0.94400000000000006"/>
    <n v="6.8440000000000003"/>
    <n v="0.11800000000000001"/>
    <m/>
    <n v="0.11800000000000001"/>
    <m/>
    <n v="5.782"/>
    <m/>
    <m/>
    <n v="0"/>
    <m/>
    <m/>
    <n v="0"/>
    <m/>
    <n v="6.8440000000000003"/>
    <n v="6.8440000000000003"/>
    <n v="0"/>
    <s v="SUNU"/>
    <d v="2022-07-27T00:00:00"/>
    <m/>
    <s v="ONCE OFF"/>
    <s v="GPA"/>
    <m/>
    <m/>
    <m/>
  </r>
  <r>
    <x v="7"/>
    <s v="Yes"/>
    <d v="2022-05-04T00:00:00"/>
    <d v="2022-05-05T00:00:00"/>
    <d v="2022-05-06T00:00:00"/>
    <d v="2022-06-01T00:00:00"/>
    <s v="000-334/AIB RDC/2022"/>
    <n v="2"/>
    <s v="INCORPORATION"/>
    <s v="01-TRA-2020-000026"/>
    <s v="International Facilities Services DRC ( IFS)"/>
    <m/>
    <s v="SYNTYCHE"/>
    <s v="Michée"/>
    <s v="COMP MOTOR"/>
    <s v="MOTOR COMP"/>
    <x v="6"/>
    <s v="SFA"/>
    <n v="0"/>
    <n v="237.86"/>
    <n v="0"/>
    <n v="0"/>
    <n v="2.98"/>
    <n v="198.6"/>
    <n v="32.25"/>
    <e v="#DIV/0!"/>
    <n v="0.1"/>
    <n v="19.86"/>
    <m/>
    <m/>
    <n v="19.86"/>
    <n v="3.1776"/>
    <n v="23.037599999999998"/>
    <n v="0.3972"/>
    <m/>
    <n v="0.3972"/>
    <m/>
    <n v="19.462799999999998"/>
    <m/>
    <m/>
    <n v="0"/>
    <m/>
    <m/>
    <n v="0"/>
    <m/>
    <n v="23.037599999999998"/>
    <n v="23.037599999999998"/>
    <n v="0"/>
    <s v="SFA"/>
    <d v="2022-06-23T00:00:00"/>
    <m/>
    <s v="LOST"/>
    <s v="COMP MOTOR"/>
    <m/>
    <m/>
    <m/>
  </r>
  <r>
    <x v="7"/>
    <s v="Yes"/>
    <d v="2022-04-21T00:00:00"/>
    <d v="2022-05-09T00:00:00"/>
    <d v="2022-05-04T00:00:00"/>
    <d v="2022-05-06T00:00:00"/>
    <s v="000-335/AIB RDC/2022"/>
    <n v="0"/>
    <s v="SOUSCRIPTION"/>
    <s v="00016277"/>
    <s v="TEICHMANN STRUCTURE DRC LTD / Bolloré"/>
    <m/>
    <s v="SYNTYCHE"/>
    <s v="Michée"/>
    <s v="MARINE CARGO / GIT"/>
    <s v="MARINE"/>
    <x v="6"/>
    <s v="SFA"/>
    <n v="1062.08"/>
    <n v="76.7"/>
    <n v="0"/>
    <n v="0"/>
    <n v="20"/>
    <n v="45"/>
    <n v="10.4"/>
    <n v="7.2216782163302212E-2"/>
    <n v="0.15"/>
    <n v="6.75"/>
    <m/>
    <m/>
    <n v="6.75"/>
    <n v="1.08"/>
    <n v="7.83"/>
    <n v="0.13500000000000001"/>
    <m/>
    <n v="0.13500000000000001"/>
    <m/>
    <n v="6.6150000000000002"/>
    <s v="BOLLORE"/>
    <n v="0.4"/>
    <n v="2.6460000000000004"/>
    <n v="2.6460000000000004"/>
    <d v="2022-09-30T00:00:00"/>
    <n v="0"/>
    <s v="PT008/AIB RDC/2022"/>
    <n v="7.83"/>
    <n v="7.83"/>
    <n v="0"/>
    <s v="SFA"/>
    <d v="2022-06-23T00:00:00"/>
    <m/>
    <s v="ONCE OFF"/>
    <s v="MARINE CARGO / GIT"/>
    <m/>
    <m/>
    <m/>
  </r>
  <r>
    <x v="7"/>
    <s v="Yes"/>
    <d v="2022-04-19T00:00:00"/>
    <d v="2022-05-09T00:00:00"/>
    <d v="2022-05-04T00:00:00"/>
    <d v="2022-05-10T00:00:00"/>
    <s v="000-336/AIB RDC/2022"/>
    <n v="0"/>
    <s v="SOUSCRIPTION"/>
    <s v="00016278"/>
    <s v="GREAT LAKES CEMENT (GLC) / Bolloré"/>
    <m/>
    <s v="SYNTYCHE"/>
    <s v="Michée"/>
    <s v="MARINE CARGO / GIT"/>
    <s v="MARINE"/>
    <x v="6"/>
    <s v="SFA"/>
    <n v="12736.56"/>
    <n v="100.6"/>
    <n v="0"/>
    <n v="0"/>
    <n v="20"/>
    <n v="65.25"/>
    <n v="13.64"/>
    <n v="7.898522049909866E-3"/>
    <n v="0.15"/>
    <n v="9.7874999999999996"/>
    <m/>
    <m/>
    <n v="9.7874999999999996"/>
    <n v="1.5660000000000001"/>
    <n v="11.3535"/>
    <n v="0.19575000000000001"/>
    <m/>
    <n v="0.19575000000000001"/>
    <m/>
    <n v="9.5917499999999993"/>
    <s v="BOLLORE"/>
    <n v="0.4"/>
    <n v="3.8367"/>
    <n v="3.8367"/>
    <d v="2022-09-30T00:00:00"/>
    <n v="0"/>
    <s v="PT008/AIB RDC/2022"/>
    <n v="11.3535"/>
    <n v="11.3535"/>
    <n v="0"/>
    <s v="SFA"/>
    <d v="2022-06-23T00:00:00"/>
    <m/>
    <s v="ONCE OFF"/>
    <s v="MARINE CARGO / GIT"/>
    <m/>
    <m/>
    <m/>
  </r>
  <r>
    <x v="7"/>
    <s v="Yes"/>
    <d v="2022-04-28T00:00:00"/>
    <d v="2022-05-16T00:00:00"/>
    <d v="2022-05-09T00:00:00"/>
    <d v="2022-05-11T00:00:00"/>
    <s v="000-337/AIB RDC/2022"/>
    <n v="0"/>
    <s v="SOUSCRIPTION"/>
    <s v="00016312"/>
    <s v="TAF LINK SARL / Bolloré"/>
    <m/>
    <s v="SYNTYCHE"/>
    <s v="Michée"/>
    <s v="MARINE CARGO / GIT"/>
    <s v="MARINE"/>
    <x v="6"/>
    <s v="SFA"/>
    <n v="863.2"/>
    <n v="85.55"/>
    <n v="0"/>
    <n v="0"/>
    <n v="20"/>
    <n v="52.5"/>
    <n v="11.6"/>
    <n v="9.9107970342910093E-2"/>
    <n v="0.15"/>
    <n v="7.875"/>
    <m/>
    <m/>
    <n v="7.875"/>
    <n v="1.26"/>
    <n v="9.1349999999999998"/>
    <n v="0.1575"/>
    <m/>
    <n v="0.1575"/>
    <m/>
    <n v="7.7175000000000002"/>
    <s v="BOLLORE"/>
    <n v="0.4"/>
    <n v="3.0870000000000002"/>
    <n v="3.0870000000000002"/>
    <d v="2022-09-30T00:00:00"/>
    <n v="0"/>
    <s v="PT008/AIB RDC/2022"/>
    <n v="9.1349999999999998"/>
    <n v="9.1349999999999998"/>
    <n v="0"/>
    <s v="SFA"/>
    <d v="2022-06-23T00:00:00"/>
    <m/>
    <s v="ONCE OFF"/>
    <s v="MARINE CARGO / GIT"/>
    <m/>
    <m/>
    <m/>
  </r>
  <r>
    <x v="7"/>
    <s v="Yes"/>
    <d v="2022-05-13T00:00:00"/>
    <d v="2022-05-19T00:00:00"/>
    <d v="2022-05-18T00:00:00"/>
    <d v="2022-05-20T00:00:00"/>
    <s v="000-338/AIB RDC/2022"/>
    <n v="0"/>
    <s v="SOUSCRIPTION"/>
    <s v="00016331"/>
    <s v="TAF LINK SARL / Bolloré"/>
    <m/>
    <s v="SYNTYCHE"/>
    <s v="Michée"/>
    <s v="MARINE CARGO / GIT"/>
    <s v="MARINE"/>
    <x v="6"/>
    <s v="SFA"/>
    <n v="1855"/>
    <n v="94.4"/>
    <n v="0"/>
    <n v="0"/>
    <n v="20"/>
    <n v="60"/>
    <n v="12.8"/>
    <n v="5.0889487870619948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7T00:00:00"/>
    <d v="2022-05-13T00:00:00"/>
    <d v="2022-05-04T00:00:00"/>
    <d v="2022-05-06T00:00:00"/>
    <s v="000-339/AIB RDC/2022"/>
    <n v="0"/>
    <s v="SOUSCRIPTION"/>
    <s v="00016295"/>
    <s v="PANACO / Bolloré"/>
    <m/>
    <s v="SYNTYCHE"/>
    <s v="Michée"/>
    <s v="MARINE CARGO / GIT"/>
    <s v="MARINE"/>
    <x v="6"/>
    <s v="SFA"/>
    <n v="43874"/>
    <n v="106.2"/>
    <n v="0"/>
    <n v="0"/>
    <n v="20"/>
    <n v="70"/>
    <n v="14.4"/>
    <n v="2.4205679901536216E-3"/>
    <n v="0.15"/>
    <n v="10.5"/>
    <m/>
    <m/>
    <n v="10.5"/>
    <n v="1.68"/>
    <n v="12.18"/>
    <n v="0.21"/>
    <m/>
    <n v="0.21"/>
    <m/>
    <n v="10.29"/>
    <s v="BOLLORE"/>
    <n v="0.4"/>
    <n v="4.1159999999999997"/>
    <n v="4.1159999999999997"/>
    <d v="2022-09-30T00:00:00"/>
    <n v="0"/>
    <s v="PT008/AIB RDC/2022"/>
    <n v="12.18"/>
    <n v="12.18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0/AIB RDC/2022"/>
    <n v="0"/>
    <s v="SOUSCRIPTION"/>
    <s v="00016296"/>
    <s v="PANACO / Bolloré"/>
    <m/>
    <s v="SYNTYCHE"/>
    <s v="Michée"/>
    <s v="MARINE CARGO / GIT"/>
    <s v="MARINE"/>
    <x v="6"/>
    <s v="SFA"/>
    <n v="5978.28"/>
    <n v="94.4"/>
    <n v="0"/>
    <n v="0"/>
    <n v="20"/>
    <n v="60"/>
    <n v="12.8"/>
    <n v="1.5790494924961696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1/AIB RDC/2022"/>
    <n v="0"/>
    <s v="SOUSCRIPTION"/>
    <s v="00016297"/>
    <s v="PANACO / Bolloré"/>
    <m/>
    <s v="SYNTYCHE"/>
    <s v="Michée"/>
    <s v="MARINE CARGO / GIT"/>
    <s v="MARINE"/>
    <x v="6"/>
    <s v="SFA"/>
    <n v="21573.21"/>
    <n v="94.4"/>
    <n v="0"/>
    <n v="0"/>
    <n v="20"/>
    <n v="60"/>
    <n v="12.8"/>
    <n v="4.3757975748625264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2/AIB RDC/2022"/>
    <n v="0"/>
    <s v="SOUSCRIPTION"/>
    <s v="00016298"/>
    <s v="PANACO / Bolloré"/>
    <m/>
    <s v="SYNTYCHE"/>
    <s v="Michée"/>
    <s v="MARINE CARGO / GIT"/>
    <s v="MARINE"/>
    <x v="6"/>
    <s v="SFA"/>
    <n v="9116.64"/>
    <n v="94.4"/>
    <n v="0"/>
    <n v="0"/>
    <n v="20"/>
    <n v="60"/>
    <n v="12.8"/>
    <n v="1.0354692079538076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3/AIB RDC/2022"/>
    <n v="0"/>
    <s v="SOUSCRIPTION"/>
    <s v="00016299"/>
    <s v="PANACO / Bolloré"/>
    <m/>
    <s v="SYNTYCHE"/>
    <s v="Michée"/>
    <s v="MARINE CARGO / GIT"/>
    <s v="MARINE"/>
    <x v="6"/>
    <s v="SFA"/>
    <n v="16882.560000000001"/>
    <n v="94.4"/>
    <n v="0"/>
    <n v="0"/>
    <n v="20"/>
    <n v="60"/>
    <n v="12.8"/>
    <n v="5.5915690511391634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4/AIB RDC/2022"/>
    <n v="0"/>
    <s v="SOUSCRIPTION"/>
    <s v="00016300"/>
    <s v="PANACO / Bolloré"/>
    <m/>
    <s v="SYNTYCHE"/>
    <s v="Michée"/>
    <s v="MARINE CARGO / GIT"/>
    <s v="MARINE"/>
    <x v="6"/>
    <s v="SFA"/>
    <n v="43399.15"/>
    <n v="94.4"/>
    <n v="0"/>
    <n v="0"/>
    <n v="20"/>
    <n v="60"/>
    <n v="12.8"/>
    <n v="2.1751578083902567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5/AIB RDC/2022"/>
    <n v="0"/>
    <s v="SOUSCRIPTION"/>
    <s v="00016301"/>
    <s v="PANACO / Bolloré"/>
    <m/>
    <s v="SYNTYCHE"/>
    <s v="Michée"/>
    <s v="MARINE CARGO / GIT"/>
    <s v="MARINE"/>
    <x v="6"/>
    <s v="SFA"/>
    <n v="9084.81"/>
    <n v="94.4"/>
    <n v="0"/>
    <n v="0"/>
    <n v="20"/>
    <n v="60"/>
    <n v="12.8"/>
    <n v="1.0390971302646946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4-26T00:00:00"/>
    <d v="2022-05-13T00:00:00"/>
    <d v="2022-05-04T00:00:00"/>
    <d v="2022-05-06T00:00:00"/>
    <s v="000-346/AIB RDC/2022"/>
    <n v="0"/>
    <s v="SOUSCRIPTION"/>
    <s v="00016303"/>
    <s v="PANACO / Bolloré"/>
    <m/>
    <s v="SYNTYCHE"/>
    <s v="Michée"/>
    <s v="MARINE CARGO / GIT"/>
    <s v="MARINE"/>
    <x v="6"/>
    <s v="SFA"/>
    <n v="28456.55"/>
    <n v="94.4"/>
    <n v="0"/>
    <n v="0"/>
    <n v="20"/>
    <n v="60"/>
    <n v="12.8"/>
    <n v="3.3173381875174612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6-23T00:00:00"/>
    <m/>
    <s v="ONCE OFF"/>
    <s v="MARINE CARGO / GIT"/>
    <m/>
    <m/>
    <m/>
  </r>
  <r>
    <x v="7"/>
    <s v="Yes"/>
    <d v="2022-07-07T00:00:00"/>
    <d v="2022-05-31T00:00:00"/>
    <d v="2022-05-31T00:00:00"/>
    <d v="2023-05-30T00:00:00"/>
    <s v="000-347/AIB RDC/2022"/>
    <n v="0"/>
    <s v="SOUSCRIPTION"/>
    <s v="12005-33002-0010-13002-00002539-2022"/>
    <s v="GOLDEN AFRICAN RESOURCES SARL"/>
    <m/>
    <s v="RAMSY"/>
    <s v="Apphia"/>
    <s v="COMP MOTOR"/>
    <s v="MOTOR COMP"/>
    <x v="1"/>
    <s v="MAYFAIR"/>
    <n v="0"/>
    <n v="25063.56"/>
    <n v="0"/>
    <n v="0"/>
    <n v="60"/>
    <n v="21180.3"/>
    <n v="3398.45"/>
    <e v="#DIV/0!"/>
    <n v="0.15"/>
    <n v="3177.0449999999996"/>
    <m/>
    <m/>
    <n v="3177.0449999999996"/>
    <n v="508.32719999999995"/>
    <n v="3685.3721999999998"/>
    <n v="63.540899999999993"/>
    <m/>
    <n v="63.540899999999993"/>
    <m/>
    <n v="3113.5040999999997"/>
    <m/>
    <m/>
    <n v="0"/>
    <m/>
    <m/>
    <n v="0"/>
    <m/>
    <n v="3685.3721999999998"/>
    <n v="3685.3721999999998"/>
    <n v="0"/>
    <s v="MAYFAIR"/>
    <d v="2022-07-04T00:00:00"/>
    <m/>
    <s v="RENEWED"/>
    <s v="COMP MOTOR"/>
    <m/>
    <m/>
    <m/>
  </r>
  <r>
    <x v="7"/>
    <s v="Yes"/>
    <d v="2022-07-08T00:00:00"/>
    <d v="2022-05-31T00:00:00"/>
    <d v="2022-05-31T00:00:00"/>
    <d v="2023-05-30T00:00:00"/>
    <s v="000-348/AIB RDC/2022"/>
    <n v="0"/>
    <s v="SOUSCRIPTION"/>
    <s v="12005-33002-0008-13001-00002588-2022"/>
    <s v="FABRI METAL CONGO SARL ( FAMECO)"/>
    <m/>
    <s v="RAMSY"/>
    <s v="Apphia"/>
    <s v="FIRE"/>
    <s v="PROPERTIES"/>
    <x v="1"/>
    <s v="MAYFAIR"/>
    <n v="0"/>
    <n v="44758"/>
    <n v="0"/>
    <n v="0"/>
    <n v="100"/>
    <n v="37830"/>
    <n v="6068"/>
    <e v="#DIV/0!"/>
    <n v="0.15"/>
    <n v="5674.5"/>
    <m/>
    <m/>
    <n v="5674.5"/>
    <n v="907.92000000000007"/>
    <n v="6582.42"/>
    <n v="113.49000000000001"/>
    <m/>
    <n v="113.49000000000001"/>
    <m/>
    <n v="5561.01"/>
    <s v="Aucun"/>
    <n v="0"/>
    <n v="0"/>
    <m/>
    <m/>
    <n v="0"/>
    <m/>
    <n v="6582.42"/>
    <n v="6582.42"/>
    <n v="0"/>
    <s v="MAYFAIR"/>
    <d v="2023-06-29T00:00:00"/>
    <m/>
    <s v="RENEWING..."/>
    <s v="FIRE"/>
    <m/>
    <m/>
    <s v="Paiement échelonné"/>
  </r>
  <r>
    <x v="7"/>
    <s v="Yes"/>
    <d v="2022-07-07T00:00:00"/>
    <d v="2022-05-31T00:00:00"/>
    <d v="2022-05-01T00:00:00"/>
    <d v="2023-04-30T00:00:00"/>
    <s v="000-349/AIB RDC/2022"/>
    <n v="3"/>
    <s v="RENOUVELLEMENT"/>
    <s v="301-219000001"/>
    <s v="HELIOS INFRACO DRC SARL"/>
    <s v="INFRASTRUCTURE"/>
    <s v="RAMSY"/>
    <s v="Apphia"/>
    <s v="LIFE"/>
    <s v="LIFE"/>
    <x v="5"/>
    <s v="RAWSUR LIFE"/>
    <n v="0"/>
    <n v="90742.5"/>
    <n v="0"/>
    <n v="0"/>
    <n v="294"/>
    <n v="90448.5"/>
    <n v="0"/>
    <e v="#DIV/0!"/>
    <n v="9.9331774435175796E-2"/>
    <n v="8984.409999999998"/>
    <m/>
    <n v="0"/>
    <n v="8984.409999999998"/>
    <n v="0"/>
    <n v="8984.409999999998"/>
    <n v="89.844099999999983"/>
    <n v="0"/>
    <n v="89.844099999999983"/>
    <m/>
    <n v="8894.5658999999978"/>
    <s v="OLEA"/>
    <n v="0.35"/>
    <n v="3113.0980649999992"/>
    <n v="3113.0980649999992"/>
    <d v="2023-05-24T00:00:00"/>
    <n v="0"/>
    <m/>
    <n v="8984.409999999998"/>
    <n v="8984.409999999998"/>
    <n v="0"/>
    <s v="RAWSUR - LIFE"/>
    <d v="2022-07-05T00:00:00"/>
    <m/>
    <s v="RENEWED"/>
    <s v="LIFE"/>
    <m/>
    <m/>
    <m/>
  </r>
  <r>
    <x v="4"/>
    <s v="Yes"/>
    <d v="2022-06-16T00:00:00"/>
    <d v="2022-06-16T00:00:00"/>
    <d v="2022-03-16T00:00:00"/>
    <d v="2022-04-15T00:00:00"/>
    <s v="000-350/AIB RDC/2022"/>
    <n v="0"/>
    <s v="SOUSCRIPTION"/>
    <s v="12002-33002-0022-111-00016470-2022"/>
    <s v="T-THREE DRILLING / Bolloré"/>
    <m/>
    <s v="SYNTYCHE"/>
    <s v="Victor"/>
    <s v="MARINE CARGO / GIT"/>
    <s v="MARINE"/>
    <x v="6"/>
    <s v="SFA"/>
    <n v="291624.93"/>
    <n v="519.13"/>
    <n v="0"/>
    <n v="0"/>
    <n v="20"/>
    <n v="419.94"/>
    <n v="70.39"/>
    <n v="1.7801290170905485E-3"/>
    <n v="0.15"/>
    <n v="62.991"/>
    <m/>
    <m/>
    <n v="62.991"/>
    <n v="10.07856"/>
    <n v="73.069559999999996"/>
    <n v="1.2598199999999999"/>
    <m/>
    <n v="1.2598199999999999"/>
    <m/>
    <n v="61.731180000000002"/>
    <s v="BOLLORE"/>
    <n v="0.4"/>
    <n v="24.692472000000002"/>
    <n v="24.692472000000002"/>
    <d v="2022-09-30T00:00:00"/>
    <n v="0"/>
    <s v="PT008/AIB RDC/2022"/>
    <n v="73.069559999999996"/>
    <n v="73.069559999999996"/>
    <n v="0"/>
    <s v="SFA"/>
    <d v="2022-08-08T00:00:00"/>
    <m/>
    <s v="ONCE OFF"/>
    <s v="MARINE CARGO / GIT"/>
    <m/>
    <m/>
    <m/>
  </r>
  <r>
    <x v="7"/>
    <s v="Yes"/>
    <d v="2022-05-27T00:00:00"/>
    <d v="2022-07-01T00:00:00"/>
    <d v="2022-05-29T00:00:00"/>
    <d v="2022-09-24T00:00:00"/>
    <s v="000-351/AIB RDC/2022"/>
    <n v="2"/>
    <s v="INCORPORATION"/>
    <s v="12003-33002-0001-103-00001454-2022 / 30000005"/>
    <s v="LEREXCOM"/>
    <m/>
    <s v="SYNTYCHE"/>
    <s v="Grace"/>
    <s v="MOTOR TPL"/>
    <s v="MOTOR TPL"/>
    <x v="4"/>
    <s v="RAWSUR"/>
    <n v="0"/>
    <n v="701.07"/>
    <n v="0"/>
    <n v="0"/>
    <n v="30"/>
    <n v="564.12"/>
    <n v="95.07"/>
    <e v="#DIV/0!"/>
    <n v="0.1"/>
    <n v="56.412000000000006"/>
    <m/>
    <m/>
    <n v="56.412000000000006"/>
    <n v="9.0259200000000011"/>
    <n v="65.437920000000005"/>
    <n v="1.1282400000000001"/>
    <m/>
    <n v="1.1282400000000001"/>
    <m/>
    <n v="55.283760000000008"/>
    <m/>
    <m/>
    <n v="0"/>
    <m/>
    <m/>
    <m/>
    <m/>
    <n v="65.437920000000005"/>
    <n v="65.437920000000005"/>
    <n v="0"/>
    <s v="RAWSUR"/>
    <d v="2022-07-28T00:00:00"/>
    <m/>
    <s v="RENEWED"/>
    <s v="MOTOR TPL"/>
    <m/>
    <m/>
    <m/>
  </r>
  <r>
    <x v="7"/>
    <s v="Yes"/>
    <d v="2022-06-21T00:00:00"/>
    <d v="2022-06-21T00:00:00"/>
    <d v="2022-05-30T00:00:00"/>
    <d v="2022-06-01T00:00:00"/>
    <s v="000-352/AIB RDC/2022"/>
    <n v="0"/>
    <s v="SOUSCRIPTION"/>
    <s v="12002-33002-0022-111-00016499-2022"/>
    <s v="PANACO / Bolloré"/>
    <m/>
    <s v="SYNTYCHE"/>
    <s v="Victor"/>
    <s v="MARINE CARGO / GIT"/>
    <s v="MARINE"/>
    <x v="6"/>
    <s v="SFA"/>
    <n v="9995.91"/>
    <n v="94.4"/>
    <n v="0"/>
    <n v="0"/>
    <n v="20"/>
    <n v="60"/>
    <n v="12.8"/>
    <n v="9.4438625397787711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08T00:00:00"/>
    <m/>
    <s v="ONCE OFF"/>
    <s v="MARINE CARGO / GIT"/>
    <m/>
    <m/>
    <m/>
  </r>
  <r>
    <x v="10"/>
    <s v="Yes"/>
    <d v="2022-06-02T00:00:00"/>
    <d v="2022-06-29T00:00:00"/>
    <d v="2022-06-24T00:00:00"/>
    <d v="2022-10-14T00:00:00"/>
    <s v="000-353/AIB RDC/2022"/>
    <n v="9"/>
    <s v="INCORPORATION"/>
    <s v="01-RCAP-2020-000107"/>
    <s v="KAMOTO COPPER COMPANY"/>
    <s v="MINING"/>
    <s v="RAMSY"/>
    <s v="Apphia"/>
    <s v="MOTOR TPL"/>
    <s v="MOTOR TPL"/>
    <x v="6"/>
    <s v="SFA"/>
    <n v="0"/>
    <n v="2525.15"/>
    <n v="0"/>
    <n v="0"/>
    <n v="31.6"/>
    <n v="2108.37"/>
    <n v="342.39"/>
    <e v="#DIV/0!"/>
    <n v="0.1"/>
    <n v="210.83699999999999"/>
    <n v="0"/>
    <n v="0"/>
    <n v="210.83699999999999"/>
    <n v="33.733919999999998"/>
    <n v="244.57092"/>
    <n v="4.2167399999999997"/>
    <m/>
    <n v="4.2167399999999997"/>
    <m/>
    <n v="206.62026"/>
    <m/>
    <m/>
    <n v="0"/>
    <m/>
    <m/>
    <n v="0"/>
    <m/>
    <n v="244.57092"/>
    <n v="244.57092"/>
    <n v="0"/>
    <s v="SFA"/>
    <d v="2022-08-08T00:00:00"/>
    <m/>
    <s v="RENEWED"/>
    <s v="MOTOR TPL"/>
    <m/>
    <s v="SFA"/>
    <m/>
  </r>
  <r>
    <x v="10"/>
    <s v="Yes"/>
    <d v="2022-06-07T00:00:00"/>
    <d v="2022-06-13T00:00:00"/>
    <d v="2022-06-09T00:00:00"/>
    <d v="2023-06-08T00:00:00"/>
    <s v="000-354/AIB RDC/2022"/>
    <n v="0"/>
    <s v="SOUSCRIPTION"/>
    <s v="12005-33002-0010-13001-00002502-2022"/>
    <s v="VAN ERPS ANTHONY"/>
    <m/>
    <s v="RAMSY"/>
    <s v="Apphia"/>
    <s v="COMP MOTOR"/>
    <s v="MOTOR COMP"/>
    <x v="1"/>
    <s v="MAYFAIR"/>
    <n v="35000"/>
    <n v="1751.54"/>
    <n v="0"/>
    <n v="0"/>
    <n v="10"/>
    <n v="1474.35"/>
    <n v="237.5"/>
    <n v="5.0043999999999998E-2"/>
    <n v="0.15"/>
    <n v="221.15249999999997"/>
    <m/>
    <m/>
    <n v="221.15249999999997"/>
    <n v="35.384399999999999"/>
    <n v="256.53689999999995"/>
    <n v="4.4230499999999999"/>
    <m/>
    <n v="4.4230499999999999"/>
    <m/>
    <n v="216.72944999999999"/>
    <m/>
    <m/>
    <n v="0"/>
    <m/>
    <m/>
    <n v="0"/>
    <m/>
    <n v="256.53689999999995"/>
    <n v="256.53689999999995"/>
    <n v="0"/>
    <s v="MAYFAIR"/>
    <d v="2022-07-30T00:00:00"/>
    <m/>
    <s v="RENEWED"/>
    <s v="COMP MOTOR"/>
    <m/>
    <m/>
    <m/>
  </r>
  <r>
    <x v="10"/>
    <s v="Yes"/>
    <d v="2022-06-16T00:00:00"/>
    <d v="2022-06-27T00:00:00"/>
    <d v="2022-06-20T00:00:00"/>
    <d v="2022-09-19T00:00:00"/>
    <s v="000-355/AIB RDC/2022"/>
    <n v="0"/>
    <s v="SOUSCRIPTION"/>
    <s v="12005-33002-0011-13001-00002927-2022"/>
    <s v="CENTRE MEDICAL DIAMANT"/>
    <s v="HOSPITAL"/>
    <s v="RAMSY"/>
    <s v="Apphia"/>
    <s v="MARINE CARGO / GIT"/>
    <s v="MARINE"/>
    <x v="1"/>
    <s v="MAYFAIR"/>
    <n v="195000"/>
    <n v="1227"/>
    <n v="0"/>
    <n v="0"/>
    <n v="50"/>
    <n v="990"/>
    <n v="166"/>
    <n v="6.2923076923076925E-3"/>
    <n v="0.15"/>
    <n v="148.5"/>
    <m/>
    <m/>
    <n v="148.5"/>
    <n v="23.76"/>
    <n v="172.26"/>
    <n v="2.97"/>
    <n v="0"/>
    <n v="2.97"/>
    <m/>
    <n v="145.53"/>
    <m/>
    <m/>
    <n v="0"/>
    <m/>
    <m/>
    <n v="0"/>
    <m/>
    <n v="172.26"/>
    <n v="172.26"/>
    <n v="0"/>
    <s v="MAYFAIR"/>
    <d v="2022-07-30T00:00:00"/>
    <m/>
    <s v="ONCE OFF"/>
    <s v="MARINE CARGO / GIT"/>
    <m/>
    <m/>
    <m/>
  </r>
  <r>
    <x v="10"/>
    <s v="Yes"/>
    <d v="2022-06-17T00:00:00"/>
    <d v="2022-06-17T00:00:00"/>
    <d v="2022-06-17T00:00:00"/>
    <d v="2023-06-16T00:00:00"/>
    <s v="000-356/AIB RDC/2022"/>
    <n v="0"/>
    <s v="SOUSCRIPTION"/>
    <s v="12002-33002-0004-104-00016497-2022"/>
    <s v="INDUSTRIAL SERVICES"/>
    <m/>
    <s v="SYNTYCHE"/>
    <s v="Syntyche"/>
    <s v="COMP MOTOR"/>
    <s v="MOTOR COMP"/>
    <x v="6"/>
    <s v="SFA"/>
    <n v="0"/>
    <n v="5895.72"/>
    <n v="0"/>
    <n v="0"/>
    <n v="241.33"/>
    <n v="4755.05"/>
    <n v="799.42"/>
    <e v="#DIV/0!"/>
    <n v="0.15"/>
    <n v="713.25750000000005"/>
    <n v="0"/>
    <n v="0"/>
    <n v="713.25750000000005"/>
    <n v="114.12120000000002"/>
    <n v="827.37870000000009"/>
    <n v="14.265150000000002"/>
    <m/>
    <n v="14.265150000000002"/>
    <m/>
    <n v="698.9923500000001"/>
    <m/>
    <m/>
    <n v="0"/>
    <m/>
    <m/>
    <n v="0"/>
    <m/>
    <n v="827.37870000000009"/>
    <n v="827.37870000000009"/>
    <n v="0"/>
    <s v="SFA"/>
    <d v="2022-08-08T00:00:00"/>
    <m/>
    <s v="RENEWED"/>
    <s v="COMP MOTOR"/>
    <m/>
    <m/>
    <m/>
  </r>
  <r>
    <x v="10"/>
    <s v="Yes"/>
    <d v="2022-06-29T00:00:00"/>
    <d v="2022-06-29T00:00:00"/>
    <d v="2022-06-30T00:00:00"/>
    <d v="2023-06-29T00:00:00"/>
    <s v="000-357/AIB RDC/2022"/>
    <n v="0"/>
    <s v="SOUSCRIPTION"/>
    <s v="12002-33002-0010-108-00016573-2022"/>
    <s v="RULVIS CONGO"/>
    <m/>
    <s v="SYNTYCHE"/>
    <s v="Syntyche"/>
    <s v="AVIATION HULL ALL RISK"/>
    <s v="AVIATION"/>
    <x v="6"/>
    <m/>
    <n v="0"/>
    <n v="135260.98000000001"/>
    <n v="14885.45"/>
    <n v="0"/>
    <n v="506.18"/>
    <n v="99236.32"/>
    <n v="18340.47"/>
    <e v="#DIV/0!"/>
    <m/>
    <m/>
    <n v="4465.6350000000002"/>
    <n v="4277.4275862068971"/>
    <n v="8743.0625862068973"/>
    <n v="1398.8900137931037"/>
    <n v="10141.952600000001"/>
    <n v="174.86125172413796"/>
    <m/>
    <n v="174.86125172413796"/>
    <m/>
    <n v="8568.2013344827592"/>
    <m/>
    <m/>
    <n v="0"/>
    <m/>
    <m/>
    <n v="0"/>
    <m/>
    <n v="10141.952600000001"/>
    <n v="10141.952600000001"/>
    <n v="0"/>
    <s v="SFA"/>
    <d v="2022-08-08T00:00:00"/>
    <m/>
    <s v="RENEWING..."/>
    <s v="AVIATION HULL ALL RISK"/>
    <m/>
    <m/>
    <m/>
  </r>
  <r>
    <x v="10"/>
    <s v="Yes"/>
    <d v="2022-06-21T00:00:00"/>
    <d v="2022-06-21T00:00:00"/>
    <d v="2022-06-13T00:00:00"/>
    <d v="2022-06-15T00:00:00"/>
    <s v="000-358/AIB RDC/2022"/>
    <n v="0"/>
    <s v="SOUSCRIPTION"/>
    <s v="12002-33002-0022-111-00016500-2022"/>
    <s v="ORICA / Bolloré"/>
    <m/>
    <s v="SYNTYCHE"/>
    <s v="Victor"/>
    <s v="MARINE CARGO / GIT"/>
    <s v="MARINE"/>
    <x v="6"/>
    <s v="SFA"/>
    <n v="11802.44"/>
    <n v="94.4"/>
    <n v="0"/>
    <n v="0"/>
    <n v="20"/>
    <n v="60"/>
    <n v="12.8"/>
    <n v="7.9983461047037734E-3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08T00:00:00"/>
    <m/>
    <s v="ONCE OFF"/>
    <s v="MARINE CARGO / GIT"/>
    <m/>
    <m/>
    <m/>
  </r>
  <r>
    <x v="10"/>
    <s v="Yes"/>
    <d v="2022-06-30T00:00:00"/>
    <d v="2022-06-30T00:00:00"/>
    <d v="2022-06-06T00:00:00"/>
    <d v="2022-12-07T00:00:00"/>
    <s v="000-359/AIB RDC/2022"/>
    <n v="4"/>
    <s v="INCORPORATION"/>
    <s v="12001-09002/3002/200 0000801"/>
    <s v="OPPORTUNITY INTERNATIONAL / Max Frédéric Woodley"/>
    <m/>
    <s v="ALICE"/>
    <s v="Alice"/>
    <s v="GPA"/>
    <s v="MEDICAL &amp; GPA"/>
    <x v="0"/>
    <s v="ACTIVA"/>
    <n v="0"/>
    <n v="599.38"/>
    <n v="0"/>
    <n v="0"/>
    <n v="10"/>
    <n v="506.71"/>
    <n v="82.67"/>
    <e v="#DIV/0!"/>
    <n v="0.1"/>
    <n v="50.670999999999999"/>
    <n v="0"/>
    <n v="0"/>
    <n v="50.670999999999999"/>
    <n v="8.1073599999999999"/>
    <n v="58.778359999999999"/>
    <n v="1.01342"/>
    <m/>
    <n v="1.01342"/>
    <m/>
    <n v="49.657579999999996"/>
    <s v="OLEA"/>
    <n v="0.35"/>
    <n v="17.380152999999996"/>
    <m/>
    <m/>
    <n v="17.380152999999996"/>
    <m/>
    <n v="58.778359999999999"/>
    <n v="58.778359999999999"/>
    <n v="0"/>
    <s v="ACTIVA"/>
    <d v="2022-07-29T00:00:00"/>
    <m/>
    <s v="RENEWED"/>
    <s v="GPA"/>
    <m/>
    <m/>
    <m/>
  </r>
  <r>
    <x v="10"/>
    <s v="Yes"/>
    <d v="2022-06-26T00:00:00"/>
    <d v="2022-06-26T00:00:00"/>
    <d v="2022-06-26T00:00:00"/>
    <d v="2022-07-02T00:00:00"/>
    <s v="000-360/AIB RDC/2022"/>
    <n v="0"/>
    <s v="SOUSCRIPTION"/>
    <s v="33002-0004-119-0002114"/>
    <s v="Eric Kabitshwa"/>
    <s v="PERSON"/>
    <s v="ALICE"/>
    <s v="Alice"/>
    <s v="TRAVEL"/>
    <s v="MEDICAL &amp; GPA"/>
    <x v="2"/>
    <s v="SUNU"/>
    <n v="0"/>
    <n v="10.86"/>
    <n v="0"/>
    <n v="0"/>
    <n v="0.18"/>
    <n v="9.18"/>
    <n v="1.5"/>
    <e v="#DIV/0!"/>
    <n v="0.2"/>
    <n v="1.8360000000000001"/>
    <m/>
    <m/>
    <n v="1.8360000000000001"/>
    <n v="0.29376000000000002"/>
    <n v="2.1297600000000001"/>
    <n v="3.6720000000000003E-2"/>
    <m/>
    <n v="3.6720000000000003E-2"/>
    <m/>
    <n v="1.79928"/>
    <m/>
    <m/>
    <n v="0"/>
    <m/>
    <m/>
    <n v="0"/>
    <m/>
    <n v="2.1297600000000001"/>
    <n v="2.1297600000000001"/>
    <n v="0"/>
    <s v="SUNU"/>
    <d v="2022-07-27T00:00:00"/>
    <m/>
    <s v="ONCE OFF"/>
    <s v="TRAVEL"/>
    <m/>
    <m/>
    <m/>
  </r>
  <r>
    <x v="10"/>
    <s v="Yes"/>
    <d v="2022-06-22T00:00:00"/>
    <d v="2022-06-22T00:00:00"/>
    <d v="2022-06-01T00:00:00"/>
    <d v="2023-05-29T00:00:00"/>
    <s v="000-361/AIB RDC/2022"/>
    <n v="1"/>
    <s v="INCORPORATION"/>
    <s v="12001-33002-0001-103-00002313-2022"/>
    <s v="GROUPE VIVENDI AFRICA ( GVA)"/>
    <m/>
    <s v="ALICE"/>
    <s v="Alice"/>
    <s v="COMP MOTOR"/>
    <s v="MOTOR COMP"/>
    <x v="0"/>
    <s v="ACTIVA"/>
    <n v="0"/>
    <n v="4444.18"/>
    <n v="0"/>
    <n v="0"/>
    <n v="37.93"/>
    <n v="3793.26"/>
    <n v="612.99"/>
    <e v="#DIV/0!"/>
    <n v="0.13727625023067"/>
    <n v="520.72450894999133"/>
    <n v="0"/>
    <n v="0"/>
    <n v="520.72450894999133"/>
    <n v="83.315921431998618"/>
    <n v="604.04043038198995"/>
    <n v="10.414490178999827"/>
    <n v="0"/>
    <n v="10.414490178999827"/>
    <m/>
    <n v="510.31001877099152"/>
    <m/>
    <m/>
    <n v="0"/>
    <m/>
    <m/>
    <n v="0"/>
    <m/>
    <n v="604.04043038198995"/>
    <n v="604.04043038198995"/>
    <n v="0"/>
    <s v="ACTIVA"/>
    <d v="2022-07-29T00:00:00"/>
    <m/>
    <s v="RENEWED"/>
    <s v="COMP MOTOR"/>
    <m/>
    <m/>
    <m/>
  </r>
  <r>
    <x v="10"/>
    <s v="Yes"/>
    <d v="2022-06-29T00:00:00"/>
    <d v="2022-06-29T00:00:00"/>
    <d v="2022-06-28T00:00:00"/>
    <d v="2023-06-27T00:00:00"/>
    <s v="000-362/AIB RDC/2022"/>
    <n v="0"/>
    <s v="SOUSCRIPTION"/>
    <s v="12002-33002-0002-112-00016574-2022"/>
    <s v="GROUPE VIVENDI AFRICA ( GVA)"/>
    <m/>
    <s v="ALICE"/>
    <s v="Alice"/>
    <s v="FIRE"/>
    <s v="PROPERTIES"/>
    <x v="6"/>
    <s v="SFA"/>
    <n v="244186"/>
    <n v="4246.87"/>
    <n v="0"/>
    <n v="0"/>
    <n v="67.63"/>
    <n v="3531.41"/>
    <n v="575.84"/>
    <n v="1.7391947122275642E-2"/>
    <n v="0.1"/>
    <n v="353.14100000000002"/>
    <n v="0"/>
    <n v="0"/>
    <n v="353.14100000000002"/>
    <n v="56.502560000000003"/>
    <n v="409.64356000000004"/>
    <n v="7.0628200000000003"/>
    <n v="0"/>
    <n v="7.0628200000000003"/>
    <m/>
    <n v="346.07818000000003"/>
    <m/>
    <m/>
    <n v="0"/>
    <m/>
    <m/>
    <n v="0"/>
    <m/>
    <n v="409.64356000000004"/>
    <n v="409.64356000000004"/>
    <n v="0"/>
    <s v="SFA"/>
    <d v="2022-08-08T00:00:00"/>
    <m/>
    <s v="RENEWING..."/>
    <s v="FIRE"/>
    <m/>
    <m/>
    <m/>
  </r>
  <r>
    <x v="10"/>
    <s v="Yes"/>
    <d v="2022-05-25T00:00:00"/>
    <d v="2022-06-21T00:00:00"/>
    <d v="2022-06-24T00:00:00"/>
    <d v="2023-06-23T00:00:00"/>
    <s v="000-363/AIB RDC/2022"/>
    <n v="0"/>
    <s v="SOUSCRIPTION"/>
    <s v="33002-0009-113-0002169"/>
    <s v="GROUPE VIVENDI AFRICA ( GVA)"/>
    <m/>
    <s v="ALICE"/>
    <s v="Alice"/>
    <s v="GENERAL LIABILITY"/>
    <s v="LIABILITIES"/>
    <x v="2"/>
    <s v="SUNU"/>
    <n v="0"/>
    <n v="417.6"/>
    <n v="0"/>
    <n v="0"/>
    <n v="10"/>
    <n v="350"/>
    <n v="57.6"/>
    <e v="#DIV/0!"/>
    <n v="0.1"/>
    <n v="35"/>
    <n v="0"/>
    <n v="0"/>
    <n v="35"/>
    <n v="5.6000000000000005"/>
    <n v="40.6"/>
    <n v="0.70000000000000007"/>
    <n v="0"/>
    <n v="0.70000000000000007"/>
    <m/>
    <n v="34.299999999999997"/>
    <m/>
    <m/>
    <n v="0"/>
    <m/>
    <m/>
    <n v="0"/>
    <m/>
    <n v="40.6"/>
    <n v="40.6"/>
    <n v="0"/>
    <s v="SUNU"/>
    <d v="2022-07-27T00:00:00"/>
    <m/>
    <s v="RENEWING..."/>
    <s v="GENERAL LIABILITY"/>
    <m/>
    <m/>
    <m/>
  </r>
  <r>
    <x v="10"/>
    <s v="Yes"/>
    <d v="2022-06-01T00:00:00"/>
    <d v="2022-06-01T00:00:00"/>
    <d v="2022-06-01T00:00:00"/>
    <d v="2022-06-30T00:00:00"/>
    <s v="000-364/AIB RDC/2022"/>
    <n v="0"/>
    <s v="SOUSCRIPTION"/>
    <s v="12001-33002-0014-111-00002335-2022"/>
    <s v="Metalco Sarl"/>
    <m/>
    <s v="ANDY"/>
    <s v="Andy"/>
    <s v="MARINE CARGO / GIT"/>
    <s v="MARINE"/>
    <x v="0"/>
    <s v="ACTIVA"/>
    <n v="54530.3"/>
    <n v="134.1"/>
    <n v="0"/>
    <n v="0"/>
    <n v="10"/>
    <n v="105.6"/>
    <n v="18.5"/>
    <n v="2.4591832430777014E-3"/>
    <n v="0.15"/>
    <n v="15.839999999999998"/>
    <n v="0"/>
    <n v="0"/>
    <n v="15.839999999999998"/>
    <n v="2.5343999999999998"/>
    <n v="18.374399999999998"/>
    <n v="0.31679999999999997"/>
    <m/>
    <n v="0.31679999999999997"/>
    <m/>
    <n v="15.523199999999997"/>
    <m/>
    <m/>
    <n v="0"/>
    <m/>
    <m/>
    <n v="0"/>
    <m/>
    <n v="18.374399999999998"/>
    <n v="18.374399999999998"/>
    <n v="0"/>
    <s v="ACTIVA"/>
    <d v="2022-09-01T00:00:00"/>
    <m/>
    <s v="ONCE OFF"/>
    <s v="MARINE CARGO / GIT"/>
    <m/>
    <m/>
    <m/>
  </r>
  <r>
    <x v="10"/>
    <s v="Yes"/>
    <d v="2022-06-10T00:00:00"/>
    <d v="2022-06-10T00:00:00"/>
    <d v="2022-06-09T00:00:00"/>
    <d v="2023-01-31T00:00:00"/>
    <s v="000-365/AIB RDC/2022"/>
    <n v="12"/>
    <s v="INCORPORATION"/>
    <s v="12001-33002-0001-104-0001845-2022"/>
    <s v="CFAO RDC / Loxea RDC"/>
    <s v="Distribution"/>
    <s v="ANDY"/>
    <s v="Andy"/>
    <s v="COMP MOTOR"/>
    <s v="MOTOR COMP"/>
    <x v="0"/>
    <s v="ACTIVA"/>
    <n v="195850"/>
    <n v="5701.05"/>
    <n v="0"/>
    <n v="0"/>
    <n v="48.66"/>
    <n v="4866"/>
    <n v="786.39"/>
    <n v="2.9109267296400308E-2"/>
    <n v="0.14743732018084699"/>
    <n v="717.43000000000143"/>
    <n v="0"/>
    <n v="145.97999999999999"/>
    <n v="863.41000000000145"/>
    <n v="138.14560000000023"/>
    <n v="1001.5556000000017"/>
    <n v="17.268200000000029"/>
    <n v="0"/>
    <n v="17.268200000000029"/>
    <m/>
    <n v="846.14180000000147"/>
    <s v="Aucun"/>
    <m/>
    <n v="0"/>
    <m/>
    <m/>
    <n v="0"/>
    <m/>
    <n v="1001.5556000000017"/>
    <n v="1001.5556000000017"/>
    <n v="0"/>
    <s v="ACTIVA"/>
    <d v="2022-07-29T00:00:00"/>
    <m/>
    <s v="RENEWED"/>
    <s v="COMP MOTOR"/>
    <m/>
    <m/>
    <s v="Vérification auprès de Mr. Money pour confirmation du paiement "/>
  </r>
  <r>
    <x v="10"/>
    <s v="Yes"/>
    <d v="2022-06-20T00:00:00"/>
    <d v="2022-06-29T00:00:00"/>
    <d v="2022-06-29T00:00:00"/>
    <d v="2023-06-28T00:00:00"/>
    <s v="000-366/AIB RDC/2022"/>
    <n v="0"/>
    <s v="SOUSCRIPTION"/>
    <s v="33002-0006-112-0002214"/>
    <s v="IPC RDC"/>
    <s v="Imprimerie"/>
    <s v="ANDY"/>
    <s v="Andy"/>
    <s v="FIRE"/>
    <s v="PROPERTIES"/>
    <x v="2"/>
    <s v="SUNU"/>
    <n v="1118000"/>
    <n v="2980.96"/>
    <n v="0"/>
    <n v="0"/>
    <n v="25.44"/>
    <n v="2544.35"/>
    <n v="411.17"/>
    <n v="2.6663327370304115E-3"/>
    <n v="0.1"/>
    <n v="254.435"/>
    <m/>
    <m/>
    <n v="254.435"/>
    <n v="40.709600000000002"/>
    <n v="295.14460000000003"/>
    <n v="5.0887000000000002"/>
    <m/>
    <n v="5.0887000000000002"/>
    <m/>
    <n v="249.34630000000001"/>
    <s v="OLEA"/>
    <n v="0.35"/>
    <n v="87.271204999999995"/>
    <m/>
    <m/>
    <n v="87.271204999999995"/>
    <m/>
    <n v="295.14460000000003"/>
    <n v="295.14460000000003"/>
    <n v="0"/>
    <s v="SUNU"/>
    <d v="2022-07-27T00:00:00"/>
    <m/>
    <m/>
    <s v="FIRE"/>
    <m/>
    <m/>
    <m/>
  </r>
  <r>
    <x v="10"/>
    <s v="Yes"/>
    <d v="2022-06-17T00:00:00"/>
    <d v="2022-06-27T00:00:00"/>
    <d v="2022-06-28T00:00:00"/>
    <d v="2023-06-27T00:00:00"/>
    <s v="000-367/AIB RDC/2022"/>
    <n v="0"/>
    <s v="SOUSCRIPTION"/>
    <s v="12002-33002-0004-103-00016551-2022"/>
    <s v="Mr Luc Blom"/>
    <m/>
    <s v="ANDY"/>
    <s v="Andy"/>
    <s v="MOTOR TPL"/>
    <s v="MOTOR TPL"/>
    <x v="6"/>
    <s v="SFA"/>
    <n v="0"/>
    <n v="316.19"/>
    <n v="0"/>
    <n v="0"/>
    <n v="3.96"/>
    <n v="264"/>
    <n v="42.87"/>
    <e v="#DIV/0!"/>
    <n v="0.125"/>
    <n v="33"/>
    <m/>
    <m/>
    <n v="33"/>
    <n v="5.28"/>
    <n v="38.28"/>
    <n v="0.66"/>
    <m/>
    <n v="0.66"/>
    <m/>
    <n v="32.340000000000003"/>
    <m/>
    <m/>
    <n v="0"/>
    <m/>
    <m/>
    <n v="0"/>
    <m/>
    <n v="38.28"/>
    <n v="38.28"/>
    <n v="0"/>
    <s v="SFA"/>
    <d v="2022-08-08T00:00:00"/>
    <m/>
    <s v="RENEWING..."/>
    <s v="MOTOR TPL"/>
    <m/>
    <m/>
    <m/>
  </r>
  <r>
    <x v="10"/>
    <s v="Yes"/>
    <d v="2022-06-22T00:00:00"/>
    <d v="2022-06-22T00:00:00"/>
    <d v="2022-06-21T00:00:00"/>
    <d v="2023-06-20T00:00:00"/>
    <s v="000-368/AIB RDC/2022"/>
    <n v="0"/>
    <s v="SOUSCRIPTION"/>
    <s v="12002-33002-0004-104-104-00016504-2022"/>
    <s v="Teichmann Group / T3 Drilling"/>
    <s v="MINING"/>
    <s v="ANDY"/>
    <s v="Andy"/>
    <s v="COMP MOTOR"/>
    <s v="MOTOR COMP"/>
    <x v="6"/>
    <s v="SFA"/>
    <n v="509297"/>
    <n v="24168.52"/>
    <n v="0"/>
    <n v="0"/>
    <n v="302.64999999999998"/>
    <n v="20179.16"/>
    <n v="3277.08"/>
    <n v="4.74546679049749E-2"/>
    <n v="0.15"/>
    <n v="3026.8739999999998"/>
    <m/>
    <m/>
    <n v="3026.8739999999998"/>
    <n v="484.29983999999996"/>
    <n v="3511.1738399999999"/>
    <n v="60.537479999999995"/>
    <m/>
    <n v="60.537479999999995"/>
    <m/>
    <n v="2966.3365199999998"/>
    <s v="O'NEILS"/>
    <n v="0.5"/>
    <n v="1483.1682599999999"/>
    <n v="1483.1682599999999"/>
    <d v="2022-11-02T00:00:00"/>
    <n v="0"/>
    <s v="PT011/AIB RDC/2022"/>
    <n v="3511.1738399999999"/>
    <n v="3511.1738399999999"/>
    <n v="0"/>
    <s v="SFA"/>
    <d v="2022-08-08T00:00:00"/>
    <m/>
    <s v="RENEWING..."/>
    <s v="COMP MOTOR"/>
    <m/>
    <m/>
    <m/>
  </r>
  <r>
    <x v="10"/>
    <s v="Yes"/>
    <d v="2022-06-28T00:00:00"/>
    <d v="2022-06-28T00:00:00"/>
    <d v="2022-06-28T00:00:00"/>
    <d v="2023-04-18T00:00:00"/>
    <s v="000-369/AIB RDC/2022"/>
    <n v="1"/>
    <s v="INCORPORATION"/>
    <s v="12002-33002-0004-104-00016188-2022"/>
    <s v="Teichmann Group / Kongo River"/>
    <s v="MINING"/>
    <s v="ANDY"/>
    <s v="Andy"/>
    <s v="COMP MOTOR"/>
    <s v="MOTOR COMP"/>
    <x v="6"/>
    <s v="SFA"/>
    <n v="77675"/>
    <n v="3349.11"/>
    <n v="0"/>
    <n v="0"/>
    <n v="41.94"/>
    <n v="2796.3"/>
    <n v="454.11"/>
    <n v="4.311696169938848E-2"/>
    <n v="0.15"/>
    <n v="419.44499999999999"/>
    <m/>
    <m/>
    <n v="419.44499999999999"/>
    <n v="67.111199999999997"/>
    <n v="486.55619999999999"/>
    <n v="8.3888999999999996"/>
    <m/>
    <n v="8.3888999999999996"/>
    <m/>
    <n v="411.05610000000001"/>
    <s v="O'NEILS"/>
    <n v="0.5"/>
    <n v="205.52805000000001"/>
    <n v="205.52805000000001"/>
    <d v="2022-11-02T00:00:00"/>
    <n v="0"/>
    <s v="PT011/AIB RDC/2022"/>
    <n v="486.55619999999999"/>
    <n v="486.55619999999999"/>
    <n v="0"/>
    <s v="SFA"/>
    <d v="2022-08-08T00:00:00"/>
    <m/>
    <s v="RENEWED"/>
    <s v="COMP MOTOR"/>
    <m/>
    <m/>
    <m/>
  </r>
  <r>
    <x v="10"/>
    <s v="Yes"/>
    <d v="2022-06-17T00:00:00"/>
    <d v="2022-06-25T00:00:00"/>
    <d v="2022-06-24T00:00:00"/>
    <d v="2022-10-14T00:00:00"/>
    <s v="000-370/AIB RDC/2022"/>
    <n v="10"/>
    <s v="INCORPORATION"/>
    <s v="01-RCAP-2020-000107"/>
    <s v="KAMOTO COPPER COMPANY"/>
    <s v="MINING"/>
    <s v="RAMSY"/>
    <s v="Apphia"/>
    <s v="MOTOR TPL"/>
    <s v="MOTOR TPL"/>
    <x v="6"/>
    <s v="SFA"/>
    <n v="0"/>
    <n v="3844.44"/>
    <n v="0"/>
    <n v="0"/>
    <n v="48.24"/>
    <n v="3209.76"/>
    <n v="521.28"/>
    <e v="#DIV/0!"/>
    <n v="0.1"/>
    <n v="320.97600000000006"/>
    <n v="0"/>
    <n v="0"/>
    <n v="320.97600000000006"/>
    <n v="51.35616000000001"/>
    <n v="372.33216000000004"/>
    <n v="6.4195200000000012"/>
    <m/>
    <n v="6.4195200000000012"/>
    <m/>
    <n v="314.55648000000008"/>
    <m/>
    <m/>
    <n v="0"/>
    <m/>
    <m/>
    <n v="0"/>
    <m/>
    <n v="372.33216000000004"/>
    <n v="372.33216000000004"/>
    <n v="0"/>
    <s v="SFA"/>
    <d v="2022-08-18T00:00:00"/>
    <m/>
    <s v="RENEWED"/>
    <s v="MOTOR TPL"/>
    <m/>
    <s v="SFA"/>
    <m/>
  </r>
  <r>
    <x v="1"/>
    <s v="Yes"/>
    <d v="2022-09-30T00:00:00"/>
    <d v="2022-11-02T00:00:00"/>
    <d v="2022-09-01T00:00:00"/>
    <d v="2022-09-03T00:00:00"/>
    <s v="000-371/AIB RDC/2022"/>
    <n v="0"/>
    <s v="SOUSCRIPTION"/>
    <s v="12002-33002-0022-111-00017436-2022"/>
    <s v="DEZIWA / Bolloré"/>
    <m/>
    <s v="SYNTYCHE"/>
    <s v="Victor"/>
    <s v="MARINE CARGO / GIT"/>
    <s v="MARINE"/>
    <x v="6"/>
    <s v="SFA"/>
    <n v="103451.87"/>
    <n v="289.10000000000002"/>
    <n v="0"/>
    <n v="0"/>
    <n v="20"/>
    <n v="225"/>
    <n v="39.200000000000003"/>
    <n v="2.7945362418291715E-3"/>
    <n v="0.15"/>
    <n v="33.75"/>
    <n v="0"/>
    <n v="0"/>
    <n v="33.75"/>
    <n v="5.4"/>
    <n v="39.15"/>
    <n v="0.67500000000000004"/>
    <m/>
    <n v="0.67500000000000004"/>
    <m/>
    <n v="33.075000000000003"/>
    <s v="BOLLORE"/>
    <n v="0.4"/>
    <n v="13.230000000000002"/>
    <m/>
    <m/>
    <n v="13.230000000000002"/>
    <m/>
    <m/>
    <n v="39.15"/>
    <n v="39.15"/>
    <s v="SFA"/>
    <m/>
    <m/>
    <s v="ONCE OFF"/>
    <s v="MARINE CARGO / GIT"/>
    <m/>
    <m/>
    <s v="Nous allons réclamer la com en janvier"/>
  </r>
  <r>
    <x v="11"/>
    <s v="Yes"/>
    <d v="2022-06-17T00:00:00"/>
    <d v="2022-07-23T00:00:00"/>
    <d v="2022-07-23T00:00:00"/>
    <d v="2023-03-22T00:00:00"/>
    <s v="000-372/AIB RDC/2022"/>
    <n v="2"/>
    <s v="INCORPORATION"/>
    <s v="00016055"/>
    <s v="AFRICELL RDC Sa"/>
    <s v="TELECOM"/>
    <s v="RAMSY"/>
    <s v="Apphia"/>
    <s v="MOTOR TPL"/>
    <s v="MOTOR TPL"/>
    <x v="6"/>
    <s v="SFA"/>
    <n v="0"/>
    <n v="245.63"/>
    <n v="0"/>
    <n v="0"/>
    <n v="3.09"/>
    <n v="205.08"/>
    <n v="33.299999999999997"/>
    <e v="#DIV/0!"/>
    <n v="0.1"/>
    <n v="20.508000000000003"/>
    <n v="0"/>
    <n v="0"/>
    <n v="20.508000000000003"/>
    <n v="3.2812800000000006"/>
    <n v="23.789280000000005"/>
    <n v="0.41016000000000008"/>
    <n v="0"/>
    <n v="0.41016000000000008"/>
    <m/>
    <n v="20.097840000000001"/>
    <m/>
    <m/>
    <n v="0"/>
    <m/>
    <m/>
    <n v="0"/>
    <m/>
    <n v="23.789280000000005"/>
    <n v="23.789280000000005"/>
    <n v="0"/>
    <s v="SFA"/>
    <d v="2022-08-18T00:00:00"/>
    <m/>
    <s v="RENEWED"/>
    <s v="MOTOR TPL"/>
    <m/>
    <m/>
    <m/>
  </r>
  <r>
    <x v="2"/>
    <s v="No"/>
    <d v="2022-11-04T00:00:00"/>
    <d v="2022-10-18T00:00:00"/>
    <d v="2022-10-18T00:00:00"/>
    <d v="2023-01-14T00:00:00"/>
    <s v="000-373/AIB RDC/2022"/>
    <n v="0"/>
    <s v="SOUSCRIPTION"/>
    <s v="12002-33002-0022-111-00017291-2022"/>
    <s v="DEZIWA / Bolloré"/>
    <m/>
    <s v="SYNTYCHE"/>
    <s v="Victor"/>
    <s v="MARINE CARGO / GIT"/>
    <s v="MARINE"/>
    <x v="6"/>
    <s v="SFA"/>
    <n v="49962.32"/>
    <n v="139.12"/>
    <n v="0"/>
    <n v="0"/>
    <n v="1.74"/>
    <n v="116.16"/>
    <n v="18.86"/>
    <n v="2.7844983979927276E-3"/>
    <n v="0.15"/>
    <n v="17.423999999999999"/>
    <n v="0"/>
    <n v="0"/>
    <n v="17.423999999999999"/>
    <n v="2.7878400000000001"/>
    <n v="20.211839999999999"/>
    <n v="0.34848000000000001"/>
    <m/>
    <n v="0.34848000000000001"/>
    <m/>
    <n v="17.075520000000001"/>
    <s v="BOLLORE"/>
    <n v="0.4"/>
    <n v="6.8302080000000007"/>
    <n v="6.8302080000000007"/>
    <d v="2023-10-30T00:00:00"/>
    <n v="0"/>
    <m/>
    <m/>
    <n v="20.211839999999999"/>
    <n v="20.211839999999999"/>
    <s v="SFA"/>
    <m/>
    <m/>
    <s v="ONCE OFF"/>
    <s v="MARINE CARGO / GIT"/>
    <m/>
    <m/>
    <s v="Nous allons réclamer la com en janvier"/>
  </r>
  <r>
    <x v="6"/>
    <s v="No"/>
    <d v="2023-01-02T00:00:00"/>
    <s v="TBA"/>
    <s v="TBA"/>
    <s v="TBA"/>
    <s v="000-374/AIB RDC/2022"/>
    <n v="0"/>
    <s v="SOUSCRIPTION"/>
    <s v="PR005141"/>
    <s v="DEZIWA / Bolloré"/>
    <m/>
    <s v="SYNTYCHE"/>
    <s v="Victor"/>
    <s v="MARINE CARGO / GIT"/>
    <s v="MARINE"/>
    <x v="6"/>
    <s v="SFA"/>
    <n v="25709.93"/>
    <n v="65"/>
    <n v="0"/>
    <n v="0"/>
    <n v="0.81"/>
    <n v="54.28"/>
    <n v="8.81"/>
    <n v="2.5282060277877069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10"/>
    <s v="Yes"/>
    <d v="2022-06-22T00:00:00"/>
    <d v="2022-08-01T00:00:00"/>
    <d v="2022-06-23T00:00:00"/>
    <d v="2022-09-22T00:00:00"/>
    <s v="000-375/AIB RDC/2022"/>
    <n v="0"/>
    <s v="SOUSCRIPTION"/>
    <n v="72000049"/>
    <s v="DEZIWA / Bolloré"/>
    <m/>
    <s v="SYNTYCHE"/>
    <s v="Victor"/>
    <s v="MARINE CARGO / GIT"/>
    <s v="MARINE"/>
    <x v="4"/>
    <s v="RAWSUR"/>
    <n v="6623"/>
    <n v="129.80000000000001"/>
    <n v="0"/>
    <n v="0"/>
    <n v="10"/>
    <n v="100"/>
    <n v="17.600000000000001"/>
    <n v="1.9598369319039712E-2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10"/>
    <s v="Yes"/>
    <d v="2022-06-23T00:00:00"/>
    <d v="2022-08-01T00:00:00"/>
    <d v="2022-06-23T00:00:00"/>
    <d v="2022-07-22T00:00:00"/>
    <s v="000-376/AIB RDC/2022"/>
    <n v="0"/>
    <s v="SOUSCRIPTION"/>
    <n v="72000051"/>
    <s v="DEZIWA / Bolloré"/>
    <m/>
    <s v="SYNTYCHE"/>
    <s v="Victor"/>
    <s v="MARINE CARGO / GIT"/>
    <s v="MARINE"/>
    <x v="4"/>
    <s v="RAWSUR"/>
    <n v="92296"/>
    <n v="338.53"/>
    <n v="0"/>
    <n v="0"/>
    <n v="10"/>
    <n v="276.89"/>
    <n v="45.9"/>
    <n v="3.6678729305712056E-3"/>
    <n v="0.15"/>
    <n v="41.533499999999997"/>
    <m/>
    <m/>
    <n v="41.533499999999997"/>
    <n v="6.6453599999999993"/>
    <n v="48.178859999999993"/>
    <n v="0.83066999999999991"/>
    <m/>
    <n v="0.83066999999999991"/>
    <m/>
    <n v="40.702829999999999"/>
    <s v="BOLLORE"/>
    <n v="0.4"/>
    <n v="16.281131999999999"/>
    <n v="16.281131999999999"/>
    <d v="2022-11-02T00:00:00"/>
    <n v="0"/>
    <s v="PT009/AIB RDC/2022"/>
    <n v="48.178859999999993"/>
    <n v="48.178859999999993"/>
    <n v="0"/>
    <s v="RAWSUR"/>
    <d v="2022-09-28T00:00:00"/>
    <m/>
    <s v="ONCE OFF"/>
    <s v="MARINE CARGO / GIT"/>
    <m/>
    <m/>
    <m/>
  </r>
  <r>
    <x v="10"/>
    <s v="Yes"/>
    <d v="2022-06-23T00:00:00"/>
    <d v="2022-08-01T00:00:00"/>
    <d v="2022-06-24T00:00:00"/>
    <d v="2022-07-23T00:00:00"/>
    <s v="000-377/AIB RDC/2022"/>
    <n v="0"/>
    <s v="SOUSCRIPTION"/>
    <n v="72000050"/>
    <s v="DEZIWA / Bolloré"/>
    <m/>
    <s v="SYNTYCHE"/>
    <s v="Victor"/>
    <s v="MARINE CARGO / GIT"/>
    <s v="MARINE"/>
    <x v="4"/>
    <s v="RAWSUR"/>
    <n v="31845"/>
    <n v="129.80000000000001"/>
    <n v="0"/>
    <n v="0"/>
    <n v="10"/>
    <n v="100"/>
    <n v="17.600000000000001"/>
    <n v="4.0759930915371338E-3"/>
    <n v="0.15"/>
    <n v="15"/>
    <m/>
    <m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10"/>
    <s v="Yes"/>
    <d v="2022-06-02T00:00:00"/>
    <d v="2022-09-01T00:00:00"/>
    <d v="2022-06-03T00:00:00"/>
    <d v="2022-09-02T00:00:00"/>
    <s v="000-378/AIB RDC/2022"/>
    <n v="0"/>
    <s v="SOUSCRIPTION"/>
    <n v="72000047"/>
    <s v="GREAT LAKES CEMENT (GLC) / Bolloré"/>
    <m/>
    <s v="SYNTYCHE"/>
    <s v="Victor"/>
    <s v="MARINE CARGO / GIT"/>
    <s v="MARINE"/>
    <x v="4"/>
    <s v="RAWSUR"/>
    <n v="900"/>
    <n v="129.80000000000001"/>
    <n v="0"/>
    <n v="0"/>
    <n v="10"/>
    <n v="100"/>
    <n v="17.600000000000001"/>
    <n v="0.14422222222222222"/>
    <n v="0.15"/>
    <n v="15"/>
    <m/>
    <m/>
    <n v="15"/>
    <n v="2.4"/>
    <n v="17.399999999999999"/>
    <n v="0.3"/>
    <m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2-11-04T00:00:00"/>
    <m/>
    <s v="ONCE OFF"/>
    <s v="MARINE CARGO / GIT"/>
    <m/>
    <m/>
    <m/>
  </r>
  <r>
    <x v="10"/>
    <s v="Yes"/>
    <d v="2022-06-02T00:00:00"/>
    <d v="2022-06-03T00:00:00"/>
    <d v="2022-06-03T00:00:00"/>
    <d v="2022-09-02T00:00:00"/>
    <s v="000-379/AIB RDC/2022"/>
    <n v="0"/>
    <s v="SOUSCRIPTION"/>
    <n v="72000048"/>
    <s v="ORICA / Bolloré"/>
    <m/>
    <s v="SYNTYCHE"/>
    <s v="Victor"/>
    <s v="MARINE CARGO / GIT"/>
    <s v="MARINE"/>
    <x v="4"/>
    <s v="RAWSUR"/>
    <n v="2190"/>
    <n v="129.80000000000001"/>
    <n v="0"/>
    <n v="0"/>
    <n v="10"/>
    <n v="100"/>
    <n v="17.600000000000001"/>
    <n v="5.9269406392694068E-2"/>
    <n v="0.15"/>
    <n v="15"/>
    <m/>
    <m/>
    <n v="15"/>
    <n v="2.4"/>
    <n v="17.399999999999999"/>
    <n v="0.3"/>
    <m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3-09T00:00:00"/>
    <m/>
    <s v="ONCE OFF"/>
    <s v="MARINE CARGO / GIT"/>
    <m/>
    <m/>
    <s v="Prime en cours de paiement "/>
  </r>
  <r>
    <x v="10"/>
    <s v="Yes"/>
    <d v="2022-06-09T00:00:00"/>
    <d v="2022-07-09T00:00:00"/>
    <d v="2022-06-13T00:00:00"/>
    <d v="2022-09-12T00:00:00"/>
    <s v="000-380/AIB RDC/2022"/>
    <n v="0"/>
    <s v="SOUSCRIPTION"/>
    <s v="12003-33002-0005-111-00000512-2022 / 70100013"/>
    <s v="T-THREE DRILLING / Bolloré"/>
    <m/>
    <s v="SYNTYCHE"/>
    <s v="Victor"/>
    <s v="MARINE CARGO / GIT"/>
    <s v="MARINE"/>
    <x v="4"/>
    <s v="RAWSUR"/>
    <n v="177483"/>
    <n v="867.22"/>
    <n v="0"/>
    <n v="0"/>
    <n v="25"/>
    <n v="709.93"/>
    <n v="117.59"/>
    <n v="4.8862144543421063E-3"/>
    <n v="0.15"/>
    <n v="106.48949999999999"/>
    <m/>
    <m/>
    <n v="106.48949999999999"/>
    <n v="17.038319999999999"/>
    <n v="123.52781999999999"/>
    <n v="2.1297899999999998"/>
    <m/>
    <n v="2.1297899999999998"/>
    <m/>
    <n v="104.35970999999999"/>
    <s v="BOLLORE"/>
    <n v="0.4"/>
    <n v="41.743884000000001"/>
    <n v="41.743884000000001"/>
    <d v="2022-09-30T00:00:00"/>
    <n v="0"/>
    <s v="PT008/AIB RDC/2022"/>
    <n v="123.52781999999999"/>
    <n v="123.52781999999999"/>
    <n v="0"/>
    <s v="RAWSUR"/>
    <d v="2022-08-24T00:00:00"/>
    <m/>
    <s v="ONCE OFF"/>
    <s v="MARINE CARGO / GIT"/>
    <m/>
    <m/>
    <m/>
  </r>
  <r>
    <x v="10"/>
    <s v="Yes"/>
    <d v="2022-06-21T00:00:00"/>
    <d v="2022-07-25T00:00:00"/>
    <d v="2022-06-30T00:00:00"/>
    <d v="2023-06-29T00:00:00"/>
    <s v="000-381/AIB RDC/2022"/>
    <n v="1"/>
    <s v="RENOUVELLEMENT"/>
    <s v="12003-33002-0010-113-00000062-2022 / 301-60100009"/>
    <s v="KAMOTO COPPER COMPANY"/>
    <s v="MINING"/>
    <s v="ANDY"/>
    <s v="Andy"/>
    <s v="GENERAL LIABILITY"/>
    <s v="LIABILITIES"/>
    <x v="4"/>
    <s v="MILLER"/>
    <n v="0"/>
    <n v="478762.65"/>
    <n v="60859.66"/>
    <n v="-33732.31"/>
    <n v="0"/>
    <n v="344871.4"/>
    <n v="64916.97"/>
    <e v="#DIV/0!"/>
    <n v="0"/>
    <n v="0"/>
    <n v="8138.2050000000017"/>
    <m/>
    <n v="8138.2050000000017"/>
    <n v="1302.1128000000003"/>
    <n v="9440.3178000000025"/>
    <n v="162.76410000000004"/>
    <m/>
    <n v="162.76410000000004"/>
    <m/>
    <n v="7975.4409000000014"/>
    <m/>
    <m/>
    <n v="0"/>
    <m/>
    <m/>
    <n v="0"/>
    <m/>
    <n v="9440.3178000000025"/>
    <n v="9440.3178000000025"/>
    <n v="0"/>
    <s v="RAWSUR"/>
    <d v="2022-08-24T00:00:00"/>
    <m/>
    <m/>
    <s v="GENERAL LIABILITY"/>
    <m/>
    <m/>
    <m/>
  </r>
  <r>
    <x v="10"/>
    <s v="Yes"/>
    <d v="2022-09-07T00:00:00"/>
    <d v="2022-07-25T00:00:00"/>
    <d v="2022-06-30T00:00:00"/>
    <d v="2023-06-29T00:00:00"/>
    <s v="000-382/AIB RDC/2022"/>
    <n v="1"/>
    <s v="RENOUVELLEMENT"/>
    <s v="12003-33002-0010-113-00000063-2022 / 301-60100010"/>
    <s v="Glencore / Mutanda Mining"/>
    <s v="MINING"/>
    <s v="ANDY"/>
    <s v="Andy"/>
    <s v="GENERAL LIABILITY"/>
    <s v="LIABILITIES"/>
    <x v="4"/>
    <s v="MILLER"/>
    <n v="0"/>
    <n v="173544.13"/>
    <n v="22060.69"/>
    <n v="-12227.44"/>
    <n v="0"/>
    <n v="125010.6"/>
    <n v="23531.41"/>
    <e v="#DIV/0!"/>
    <n v="0"/>
    <n v="0"/>
    <n v="2949.9749999999995"/>
    <n v="0"/>
    <n v="2949.9749999999995"/>
    <n v="471.99599999999992"/>
    <n v="3421.9709999999995"/>
    <n v="58.999499999999991"/>
    <n v="0"/>
    <n v="58.999499999999991"/>
    <m/>
    <n v="2890.9754999999996"/>
    <m/>
    <m/>
    <n v="0"/>
    <m/>
    <m/>
    <n v="0"/>
    <m/>
    <n v="3421.9709999999995"/>
    <n v="3421.9709999999995"/>
    <n v="0"/>
    <s v="RAWSUR"/>
    <d v="2022-08-24T00:00:00"/>
    <m/>
    <m/>
    <s v="GENERAL LIABILITY"/>
    <m/>
    <m/>
    <m/>
  </r>
  <r>
    <x v="10"/>
    <s v="Yes"/>
    <d v="2022-06-21T00:00:00"/>
    <d v="2022-07-01T00:00:00"/>
    <d v="2022-06-30T00:00:00"/>
    <d v="2023-06-29T00:00:00"/>
    <s v="000-383/AIB RDC/2022"/>
    <n v="1"/>
    <s v="RENOUVELLEMENT"/>
    <s v="12003-33002-0010-113-00000070-2022 / 301-60100011"/>
    <s v="KAMOTO COPPER COMPANY"/>
    <s v="MINING"/>
    <s v="ANDY"/>
    <s v="Andy"/>
    <s v="REFUELING LIABILITY"/>
    <s v="LIABILITIES"/>
    <x v="4"/>
    <s v="MILLER"/>
    <n v="0"/>
    <n v="62470.59"/>
    <n v="7941.18"/>
    <n v="-4401.51"/>
    <n v="0"/>
    <n v="45000"/>
    <n v="8470.59"/>
    <e v="#DIV/0!"/>
    <n v="0"/>
    <n v="0"/>
    <n v="1061.9010000000001"/>
    <m/>
    <n v="1061.9010000000001"/>
    <n v="169.90416000000002"/>
    <n v="1231.8051600000001"/>
    <n v="21.238020000000002"/>
    <m/>
    <n v="21.238020000000002"/>
    <m/>
    <n v="1040.6629800000001"/>
    <m/>
    <m/>
    <n v="0"/>
    <m/>
    <m/>
    <n v="0"/>
    <m/>
    <n v="1231.8051600000001"/>
    <n v="1231.8051600000001"/>
    <n v="0"/>
    <s v="RAWSUR"/>
    <d v="2022-08-24T00:00:00"/>
    <m/>
    <m/>
    <s v="REFUELING LIABILITY"/>
    <m/>
    <m/>
    <m/>
  </r>
  <r>
    <x v="10"/>
    <s v="Yes"/>
    <d v="2022-06-15T00:00:00"/>
    <d v="2022-07-05T00:00:00"/>
    <d v="2022-06-18T00:00:00"/>
    <d v="2023-06-17T00:00:00"/>
    <s v="000-384/AIB RDC/2022"/>
    <n v="3"/>
    <s v="RENOUVELLEMENT"/>
    <s v="33002-0006-112-0000284"/>
    <s v="BGFI BANK"/>
    <s v="Banking"/>
    <s v="RAMSY"/>
    <s v="Apphia"/>
    <s v="FIRE"/>
    <s v="PROPERTIES"/>
    <x v="2"/>
    <s v="SUNU"/>
    <n v="0"/>
    <n v="13052.94"/>
    <n v="0"/>
    <m/>
    <n v="111.41"/>
    <n v="11141.12"/>
    <n v="1800.41"/>
    <e v="#DIV/0!"/>
    <n v="0.1"/>
    <n v="1114.1120000000001"/>
    <m/>
    <m/>
    <n v="1114.1120000000001"/>
    <n v="178.25792000000001"/>
    <n v="1292.3699200000001"/>
    <n v="22.282240000000002"/>
    <m/>
    <n v="22.282240000000002"/>
    <m/>
    <n v="1091.8297600000001"/>
    <m/>
    <m/>
    <n v="0"/>
    <m/>
    <m/>
    <n v="0"/>
    <m/>
    <n v="1292.3699200000001"/>
    <n v="1292.3699200000001"/>
    <n v="0"/>
    <s v="SUNU"/>
    <d v="2022-08-22T00:00:00"/>
    <m/>
    <s v="RENEWING..."/>
    <s v="FIRE"/>
    <m/>
    <m/>
    <m/>
  </r>
  <r>
    <x v="11"/>
    <s v="Yes"/>
    <d v="2022-06-24T00:00:00"/>
    <d v="2022-06-23T00:00:00"/>
    <d v="2022-07-01T00:00:00"/>
    <d v="2023-06-30T00:00:00"/>
    <s v="000-385/AIB RDC/2022"/>
    <n v="3"/>
    <s v="RENOUVELLEMENT"/>
    <s v="12003-33002-0003-112-00000156-2022 / 45000006"/>
    <s v="KAMOA COPPER SA"/>
    <s v="MINING"/>
    <s v="ANDY"/>
    <s v="Andy"/>
    <s v="FIRE"/>
    <s v="PROPERTIES"/>
    <x v="4"/>
    <s v="AON"/>
    <n v="803701863"/>
    <n v="2552828.94"/>
    <n v="319918.21000000002"/>
    <n v="-143555.96"/>
    <n v="0"/>
    <n v="1843496.14"/>
    <n v="346146.3"/>
    <n v="3.1763382138632668E-3"/>
    <n v="2.24632E-3"/>
    <n v="4141.0822492048001"/>
    <n v="52908.67500000001"/>
    <n v="3019.1304984007998"/>
    <n v="60068.887747605615"/>
    <n v="9611.0220396168988"/>
    <n v="69679.90978722251"/>
    <n v="1201.3777549521124"/>
    <m/>
    <n v="1201.3777549521124"/>
    <m/>
    <n v="58867.509992653504"/>
    <s v="AON"/>
    <m/>
    <n v="0"/>
    <m/>
    <m/>
    <n v="0"/>
    <m/>
    <n v="69679.90978722251"/>
    <n v="69679.90978722251"/>
    <n v="0"/>
    <s v="RAWSUR"/>
    <d v="2022-07-28T00:00:00"/>
    <m/>
    <m/>
    <s v="FIRE"/>
    <m/>
    <m/>
    <m/>
  </r>
  <r>
    <x v="2"/>
    <s v="Yes"/>
    <d v="2022-06-23T00:00:00"/>
    <d v="2022-09-19T00:00:00"/>
    <d v="2022-10-01T00:00:00"/>
    <d v="2023-06-30T00:00:00"/>
    <s v="000-386/AIB RDC/2022"/>
    <n v="0"/>
    <s v="SOUSCRIPTION"/>
    <s v="12001-33002-0007-121-00002445-2022"/>
    <s v="MSA Labs"/>
    <m/>
    <s v="ANDY"/>
    <s v="Andy"/>
    <s v="FIRE"/>
    <s v="PROPERTIES"/>
    <x v="0"/>
    <s v="ACTIVA"/>
    <n v="4000000"/>
    <n v="7057.49"/>
    <n v="0"/>
    <n v="0"/>
    <n v="60.24"/>
    <n v="6024.1"/>
    <n v="973.49"/>
    <n v="1.7643724999999999E-3"/>
    <n v="0.1"/>
    <n v="602.41000000000008"/>
    <n v="0"/>
    <n v="0"/>
    <n v="602.41000000000008"/>
    <n v="96.385600000000011"/>
    <n v="698.79560000000015"/>
    <n v="12.048200000000001"/>
    <m/>
    <n v="12.048200000000001"/>
    <m/>
    <n v="590.36180000000013"/>
    <s v="OLEA"/>
    <n v="0.35"/>
    <n v="206.62663000000003"/>
    <m/>
    <m/>
    <n v="206.62663000000003"/>
    <m/>
    <n v="698.79560000000015"/>
    <n v="698.79560000000015"/>
    <n v="0"/>
    <s v="ACTIVA"/>
    <d v="2022-11-29T00:00:00"/>
    <m/>
    <s v="RENEWING..."/>
    <s v="FIRE"/>
    <m/>
    <m/>
    <m/>
  </r>
  <r>
    <x v="10"/>
    <s v="Yes"/>
    <d v="2022-09-07T00:00:00"/>
    <d v="2022-08-23T00:00:00"/>
    <d v="2022-06-19T00:00:00"/>
    <d v="2022-08-25T00:00:00"/>
    <s v="000-387/AIB RDC/2022"/>
    <n v="0"/>
    <s v="SOUSCRIPTION"/>
    <s v="00016891"/>
    <s v="ORICA / Bolloré"/>
    <m/>
    <s v="SYNTYCHE"/>
    <s v="Victor"/>
    <s v="MARINE CARGO / GIT"/>
    <s v="MARINE"/>
    <x v="6"/>
    <s v="SFA"/>
    <n v="2720"/>
    <n v="94.4"/>
    <n v="0"/>
    <n v="0"/>
    <n v="20"/>
    <n v="60"/>
    <n v="12.8"/>
    <n v="3.4705882352941177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11-02T00:00:00"/>
    <n v="0"/>
    <s v="PT009/AIB RDC/2022"/>
    <n v="10.44"/>
    <n v="10.44"/>
    <n v="0"/>
    <s v="SFA"/>
    <d v="2022-09-19T00:00:00"/>
    <m/>
    <s v="ONCE OFF"/>
    <s v="MARINE CARGO / GIT"/>
    <m/>
    <m/>
    <m/>
  </r>
  <r>
    <x v="10"/>
    <s v="Yes"/>
    <d v="2022-06-20T00:00:00"/>
    <d v="2022-07-21T00:00:00"/>
    <d v="2022-06-28T00:00:00"/>
    <d v="2022-07-27T00:00:00"/>
    <s v="000-388/AIB RDC/2022"/>
    <n v="0"/>
    <s v="SOUSCRIPTION"/>
    <s v="12002-33002-0022-111-00016675-2022"/>
    <s v="PANACO / Bolloré"/>
    <m/>
    <s v="SYNTYCHE"/>
    <s v="Victor"/>
    <s v="MARINE CARGO / GIT"/>
    <s v="MARINE"/>
    <x v="6"/>
    <s v="SFA"/>
    <n v="34956.559999999998"/>
    <n v="130.51"/>
    <n v="0"/>
    <n v="0"/>
    <n v="20"/>
    <n v="90.6"/>
    <n v="17.7"/>
    <n v="3.7334909384676295E-3"/>
    <n v="0.15"/>
    <n v="13.589999999999998"/>
    <m/>
    <m/>
    <n v="13.589999999999998"/>
    <n v="2.1743999999999999"/>
    <n v="15.764399999999998"/>
    <n v="0.27179999999999999"/>
    <m/>
    <n v="0.27179999999999999"/>
    <m/>
    <n v="13.318199999999997"/>
    <s v="BOLLORE"/>
    <n v="0.4"/>
    <n v="5.3272799999999991"/>
    <n v="5.3272799999999991"/>
    <d v="2022-09-30T00:00:00"/>
    <n v="0"/>
    <s v="PT008/AIB RDC/2022"/>
    <n v="15.764399999999998"/>
    <n v="15.764399999999998"/>
    <n v="0"/>
    <s v="SFA"/>
    <d v="2022-08-18T00:00:00"/>
    <m/>
    <s v="ONCE OFF"/>
    <s v="MARINE CARGO / GIT"/>
    <m/>
    <m/>
    <m/>
  </r>
  <r>
    <x v="10"/>
    <s v="Yes"/>
    <d v="2022-06-20T00:00:00"/>
    <d v="2022-07-11T00:00:00"/>
    <d v="2022-06-28T00:00:00"/>
    <d v="2022-07-27T00:00:00"/>
    <s v="000-389/AIB RDC/2022"/>
    <n v="0"/>
    <s v="SOUSCRIPTION"/>
    <s v="12002-33002-0022-111-00016622-2022"/>
    <s v="PANACO / Bolloré"/>
    <m/>
    <s v="SYNTYCHE"/>
    <s v="Victor"/>
    <s v="MARINE CARGO / GIT"/>
    <s v="MARINE"/>
    <x v="6"/>
    <s v="SFA"/>
    <n v="59320.72"/>
    <n v="110.34"/>
    <n v="0"/>
    <n v="0"/>
    <n v="1.39"/>
    <n v="92.54"/>
    <n v="15.03"/>
    <n v="1.8600583404921585E-3"/>
    <n v="0.15"/>
    <n v="13.881"/>
    <m/>
    <m/>
    <n v="13.881"/>
    <n v="2.2209600000000003"/>
    <n v="16.101960000000002"/>
    <n v="0.27762000000000003"/>
    <m/>
    <n v="0.27762000000000003"/>
    <m/>
    <n v="13.60338"/>
    <s v="BOLLORE"/>
    <n v="0.4"/>
    <n v="5.4413520000000002"/>
    <n v="5.4413520000000002"/>
    <d v="2022-09-30T00:00:00"/>
    <n v="0"/>
    <s v="PT008/AIB RDC/2022"/>
    <n v="16.101960000000002"/>
    <n v="16.101960000000002"/>
    <n v="0"/>
    <s v="SFA"/>
    <d v="2022-08-18T00:00:00"/>
    <m/>
    <s v="ONCE OFF"/>
    <s v="MARINE CARGO / GIT"/>
    <m/>
    <m/>
    <m/>
  </r>
  <r>
    <x v="10"/>
    <s v="Yes"/>
    <d v="2022-06-20T00:00:00"/>
    <d v="2022-07-11T00:00:00"/>
    <d v="2022-06-28T00:00:00"/>
    <d v="2022-07-27T00:00:00"/>
    <s v="000-390/AIB RDC/2022"/>
    <n v="0"/>
    <s v="SOUSCRIPTION"/>
    <s v="12002-33002-0022-111-00016621-2022"/>
    <s v="PANACO / Bolloré"/>
    <m/>
    <s v="SYNTYCHE"/>
    <s v="Victor"/>
    <s v="MARINE CARGO / GIT"/>
    <s v="MARINE"/>
    <x v="6"/>
    <s v="SFA"/>
    <n v="114076.32"/>
    <n v="275.58999999999997"/>
    <n v="0"/>
    <n v="0"/>
    <n v="20"/>
    <n v="213.55"/>
    <n v="37.369999999999997"/>
    <n v="2.4158387998490832E-3"/>
    <n v="0.15"/>
    <n v="32.032499999999999"/>
    <m/>
    <m/>
    <n v="32.032499999999999"/>
    <n v="5.1251999999999995"/>
    <n v="37.157699999999998"/>
    <n v="0.64064999999999994"/>
    <m/>
    <n v="0.64064999999999994"/>
    <m/>
    <n v="31.391849999999998"/>
    <s v="BOLLORE"/>
    <n v="0.4"/>
    <n v="12.55674"/>
    <n v="12.55674"/>
    <d v="2022-09-30T00:00:00"/>
    <n v="0"/>
    <s v="PT008/AIB RDC/2022"/>
    <n v="37.157699999999998"/>
    <n v="37.157699999999998"/>
    <n v="0"/>
    <s v="SFA"/>
    <d v="2022-08-18T00:00:00"/>
    <m/>
    <s v="ONCE OFF"/>
    <s v="MARINE CARGO / GIT"/>
    <m/>
    <m/>
    <m/>
  </r>
  <r>
    <x v="10"/>
    <s v="Yes"/>
    <d v="2022-06-20T00:00:00"/>
    <d v="2022-07-21T00:00:00"/>
    <d v="2022-06-28T00:00:00"/>
    <d v="2022-07-27T00:00:00"/>
    <s v="000-391/AIB RDC/2022"/>
    <n v="0"/>
    <s v="SOUSCRIPTION"/>
    <s v="12002-33002-0022-111-00016676-2022"/>
    <s v="PANACO / Bolloré"/>
    <m/>
    <s v="SYNTYCHE"/>
    <s v="Victor"/>
    <s v="MARINE CARGO / GIT"/>
    <s v="MARINE"/>
    <x v="6"/>
    <s v="SFA"/>
    <n v="91300"/>
    <n v="262.77"/>
    <n v="0"/>
    <n v="0"/>
    <n v="20"/>
    <n v="202.69"/>
    <n v="35.630000000000003"/>
    <n v="2.8780941949616647E-3"/>
    <n v="0.15"/>
    <n v="30.403499999999998"/>
    <m/>
    <m/>
    <n v="30.403499999999998"/>
    <n v="4.86456"/>
    <n v="35.268059999999998"/>
    <n v="0.60807"/>
    <m/>
    <n v="0.60807"/>
    <m/>
    <n v="29.795429999999996"/>
    <s v="BOLLORE"/>
    <n v="0.4"/>
    <n v="11.918171999999998"/>
    <n v="11.918171999999998"/>
    <d v="2022-09-30T00:00:00"/>
    <n v="0"/>
    <s v="PT008/AIB RDC/2022"/>
    <n v="35.268059999999998"/>
    <n v="35.268059999999998"/>
    <n v="0"/>
    <s v="SFA"/>
    <d v="2022-08-18T00:00:00"/>
    <m/>
    <s v="ONCE OFF"/>
    <s v="MARINE CARGO / GIT"/>
    <m/>
    <m/>
    <m/>
  </r>
  <r>
    <x v="10"/>
    <s v="Yes"/>
    <d v="2022-06-20T00:00:00"/>
    <d v="2022-07-11T00:00:00"/>
    <d v="2022-06-28T00:00:00"/>
    <d v="2022-07-27T00:00:00"/>
    <s v="000-392/AIB RDC/2022"/>
    <n v="0"/>
    <s v="SOUSCRIPTION"/>
    <s v="12002-33002-0022-111-00016620-2022"/>
    <s v="PANACO / Bolloré"/>
    <m/>
    <s v="SYNTYCHE"/>
    <s v="Victor"/>
    <s v="MARINE CARGO / GIT"/>
    <s v="MARINE"/>
    <x v="6"/>
    <s v="SFA"/>
    <n v="25968.94"/>
    <n v="101.03"/>
    <n v="0"/>
    <n v="0"/>
    <n v="20"/>
    <n v="65.62"/>
    <n v="13.7"/>
    <n v="3.8904167825101837E-3"/>
    <n v="0.15"/>
    <n v="9.843"/>
    <m/>
    <m/>
    <n v="9.843"/>
    <n v="1.5748800000000001"/>
    <n v="11.41788"/>
    <n v="0.19686000000000001"/>
    <m/>
    <n v="0.19686000000000001"/>
    <m/>
    <n v="9.6461400000000008"/>
    <s v="BOLLORE"/>
    <n v="0.4"/>
    <n v="3.8584560000000003"/>
    <n v="3.8584560000000003"/>
    <d v="2022-09-30T00:00:00"/>
    <n v="0"/>
    <s v="PT008/AIB RDC/2022"/>
    <n v="11.41788"/>
    <n v="11.41788"/>
    <n v="0"/>
    <s v="SFA"/>
    <d v="2022-08-18T00:00:00"/>
    <m/>
    <s v="ONCE OFF"/>
    <s v="MARINE CARGO / GIT"/>
    <m/>
    <m/>
    <m/>
  </r>
  <r>
    <x v="10"/>
    <s v="Yes"/>
    <d v="2022-06-27T00:00:00"/>
    <d v="2022-07-25T00:00:00"/>
    <d v="2022-06-28T00:00:00"/>
    <d v="2022-06-30T00:00:00"/>
    <s v="000-393/AIB RDC/2022"/>
    <n v="0"/>
    <s v="SOUSCRIPTION"/>
    <s v="12002-33002-0022-111-00016702-2022"/>
    <s v="SACIM / Bolloré"/>
    <m/>
    <s v="SYNTYCHE"/>
    <s v="Victor"/>
    <s v="MARINE CARGO / GIT"/>
    <s v="MARINE"/>
    <x v="6"/>
    <s v="SFA"/>
    <n v="8586.49"/>
    <n v="94.4"/>
    <n v="0"/>
    <n v="0"/>
    <n v="20"/>
    <n v="60"/>
    <n v="12.8"/>
    <n v="1.0994015016613309E-2"/>
    <n v="0.15"/>
    <n v="9"/>
    <n v="0"/>
    <n v="0"/>
    <n v="9"/>
    <n v="1.44"/>
    <n v="10.44"/>
    <n v="0.18"/>
    <n v="0"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18T00:00:00"/>
    <m/>
    <s v="ONCE OFF"/>
    <s v="MARINE CARGO / GIT"/>
    <m/>
    <m/>
    <m/>
  </r>
  <r>
    <x v="11"/>
    <s v="Yes"/>
    <d v="2022-06-08T00:00:00"/>
    <d v="2022-07-07T00:00:00"/>
    <d v="2022-07-07T00:00:00"/>
    <d v="2023-07-06T00:00:00"/>
    <s v="000-394/AIB RDC/2022"/>
    <n v="0"/>
    <s v="SOUSCRIPTION"/>
    <s v="12002-33002-0004-103-00016609-2022"/>
    <s v="DOMINIQUE OPPERS"/>
    <m/>
    <s v="SYNTYCHE"/>
    <s v="Syntyche"/>
    <s v="MOTOR TPL"/>
    <s v="MOTOR TPL"/>
    <x v="6"/>
    <s v="SFA"/>
    <n v="0"/>
    <n v="316.19"/>
    <n v="0"/>
    <n v="0"/>
    <n v="3.96"/>
    <n v="264"/>
    <n v="42.87"/>
    <e v="#DIV/0!"/>
    <n v="0.125"/>
    <n v="33"/>
    <m/>
    <m/>
    <n v="33"/>
    <n v="5.28"/>
    <n v="38.28"/>
    <n v="0.66"/>
    <m/>
    <n v="0.66"/>
    <m/>
    <n v="32.340000000000003"/>
    <m/>
    <m/>
    <n v="0"/>
    <m/>
    <m/>
    <n v="0"/>
    <m/>
    <n v="38.28"/>
    <n v="38.28"/>
    <n v="0"/>
    <s v="SFA"/>
    <d v="2022-08-18T00:00:00"/>
    <m/>
    <s v="RENEWING..."/>
    <s v="MOTOR TPL"/>
    <m/>
    <m/>
    <m/>
  </r>
  <r>
    <x v="11"/>
    <s v="Yes"/>
    <d v="2022-06-24T00:00:00"/>
    <d v="2022-07-21T00:00:00"/>
    <d v="2022-07-21T00:00:00"/>
    <d v="2023-07-20T00:00:00"/>
    <s v="000-395/AIB RDC/2022"/>
    <n v="0"/>
    <s v="SOUSCRIPTION"/>
    <s v="12002-33002-0022-111-00016669-2022"/>
    <s v="AVZ Dathcom Mining"/>
    <s v="MINING"/>
    <s v="ANDY"/>
    <s v="Andy"/>
    <s v="MARINE CARGO / GIT"/>
    <s v="MARINE"/>
    <x v="6"/>
    <s v="SFA"/>
    <n v="1237987"/>
    <n v="3447.36"/>
    <n v="0"/>
    <n v="0"/>
    <n v="43.17"/>
    <n v="2878.32"/>
    <n v="467.44"/>
    <n v="2.784649596482031E-3"/>
    <n v="0.15"/>
    <n v="431.74799999999999"/>
    <n v="0"/>
    <n v="0"/>
    <n v="431.74799999999999"/>
    <n v="69.079679999999996"/>
    <n v="500.82767999999999"/>
    <n v="8.6349599999999995"/>
    <m/>
    <n v="8.6349599999999995"/>
    <m/>
    <n v="423.11304000000001"/>
    <s v="Aucun"/>
    <m/>
    <n v="0"/>
    <m/>
    <m/>
    <n v="0"/>
    <m/>
    <n v="500.82767999999999"/>
    <n v="500.82767999999999"/>
    <n v="0"/>
    <s v="SFA"/>
    <d v="2022-08-18T00:00:00"/>
    <m/>
    <m/>
    <s v="MARINE CARGO / GIT"/>
    <m/>
    <m/>
    <m/>
  </r>
  <r>
    <x v="10"/>
    <s v="Yes"/>
    <d v="2022-07-08T00:00:00"/>
    <d v="2022-06-10T00:00:00"/>
    <d v="2022-06-10T00:00:00"/>
    <d v="2023-06-09T00:00:00"/>
    <s v="000-396/AIB RDC/2022"/>
    <n v="0"/>
    <s v="SOUSCRIPTION"/>
    <s v="00016426"/>
    <s v="BELGIAN CONSUL"/>
    <s v="EMBASSY"/>
    <s v="ALICE"/>
    <s v="Nyota"/>
    <s v="COMP MOTOR"/>
    <s v="MOTOR COMP"/>
    <x v="6"/>
    <s v="SFA"/>
    <n v="48015"/>
    <n v="2944.47"/>
    <n v="0"/>
    <n v="0"/>
    <n v="120.62"/>
    <n v="2374.69"/>
    <n v="399.25"/>
    <n v="6.132396126210559E-2"/>
    <n v="0.15"/>
    <n v="356.20350000000002"/>
    <m/>
    <m/>
    <n v="356.20350000000002"/>
    <n v="56.992560000000005"/>
    <n v="413.19606000000005"/>
    <n v="7.1240700000000006"/>
    <m/>
    <n v="7.1240700000000006"/>
    <m/>
    <n v="349.07943"/>
    <m/>
    <m/>
    <n v="0"/>
    <m/>
    <m/>
    <n v="0"/>
    <m/>
    <n v="413.19606000000005"/>
    <n v="413.19606000000005"/>
    <n v="0"/>
    <s v="SFA"/>
    <d v="2022-08-08T00:00:00"/>
    <m/>
    <s v="RENEWING..."/>
    <s v="COMP MOTOR"/>
    <m/>
    <m/>
    <m/>
  </r>
  <r>
    <x v="10"/>
    <s v="Yes"/>
    <d v="2022-07-08T00:00:00"/>
    <d v="2022-06-22T00:00:00"/>
    <d v="2022-06-22T00:00:00"/>
    <d v="2023-06-21T00:00:00"/>
    <s v="000-397/AIB RDC/2022"/>
    <n v="0"/>
    <s v="SOUSCRIPTION"/>
    <s v="00016505"/>
    <s v="Annie KABANGA BADIBANGA"/>
    <s v="PERSON"/>
    <s v="RAMSY"/>
    <s v="Victor"/>
    <s v="COMP MOTOR"/>
    <s v="MOTOR COMP"/>
    <x v="6"/>
    <s v="SFA"/>
    <n v="14000"/>
    <n v="693.17"/>
    <n v="0"/>
    <n v="0"/>
    <n v="92.43"/>
    <n v="495"/>
    <n v="93.99"/>
    <n v="4.9512142857142852E-2"/>
    <n v="0.15"/>
    <n v="74.25"/>
    <n v="0"/>
    <n v="0"/>
    <n v="74.25"/>
    <n v="11.88"/>
    <n v="86.13"/>
    <n v="1.4850000000000001"/>
    <m/>
    <n v="1.4850000000000001"/>
    <m/>
    <n v="72.765000000000001"/>
    <m/>
    <m/>
    <n v="0"/>
    <m/>
    <m/>
    <n v="0"/>
    <m/>
    <n v="86.13"/>
    <n v="86.13"/>
    <n v="0"/>
    <s v="SFA"/>
    <d v="2022-08-08T00:00:00"/>
    <m/>
    <s v="RENEWING..."/>
    <s v="COMP MOTOR"/>
    <m/>
    <m/>
    <m/>
  </r>
  <r>
    <x v="10"/>
    <s v="Yes"/>
    <d v="2022-07-08T00:00:00"/>
    <d v="2022-05-19T00:00:00"/>
    <d v="2022-06-06T00:00:00"/>
    <d v="2022-06-10T00:00:00"/>
    <s v="000-398/AIB RDC/2022"/>
    <n v="0"/>
    <s v="SOUSCRIPTION"/>
    <s v="33002-0004-119-0001858/0001"/>
    <s v="Bonface BIDILUKINU"/>
    <s v="PERSON"/>
    <s v="ALICE"/>
    <s v="Alice"/>
    <s v="TRAVEL"/>
    <s v="MEDICAL &amp; GPA"/>
    <x v="2"/>
    <s v="SUNU"/>
    <n v="0"/>
    <n v="10.86"/>
    <n v="0"/>
    <n v="0"/>
    <n v="0.18"/>
    <n v="9.18"/>
    <n v="1.5"/>
    <e v="#DIV/0!"/>
    <n v="0.2"/>
    <n v="1.8360000000000001"/>
    <m/>
    <m/>
    <n v="1.8360000000000001"/>
    <n v="0.29376000000000002"/>
    <n v="2.1297600000000001"/>
    <n v="3.6720000000000003E-2"/>
    <m/>
    <n v="3.6720000000000003E-2"/>
    <m/>
    <n v="1.79928"/>
    <m/>
    <m/>
    <n v="0"/>
    <m/>
    <m/>
    <n v="0"/>
    <m/>
    <n v="2.1297600000000001"/>
    <n v="2.1297600000000001"/>
    <n v="0"/>
    <s v="SUNU"/>
    <d v="2022-07-07T00:00:00"/>
    <m/>
    <s v="ONCE OFF"/>
    <s v="TRAVEL"/>
    <m/>
    <m/>
    <m/>
  </r>
  <r>
    <x v="10"/>
    <s v="Yes"/>
    <d v="2022-07-08T00:00:00"/>
    <d v="2022-05-19T00:00:00"/>
    <d v="2022-06-06T00:00:00"/>
    <d v="2022-06-12T00:00:00"/>
    <s v="000-399/AIB RDC/2022"/>
    <n v="0"/>
    <s v="SOUSCRIPTION"/>
    <s v="33002-0004-119-0001859/0001"/>
    <s v="Francis Hervé DJEMP"/>
    <s v="PERSON"/>
    <s v="ALICE"/>
    <s v="Alice"/>
    <s v="TRAVEL"/>
    <s v="MEDICAL &amp; GPA"/>
    <x v="2"/>
    <s v="SUNU"/>
    <n v="0"/>
    <n v="10.86"/>
    <n v="0"/>
    <n v="0"/>
    <n v="0.18"/>
    <n v="9.18"/>
    <n v="1.5"/>
    <e v="#DIV/0!"/>
    <n v="0.2"/>
    <n v="1.8360000000000001"/>
    <m/>
    <m/>
    <n v="1.8360000000000001"/>
    <n v="0.29376000000000002"/>
    <n v="2.1297600000000001"/>
    <n v="3.6720000000000003E-2"/>
    <m/>
    <n v="3.6720000000000003E-2"/>
    <m/>
    <n v="1.79928"/>
    <m/>
    <m/>
    <n v="0"/>
    <m/>
    <m/>
    <n v="0"/>
    <m/>
    <n v="2.1297600000000001"/>
    <n v="2.1297600000000001"/>
    <n v="0"/>
    <s v="SUNU"/>
    <d v="2022-07-07T00:00:00"/>
    <m/>
    <s v="ONCE OFF"/>
    <s v="TRAVEL"/>
    <m/>
    <m/>
    <m/>
  </r>
  <r>
    <x v="11"/>
    <s v="Yes"/>
    <d v="2022-07-29T00:00:00"/>
    <d v="2022-07-28T00:00:00"/>
    <d v="2022-07-21T00:00:00"/>
    <d v="2023-07-20T00:00:00"/>
    <s v="000-400/AIB RDC/2022"/>
    <n v="0"/>
    <s v="SOUSCRIPTION"/>
    <s v="12002-33002-0024-113-00016741-2022"/>
    <s v="GSA"/>
    <s v="SECURITY"/>
    <s v="SYNTYCHE"/>
    <s v="Grace"/>
    <s v="PUBLIC LIABILITY"/>
    <s v="LIABILITIES"/>
    <x v="6"/>
    <s v="SFA"/>
    <n v="0"/>
    <n v="26520.14"/>
    <n v="3352.94"/>
    <n v="0"/>
    <n v="121.76"/>
    <n v="19000"/>
    <n v="3595.95"/>
    <e v="#DIV/0!"/>
    <n v="0.15"/>
    <n v="2850"/>
    <n v="0"/>
    <n v="0"/>
    <n v="2850"/>
    <n v="456"/>
    <n v="3306"/>
    <n v="57"/>
    <n v="0"/>
    <n v="57"/>
    <m/>
    <n v="2793"/>
    <m/>
    <m/>
    <n v="0"/>
    <m/>
    <m/>
    <n v="0"/>
    <m/>
    <n v="3306"/>
    <n v="3306"/>
    <n v="0"/>
    <s v="SFA"/>
    <d v="2022-08-18T00:00:00"/>
    <m/>
    <s v="RENEWING..."/>
    <s v="PUBLIC LIABILITY"/>
    <m/>
    <m/>
    <m/>
  </r>
  <r>
    <x v="11"/>
    <s v="Yes"/>
    <d v="2022-07-29T00:00:00"/>
    <d v="2022-07-25T00:00:00"/>
    <d v="2022-07-17T00:00:00"/>
    <d v="2023-07-16T00:00:00"/>
    <s v="000-401/AIB RDC/2022"/>
    <n v="0"/>
    <s v="SOUSCRIPTION"/>
    <s v="12005-33002-002-13001-00003108-2022"/>
    <s v="Jewels international school"/>
    <s v="SCHOOL"/>
    <s v="SYNTYCHE"/>
    <s v="Sabrina"/>
    <s v="FIRE"/>
    <s v="PROPERTIES"/>
    <x v="1"/>
    <s v="MAYFAIR"/>
    <n v="0"/>
    <n v="4586.66"/>
    <n v="0"/>
    <n v="0"/>
    <n v="50"/>
    <n v="3837"/>
    <n v="621.91999999999996"/>
    <e v="#DIV/0!"/>
    <n v="0.15"/>
    <n v="575.54999999999995"/>
    <m/>
    <m/>
    <n v="575.54999999999995"/>
    <n v="92.087999999999994"/>
    <n v="667.63799999999992"/>
    <n v="11.510999999999999"/>
    <m/>
    <n v="11.510999999999999"/>
    <m/>
    <n v="564.03899999999999"/>
    <m/>
    <m/>
    <n v="0"/>
    <m/>
    <m/>
    <n v="0"/>
    <m/>
    <n v="667.63799999999992"/>
    <n v="667.63799999999992"/>
    <n v="0"/>
    <s v="MAYFAIR"/>
    <d v="2022-08-18T00:00:00"/>
    <m/>
    <s v="RENEWING..."/>
    <s v="FIRE"/>
    <m/>
    <m/>
    <m/>
  </r>
  <r>
    <x v="11"/>
    <s v="Yes"/>
    <d v="2022-07-29T00:00:00"/>
    <d v="2022-07-25T00:00:00"/>
    <d v="2022-07-17T00:00:00"/>
    <d v="2023-07-16T00:00:00"/>
    <s v="000-402/AIB RDC/2022"/>
    <n v="0"/>
    <s v="SOUSCRIPTION"/>
    <s v="12005-33002-002-13001-00003109-2022"/>
    <s v="Jewels international school"/>
    <s v="SCHOOL"/>
    <s v="SYNTYCHE"/>
    <s v="Sabrina"/>
    <s v="PVT"/>
    <s v="POLITICAL VIOLENCE"/>
    <x v="1"/>
    <s v="MAYFAIR"/>
    <n v="0"/>
    <n v="12690.9"/>
    <n v="0"/>
    <n v="0"/>
    <n v="20"/>
    <n v="10735"/>
    <n v="1720.8"/>
    <e v="#DIV/0!"/>
    <n v="0.15"/>
    <n v="1610.25"/>
    <m/>
    <m/>
    <n v="1610.25"/>
    <n v="257.64"/>
    <n v="1867.8899999999999"/>
    <n v="32.204999999999998"/>
    <m/>
    <n v="32.204999999999998"/>
    <m/>
    <n v="1578.0450000000001"/>
    <m/>
    <m/>
    <n v="0"/>
    <m/>
    <m/>
    <n v="0"/>
    <m/>
    <n v="1867.8899999999999"/>
    <n v="1867.8899999999999"/>
    <n v="0"/>
    <s v="MAYFAIR"/>
    <d v="2022-08-18T00:00:00"/>
    <m/>
    <s v="RENEWING..."/>
    <s v="PVT"/>
    <m/>
    <m/>
    <m/>
  </r>
  <r>
    <x v="11"/>
    <s v="Yes"/>
    <d v="2022-07-29T00:00:00"/>
    <d v="2022-07-25T00:00:00"/>
    <d v="2022-07-17T00:00:00"/>
    <d v="2023-07-16T00:00:00"/>
    <s v="000-403/AIB RDC/2022"/>
    <n v="0"/>
    <s v="SOUSCRIPTION"/>
    <s v="12005-33002-002-13001-00003110-2022"/>
    <s v="Jewels international school"/>
    <s v="SCHOOL"/>
    <s v="SYNTYCHE"/>
    <s v="Sabrina"/>
    <s v="PUBLIC LIABILITY"/>
    <s v="LIABILITIES"/>
    <x v="1"/>
    <s v="MAYFAIR"/>
    <n v="0"/>
    <n v="613.6"/>
    <n v="0"/>
    <n v="0"/>
    <n v="20"/>
    <n v="500"/>
    <n v="83.2"/>
    <e v="#DIV/0!"/>
    <n v="0.1"/>
    <n v="50"/>
    <m/>
    <m/>
    <n v="50"/>
    <n v="8"/>
    <n v="58"/>
    <n v="1"/>
    <m/>
    <n v="1"/>
    <m/>
    <n v="49"/>
    <m/>
    <m/>
    <n v="0"/>
    <m/>
    <m/>
    <n v="0"/>
    <m/>
    <n v="58"/>
    <n v="58"/>
    <n v="0"/>
    <s v="MAYFAIR"/>
    <d v="2022-08-18T00:00:00"/>
    <m/>
    <s v="RENEWING..."/>
    <s v="PUBLIC LIABILITY"/>
    <m/>
    <m/>
    <m/>
  </r>
  <r>
    <x v="11"/>
    <s v="Yes"/>
    <d v="2022-07-29T00:00:00"/>
    <d v="2022-07-04T00:00:00"/>
    <d v="2022-07-05T00:00:00"/>
    <d v="2023-01-19T00:00:00"/>
    <s v="000-404/AIB RDC/2022"/>
    <n v="16"/>
    <s v="INCORPORATION"/>
    <s v="01-RCAP-2021-000013"/>
    <s v="GSA"/>
    <s v="SECURITY"/>
    <s v="SYNTYCHE"/>
    <s v="Grace"/>
    <s v="MOTOR TPL"/>
    <s v="MOTOR TPL"/>
    <x v="6"/>
    <s v="SFA"/>
    <n v="0"/>
    <n v="868.56"/>
    <n v="0"/>
    <n v="0"/>
    <n v="10.88"/>
    <n v="725.19"/>
    <n v="117.77"/>
    <e v="#DIV/0!"/>
    <n v="0.1"/>
    <n v="72.519000000000005"/>
    <n v="0"/>
    <n v="0"/>
    <n v="72.519000000000005"/>
    <n v="11.603040000000002"/>
    <n v="84.122040000000013"/>
    <n v="1.4503800000000002"/>
    <n v="0"/>
    <n v="1.4503800000000002"/>
    <m/>
    <n v="71.06862000000001"/>
    <m/>
    <m/>
    <n v="0"/>
    <m/>
    <m/>
    <n v="0"/>
    <m/>
    <n v="84.122040000000013"/>
    <n v="84.122040000000013"/>
    <n v="0"/>
    <s v="SFA"/>
    <d v="2022-08-18T00:00:00"/>
    <m/>
    <s v="RENEWED"/>
    <s v="MOTOR TPL"/>
    <m/>
    <m/>
    <m/>
  </r>
  <r>
    <x v="11"/>
    <s v="Yes"/>
    <d v="2022-07-29T00:00:00"/>
    <d v="2022-07-20T00:00:00"/>
    <d v="2022-07-20T00:00:00"/>
    <d v="2023-07-19T00:00:00"/>
    <s v="000-405/AIB RDC/2022"/>
    <n v="0"/>
    <s v="SOUSCRIPTION"/>
    <s v="12005-33002-0003-13001-00003115-2022"/>
    <s v="CATHERINE YAHUMA"/>
    <s v="PERSON"/>
    <s v="SYNTYCHE"/>
    <s v="Grace"/>
    <s v="MOTOR TPL"/>
    <s v="MOTOR TPL"/>
    <x v="1"/>
    <s v="MAYFAIR"/>
    <n v="0"/>
    <n v="206.5"/>
    <n v="0"/>
    <n v="0"/>
    <n v="10"/>
    <n v="165"/>
    <n v="20"/>
    <e v="#DIV/0!"/>
    <n v="0.125"/>
    <n v="20.625"/>
    <n v="0"/>
    <n v="0"/>
    <n v="20.625"/>
    <n v="3.3000000000000003"/>
    <n v="23.925000000000001"/>
    <n v="0.41250000000000003"/>
    <m/>
    <n v="0.41250000000000003"/>
    <m/>
    <n v="20.212499999999999"/>
    <m/>
    <m/>
    <n v="0"/>
    <m/>
    <m/>
    <n v="0"/>
    <m/>
    <n v="23.925000000000001"/>
    <n v="23.925000000000001"/>
    <n v="0"/>
    <s v="MAYFAIR"/>
    <d v="2022-08-18T00:00:00"/>
    <m/>
    <m/>
    <s v="MOTOR TPL"/>
    <m/>
    <m/>
    <m/>
  </r>
  <r>
    <x v="11"/>
    <s v="Yes"/>
    <d v="2022-07-29T00:00:00"/>
    <d v="2022-07-23T00:00:00"/>
    <d v="2022-07-22T00:00:00"/>
    <d v="2023-07-21T00:00:00"/>
    <s v="000-406/AIB RDC/2022"/>
    <n v="0"/>
    <s v="SOUSCRIPTION"/>
    <s v="12002-33002-0001-114-00016681-2022"/>
    <s v="BOLLORE TRANSPORT &amp; LOGISTICS RDC"/>
    <s v="TRANSPORT"/>
    <s v="SYNTYCHE"/>
    <s v="Michée"/>
    <s v="MACHINARY BREAKDOWN"/>
    <s v="PROPERTIES"/>
    <x v="6"/>
    <s v="SFA"/>
    <n v="0"/>
    <n v="4454.3999999999996"/>
    <n v="0"/>
    <n v="0"/>
    <n v="100"/>
    <n v="3675"/>
    <n v="604"/>
    <e v="#DIV/0!"/>
    <n v="0.15"/>
    <n v="551.25"/>
    <n v="0"/>
    <n v="0"/>
    <n v="551.25"/>
    <n v="88.2"/>
    <n v="639.45000000000005"/>
    <n v="11.025"/>
    <m/>
    <n v="11.025"/>
    <m/>
    <n v="540.22500000000002"/>
    <m/>
    <m/>
    <n v="0"/>
    <m/>
    <m/>
    <n v="0"/>
    <m/>
    <n v="639.45000000000005"/>
    <n v="639.45000000000005"/>
    <n v="0"/>
    <s v="SFA"/>
    <d v="2022-08-18T00:00:00"/>
    <m/>
    <s v="RENEWING..."/>
    <s v="MACHINARY BREAKDOWN"/>
    <m/>
    <m/>
    <m/>
  </r>
  <r>
    <x v="11"/>
    <s v="Yes"/>
    <d v="2022-07-29T00:00:00"/>
    <d v="2022-08-25T00:00:00"/>
    <d v="2022-07-13T00:00:00"/>
    <d v="2022-10-12T00:00:00"/>
    <s v="000-407/AIB RDC/2022"/>
    <n v="0"/>
    <s v="SOUSCRIPTION"/>
    <n v="72000053"/>
    <s v="DEZIWA / Bolloré"/>
    <m/>
    <s v="SYNTYCHE"/>
    <s v="Victor"/>
    <s v="MARINE CARGO / GIT"/>
    <s v="MARINE"/>
    <x v="4"/>
    <s v="RAWSUR"/>
    <n v="157389"/>
    <n v="586.66"/>
    <n v="0"/>
    <n v="0"/>
    <n v="25"/>
    <n v="472.17"/>
    <n v="79.55"/>
    <n v="3.7274523632528319E-3"/>
    <n v="0.15"/>
    <n v="70.825500000000005"/>
    <m/>
    <m/>
    <n v="70.825500000000005"/>
    <n v="11.332080000000001"/>
    <n v="82.15758000000001"/>
    <n v="1.4165100000000002"/>
    <m/>
    <n v="1.4165100000000002"/>
    <m/>
    <n v="69.408990000000003"/>
    <s v="BOLLORE"/>
    <n v="0.4"/>
    <n v="27.763596000000003"/>
    <n v="27.763596000000003"/>
    <d v="2022-11-02T00:00:00"/>
    <n v="0"/>
    <s v="PT009/AIB RDC/2022"/>
    <n v="82.15758000000001"/>
    <n v="82.15758000000001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8T00:00:00"/>
    <d v="2022-11-27T00:00:00"/>
    <s v="000-408/AIB RDC/2022"/>
    <n v="0"/>
    <s v="SOUSCRIPTION"/>
    <n v="72000061"/>
    <s v="DEZIWA / Bolloré"/>
    <m/>
    <s v="SYNTYCHE"/>
    <s v="Victor"/>
    <s v="MARINE CARGO / GIT"/>
    <s v="MARINE"/>
    <x v="4"/>
    <s v="RAWSUR"/>
    <n v="43076"/>
    <n v="232.82"/>
    <n v="0"/>
    <n v="0"/>
    <n v="25"/>
    <n v="172.3"/>
    <n v="31.57"/>
    <n v="5.4048658185532547E-3"/>
    <n v="0.15"/>
    <n v="25.845000000000002"/>
    <m/>
    <m/>
    <n v="25.845000000000002"/>
    <n v="4.1352000000000002"/>
    <n v="29.980200000000004"/>
    <n v="0.51690000000000003"/>
    <m/>
    <n v="0.51690000000000003"/>
    <m/>
    <n v="25.328100000000003"/>
    <s v="BOLLORE"/>
    <n v="0.4"/>
    <n v="10.131240000000002"/>
    <n v="10.131240000000002"/>
    <d v="2022-11-02T00:00:00"/>
    <n v="0"/>
    <s v="PT009/AIB RDC/2022"/>
    <n v="29.980200000000004"/>
    <n v="29.980200000000004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09/AIB RDC/2022"/>
    <n v="0"/>
    <s v="SOUSCRIPTION"/>
    <n v="72000062"/>
    <s v="DEZIWA / Bolloré"/>
    <m/>
    <s v="SYNTYCHE"/>
    <s v="Victor"/>
    <s v="MARINE CARGO / GIT"/>
    <s v="MARINE"/>
    <x v="4"/>
    <s v="RAWSUR"/>
    <n v="169015"/>
    <n v="827.25"/>
    <n v="0"/>
    <n v="0"/>
    <n v="25"/>
    <n v="676.06"/>
    <n v="112.17"/>
    <n v="4.8945359879300652E-3"/>
    <n v="0.15"/>
    <n v="101.40899999999999"/>
    <m/>
    <m/>
    <n v="101.40899999999999"/>
    <n v="16.225439999999999"/>
    <n v="117.63443999999998"/>
    <n v="2.0281799999999999"/>
    <m/>
    <n v="2.0281799999999999"/>
    <m/>
    <n v="99.380819999999986"/>
    <s v="BOLLORE"/>
    <n v="0.4"/>
    <n v="39.752327999999999"/>
    <n v="39.752327999999999"/>
    <d v="2022-11-02T00:00:00"/>
    <n v="0"/>
    <s v="PT009/AIB RDC/2022"/>
    <n v="117.63443999999998"/>
    <n v="117.63443999999998"/>
    <n v="0"/>
    <s v="RAWSUR"/>
    <d v="2022-09-28T00:00:00"/>
    <m/>
    <s v="ONCE OFF"/>
    <s v="MARINE CARGO / GIT"/>
    <m/>
    <m/>
    <m/>
  </r>
  <r>
    <x v="11"/>
    <s v="Yes"/>
    <d v="2022-07-29T00:00:00"/>
    <d v="2022-09-01T00:00:00"/>
    <d v="2022-07-12T00:00:00"/>
    <d v="2022-08-11T00:00:00"/>
    <s v="000-410/AIB RDC/2022"/>
    <n v="0"/>
    <s v="SOUSCRIPTION"/>
    <s v="301 - 72000052"/>
    <s v="SACIM / Bolloré"/>
    <m/>
    <s v="SYNTYCHE"/>
    <s v="Victor"/>
    <s v="MARINE CARGO / GIT"/>
    <s v="MARINE"/>
    <x v="4"/>
    <s v="RAWSUR"/>
    <n v="16444"/>
    <n v="129.80000000000001"/>
    <n v="0"/>
    <n v="0"/>
    <n v="10"/>
    <n v="100"/>
    <n v="17.8"/>
    <n v="7.8934565799075665E-3"/>
    <n v="0.15"/>
    <n v="15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2-11-04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1/AIB RDC/2022"/>
    <n v="0"/>
    <s v="SOUSCRIPTION"/>
    <n v="72000060"/>
    <s v="PANACO / Bolloré"/>
    <m/>
    <s v="SYNTYCHE"/>
    <s v="Victor"/>
    <s v="MARINE CARGO / GIT"/>
    <s v="MARINE"/>
    <x v="4"/>
    <s v="RAWSUR"/>
    <n v="22442"/>
    <n v="129.80000000000001"/>
    <n v="0"/>
    <n v="0"/>
    <n v="10"/>
    <n v="100"/>
    <n v="17.8"/>
    <n v="5.7837982354513864E-3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2/AIB RDC/2022"/>
    <n v="0"/>
    <s v="SOUSCRIPTION"/>
    <n v="72000058"/>
    <s v="PANACO / Bolloré"/>
    <m/>
    <s v="SYNTYCHE"/>
    <s v="Victor"/>
    <s v="MARINE CARGO / GIT"/>
    <s v="MARINE"/>
    <x v="4"/>
    <s v="RAWSUR"/>
    <n v="3650"/>
    <n v="129.80000000000001"/>
    <n v="0"/>
    <n v="0"/>
    <n v="10"/>
    <n v="100"/>
    <n v="17.8"/>
    <n v="3.5561643835616441E-2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3/AIB RDC/2022"/>
    <n v="0"/>
    <s v="SOUSCRIPTION"/>
    <n v="72000056"/>
    <s v="PANACO / Bolloré"/>
    <m/>
    <s v="SYNTYCHE"/>
    <s v="Victor"/>
    <s v="MARINE CARGO / GIT"/>
    <s v="MARINE"/>
    <x v="4"/>
    <s v="RAWSUR"/>
    <n v="50638"/>
    <n v="250.81"/>
    <n v="0"/>
    <n v="0"/>
    <n v="10"/>
    <n v="202.53"/>
    <n v="34.01"/>
    <n v="4.9529997235277859E-3"/>
    <n v="0.15"/>
    <n v="30.3795"/>
    <n v="0"/>
    <n v="0"/>
    <n v="30.3795"/>
    <n v="4.8607199999999997"/>
    <n v="35.240220000000001"/>
    <n v="0.60758999999999996"/>
    <m/>
    <n v="0.60758999999999996"/>
    <m/>
    <n v="29.771910000000002"/>
    <s v="BOLLORE"/>
    <n v="0.4"/>
    <n v="11.908764000000001"/>
    <n v="11.908764000000001"/>
    <d v="2022-11-02T00:00:00"/>
    <n v="0"/>
    <s v="PT009/AIB RDC/2022"/>
    <n v="35.240220000000001"/>
    <n v="35.240220000000001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4/AIB RDC/2022"/>
    <n v="0"/>
    <s v="SOUSCRIPTION"/>
    <n v="72000055"/>
    <s v="PANACO / Bolloré"/>
    <m/>
    <s v="SYNTYCHE"/>
    <s v="Victor"/>
    <s v="MARINE CARGO / GIT"/>
    <s v="MARINE"/>
    <x v="4"/>
    <s v="RAWSUR"/>
    <n v="74382"/>
    <n v="362.88"/>
    <n v="0"/>
    <n v="0"/>
    <n v="10"/>
    <n v="297.52999999999997"/>
    <n v="49.2"/>
    <n v="4.8785996612083571E-3"/>
    <n v="0.15"/>
    <n v="44.629499999999993"/>
    <n v="0"/>
    <n v="0"/>
    <n v="44.629499999999993"/>
    <n v="7.1407199999999991"/>
    <n v="51.770219999999995"/>
    <n v="0.89258999999999988"/>
    <m/>
    <n v="0.89258999999999988"/>
    <m/>
    <n v="43.736909999999995"/>
    <s v="BOLLORE"/>
    <n v="0.4"/>
    <n v="17.494764"/>
    <n v="17.494764"/>
    <d v="2022-11-02T00:00:00"/>
    <n v="0"/>
    <s v="PT009/AIB RDC/2022"/>
    <n v="51.770219999999995"/>
    <n v="51.770219999999995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5/AIB RDC/2022"/>
    <n v="0"/>
    <s v="SOUSCRIPTION"/>
    <n v="72000054"/>
    <s v="PANACO / Bolloré"/>
    <m/>
    <s v="SYNTYCHE"/>
    <s v="Victor"/>
    <s v="MARINE CARGO / GIT"/>
    <s v="MARINE"/>
    <x v="4"/>
    <s v="RAWSUR"/>
    <n v="21337"/>
    <n v="129.80000000000001"/>
    <n v="0"/>
    <n v="0"/>
    <n v="10"/>
    <n v="100"/>
    <n v="17.8"/>
    <n v="6.0833294277546053E-3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9"/>
    <s v="Yes"/>
    <d v="2022-07-29T00:00:00"/>
    <d v="2022-08-25T00:00:00"/>
    <d v="2022-08-25T00:00:00"/>
    <d v="2022-11-24T00:00:00"/>
    <s v="000-416/AIB RDC/2022"/>
    <n v="0"/>
    <s v="SOUSCRIPTION"/>
    <n v="72000059"/>
    <s v="PANACO / Bolloré"/>
    <m/>
    <s v="SYNTYCHE"/>
    <s v="Victor"/>
    <s v="MARINE CARGO / GIT"/>
    <s v="MARINE"/>
    <x v="4"/>
    <s v="RAWSUR"/>
    <n v="65024"/>
    <n v="318.72000000000003"/>
    <n v="0"/>
    <n v="0"/>
    <n v="10"/>
    <n v="260.10000000000002"/>
    <n v="43.22"/>
    <n v="4.9015748031496064E-3"/>
    <n v="0.15"/>
    <n v="39.015000000000001"/>
    <n v="0"/>
    <n v="0"/>
    <n v="39.015000000000001"/>
    <n v="6.2423999999999999"/>
    <n v="45.257400000000004"/>
    <n v="0.78029999999999999"/>
    <m/>
    <n v="0.78029999999999999"/>
    <m/>
    <n v="38.234700000000004"/>
    <s v="BOLLORE"/>
    <n v="0.4"/>
    <n v="15.293880000000001"/>
    <n v="15.293880000000001"/>
    <d v="2022-11-02T00:00:00"/>
    <n v="0"/>
    <s v="PT009/AIB RDC/2022"/>
    <n v="45.257400000000004"/>
    <n v="45.257400000000004"/>
    <n v="0"/>
    <s v="RAWSUR"/>
    <d v="2022-09-28T00:00:00"/>
    <m/>
    <s v="ONCE OFF"/>
    <s v="MARINE CARGO / GIT"/>
    <m/>
    <m/>
    <m/>
  </r>
  <r>
    <x v="11"/>
    <s v="Yes"/>
    <d v="2022-07-29T00:00:00"/>
    <d v="2022-07-30T00:00:00"/>
    <d v="2022-07-28T00:00:00"/>
    <d v="2023-06-16T00:00:00"/>
    <s v="000-417/AIB RDC/2022"/>
    <n v="2"/>
    <s v="INCORPORATION"/>
    <s v="12002-33002-0004-104-00016497-2022"/>
    <s v="INDUSTRIAL SERVICES"/>
    <m/>
    <s v="SYNTYCHE"/>
    <s v="Syntyche"/>
    <s v="COMP MOTOR"/>
    <s v="MOTOR COMP"/>
    <x v="6"/>
    <s v="SFA"/>
    <n v="0"/>
    <n v="2233.5100000000002"/>
    <n v="0"/>
    <n v="0"/>
    <n v="111.72"/>
    <n v="1781.08"/>
    <n v="302.85000000000002"/>
    <e v="#DIV/0!"/>
    <n v="0.15"/>
    <n v="267.16199999999998"/>
    <n v="0"/>
    <n v="0"/>
    <n v="267.16199999999998"/>
    <n v="42.745919999999998"/>
    <n v="309.90791999999999"/>
    <n v="5.3432399999999998"/>
    <m/>
    <n v="5.3432399999999998"/>
    <m/>
    <n v="261.81876"/>
    <m/>
    <m/>
    <n v="0"/>
    <m/>
    <m/>
    <n v="0"/>
    <m/>
    <n v="309.90791999999999"/>
    <n v="309.90791999999999"/>
    <n v="0"/>
    <s v="SFA"/>
    <d v="2022-08-18T00:00:00"/>
    <m/>
    <s v="RENEWED"/>
    <s v="COMP MOTOR"/>
    <m/>
    <m/>
    <m/>
  </r>
  <r>
    <x v="11"/>
    <s v="Yes"/>
    <d v="2022-07-29T00:00:00"/>
    <d v="2022-07-22T00:00:00"/>
    <d v="2022-07-18T00:00:00"/>
    <d v="2022-07-20T00:00:00"/>
    <s v="000-418/AIB RDC/2022"/>
    <n v="0"/>
    <s v="SOUSCRIPTION"/>
    <s v="12002-33002-0022-111-00016680-2022"/>
    <s v="ORICA / Bolloré"/>
    <m/>
    <s v="SYNTYCHE"/>
    <s v="Victor"/>
    <s v="MARINE CARGO / GIT"/>
    <s v="MARINE"/>
    <x v="6"/>
    <s v="SFA"/>
    <n v="1220"/>
    <n v="94.4"/>
    <n v="0"/>
    <n v="0"/>
    <n v="20"/>
    <n v="60"/>
    <n v="12.8"/>
    <n v="7.7377049180327867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18T00:00:00"/>
    <m/>
    <s v="ONCE OFF"/>
    <s v="MARINE CARGO / GIT"/>
    <m/>
    <m/>
    <m/>
  </r>
  <r>
    <x v="11"/>
    <s v="Yes"/>
    <d v="2022-07-29T00:00:00"/>
    <d v="2022-07-22T00:00:00"/>
    <d v="2022-07-18T00:00:00"/>
    <d v="2022-07-20T00:00:00"/>
    <s v="000-419/AIB RDC/2022"/>
    <n v="0"/>
    <s v="SOUSCRIPTION"/>
    <s v="12002-33002-0022-111-00016679-2022"/>
    <s v="ORICA / Bolloré"/>
    <m/>
    <s v="SYNTYCHE"/>
    <s v="Victor"/>
    <s v="MARINE CARGO / GIT"/>
    <s v="MARINE"/>
    <x v="6"/>
    <s v="SFA"/>
    <n v="5046.21"/>
    <n v="94.4"/>
    <n v="0"/>
    <n v="0"/>
    <n v="20"/>
    <n v="60"/>
    <n v="12.8"/>
    <n v="1.8707108899550358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18T00:00:00"/>
    <m/>
    <s v="ONCE OFF"/>
    <s v="MARINE CARGO / GIT"/>
    <m/>
    <m/>
    <m/>
  </r>
  <r>
    <x v="9"/>
    <s v="Yes"/>
    <d v="2022-09-07T00:00:00"/>
    <d v="2022-08-23T00:00:00"/>
    <d v="2022-08-19T00:00:00"/>
    <d v="2022-10-18T00:00:00"/>
    <s v="000-420/AIB RDC/2022"/>
    <n v="0"/>
    <s v="SOUSCRIPTION"/>
    <s v="00016890"/>
    <s v="ORICA / Bolloré"/>
    <m/>
    <s v="SYNTYCHE"/>
    <s v="Victor"/>
    <s v="MARINE CARGO / GIT"/>
    <s v="MARINE"/>
    <x v="6"/>
    <s v="SFA"/>
    <n v="4565.8999999999996"/>
    <n v="94.4"/>
    <n v="0"/>
    <n v="0"/>
    <n v="20"/>
    <n v="60"/>
    <n v="12.8"/>
    <n v="2.0675003832760247E-2"/>
    <n v="0.15"/>
    <n v="9"/>
    <m/>
    <m/>
    <n v="9"/>
    <n v="1.44"/>
    <n v="10.44"/>
    <n v="0.18"/>
    <m/>
    <n v="0.18"/>
    <m/>
    <n v="8.82"/>
    <s v="BOLLORE"/>
    <n v="0.4"/>
    <n v="3.5280000000000005"/>
    <n v="3.5280000000000005"/>
    <d v="2022-11-02T00:00:00"/>
    <n v="0"/>
    <s v="PT009/AIB RDC/2022"/>
    <n v="10.44"/>
    <n v="10.44"/>
    <n v="0"/>
    <s v="SFA"/>
    <d v="2022-09-19T00:00:00"/>
    <m/>
    <s v="ONCE OFF"/>
    <s v="MARINE CARGO / GIT"/>
    <m/>
    <m/>
    <m/>
  </r>
  <r>
    <x v="10"/>
    <s v="Yes"/>
    <d v="2022-06-23T00:00:00"/>
    <d v="2022-10-21T00:00:00"/>
    <d v="2022-06-15T00:00:00"/>
    <d v="2023-06-14T00:00:00"/>
    <s v="000-421/AIB RDC/2022"/>
    <n v="1"/>
    <s v="RENOUVELLEMENT"/>
    <s v="12002-33002-0024-113-00017340-2022"/>
    <s v="GARDAWORLD DRC SARL"/>
    <s v="SECURITY"/>
    <s v="MICHEE"/>
    <s v="Apphia"/>
    <s v="GENERAL LIABILITY"/>
    <s v="LIABILITIES"/>
    <x v="6"/>
    <s v="SFA"/>
    <n v="0"/>
    <n v="7193.84"/>
    <n v="0"/>
    <n v="0"/>
    <n v="0"/>
    <n v="6097"/>
    <n v="975.44"/>
    <e v="#DIV/0!"/>
    <n v="0.1"/>
    <n v="609.70000000000005"/>
    <n v="0"/>
    <m/>
    <n v="609.70000000000005"/>
    <n v="97.552000000000007"/>
    <n v="707.25200000000007"/>
    <n v="12.194000000000001"/>
    <m/>
    <n v="12.194000000000001"/>
    <m/>
    <n v="597.50600000000009"/>
    <m/>
    <m/>
    <n v="0"/>
    <m/>
    <m/>
    <n v="0"/>
    <m/>
    <n v="318.42"/>
    <n v="707.25200000000007"/>
    <n v="388.83200000000005"/>
    <s v="SFA"/>
    <d v="2023-01-23T00:00:00"/>
    <m/>
    <s v="RENEWING..."/>
    <s v="GENERAL LIABILITY"/>
    <m/>
    <m/>
    <s v="Paiement échelonné de la prime"/>
  </r>
  <r>
    <x v="6"/>
    <s v="No"/>
    <d v="2022-12-29T00:00:00"/>
    <s v="TBA"/>
    <s v="TBA"/>
    <s v="TBA"/>
    <s v="000-422/AIB RDC/2022"/>
    <n v="0"/>
    <s v="SOUSCRIPTION"/>
    <s v="PR005076"/>
    <s v="GH KARAVIA PULLMAN / Bolloré"/>
    <m/>
    <s v="SYNTYCHE"/>
    <s v="Victor"/>
    <s v="MARINE CARGO / GIT"/>
    <s v="MARINE"/>
    <x v="6"/>
    <s v="SFA"/>
    <n v="3025.41"/>
    <n v="115"/>
    <n v="0"/>
    <n v="0"/>
    <n v="1.44"/>
    <n v="96.02"/>
    <n v="15.59"/>
    <n v="3.8011376970394098E-2"/>
    <n v="0.15"/>
    <n v="14.402999999999999"/>
    <n v="0"/>
    <n v="0"/>
    <n v="14.402999999999999"/>
    <n v="2.3044799999999999"/>
    <n v="16.707479999999997"/>
    <n v="0.28805999999999998"/>
    <m/>
    <n v="0.28805999999999998"/>
    <m/>
    <n v="14.114939999999999"/>
    <s v="BOLLORE"/>
    <n v="0.4"/>
    <n v="5.6459760000000001"/>
    <m/>
    <m/>
    <n v="5.6459760000000001"/>
    <m/>
    <m/>
    <n v="16.707479999999997"/>
    <n v="16.707479999999997"/>
    <s v="SFA"/>
    <m/>
    <m/>
    <s v="ONCE OFF"/>
    <s v="MARINE CARGO / GIT"/>
    <m/>
    <m/>
    <s v="Prime en cours de paiement par Bolloré"/>
  </r>
  <r>
    <x v="10"/>
    <s v="No"/>
    <d v="2023-06-26T00:00:00"/>
    <m/>
    <d v="2022-06-30T00:00:00"/>
    <d v="2023-06-29T00:00:00"/>
    <s v="000-423/AIB RDC/2022"/>
    <n v="1"/>
    <s v="RENOUVELLEMENT"/>
    <s v="301-60100011"/>
    <s v="Glencore / Kamoto Copper Company SA"/>
    <s v="Mining"/>
    <s v="ANDY"/>
    <s v="Andy"/>
    <s v="REFUELING LIABILITY"/>
    <s v="LIABILITIES"/>
    <x v="4"/>
    <s v="HARBOUR INSURANCE PTE Ltd"/>
    <n v="0"/>
    <n v="67329.41"/>
    <n v="8558.82"/>
    <n v="-3814.98"/>
    <n v="0"/>
    <n v="48500"/>
    <n v="9129.41"/>
    <e v="#DIV/0!"/>
    <n v="0"/>
    <n v="0"/>
    <n v="1423.152"/>
    <n v="0"/>
    <n v="1423.152"/>
    <n v="227.70432000000002"/>
    <n v="1650.8563200000001"/>
    <n v="28.463040000000003"/>
    <n v="0"/>
    <n v="28.463040000000003"/>
    <m/>
    <n v="1394.68896"/>
    <s v="Aucun"/>
    <m/>
    <n v="0"/>
    <m/>
    <m/>
    <n v="0"/>
    <m/>
    <m/>
    <n v="1650.8563200000001"/>
    <n v="1650.8563200000001"/>
    <s v="RAWSUR"/>
    <m/>
    <m/>
    <m/>
    <m/>
    <m/>
    <m/>
    <m/>
  </r>
  <r>
    <x v="11"/>
    <s v="Yes"/>
    <d v="2022-07-01T00:00:00"/>
    <d v="2022-07-07T00:00:00"/>
    <d v="2022-07-01T00:00:00"/>
    <d v="2023-06-30T00:00:00"/>
    <s v="000-424/AIB RDC/2022"/>
    <n v="0"/>
    <s v="SOUSCRIPTION"/>
    <s v="12001-33002-0007-112-00000335-2020"/>
    <s v="FONDEG Catering  SA (SERVAIR)"/>
    <s v="AVIATION"/>
    <s v="MICHEE"/>
    <s v="Apphia"/>
    <s v="PROPERTY DAMAGE &amp; BI"/>
    <s v="PROPERTIES"/>
    <x v="0"/>
    <s v="ACTIVA"/>
    <n v="0"/>
    <n v="3828.06"/>
    <n v="0"/>
    <n v="0"/>
    <n v="32.67"/>
    <n v="3267.38"/>
    <n v="528.01"/>
    <e v="#DIV/0!"/>
    <n v="0.1"/>
    <n v="326.73800000000006"/>
    <m/>
    <m/>
    <n v="326.73800000000006"/>
    <n v="52.27808000000001"/>
    <n v="379.01608000000004"/>
    <n v="6.5347600000000012"/>
    <m/>
    <n v="6.5347600000000012"/>
    <m/>
    <n v="320.20324000000005"/>
    <m/>
    <m/>
    <n v="0"/>
    <m/>
    <m/>
    <n v="0"/>
    <m/>
    <n v="379.01608000000004"/>
    <n v="379.01608000000004"/>
    <n v="0"/>
    <s v="ACTIVA"/>
    <d v="2022-09-01T00:00:00"/>
    <m/>
    <s v="RENEWING..."/>
    <s v="PROPERTY DAMAGE &amp; BI"/>
    <m/>
    <m/>
    <m/>
  </r>
  <r>
    <x v="11"/>
    <s v="Yes"/>
    <d v="2022-06-10T00:00:00"/>
    <d v="2022-07-07T00:00:00"/>
    <d v="2022-07-08T00:00:00"/>
    <d v="2023-07-07T00:00:00"/>
    <s v="000-425/AIB RDC/2022"/>
    <n v="0"/>
    <s v="SOUSCRIPTION"/>
    <s v="1293000966X"/>
    <s v="FONDEG Catering  SA (SERVAIR)"/>
    <s v="AVIATION"/>
    <s v="MICHEE"/>
    <s v="Apphia"/>
    <s v="MOTOR TPL"/>
    <s v="MOTOR TPL"/>
    <x v="8"/>
    <s v="SONAS / Agence Socimat"/>
    <n v="0"/>
    <n v="1844"/>
    <n v="0"/>
    <n v="0"/>
    <n v="5"/>
    <n v="1584.65"/>
    <n v="254.35"/>
    <e v="#DIV/0!"/>
    <n v="0.1"/>
    <n v="158.46500000000003"/>
    <m/>
    <m/>
    <n v="158.46500000000003"/>
    <n v="25.354400000000005"/>
    <n v="183.81940000000003"/>
    <n v="3.1693000000000007"/>
    <m/>
    <n v="3.1693000000000007"/>
    <m/>
    <n v="155.29570000000004"/>
    <m/>
    <m/>
    <n v="0"/>
    <m/>
    <m/>
    <n v="0"/>
    <m/>
    <n v="183.81940000000003"/>
    <n v="183.81940000000003"/>
    <n v="0"/>
    <s v="SONAS"/>
    <d v="2022-08-19T00:00:00"/>
    <m/>
    <s v="RENEWING..."/>
    <s v="MOTOR TPL"/>
    <m/>
    <m/>
    <m/>
  </r>
  <r>
    <x v="11"/>
    <s v="Yes"/>
    <d v="2022-07-19T00:00:00"/>
    <d v="2022-07-27T00:00:00"/>
    <d v="2022-07-27T00:00:00"/>
    <d v="2022-10-26T00:00:00"/>
    <s v="000-426/AIB RDC/2022"/>
    <n v="0"/>
    <s v="SOUSCRIPTION"/>
    <s v="33002-0012-111-0002449/0001"/>
    <s v="OM METAL RESSOURCES"/>
    <m/>
    <s v="MICHEE"/>
    <s v="Apphia"/>
    <s v="MARINE CARGO / GIT"/>
    <s v="MARINE"/>
    <x v="2"/>
    <s v="SUNU"/>
    <n v="256200"/>
    <n v="2460.36"/>
    <n v="0"/>
    <n v="0"/>
    <n v="21"/>
    <n v="2100"/>
    <n v="339.36"/>
    <n v="9.6032786885245913E-3"/>
    <n v="0.15"/>
    <n v="315"/>
    <m/>
    <m/>
    <n v="315"/>
    <n v="50.4"/>
    <n v="365.4"/>
    <n v="6.3"/>
    <m/>
    <n v="6.3"/>
    <m/>
    <n v="308.7"/>
    <s v="NIRAJ"/>
    <n v="0.2"/>
    <n v="61.74"/>
    <n v="61.74"/>
    <d v="2022-09-26T00:00:00"/>
    <n v="0"/>
    <s v="PT006/AIB RDC/2022"/>
    <n v="365.4"/>
    <n v="365.4"/>
    <n v="0"/>
    <s v="SUNU"/>
    <d v="2022-08-22T00:00:00"/>
    <m/>
    <s v="ONCE OFF"/>
    <s v="MARINE CARGO / GIT"/>
    <m/>
    <m/>
    <m/>
  </r>
  <r>
    <x v="11"/>
    <s v="Yes"/>
    <d v="2022-07-18T00:00:00"/>
    <d v="2022-07-28T00:00:00"/>
    <d v="2022-07-21T00:00:00"/>
    <d v="2023-07-20T00:00:00"/>
    <s v="000-427/AIB RDC/2022"/>
    <n v="0"/>
    <s v="SOUSCRIPTION"/>
    <s v="12005-33002-0012-13001-00003094-2022"/>
    <s v="RESTAURANT BAR LODGE CHEZ MARC"/>
    <s v="RESTAURANT"/>
    <s v="MICHEE"/>
    <s v="Apphia"/>
    <s v="FIRE"/>
    <s v="PROPERTIES"/>
    <x v="1"/>
    <s v="MAYFAIR"/>
    <n v="1951865"/>
    <n v="2851.34"/>
    <n v="0"/>
    <n v="0"/>
    <n v="20"/>
    <n v="2396.39"/>
    <n v="386.39"/>
    <n v="1.4608284896752593E-3"/>
    <n v="0.15"/>
    <n v="359.45849999999996"/>
    <m/>
    <m/>
    <n v="359.45849999999996"/>
    <n v="57.513359999999992"/>
    <n v="416.97185999999994"/>
    <n v="7.189169999999999"/>
    <m/>
    <n v="7.189169999999999"/>
    <m/>
    <n v="352.26932999999997"/>
    <m/>
    <m/>
    <n v="0"/>
    <m/>
    <m/>
    <n v="0"/>
    <m/>
    <n v="416.97185999999999"/>
    <n v="416.97185999999999"/>
    <n v="0"/>
    <s v="MAYFAIR"/>
    <d v="2023-06-29T00:00:00"/>
    <m/>
    <s v="RENEWING..."/>
    <s v="FIRE"/>
    <m/>
    <m/>
    <s v="Paiement échelonné"/>
  </r>
  <r>
    <x v="11"/>
    <s v="Yes"/>
    <d v="2022-07-04T00:00:00"/>
    <d v="2022-07-23T00:00:00"/>
    <d v="2022-07-23T00:00:00"/>
    <d v="2023-03-22T00:00:00"/>
    <s v="000-428/AIB RDC/2022"/>
    <n v="3"/>
    <s v="INCORPORATION"/>
    <s v="00016055"/>
    <s v="AFRICELL RDC Sa"/>
    <s v="TELECOM"/>
    <s v="MICHEE"/>
    <s v="Apphia"/>
    <s v="MOTOR TPL"/>
    <s v="MOTOR TPL"/>
    <x v="6"/>
    <s v="SFA"/>
    <n v="0"/>
    <n v="212.58"/>
    <n v="0"/>
    <n v="0"/>
    <n v="2.66"/>
    <n v="177.5"/>
    <n v="28.82"/>
    <e v="#DIV/0!"/>
    <n v="0.1"/>
    <n v="17.75"/>
    <n v="0"/>
    <n v="0"/>
    <n v="17.75"/>
    <n v="2.84"/>
    <n v="20.59"/>
    <n v="0.35499999999999998"/>
    <n v="0"/>
    <n v="0.35499999999999998"/>
    <m/>
    <n v="17.395"/>
    <m/>
    <m/>
    <n v="0"/>
    <m/>
    <m/>
    <n v="0"/>
    <m/>
    <n v="20.59"/>
    <n v="20.59"/>
    <n v="0"/>
    <s v="SFA"/>
    <d v="2022-08-18T00:00:00"/>
    <m/>
    <s v="RENEWED"/>
    <s v="MOTOR TPL"/>
    <m/>
    <m/>
    <m/>
  </r>
  <r>
    <x v="11"/>
    <s v="Yes"/>
    <d v="2022-07-20T00:00:00"/>
    <d v="2022-07-23T00:00:00"/>
    <d v="2022-07-23T00:00:00"/>
    <d v="2023-03-22T00:00:00"/>
    <s v="000-429/AIB RDC/2022"/>
    <n v="4"/>
    <s v="INCORPORATION"/>
    <s v="00016055"/>
    <s v="AFRICELL RDC Sa"/>
    <s v="TELECOM"/>
    <s v="MICHEE"/>
    <s v="Apphia"/>
    <s v="MOTOR TPL"/>
    <s v="MOTOR TPL"/>
    <x v="6"/>
    <s v="SFA"/>
    <n v="0"/>
    <n v="123.44"/>
    <n v="0"/>
    <n v="0"/>
    <n v="1.54"/>
    <n v="103.08"/>
    <n v="16.73"/>
    <e v="#DIV/0!"/>
    <n v="0.1"/>
    <n v="10.308"/>
    <n v="0"/>
    <n v="0"/>
    <n v="10.308"/>
    <n v="1.6492800000000001"/>
    <n v="11.957280000000001"/>
    <n v="0.20616000000000001"/>
    <n v="0"/>
    <n v="0.20616000000000001"/>
    <m/>
    <n v="10.101839999999999"/>
    <m/>
    <m/>
    <n v="0"/>
    <m/>
    <m/>
    <n v="0"/>
    <m/>
    <n v="11.957280000000001"/>
    <n v="11.957280000000001"/>
    <n v="0"/>
    <s v="SFA"/>
    <d v="2022-08-18T00:00:00"/>
    <m/>
    <s v="RENEWED"/>
    <s v="MOTOR TPL"/>
    <m/>
    <m/>
    <m/>
  </r>
  <r>
    <x v="11"/>
    <s v="Yes"/>
    <d v="2022-11-08T00:00:00"/>
    <d v="2022-07-29T00:00:00"/>
    <d v="2022-07-08T00:00:00"/>
    <d v="2023-07-07T00:00:00"/>
    <s v="000-430/AIB RDC/2022"/>
    <n v="0"/>
    <s v="SOUSCRIPTION"/>
    <s v="12005-0022-13001-00003090-2022"/>
    <s v="PANAFRIQUE MOTORS"/>
    <m/>
    <s v="MICHEE"/>
    <s v="Apphia"/>
    <s v="PVT"/>
    <s v="POLITICAL VIOLENCE"/>
    <x v="1"/>
    <s v="MAYFAIR"/>
    <n v="8000000"/>
    <n v="20839.96"/>
    <n v="0"/>
    <n v="0"/>
    <n v="100"/>
    <n v="17560.98"/>
    <n v="2825.76"/>
    <n v="2.6049949999999997E-3"/>
    <n v="0.03"/>
    <n v="526.82939999999996"/>
    <m/>
    <m/>
    <n v="526.82939999999996"/>
    <n v="84.292704000000001"/>
    <n v="611.12210399999992"/>
    <n v="10.536588"/>
    <m/>
    <n v="10.536588"/>
    <m/>
    <n v="516.29281199999991"/>
    <m/>
    <m/>
    <n v="0"/>
    <m/>
    <m/>
    <n v="0"/>
    <m/>
    <n v="611.12210399999992"/>
    <n v="611.12210399999992"/>
    <n v="0"/>
    <s v="MAYFAIR"/>
    <d v="2022-11-10T00:00:00"/>
    <m/>
    <m/>
    <s v="PVT"/>
    <m/>
    <m/>
    <m/>
  </r>
  <r>
    <x v="11"/>
    <s v="Yes"/>
    <d v="2022-07-18T00:00:00"/>
    <d v="2022-07-29T00:00:00"/>
    <d v="2022-07-08T00:00:00"/>
    <d v="2023-07-07T00:00:00"/>
    <s v="000-431/AIB RDC/2022"/>
    <n v="2"/>
    <s v="RENOUVELLEMENT"/>
    <s v="12005-0022-13001-00003089-2022"/>
    <s v="ZAHIRA SARL"/>
    <m/>
    <s v="MICHEE"/>
    <s v="Apphia"/>
    <s v="PVT"/>
    <s v="POLITICAL VIOLENCE"/>
    <x v="1"/>
    <s v="MAYFAIR"/>
    <n v="5000000"/>
    <n v="11223.88"/>
    <n v="0"/>
    <n v="0"/>
    <n v="100"/>
    <n v="9411.76"/>
    <n v="1521.88"/>
    <n v="2.244776E-3"/>
    <n v="2.2499511249755622E-2"/>
    <n v="211.76"/>
    <m/>
    <m/>
    <n v="211.76"/>
    <n v="33.881599999999999"/>
    <n v="245.64159999999998"/>
    <n v="4.2351999999999999"/>
    <m/>
    <n v="4.2351999999999999"/>
    <m/>
    <n v="207.5248"/>
    <m/>
    <m/>
    <n v="0"/>
    <m/>
    <m/>
    <n v="0"/>
    <m/>
    <n v="245.64159999999998"/>
    <n v="245.64159999999998"/>
    <n v="0"/>
    <s v="MAYFAIR"/>
    <d v="2023-03-03T00:00:00"/>
    <m/>
    <m/>
    <s v="PVT"/>
    <m/>
    <m/>
    <m/>
  </r>
  <r>
    <x v="11"/>
    <s v="Yes"/>
    <d v="2022-07-26T00:00:00"/>
    <d v="2022-07-27T00:00:00"/>
    <d v="2022-07-26T00:00:00"/>
    <d v="2023-03-09T00:00:00"/>
    <s v="000-432/AIB RDC/2022"/>
    <n v="2"/>
    <s v="INCORPORATION"/>
    <s v="13001/01/0700/00255/2022"/>
    <s v="MAFRICOM"/>
    <s v="FOOD MANIFACTURERS"/>
    <s v="MICHEE"/>
    <s v="Apphia"/>
    <s v="MOTOR TPL"/>
    <s v="MOTOR TPL"/>
    <x v="1"/>
    <s v="MAYFAIR"/>
    <n v="0"/>
    <n v="168.84"/>
    <n v="0"/>
    <n v="0"/>
    <n v="10"/>
    <n v="133.09"/>
    <n v="22.89"/>
    <e v="#DIV/0!"/>
    <n v="0.1"/>
    <n v="13.309000000000001"/>
    <m/>
    <m/>
    <n v="13.309000000000001"/>
    <n v="2.1294400000000002"/>
    <n v="15.438440000000002"/>
    <n v="0.26618000000000003"/>
    <m/>
    <n v="0.26618000000000003"/>
    <m/>
    <n v="13.042820000000001"/>
    <m/>
    <m/>
    <n v="0"/>
    <m/>
    <m/>
    <n v="0"/>
    <m/>
    <n v="15.438440000000002"/>
    <n v="15.438440000000002"/>
    <n v="0"/>
    <s v="MAYFAIR"/>
    <d v="2022-08-18T00:00:00"/>
    <m/>
    <s v="RENEWED"/>
    <s v="MOTOR TPL"/>
    <m/>
    <m/>
    <m/>
  </r>
  <r>
    <x v="11"/>
    <s v="Yes"/>
    <d v="2022-07-26T00:00:00"/>
    <d v="2022-07-27T00:00:00"/>
    <d v="2022-07-26T00:00:00"/>
    <d v="2023-03-09T00:00:00"/>
    <s v="000-433/AIB RDC/2022"/>
    <n v="3"/>
    <s v="INCORPORATION"/>
    <s v="13001/01/0700/00256/2022"/>
    <s v="NUTRI AFRICA"/>
    <s v="FOOD MANIFACTURERS"/>
    <s v="MICHEE"/>
    <s v="Apphia"/>
    <s v="MOTOR TPL"/>
    <s v="MOTOR TPL"/>
    <x v="1"/>
    <s v="MAYFAIR"/>
    <n v="0"/>
    <n v="110.38"/>
    <n v="0"/>
    <n v="0"/>
    <n v="10"/>
    <n v="83.54"/>
    <n v="14.97"/>
    <e v="#DIV/0!"/>
    <n v="0.1"/>
    <n v="8.354000000000001"/>
    <n v="0"/>
    <n v="0"/>
    <n v="8.354000000000001"/>
    <n v="1.3366400000000003"/>
    <n v="9.6906400000000019"/>
    <n v="0.16708000000000003"/>
    <m/>
    <n v="0.16708000000000003"/>
    <m/>
    <n v="8.1869200000000006"/>
    <m/>
    <m/>
    <n v="0"/>
    <m/>
    <m/>
    <n v="0"/>
    <m/>
    <n v="9.6906400000000019"/>
    <n v="9.6906400000000019"/>
    <n v="0"/>
    <s v="MAYFAIR"/>
    <d v="2022-08-18T00:00:00"/>
    <m/>
    <s v="RENEWED"/>
    <s v="MOTOR TPL"/>
    <m/>
    <m/>
    <m/>
  </r>
  <r>
    <x v="9"/>
    <s v="Yes"/>
    <d v="2022-07-07T00:00:00"/>
    <d v="2022-08-24T00:00:00"/>
    <d v="2022-08-01T00:00:00"/>
    <d v="2023-07-31T00:00:00"/>
    <s v="000-434/AIB RDC/2022"/>
    <n v="1"/>
    <s v="RENOUVELLEMENT"/>
    <s v="301/60500002"/>
    <s v="SOCIETE FINANCIERE D'ASSURANCE ( SFA)"/>
    <s v="INSURANCE"/>
    <s v="MICHEE"/>
    <s v="Apphia"/>
    <s v="D&amp;O"/>
    <s v="LIABILITIES"/>
    <x v="4"/>
    <s v="RAWSUR"/>
    <n v="5000000"/>
    <n v="38641.53"/>
    <n v="4897.0600000000004"/>
    <n v="0"/>
    <n v="100"/>
    <n v="32647.06"/>
    <n v="5239.53"/>
    <n v="7.7283059999999999E-3"/>
    <n v="0"/>
    <n v="0"/>
    <n v="1469.1180000000002"/>
    <n v="750"/>
    <n v="2219.1180000000004"/>
    <n v="355.05888000000004"/>
    <n v="2574.1768800000004"/>
    <n v="44.382360000000006"/>
    <m/>
    <n v="44.382360000000006"/>
    <m/>
    <n v="2174.7356400000003"/>
    <m/>
    <m/>
    <n v="0"/>
    <m/>
    <m/>
    <n v="0"/>
    <m/>
    <n v="2574.1768800000004"/>
    <n v="2574.1768800000004"/>
    <n v="0"/>
    <s v="RAWSUR"/>
    <d v="2022-09-28T00:00:00"/>
    <m/>
    <s v="RENEWING..."/>
    <s v="D&amp;O"/>
    <m/>
    <m/>
    <m/>
  </r>
  <r>
    <x v="11"/>
    <s v="Yes"/>
    <d v="2022-07-13T00:00:00"/>
    <d v="2022-07-13T00:00:00"/>
    <d v="2022-07-01T00:00:00"/>
    <d v="2022-07-30T00:00:00"/>
    <s v="000-435/AIB RDC/2022"/>
    <n v="3"/>
    <s v="PROROGATION"/>
    <s v="01-TRC-2020-000013"/>
    <s v="LUANO GRANDES PROPRIETES  S.A.R.L/ Offices"/>
    <s v="CONSTRUCTION"/>
    <s v="MICHEE"/>
    <s v="Apphia"/>
    <s v="TRC"/>
    <s v="CONSTRUCTIONS"/>
    <x v="6"/>
    <s v="SFA"/>
    <n v="0"/>
    <n v="1036.04"/>
    <n v="0"/>
    <n v="0"/>
    <n v="20"/>
    <n v="858"/>
    <n v="140.47999999999999"/>
    <e v="#DIV/0!"/>
    <n v="0.15"/>
    <n v="128.69999999999999"/>
    <m/>
    <m/>
    <n v="128.69999999999999"/>
    <n v="20.591999999999999"/>
    <n v="149.29199999999997"/>
    <n v="2.5739999999999998"/>
    <m/>
    <n v="2.5739999999999998"/>
    <m/>
    <n v="126.12599999999999"/>
    <m/>
    <m/>
    <n v="0"/>
    <m/>
    <m/>
    <n v="0"/>
    <m/>
    <n v="149.29199999999997"/>
    <n v="149.29199999999997"/>
    <n v="0"/>
    <s v="SFA"/>
    <d v="2022-08-18T00:00:00"/>
    <m/>
    <s v="RENEWED"/>
    <s v="TRC"/>
    <m/>
    <s v="SFA"/>
    <m/>
  </r>
  <r>
    <x v="11"/>
    <s v="Yes"/>
    <d v="2022-07-13T00:00:00"/>
    <d v="2022-07-13T00:00:00"/>
    <d v="2022-07-01T00:00:00"/>
    <d v="2022-10-30T00:00:00"/>
    <s v="000-436/AIB RDC/2022"/>
    <n v="4"/>
    <s v="PROROGATION"/>
    <s v="01-TRC-2020-000015"/>
    <s v="LUANO GRANDES PROPRIETES  S.A.R.L/ Résidences"/>
    <s v="CONSTRUCTION"/>
    <s v="MICHEE"/>
    <s v="Apphia"/>
    <s v="TRC"/>
    <s v="CONSTRUCTIONS"/>
    <x v="6"/>
    <s v="SFA"/>
    <n v="0"/>
    <n v="8292.01"/>
    <n v="0"/>
    <n v="0"/>
    <n v="44.91"/>
    <n v="6982.22"/>
    <n v="1124.3399999999999"/>
    <e v="#DIV/0!"/>
    <n v="0.15"/>
    <n v="1047.3330000000001"/>
    <m/>
    <m/>
    <n v="1047.3330000000001"/>
    <n v="167.57328000000001"/>
    <n v="1214.9062800000002"/>
    <n v="20.946660000000001"/>
    <m/>
    <n v="20.946660000000001"/>
    <m/>
    <n v="1026.38634"/>
    <m/>
    <m/>
    <n v="0"/>
    <m/>
    <m/>
    <n v="0"/>
    <m/>
    <n v="1214.9062800000002"/>
    <n v="1214.9062800000002"/>
    <n v="0"/>
    <s v="SFA"/>
    <d v="2022-08-18T00:00:00"/>
    <m/>
    <s v="ONCE OFF"/>
    <s v="TRC"/>
    <m/>
    <m/>
    <m/>
  </r>
  <r>
    <x v="11"/>
    <s v="Yes"/>
    <d v="2022-07-18T00:00:00"/>
    <d v="2022-08-25T00:00:00"/>
    <d v="2022-07-08T00:00:00"/>
    <d v="2022-08-11T00:00:00"/>
    <s v="000-437/AIB RDC/2022"/>
    <n v="1"/>
    <s v="INCORPORATION"/>
    <s v="01-TRA-2021-000045"/>
    <s v="FRASER ALEXANDER"/>
    <m/>
    <s v="MICHEE"/>
    <s v="g"/>
    <s v="COMP MOTOR"/>
    <s v="MOTOR COMP"/>
    <x v="6"/>
    <s v="SFA"/>
    <n v="105990"/>
    <n v="2062.84"/>
    <n v="0"/>
    <n v="0"/>
    <n v="193.32"/>
    <n v="1554.86"/>
    <n v="279.7"/>
    <n v="1.9462590810453817E-2"/>
    <n v="0.15"/>
    <n v="233.22899999999998"/>
    <m/>
    <m/>
    <n v="233.22899999999998"/>
    <n v="37.31664"/>
    <n v="270.54563999999999"/>
    <n v="4.6645799999999999"/>
    <m/>
    <n v="4.6645799999999999"/>
    <m/>
    <n v="228.56441999999998"/>
    <m/>
    <m/>
    <n v="0"/>
    <m/>
    <m/>
    <n v="0"/>
    <m/>
    <n v="270.54563999999999"/>
    <n v="270.54563999999999"/>
    <n v="0"/>
    <s v="SFA"/>
    <d v="2022-09-19T00:00:00"/>
    <m/>
    <s v="RENEWED"/>
    <s v="COMP MOTOR"/>
    <m/>
    <s v="SFA"/>
    <m/>
  </r>
  <r>
    <x v="9"/>
    <s v="Yes"/>
    <d v="2022-07-06T00:00:00"/>
    <d v="2022-07-21T00:00:00"/>
    <d v="2022-08-02T00:00:00"/>
    <d v="2022-10-14T00:00:00"/>
    <s v="000-438/AIB RDC/2022"/>
    <n v="12"/>
    <s v="INCORPORATION"/>
    <s v="01-RCAP-2020-000107"/>
    <s v="KAMOTO COPPER COMPANY"/>
    <s v="Mining"/>
    <s v="MICHEE"/>
    <s v="Apphia"/>
    <s v="MOTOR TPL"/>
    <s v="MOTOR TPL"/>
    <x v="6"/>
    <s v="SFA"/>
    <n v="0"/>
    <n v="2157.7199999999998"/>
    <n v="0"/>
    <n v="0"/>
    <n v="27.05"/>
    <n v="1801.53"/>
    <n v="292.57"/>
    <e v="#DIV/0!"/>
    <n v="0.1"/>
    <n v="180.15300000000002"/>
    <n v="0"/>
    <n v="0"/>
    <n v="180.15300000000002"/>
    <n v="28.824480000000005"/>
    <n v="208.97748000000001"/>
    <n v="3.6030600000000006"/>
    <m/>
    <n v="3.6030600000000006"/>
    <m/>
    <n v="176.54994000000002"/>
    <m/>
    <m/>
    <n v="0"/>
    <m/>
    <m/>
    <n v="0"/>
    <m/>
    <n v="208.97748000000001"/>
    <n v="208.97748000000001"/>
    <n v="0"/>
    <s v="SFA"/>
    <d v="2022-08-18T00:00:00"/>
    <m/>
    <s v="RENEWED"/>
    <s v="MOTOR TPL"/>
    <m/>
    <s v="SFA"/>
    <m/>
  </r>
  <r>
    <x v="9"/>
    <s v="Yes"/>
    <d v="2022-09-07T00:00:00"/>
    <d v="2022-08-25T00:00:00"/>
    <d v="2022-08-01T00:00:00"/>
    <d v="2023-07-31T00:00:00"/>
    <s v="000-439/AIB RDC/2022"/>
    <n v="0"/>
    <s v="SOUSCRIPTION"/>
    <s v="12002-33002-0004-104-00016907-2022"/>
    <s v="FRASER ALEXANDER"/>
    <m/>
    <s v="MICHEE"/>
    <s v="Apphia"/>
    <s v="COMP MOTOR"/>
    <s v="MOTOR COMP"/>
    <x v="6"/>
    <s v="SFA"/>
    <n v="405615"/>
    <n v="23673.03"/>
    <n v="0"/>
    <n v="0"/>
    <n v="296.48"/>
    <n v="19765.419999999998"/>
    <n v="3209.9"/>
    <n v="5.836330017381014E-2"/>
    <n v="0.15"/>
    <n v="2964.8129999999996"/>
    <m/>
    <m/>
    <n v="2964.8129999999996"/>
    <n v="474.37007999999997"/>
    <n v="3439.1830799999998"/>
    <n v="59.296259999999997"/>
    <m/>
    <n v="59.296259999999997"/>
    <m/>
    <n v="2905.5167399999996"/>
    <m/>
    <m/>
    <n v="0"/>
    <m/>
    <m/>
    <n v="0"/>
    <m/>
    <n v="3439.1830799999998"/>
    <n v="3439.1830799999998"/>
    <n v="0"/>
    <s v="SFA"/>
    <d v="2022-09-19T00:00:00"/>
    <m/>
    <s v="RENEWING..."/>
    <s v="COMP MOTOR"/>
    <m/>
    <m/>
    <m/>
  </r>
  <r>
    <x v="2"/>
    <s v="Yes"/>
    <d v="2022-07-13T00:00:00"/>
    <d v="2022-07-19T00:00:00"/>
    <d v="2022-10-01T00:00:00"/>
    <d v="2023-04-30T00:00:00"/>
    <s v="000-440/AIB RDC/2022"/>
    <n v="2"/>
    <s v="PROROGATION"/>
    <s v="12001-33002-0012-114-00001374-2021"/>
    <s v="LUANO GRANDES PROPRIETES  S.A.R.L"/>
    <s v="CONSTRUCTION"/>
    <s v="MICHEE"/>
    <s v="Apphia"/>
    <s v="TRC"/>
    <s v="CONSTRUCTIONS"/>
    <x v="0"/>
    <s v="ACTIVA"/>
    <n v="0"/>
    <n v="3779.47"/>
    <n v="0"/>
    <n v="0"/>
    <n v="32.26"/>
    <n v="3225.91"/>
    <n v="521.30999999999995"/>
    <e v="#DIV/0!"/>
    <n v="0.15"/>
    <n v="483.88649999999996"/>
    <n v="0"/>
    <n v="0"/>
    <n v="483.88649999999996"/>
    <n v="77.421839999999989"/>
    <n v="561.30833999999993"/>
    <n v="9.6777299999999986"/>
    <m/>
    <n v="9.6777299999999986"/>
    <m/>
    <n v="474.20876999999996"/>
    <m/>
    <m/>
    <n v="0"/>
    <m/>
    <m/>
    <n v="0"/>
    <m/>
    <n v="561.30833999999993"/>
    <n v="561.30833999999993"/>
    <n v="0"/>
    <s v="ACTIVA"/>
    <d v="2022-09-01T00:00:00"/>
    <m/>
    <s v="EXTENDED"/>
    <s v="TRC"/>
    <m/>
    <m/>
    <m/>
  </r>
  <r>
    <x v="11"/>
    <s v="Yes"/>
    <d v="2022-11-08T00:00:00"/>
    <d v="2022-07-13T00:00:00"/>
    <d v="2022-07-16T00:00:00"/>
    <d v="2023-07-16T00:00:00"/>
    <s v="000-441/AIB RDC/2022"/>
    <n v="0"/>
    <s v="SOUSCRIPTION"/>
    <s v="12005-12003-0022-13001-00003068-2022"/>
    <s v="SOCOMETAL"/>
    <m/>
    <s v="MICHEE"/>
    <s v="Apphia"/>
    <s v="PVT"/>
    <s v="POLITICAL VIOLENCE"/>
    <x v="1"/>
    <s v="MAYFAIR"/>
    <n v="0"/>
    <n v="20705"/>
    <n v="0"/>
    <n v="0"/>
    <n v="50"/>
    <n v="17496.61"/>
    <n v="2807.46"/>
    <e v="#DIV/0!"/>
    <n v="0.03"/>
    <n v="524.89829999999995"/>
    <m/>
    <m/>
    <n v="524.89829999999995"/>
    <n v="83.983727999999999"/>
    <n v="608.88202799999999"/>
    <n v="10.497966"/>
    <m/>
    <n v="10.497966"/>
    <m/>
    <n v="514.40033399999993"/>
    <m/>
    <m/>
    <n v="0"/>
    <m/>
    <m/>
    <n v="0"/>
    <m/>
    <n v="608.88202799999999"/>
    <n v="608.88202799999999"/>
    <n v="0"/>
    <s v="MAYFAIR"/>
    <d v="2022-11-10T00:00:00"/>
    <m/>
    <m/>
    <s v="PVT"/>
    <m/>
    <m/>
    <m/>
  </r>
  <r>
    <x v="11"/>
    <s v="No"/>
    <m/>
    <m/>
    <d v="2022-07-15T00:00:00"/>
    <d v="2023-07-14T00:00:00"/>
    <s v="000-442/AIB RDC/2022"/>
    <n v="1"/>
    <s v="RENOUVELLEMENT"/>
    <m/>
    <s v="SOCOMETAL"/>
    <m/>
    <s v="MICHEE"/>
    <s v="Apphia"/>
    <s v="PROPERTY DAMAGE &amp; BI"/>
    <s v="PROPERTIES"/>
    <x v="1"/>
    <s v="MAYFAIR"/>
    <n v="0"/>
    <m/>
    <m/>
    <m/>
    <m/>
    <m/>
    <m/>
    <e v="#DIV/0!"/>
    <n v="0.1"/>
    <n v="0"/>
    <m/>
    <m/>
    <n v="0"/>
    <n v="0"/>
    <n v="0"/>
    <n v="0"/>
    <m/>
    <n v="0"/>
    <m/>
    <n v="0"/>
    <m/>
    <m/>
    <n v="0"/>
    <m/>
    <m/>
    <n v="0"/>
    <m/>
    <m/>
    <n v="0"/>
    <n v="0"/>
    <s v="MAYFAIR"/>
    <m/>
    <m/>
    <m/>
    <s v="PROPERTY DAMAGE &amp; BI"/>
    <m/>
    <m/>
    <m/>
  </r>
  <r>
    <x v="9"/>
    <s v="Yes"/>
    <d v="2022-07-21T00:00:00"/>
    <d v="2022-08-23T00:00:00"/>
    <d v="2022-08-01T00:00:00"/>
    <d v="2023-07-31T00:00:00"/>
    <s v="000-443/AIB RDC/2022"/>
    <n v="0"/>
    <s v="SOUSCRIPTION"/>
    <s v="33002-0001-101-0000380/0002"/>
    <s v="FRASER ALEXANDER"/>
    <m/>
    <s v="MICHEE"/>
    <s v="Apphia"/>
    <s v="GPA"/>
    <s v="MEDICAL &amp; GPA"/>
    <x v="2"/>
    <s v="SUNU"/>
    <n v="0"/>
    <n v="3105.66"/>
    <n v="0"/>
    <n v="0"/>
    <n v="26.5"/>
    <n v="2650.8"/>
    <n v="428.36"/>
    <e v="#DIV/0!"/>
    <n v="0.1"/>
    <n v="265.08000000000004"/>
    <m/>
    <m/>
    <n v="265.08000000000004"/>
    <n v="42.412800000000004"/>
    <n v="307.49280000000005"/>
    <n v="5.3016000000000005"/>
    <m/>
    <n v="5.3016000000000005"/>
    <m/>
    <n v="259.77840000000003"/>
    <m/>
    <m/>
    <n v="0"/>
    <m/>
    <m/>
    <n v="0"/>
    <m/>
    <n v="307.49280000000005"/>
    <n v="307.49280000000005"/>
    <n v="0"/>
    <s v="SUNU"/>
    <d v="2022-10-12T00:00:00"/>
    <m/>
    <s v="RENEWING..."/>
    <s v="GPA"/>
    <m/>
    <m/>
    <m/>
  </r>
  <r>
    <x v="9"/>
    <s v="Yes"/>
    <d v="2022-07-21T00:00:00"/>
    <d v="2022-08-23T00:00:00"/>
    <d v="2022-08-01T00:00:00"/>
    <d v="2023-07-31T00:00:00"/>
    <s v="000-444/AIB RDC/2022"/>
    <n v="0"/>
    <s v="SOUSCRIPTION"/>
    <s v="33002-0009-113-0000378/0002"/>
    <s v="FRASER ALEXANDER"/>
    <m/>
    <s v="MICHEE"/>
    <s v="Apphia"/>
    <s v="GENERAL LIABILITY"/>
    <s v="LIABILITIES"/>
    <x v="2"/>
    <s v="SUNU"/>
    <n v="0"/>
    <n v="7267.74"/>
    <n v="0"/>
    <n v="0"/>
    <n v="62.03"/>
    <n v="6203.27"/>
    <n v="1002.44"/>
    <e v="#DIV/0!"/>
    <n v="0.1"/>
    <n v="620.32700000000011"/>
    <m/>
    <m/>
    <n v="620.32700000000011"/>
    <n v="99.252320000000026"/>
    <n v="719.57932000000017"/>
    <n v="12.406540000000003"/>
    <m/>
    <n v="12.406540000000003"/>
    <m/>
    <n v="607.92046000000016"/>
    <m/>
    <m/>
    <n v="0"/>
    <m/>
    <m/>
    <n v="0"/>
    <m/>
    <n v="719.57932000000017"/>
    <n v="719.57932000000017"/>
    <n v="0"/>
    <s v="SUNU"/>
    <d v="2022-10-12T00:00:00"/>
    <m/>
    <s v="RENEWING..."/>
    <s v="GENERAL LIABILITY"/>
    <m/>
    <m/>
    <m/>
  </r>
  <r>
    <x v="10"/>
    <s v="Yes"/>
    <d v="2022-07-04T00:00:00"/>
    <d v="2022-07-04T00:00:00"/>
    <d v="2022-06-29T00:00:00"/>
    <d v="2023-06-28T00:00:00"/>
    <s v="000-445/AIB RDC/2022"/>
    <n v="0"/>
    <s v="SOUSCRIPTION"/>
    <s v="12001-33002-0001-103-00002500-2022"/>
    <s v="KATSHIOMPA NTUMBA TOUBERT"/>
    <m/>
    <s v="ALICE"/>
    <s v="Alice"/>
    <s v="COMP MOTOR"/>
    <s v="MOTOR COMP"/>
    <x v="0"/>
    <s v="ACTIVA"/>
    <n v="0"/>
    <n v="7274.83"/>
    <n v="0"/>
    <n v="0"/>
    <n v="62.09"/>
    <n v="6209.31"/>
    <n v="1003.43"/>
    <e v="#DIV/0!"/>
    <n v="0.14833532228218593"/>
    <n v="921.06"/>
    <m/>
    <m/>
    <n v="921.06"/>
    <n v="147.36959999999999"/>
    <n v="1068.4295999999999"/>
    <n v="18.421199999999999"/>
    <m/>
    <n v="18.421199999999999"/>
    <m/>
    <n v="902.63879999999995"/>
    <s v="NIRAJ"/>
    <n v="0.2"/>
    <n v="180.52776"/>
    <n v="180.52776"/>
    <d v="2022-09-26T00:00:00"/>
    <n v="0"/>
    <s v="PT006/AIB RDC/2022"/>
    <n v="1068.4295999999999"/>
    <n v="1068.4295999999999"/>
    <n v="0"/>
    <s v="ACTIVA"/>
    <d v="2022-09-01T00:00:00"/>
    <m/>
    <s v="RENEWING..."/>
    <s v="COMP MOTOR"/>
    <m/>
    <m/>
    <m/>
  </r>
  <r>
    <x v="11"/>
    <s v="Yes"/>
    <d v="2022-11-08T00:00:00"/>
    <d v="2022-08-22T00:00:00"/>
    <d v="2022-07-01T00:00:00"/>
    <d v="2022-12-31T00:00:00"/>
    <s v="000-446/AIB RDC/2022"/>
    <n v="0"/>
    <s v="SOUSCRIPTION"/>
    <s v="11001-33002-0001-207-00000029-2022 / 306-219000006"/>
    <s v="BRITISH AMERICAN TOBACCO / BAT SERVICES CONGO"/>
    <m/>
    <s v="ALICE"/>
    <s v="Alice"/>
    <s v="LIFE"/>
    <s v="LIFE"/>
    <x v="5"/>
    <s v="AEB"/>
    <n v="0"/>
    <n v="8132.43"/>
    <n v="0"/>
    <n v="0"/>
    <n v="0"/>
    <n v="8132.43"/>
    <n v="0"/>
    <e v="#DIV/0!"/>
    <n v="9.9009890032868406E-2"/>
    <n v="805.19100000000003"/>
    <m/>
    <m/>
    <n v="805.19100000000003"/>
    <n v="0"/>
    <n v="805.19100000000003"/>
    <n v="8.0519100000000012"/>
    <m/>
    <n v="8.0519100000000012"/>
    <m/>
    <n v="797.13909000000001"/>
    <s v="MERCER"/>
    <n v="0.7"/>
    <n v="557.99736299999995"/>
    <m/>
    <m/>
    <n v="557.99736299999995"/>
    <m/>
    <n v="805.19100000000003"/>
    <n v="805.19100000000003"/>
    <n v="0"/>
    <s v="RAWSUR - LIFE"/>
    <d v="2022-11-10T00:00:00"/>
    <m/>
    <s v="RENEWED"/>
    <s v="LIFE"/>
    <m/>
    <m/>
    <s v="Frais Bancaires certainement."/>
  </r>
  <r>
    <x v="11"/>
    <s v="No"/>
    <d v="2022-07-06T00:00:00"/>
    <d v="2022-07-06T00:00:00"/>
    <d v="2022-07-01T00:00:00"/>
    <d v="2022-12-31T00:00:00"/>
    <s v="000-447/AIB RDC/2022"/>
    <n v="0"/>
    <s v="SOUSCRIPTION"/>
    <s v="101-10100010"/>
    <s v="BRITISH AMERICAN TOBACCO / BAT SERVICES CONGO"/>
    <m/>
    <s v="ALICE"/>
    <s v="Alice"/>
    <s v="MEDICAL"/>
    <s v="MEDICAL &amp; GPA"/>
    <x v="4"/>
    <s v="AEB"/>
    <n v="0"/>
    <n v="62538.239999999998"/>
    <n v="0"/>
    <n v="0"/>
    <n v="0"/>
    <n v="61312"/>
    <n v="0"/>
    <e v="#DIV/0!"/>
    <n v="8.4804279749478101E-2"/>
    <n v="5199.5200000000013"/>
    <m/>
    <m/>
    <n v="5199.5200000000013"/>
    <n v="0"/>
    <n v="5199.5200000000013"/>
    <n v="103.99040000000002"/>
    <m/>
    <n v="103.99040000000002"/>
    <m/>
    <n v="5095.5296000000017"/>
    <s v="MERCER"/>
    <n v="0.7"/>
    <n v="3566.8707200000008"/>
    <m/>
    <m/>
    <n v="3566.8707200000008"/>
    <m/>
    <n v="5199.5200000000004"/>
    <n v="5199.5200000000013"/>
    <n v="0"/>
    <s v="RAWSUR"/>
    <d v="2023-03-07T00:00:00"/>
    <m/>
    <s v="RENEWED"/>
    <s v="MEDICAL"/>
    <m/>
    <m/>
    <s v="C'est AEB qui doit payer AIB"/>
  </r>
  <r>
    <x v="4"/>
    <s v="Yes"/>
    <d v="2022-07-04T00:00:00"/>
    <d v="2022-04-12T00:00:00"/>
    <d v="2022-03-25T00:00:00"/>
    <d v="2023-01-07T00:00:00"/>
    <s v="000-448/AIB RDC/2022"/>
    <n v="1"/>
    <s v="INCORPORATION"/>
    <s v="12002-33002-0010-108-00016053-2022"/>
    <s v="Compagnie Africaine d'Aviation / CAA"/>
    <s v="Aviation"/>
    <s v="ANDY"/>
    <s v="Andy"/>
    <s v="AVIATION HULL ALL RISK"/>
    <s v="AVIATION"/>
    <x v="6"/>
    <s v="Arthur J. Gallagher"/>
    <n v="0"/>
    <n v="359443.35"/>
    <n v="45676.95"/>
    <n v="-34408.629999999997"/>
    <n v="100"/>
    <n v="258836.05"/>
    <n v="48738.080000000002"/>
    <e v="#DIV/0!"/>
    <n v="0"/>
    <n v="0"/>
    <n v="3380.4959999999996"/>
    <n v="0"/>
    <n v="3380.4959999999996"/>
    <n v="540.87935999999991"/>
    <n v="3921.3753599999995"/>
    <n v="67.609919999999988"/>
    <n v="0"/>
    <n v="67.609919999999988"/>
    <m/>
    <n v="3312.8860799999998"/>
    <s v="Aucun"/>
    <m/>
    <n v="0"/>
    <m/>
    <m/>
    <n v="0"/>
    <m/>
    <n v="3921.3753599999995"/>
    <n v="3921.3753599999995"/>
    <n v="0"/>
    <s v="SFA"/>
    <d v="2023-05-30T00:00:00"/>
    <m/>
    <s v="RENEWED"/>
    <s v="AVIATION HULL ALL RISK"/>
    <m/>
    <m/>
    <s v="En attente du paiement de la prime"/>
  </r>
  <r>
    <x v="10"/>
    <s v="Yes"/>
    <d v="2022-06-15T00:00:00"/>
    <d v="2022-07-23T00:00:00"/>
    <d v="2022-06-05T00:00:00"/>
    <d v="2022-09-04T00:00:00"/>
    <s v="000-449/AIB RDC/2022"/>
    <n v="1"/>
    <s v="PROROGATION"/>
    <s v="12002-33002-0007-101-00016686-2022 / 01-ACI-2021-000013"/>
    <s v="Sandvik Mining &amp; Construction Sarl"/>
    <s v="MINING"/>
    <s v="ANDY"/>
    <s v="Andy"/>
    <s v="GPA"/>
    <s v="MEDICAL &amp; GPA"/>
    <x v="6"/>
    <s v="SFA"/>
    <n v="0"/>
    <n v="3036.85"/>
    <n v="0"/>
    <n v="0"/>
    <n v="400.59"/>
    <n v="2173.02"/>
    <n v="411.77"/>
    <e v="#DIV/0!"/>
    <n v="0.1"/>
    <n v="217.30200000000002"/>
    <n v="0"/>
    <n v="0"/>
    <n v="217.30200000000002"/>
    <n v="34.768320000000003"/>
    <n v="252.07032000000004"/>
    <n v="4.3460400000000003"/>
    <m/>
    <n v="4.3460400000000003"/>
    <m/>
    <n v="212.95596000000003"/>
    <s v="AFINBRO"/>
    <n v="0.5"/>
    <n v="106.47798000000002"/>
    <n v="106.47798000000002"/>
    <d v="2022-11-02T00:00:00"/>
    <n v="0"/>
    <s v="PT010/AIB RDC/2022"/>
    <n v="252.07032000000004"/>
    <n v="252.07032000000004"/>
    <n v="0"/>
    <s v="SFA"/>
    <d v="2022-08-18T00:00:00"/>
    <m/>
    <s v="EXTENDED"/>
    <s v="GPA"/>
    <m/>
    <m/>
    <m/>
  </r>
  <r>
    <x v="10"/>
    <s v="Yes"/>
    <d v="2022-06-15T00:00:00"/>
    <d v="2022-07-21T00:00:00"/>
    <d v="2022-06-05T00:00:00"/>
    <d v="2023-06-04T00:00:00"/>
    <s v="000-450/AIB RDC/2022"/>
    <n v="0"/>
    <s v="SOUSCRIPTION"/>
    <s v="12002-33002-0002-112-00016670-2022"/>
    <s v="Sandvik Mining &amp; Construction Sarl"/>
    <s v="MINING"/>
    <s v="ANDY"/>
    <s v="Andy"/>
    <s v="FIRE"/>
    <s v="PROPERTIES"/>
    <x v="6"/>
    <s v="SFA"/>
    <n v="90888.23"/>
    <n v="1989.04"/>
    <n v="0"/>
    <n v="0"/>
    <n v="22.55"/>
    <n v="2510.54"/>
    <n v="405.29"/>
    <n v="2.1884461827455546E-2"/>
    <n v="0.1"/>
    <n v="251.054"/>
    <n v="0"/>
    <n v="0"/>
    <n v="251.054"/>
    <n v="40.168640000000003"/>
    <n v="291.22264000000001"/>
    <n v="5.0210800000000004"/>
    <m/>
    <n v="5.0210800000000004"/>
    <m/>
    <n v="246.03291999999999"/>
    <s v="AFINBRO"/>
    <n v="0.5"/>
    <n v="123.01646"/>
    <n v="123.01646"/>
    <d v="2022-11-02T00:00:00"/>
    <n v="0"/>
    <s v="PT010/AIB RDC/2022"/>
    <n v="291.22264000000001"/>
    <n v="291.22264000000001"/>
    <n v="0"/>
    <s v="SFA"/>
    <d v="2022-08-18T00:00:00"/>
    <m/>
    <s v="RENEWING..."/>
    <s v="FIRE"/>
    <m/>
    <m/>
    <m/>
  </r>
  <r>
    <x v="10"/>
    <s v="Yes"/>
    <d v="2022-06-15T00:00:00"/>
    <d v="2022-07-21T00:00:00"/>
    <d v="2022-06-05T00:00:00"/>
    <d v="2023-06-04T00:00:00"/>
    <s v="000-451/AIB RDC/2022"/>
    <n v="0"/>
    <s v="SOUSCRIPTION"/>
    <s v="12002-33002-0002-112-00016668-2022"/>
    <s v="Sandvik Mining &amp; Construction Sarl"/>
    <s v="MINING"/>
    <s v="ANDY"/>
    <s v="Andy"/>
    <s v="FIRE"/>
    <s v="PROPERTIES"/>
    <x v="6"/>
    <s v="SFA"/>
    <n v="123918.15"/>
    <n v="2125.39"/>
    <n v="0"/>
    <n v="0"/>
    <n v="20"/>
    <n v="1781.18"/>
    <n v="288.19"/>
    <n v="1.7151563350485784E-2"/>
    <n v="0.1"/>
    <n v="178.11800000000002"/>
    <n v="0"/>
    <n v="0"/>
    <n v="178.11800000000002"/>
    <n v="28.498880000000003"/>
    <n v="206.61688000000004"/>
    <n v="3.5623600000000004"/>
    <m/>
    <n v="3.5623600000000004"/>
    <m/>
    <n v="174.55564000000001"/>
    <s v="AFINBRO"/>
    <n v="0.5"/>
    <n v="87.277820000000006"/>
    <n v="87.277820000000006"/>
    <d v="2022-11-02T00:00:00"/>
    <n v="0"/>
    <s v="PT010/AIB RDC/2022"/>
    <n v="206.61688000000004"/>
    <n v="206.61688000000004"/>
    <n v="0"/>
    <s v="SFA"/>
    <d v="2022-08-18T00:00:00"/>
    <m/>
    <s v="RENEWING..."/>
    <s v="FIRE"/>
    <m/>
    <m/>
    <m/>
  </r>
  <r>
    <x v="10"/>
    <s v="Yes"/>
    <d v="2022-06-17T00:00:00"/>
    <d v="2022-07-25T00:00:00"/>
    <d v="2022-06-05T00:00:00"/>
    <d v="2023-06-04T00:00:00"/>
    <s v="000-452/AIB RDC/2022"/>
    <n v="0"/>
    <s v="SOUSCRIPTION"/>
    <s v="12002-33002-0024-113-00016701-2022"/>
    <s v="Sandvik Mining &amp; Construction Sarl"/>
    <s v="MINING"/>
    <s v="ANDY"/>
    <s v="Andy"/>
    <s v="FIDELITY GUARANTEE"/>
    <s v="LIABILITIES"/>
    <x v="6"/>
    <s v="SFA"/>
    <n v="0"/>
    <n v="10015.219999999999"/>
    <n v="1265.29"/>
    <n v="0"/>
    <n v="52.18"/>
    <n v="7170"/>
    <n v="1358"/>
    <e v="#DIV/0!"/>
    <n v="0.15"/>
    <n v="1075.5"/>
    <n v="0"/>
    <n v="0"/>
    <n v="1075.5"/>
    <n v="172.08"/>
    <n v="1247.58"/>
    <n v="21.51"/>
    <m/>
    <n v="21.51"/>
    <m/>
    <n v="1053.99"/>
    <s v="AFINBRO"/>
    <n v="0.5"/>
    <n v="526.995"/>
    <n v="526.995"/>
    <d v="2022-11-02T00:00:00"/>
    <n v="0"/>
    <s v="PT010/AIB RDC/2022"/>
    <n v="1247.58"/>
    <n v="1247.58"/>
    <n v="0"/>
    <s v="SFA"/>
    <d v="2022-08-18T00:00:00"/>
    <m/>
    <s v="RENEWING..."/>
    <s v="FIDELITY GUARANTEE"/>
    <m/>
    <m/>
    <m/>
  </r>
  <r>
    <x v="11"/>
    <s v="Yes"/>
    <d v="2022-09-07T00:00:00"/>
    <d v="2022-07-02T00:00:00"/>
    <d v="2022-07-01T00:00:00"/>
    <d v="2022-12-20T00:00:00"/>
    <s v="000-453/AIB RDC/2022"/>
    <n v="1"/>
    <s v="INCORPORATION"/>
    <s v="12005-33002-000-13001-00003012-2022 / 101/01/0700/00203/2021"/>
    <s v="KIBANGUDI NTANDA"/>
    <s v="PERSON"/>
    <s v="ANDY"/>
    <s v="Andy"/>
    <s v="MOTOR TPL"/>
    <s v="MOTOR TPL"/>
    <x v="1"/>
    <s v="MAYFAIR"/>
    <n v="0"/>
    <n v="179.13"/>
    <n v="0"/>
    <n v="0"/>
    <n v="10"/>
    <n v="141.80000000000001"/>
    <n v="24.29"/>
    <e v="#DIV/0!"/>
    <n v="0.1"/>
    <n v="14.180000000000001"/>
    <m/>
    <m/>
    <n v="14.180000000000001"/>
    <n v="2.2688000000000001"/>
    <n v="16.448800000000002"/>
    <n v="0.28360000000000002"/>
    <m/>
    <n v="0.28360000000000002"/>
    <m/>
    <n v="13.896400000000002"/>
    <m/>
    <m/>
    <n v="0"/>
    <m/>
    <m/>
    <n v="0"/>
    <m/>
    <n v="16.448800000000002"/>
    <n v="16.448800000000002"/>
    <n v="0"/>
    <s v="MAYFAIR"/>
    <d v="2022-08-18T00:00:00"/>
    <m/>
    <s v="RENEWED"/>
    <s v="MOTOR TPL"/>
    <m/>
    <s v="SUNU"/>
    <m/>
  </r>
  <r>
    <x v="11"/>
    <s v="Yes"/>
    <d v="2022-07-23T00:00:00"/>
    <d v="2022-07-23T00:00:00"/>
    <d v="2022-07-15T00:00:00"/>
    <d v="2023-07-14T00:00:00"/>
    <s v="000-454/AIB RDC/2022"/>
    <n v="0"/>
    <s v="SOUSCRIPTION"/>
    <s v="12002-33002-0010-108-00016683-2022"/>
    <s v="Ste Immo Della"/>
    <m/>
    <s v="ANDY"/>
    <s v="Andy"/>
    <s v="AVIATION HULL ALL RISK"/>
    <s v="AVIATION"/>
    <x v="6"/>
    <s v="AIRCRAFT RISK COMPANY"/>
    <n v="0"/>
    <n v="26744.34"/>
    <n v="3383.82"/>
    <n v="0"/>
    <n v="105.88"/>
    <n v="19175"/>
    <n v="3626.35"/>
    <e v="#DIV/0!"/>
    <n v="0"/>
    <n v="0"/>
    <n v="1015.146"/>
    <n v="815.73326250000002"/>
    <n v="1830.8792625000001"/>
    <n v="292.94068200000004"/>
    <n v="2123.8199445"/>
    <n v="36.617585250000005"/>
    <m/>
    <n v="36.617585250000005"/>
    <m/>
    <n v="1794.26167725"/>
    <s v="Aucun"/>
    <m/>
    <n v="0"/>
    <m/>
    <m/>
    <n v="0"/>
    <m/>
    <n v="2123.8199445"/>
    <n v="2123.8199445"/>
    <n v="0"/>
    <s v="SFA"/>
    <d v="2022-08-18T00:00:00"/>
    <m/>
    <m/>
    <s v="AVIATION HULL ALL RISK"/>
    <m/>
    <m/>
    <m/>
  </r>
  <r>
    <x v="11"/>
    <s v="Yes"/>
    <d v="2022-07-14T00:00:00"/>
    <d v="2022-07-15T00:00:00"/>
    <d v="2022-07-15T00:00:00"/>
    <d v="2023-04-22T00:00:00"/>
    <s v="000-455/AIB RDC/2022"/>
    <n v="3"/>
    <s v="INCORPORATION"/>
    <s v="12003-33002-0001-103-00000927-2022 / 30000011"/>
    <s v="Chemaf SA"/>
    <s v="MINING"/>
    <s v="ANDY"/>
    <s v="Nyota"/>
    <s v="MOTOR TPL"/>
    <s v="MOTOR TPL"/>
    <x v="4"/>
    <s v="RAWSUR"/>
    <n v="0"/>
    <n v="1264.46"/>
    <n v="0"/>
    <n v="0"/>
    <n v="30"/>
    <n v="1041.57"/>
    <n v="171.45"/>
    <e v="#DIV/0!"/>
    <n v="0.1"/>
    <n v="104.157"/>
    <m/>
    <m/>
    <n v="104.157"/>
    <n v="16.665119999999998"/>
    <n v="120.82212"/>
    <n v="2.0831399999999998"/>
    <m/>
    <n v="2.0831399999999998"/>
    <m/>
    <n v="102.07386"/>
    <m/>
    <m/>
    <n v="0"/>
    <m/>
    <m/>
    <n v="0"/>
    <m/>
    <n v="120.82212"/>
    <n v="120.82212"/>
    <n v="0"/>
    <s v="RAWSUR"/>
    <d v="2022-08-24T00:00:00"/>
    <m/>
    <s v="RENEWED"/>
    <s v="MOTOR TPL"/>
    <m/>
    <m/>
    <m/>
  </r>
  <r>
    <x v="11"/>
    <s v="Yes"/>
    <d v="2022-07-13T00:00:00"/>
    <d v="2022-07-22T00:00:00"/>
    <d v="2022-07-22T00:00:00"/>
    <d v="2023-04-18T00:00:00"/>
    <s v="000-456/AIB RDC/2022"/>
    <n v="2"/>
    <s v="INCORPORATION"/>
    <s v="12002-33002-0004-104-00016188-2022"/>
    <s v="Teichmann Group / Kongo River"/>
    <s v="MINING"/>
    <s v="ANDY"/>
    <s v="Andy"/>
    <s v="COMP MOTOR"/>
    <s v="MOTOR COMP"/>
    <x v="6"/>
    <s v="SFA"/>
    <n v="66930"/>
    <n v="2867.53"/>
    <n v="0"/>
    <n v="0"/>
    <n v="119.66"/>
    <n v="2310.46"/>
    <n v="388.81"/>
    <n v="4.2843717316599438E-2"/>
    <n v="0.15"/>
    <n v="346.56900000000002"/>
    <m/>
    <m/>
    <n v="346.56900000000002"/>
    <n v="55.451040000000006"/>
    <n v="402.02003999999999"/>
    <n v="6.9313800000000008"/>
    <m/>
    <n v="6.9313800000000008"/>
    <m/>
    <n v="339.63762000000003"/>
    <s v="O'NEILS"/>
    <n v="0.5"/>
    <n v="169.81881000000001"/>
    <n v="169.81881000000001"/>
    <d v="2022-11-02T00:00:00"/>
    <n v="0"/>
    <s v="PT011/AIB RDC/2022"/>
    <n v="402.02003999999999"/>
    <n v="402.02003999999999"/>
    <n v="0"/>
    <s v="SFA"/>
    <d v="2022-08-18T00:00:00"/>
    <m/>
    <s v="RENEWED"/>
    <s v="COMP MOTOR"/>
    <m/>
    <m/>
    <m/>
  </r>
  <r>
    <x v="9"/>
    <s v="Yes"/>
    <d v="2022-07-01T00:00:00"/>
    <d v="2022-08-02T00:00:00"/>
    <d v="2022-08-01T00:00:00"/>
    <d v="2023-07-31T00:00:00"/>
    <s v="000-457/AIB RDC/2022"/>
    <n v="3"/>
    <s v="RENOUVELLEMENT"/>
    <s v="12003-33002-0010-113-00000071-2022 / 301-60100005"/>
    <s v="KAMOA COPPER SA"/>
    <s v="MINING"/>
    <s v="ANDY"/>
    <s v="Andy"/>
    <s v="GENERAL LIABILITY"/>
    <s v="LIABILITIES"/>
    <x v="4"/>
    <s v="AON"/>
    <n v="0"/>
    <n v="71699.58"/>
    <n v="9099.35"/>
    <n v="-3470.13"/>
    <n v="100"/>
    <n v="51563"/>
    <n v="9721.98"/>
    <e v="#DIV/0!"/>
    <n v="0"/>
    <n v="0"/>
    <n v="1688.7660000000001"/>
    <m/>
    <n v="1688.7660000000001"/>
    <n v="270.20256000000001"/>
    <n v="1958.96856"/>
    <n v="33.775320000000001"/>
    <m/>
    <n v="33.775320000000001"/>
    <m/>
    <n v="1654.9906800000001"/>
    <m/>
    <m/>
    <n v="0"/>
    <m/>
    <m/>
    <n v="0"/>
    <m/>
    <n v="1958.96856"/>
    <n v="1958.96856"/>
    <n v="0"/>
    <s v="RAWSUR"/>
    <d v="2022-09-28T00:00:00"/>
    <m/>
    <m/>
    <s v="GENERAL LIABILITY"/>
    <m/>
    <m/>
    <m/>
  </r>
  <r>
    <x v="9"/>
    <s v="Yes"/>
    <d v="2022-08-03T00:00:00"/>
    <d v="2022-10-24T00:00:00"/>
    <d v="2022-08-01T00:00:00"/>
    <d v="2023-07-31T00:00:00"/>
    <s v="000-458/AIB RDC/2022"/>
    <n v="0"/>
    <s v="SOUSCRIPTION"/>
    <s v="12001-33002-0005-113-00000655-2020"/>
    <s v="Wildlife Conservation Society"/>
    <m/>
    <s v="ANDY"/>
    <s v="Andy"/>
    <s v="D&amp;O"/>
    <s v="LIABILITIES"/>
    <x v="0"/>
    <s v="CHUBB"/>
    <n v="0"/>
    <n v="2179.1799999999998"/>
    <n v="0"/>
    <n v="0"/>
    <n v="18.600000000000001"/>
    <n v="1860"/>
    <n v="300.58"/>
    <e v="#DIV/0!"/>
    <n v="0.15"/>
    <n v="279"/>
    <m/>
    <m/>
    <n v="279"/>
    <n v="44.64"/>
    <n v="323.64"/>
    <n v="5.58"/>
    <m/>
    <n v="5.58"/>
    <m/>
    <n v="273.42"/>
    <m/>
    <m/>
    <n v="0"/>
    <m/>
    <m/>
    <n v="0"/>
    <m/>
    <n v="323.64"/>
    <n v="323.64"/>
    <n v="0"/>
    <s v="ACTIVA"/>
    <d v="2023-08-14T00:00:00"/>
    <m/>
    <m/>
    <s v="D&amp;O"/>
    <m/>
    <m/>
    <s v="Selon Activa, il n'y a pas de commission suivant les instructions du réassureur."/>
  </r>
  <r>
    <x v="9"/>
    <s v="Yes"/>
    <d v="2022-07-26T00:00:00"/>
    <d v="2022-08-24T00:00:00"/>
    <d v="2022-08-01T00:00:00"/>
    <d v="2022-08-31T00:00:00"/>
    <s v="000-459/AIB RDC/2022"/>
    <n v="4"/>
    <s v="PROROGATION"/>
    <s v="12001-33002-0007-121-00000737-2020"/>
    <s v="NATIONAL DEMOCRATIC INSTITUTE / NDI"/>
    <m/>
    <s v="ANDY"/>
    <s v="Andy"/>
    <s v="FIRE"/>
    <s v="PROPERTIES"/>
    <x v="0"/>
    <s v="ACTIVA"/>
    <n v="565500"/>
    <n v="229.22"/>
    <n v="0"/>
    <n v="0"/>
    <n v="10"/>
    <n v="187.6"/>
    <n v="31.62"/>
    <n v="4.0534040671971706E-4"/>
    <n v="0.1"/>
    <n v="18.760000000000002"/>
    <n v="0"/>
    <n v="0"/>
    <n v="18.760000000000002"/>
    <n v="3.0016000000000003"/>
    <n v="21.761600000000001"/>
    <n v="0.37520000000000003"/>
    <n v="0"/>
    <n v="0.37520000000000003"/>
    <m/>
    <n v="18.384800000000002"/>
    <s v="OLEA"/>
    <n v="0.35"/>
    <n v="6.4346800000000002"/>
    <m/>
    <m/>
    <n v="6.4346800000000002"/>
    <m/>
    <n v="21.761600000000001"/>
    <n v="21.761600000000001"/>
    <n v="0"/>
    <s v="ACTIVA"/>
    <d v="2022-09-27T00:00:00"/>
    <m/>
    <s v="EXTENDED"/>
    <s v="FIRE"/>
    <m/>
    <m/>
    <m/>
  </r>
  <r>
    <x v="9"/>
    <s v="Yes"/>
    <d v="2022-07-29T00:00:00"/>
    <d v="2022-08-25T00:00:00"/>
    <d v="2022-08-25T00:00:00"/>
    <d v="2022-11-24T00:00:00"/>
    <s v="000-460/AIB RDC/2022"/>
    <n v="0"/>
    <s v="SOUSCRIPTION"/>
    <n v="72000057"/>
    <s v="PANACO / Bolloré"/>
    <m/>
    <s v="SYNTYCHE"/>
    <s v="Victor"/>
    <s v="MARINE CARGO / GIT"/>
    <s v="MARINE"/>
    <x v="4"/>
    <s v="RAWSUR"/>
    <n v="18135"/>
    <n v="129.80000000000001"/>
    <n v="0"/>
    <n v="0"/>
    <n v="10"/>
    <n v="100"/>
    <n v="17.8"/>
    <n v="7.1574303832368357E-3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2-11-02T00:00:00"/>
    <n v="0"/>
    <s v="PT009/AIB RDC/2022"/>
    <n v="17.399999999999999"/>
    <n v="17.399999999999999"/>
    <n v="0"/>
    <s v="RAWSUR"/>
    <d v="2022-09-28T00:00:00"/>
    <m/>
    <s v="ONCE OFF"/>
    <s v="MARINE CARGO / GIT"/>
    <m/>
    <m/>
    <m/>
  </r>
  <r>
    <x v="8"/>
    <s v="Yes"/>
    <d v="2022-08-07T00:00:00"/>
    <d v="2022-07-08T00:00:00"/>
    <d v="2022-04-27T00:00:00"/>
    <d v="2022-04-29T00:00:00"/>
    <s v="000-461/AIB RDC/2022"/>
    <n v="0"/>
    <s v="SOUSCRIPTION"/>
    <s v="12002-33002-0022-111-00016614-2022"/>
    <s v="SACIM / Bolloré"/>
    <m/>
    <s v="SYNTYCHE"/>
    <s v="Victor"/>
    <s v="MARINE CARGO / GIT"/>
    <s v="MARINE"/>
    <x v="6"/>
    <s v="SFA"/>
    <n v="5625.1"/>
    <n v="94.4"/>
    <n v="0"/>
    <n v="0"/>
    <n v="20"/>
    <n v="60"/>
    <n v="12.8"/>
    <n v="1.6781923876908855E-2"/>
    <n v="0.15"/>
    <n v="9"/>
    <n v="0"/>
    <n v="0"/>
    <n v="9"/>
    <n v="1.44"/>
    <n v="10.44"/>
    <n v="0.18"/>
    <n v="0"/>
    <n v="0.18"/>
    <m/>
    <n v="8.82"/>
    <s v="BOLLORE"/>
    <n v="0.4"/>
    <n v="3.5280000000000005"/>
    <n v="3.5280000000000005"/>
    <d v="2022-09-30T00:00:00"/>
    <n v="0"/>
    <s v="PT008/AIB RDC/2022"/>
    <n v="10.44"/>
    <n v="10.44"/>
    <n v="0"/>
    <s v="SFA"/>
    <d v="2022-08-18T00:00:00"/>
    <m/>
    <s v="ONCE OFF"/>
    <s v="MARINE CARGO / GIT"/>
    <m/>
    <m/>
    <m/>
  </r>
  <r>
    <x v="11"/>
    <s v="Yes"/>
    <d v="2022-08-07T00:00:00"/>
    <d v="2022-07-09T00:00:00"/>
    <d v="2022-07-09T00:00:00"/>
    <d v="2023-02-25T00:00:00"/>
    <s v="000-462/AIB RDC/2022"/>
    <n v="1"/>
    <s v="INCORPORATION"/>
    <s v="01-RCAP-2021-000040"/>
    <s v="Glencore / Mutanda Mining"/>
    <s v="MINING"/>
    <s v="ANDY"/>
    <s v="Nyota"/>
    <s v="MOTOR TPL"/>
    <s v="MOTOR TPL"/>
    <x v="6"/>
    <s v="SFA"/>
    <n v="0"/>
    <n v="14484.61"/>
    <n v="0"/>
    <n v="0"/>
    <n v="181.42"/>
    <n v="12093.68"/>
    <n v="1964.01"/>
    <e v="#DIV/0!"/>
    <n v="0.1"/>
    <n v="1209.3680000000002"/>
    <n v="0"/>
    <n v="0"/>
    <n v="1209.3680000000002"/>
    <n v="193.49888000000004"/>
    <n v="1402.8668800000003"/>
    <n v="24.187360000000005"/>
    <n v="0"/>
    <n v="24.187360000000005"/>
    <m/>
    <n v="1185.1806400000003"/>
    <m/>
    <m/>
    <n v="0"/>
    <m/>
    <m/>
    <n v="0"/>
    <m/>
    <n v="1402.8668800000003"/>
    <n v="1402.8668800000003"/>
    <n v="0"/>
    <s v="SFA"/>
    <d v="2022-08-18T00:00:00"/>
    <m/>
    <s v="RENEWED"/>
    <s v="MOTOR TPL"/>
    <m/>
    <m/>
    <m/>
  </r>
  <r>
    <x v="11"/>
    <s v="Yes"/>
    <d v="2022-08-07T00:00:00"/>
    <d v="2022-07-30T00:00:00"/>
    <d v="2022-07-25T00:00:00"/>
    <d v="2023-07-24T00:00:00"/>
    <s v="000-463/AIB RDC/2022"/>
    <n v="0"/>
    <s v="SOUSCRIPTION"/>
    <s v="12005-33002-0012-13001-00003144-2022"/>
    <s v="ETS VELOCITY (THE SEVEN ELEVEN)"/>
    <m/>
    <s v="ANDY"/>
    <s v="Andy"/>
    <s v="FIRE"/>
    <s v="PROPERTIES"/>
    <x v="1"/>
    <s v="MAYFAIR"/>
    <n v="0"/>
    <n v="3201.34"/>
    <n v="0"/>
    <n v="0"/>
    <n v="20"/>
    <n v="2693"/>
    <n v="434.08"/>
    <e v="#DIV/0!"/>
    <n v="0.15"/>
    <n v="403.95"/>
    <m/>
    <m/>
    <n v="403.95"/>
    <n v="64.632000000000005"/>
    <n v="468.58199999999999"/>
    <n v="8.0790000000000006"/>
    <m/>
    <n v="8.0790000000000006"/>
    <m/>
    <n v="395.87099999999998"/>
    <s v="NIRAJ"/>
    <n v="0.2"/>
    <n v="79.174199999999999"/>
    <n v="79.174199999999999"/>
    <d v="2022-09-26T00:00:00"/>
    <n v="0"/>
    <s v="PT006/AIB RDC/2022"/>
    <n v="468.58199999999999"/>
    <n v="468.58199999999999"/>
    <n v="0"/>
    <s v="MAYFAIR"/>
    <d v="2022-08-18T00:00:00"/>
    <m/>
    <m/>
    <s v="FIRE"/>
    <m/>
    <m/>
    <m/>
  </r>
  <r>
    <x v="11"/>
    <s v="Yes"/>
    <d v="2022-08-07T00:00:00"/>
    <d v="2022-07-30T00:00:00"/>
    <d v="2022-07-25T00:00:00"/>
    <d v="2023-07-24T00:00:00"/>
    <s v="000-464/AIB RDC/2022"/>
    <n v="0"/>
    <s v="SOUSCRIPTION"/>
    <s v="12005-33002-0022-13001-00003145-2022"/>
    <s v="ETS VELOCITY (THE SEVEN ELEVEN)"/>
    <m/>
    <s v="ANDY"/>
    <s v="Andy"/>
    <s v="PVT"/>
    <s v="POLITICAL VIOLENCE"/>
    <x v="1"/>
    <s v="MAYFAIR"/>
    <n v="0"/>
    <n v="2552.1799999999998"/>
    <n v="0"/>
    <n v="0"/>
    <n v="20"/>
    <n v="2142.86"/>
    <n v="346.06"/>
    <e v="#DIV/0!"/>
    <n v="0.15"/>
    <n v="321.42900000000003"/>
    <m/>
    <m/>
    <n v="321.42900000000003"/>
    <n v="51.428640000000009"/>
    <n v="372.85764000000006"/>
    <n v="6.4285800000000011"/>
    <m/>
    <n v="6.4285800000000011"/>
    <m/>
    <n v="315.00042000000002"/>
    <s v="NIRAJ"/>
    <n v="0.2"/>
    <n v="63.000084000000008"/>
    <n v="63.000084000000008"/>
    <d v="2022-09-26T00:00:00"/>
    <n v="0"/>
    <s v="PT006/AIB RDC/2022"/>
    <n v="372.85764000000006"/>
    <n v="372.85764000000006"/>
    <n v="0"/>
    <s v="MAYFAIR"/>
    <d v="2022-08-18T00:00:00"/>
    <m/>
    <m/>
    <s v="PVT"/>
    <m/>
    <m/>
    <m/>
  </r>
  <r>
    <x v="11"/>
    <s v="Yes"/>
    <d v="2022-08-07T00:00:00"/>
    <d v="2022-07-06T00:00:00"/>
    <d v="2022-07-01T00:00:00"/>
    <d v="2023-06-30T00:00:00"/>
    <s v="000-465/AIB RDC/2022"/>
    <n v="0"/>
    <s v="SOUSCRIPTION"/>
    <s v="12001-33002-0009-103-00002535-2022"/>
    <s v="ELISABETH GLASER PEDIATRIC AIDS FOUNDATION ( EGPAF)"/>
    <m/>
    <s v="ANDY"/>
    <s v="Andy"/>
    <s v="MOTOR TPL"/>
    <s v="MOTOR TPL"/>
    <x v="0"/>
    <s v="ACTIVA"/>
    <n v="0"/>
    <m/>
    <n v="0"/>
    <n v="0"/>
    <n v="19.66"/>
    <n v="1965.71"/>
    <n v="0"/>
    <e v="#DIV/0!"/>
    <n v="0.1"/>
    <n v="196.57100000000003"/>
    <n v="0"/>
    <n v="0"/>
    <n v="196.57100000000003"/>
    <n v="31.451360000000005"/>
    <n v="228.02236000000002"/>
    <n v="3.9314200000000006"/>
    <n v="0"/>
    <n v="3.9314200000000006"/>
    <m/>
    <n v="192.63958000000002"/>
    <s v="OLEA"/>
    <n v="0.35"/>
    <n v="67.423853000000008"/>
    <m/>
    <m/>
    <n v="67.423853000000008"/>
    <m/>
    <n v="228.02236000000002"/>
    <n v="228.02236000000002"/>
    <n v="0"/>
    <s v="ACTIVA"/>
    <d v="2023-03-08T00:00:00"/>
    <m/>
    <m/>
    <s v="MOTOR TPL"/>
    <m/>
    <m/>
    <m/>
  </r>
  <r>
    <x v="9"/>
    <s v="Yes"/>
    <d v="2022-08-07T00:00:00"/>
    <d v="2022-07-04T00:00:00"/>
    <d v="2022-08-18T00:00:00"/>
    <d v="2022-08-27T00:00:00"/>
    <s v="000-466/AIB RDC/2022"/>
    <n v="0"/>
    <s v="SOUSCRIPTION"/>
    <s v="33002-0004-119-0002244 / 0001"/>
    <s v="Prince LENGE YANKONDE KAKUBO"/>
    <s v="Person"/>
    <s v="SYNTYCHE"/>
    <s v="Grâce"/>
    <s v="TRAVEL"/>
    <s v="MEDICAL &amp; GPA"/>
    <x v="2"/>
    <s v="SUNU"/>
    <n v="0"/>
    <n v="15.21"/>
    <n v="0"/>
    <n v="0"/>
    <n v="0.25"/>
    <n v="12.86"/>
    <n v="2.1"/>
    <e v="#DIV/0!"/>
    <n v="0.2"/>
    <n v="2.5720000000000001"/>
    <m/>
    <m/>
    <n v="2.5720000000000001"/>
    <n v="0.41152"/>
    <n v="2.9835199999999999"/>
    <n v="5.144E-2"/>
    <m/>
    <n v="5.144E-2"/>
    <m/>
    <n v="2.5205600000000001"/>
    <m/>
    <m/>
    <n v="0"/>
    <m/>
    <m/>
    <n v="0"/>
    <m/>
    <n v="2.9835199999999999"/>
    <n v="2.9835199999999999"/>
    <n v="0"/>
    <s v="SUNU"/>
    <d v="2022-08-22T00:00:00"/>
    <m/>
    <s v="ONCE OFF"/>
    <s v="TRAVEL"/>
    <m/>
    <m/>
    <m/>
  </r>
  <r>
    <x v="11"/>
    <s v="Yes"/>
    <d v="2022-07-18T00:00:00"/>
    <d v="2022-07-19T00:00:00"/>
    <d v="2022-07-13T00:00:00"/>
    <d v="2023-01-31T00:00:00"/>
    <s v="000-467/AIB RDC/2022"/>
    <n v="13"/>
    <s v="INCORPORATION"/>
    <s v="12001-33002-0001-104-0001845-2022"/>
    <s v="CFAO RDC / Loxea RDC"/>
    <s v="Distribution"/>
    <s v="ANDY"/>
    <s v="Andy"/>
    <s v="COMP MOTOR"/>
    <s v="MOTOR COMP"/>
    <x v="0"/>
    <s v="ACTIVA"/>
    <n v="328289"/>
    <n v="7910.85"/>
    <n v="0"/>
    <n v="0"/>
    <n v="67.52"/>
    <n v="6752.18"/>
    <n v="1091.1500000000001"/>
    <n v="2.4097213126239383E-2"/>
    <n v="0.14837946232864499"/>
    <n v="1001.8848379462302"/>
    <n v="0"/>
    <n v="202.56540000000001"/>
    <n v="1204.4502379462301"/>
    <n v="192.71203807139682"/>
    <n v="1397.1622760176269"/>
    <n v="24.089004758924602"/>
    <n v="0"/>
    <n v="24.089004758924602"/>
    <m/>
    <n v="1180.3612331873055"/>
    <s v="Aucun"/>
    <m/>
    <n v="0"/>
    <m/>
    <m/>
    <n v="0"/>
    <m/>
    <n v="1397.1622760176269"/>
    <n v="1397.1622760176269"/>
    <n v="0"/>
    <s v="ACTIVA"/>
    <d v="2022-09-01T00:00:00"/>
    <m/>
    <s v="RENEWED"/>
    <s v="COMP MOTOR"/>
    <m/>
    <m/>
    <s v="Vérification auprès de Mr. Money pour confirmation du paiement "/>
  </r>
  <r>
    <x v="9"/>
    <s v="Yes"/>
    <d v="2022-08-04T00:00:00"/>
    <d v="2022-08-01T00:00:00"/>
    <d v="2022-08-01T00:00:00"/>
    <d v="2023-01-31T00:00:00"/>
    <s v="000-468/AIB RDC/2022"/>
    <n v="14"/>
    <s v="INCORPORATION"/>
    <s v="12001-33002-0001-104-0001845-2022"/>
    <s v="CFAO RDC / Loxea RDC"/>
    <s v="Distribution"/>
    <s v="ANDY"/>
    <s v="Andy"/>
    <s v="COMP MOTOR"/>
    <s v="MOTOR COMP"/>
    <x v="0"/>
    <s v="ACTIVA"/>
    <n v="26693"/>
    <n v="670.02"/>
    <n v="0"/>
    <n v="0"/>
    <n v="5.72"/>
    <n v="571.88"/>
    <n v="92.42"/>
    <n v="2.5100962799235755E-2"/>
    <n v="0.14576484577184001"/>
    <n v="83.359999999999872"/>
    <n v="0"/>
    <n v="17.156399999999998"/>
    <n v="100.51639999999986"/>
    <n v="16.082623999999978"/>
    <n v="116.59902399999984"/>
    <n v="2.0103279999999972"/>
    <n v="0"/>
    <n v="2.0103279999999972"/>
    <m/>
    <n v="98.506071999999861"/>
    <s v="Aucun"/>
    <m/>
    <n v="0"/>
    <m/>
    <m/>
    <n v="0"/>
    <m/>
    <n v="116.59902399999984"/>
    <n v="116.59902399999984"/>
    <n v="0"/>
    <s v="ACTIVA"/>
    <d v="2022-09-27T00:00:00"/>
    <m/>
    <s v="RENEWED"/>
    <s v="COMP MOTOR"/>
    <m/>
    <m/>
    <m/>
  </r>
  <r>
    <x v="9"/>
    <s v="Yes"/>
    <d v="2022-08-25T00:00:00"/>
    <d v="2022-08-11T00:00:00"/>
    <d v="2022-08-11T00:00:00"/>
    <d v="2023-01-31T00:00:00"/>
    <s v="000-469/AIB RDC/2022"/>
    <n v="15"/>
    <s v="INCORPORATION"/>
    <s v="12001-33002-0001-104-0001845-2022"/>
    <s v="CFAO RDC / Loxea RDC"/>
    <s v="Distribution"/>
    <s v="ANDY"/>
    <s v="Andy"/>
    <s v="COMP MOTOR"/>
    <s v="MOTOR COMP"/>
    <x v="0"/>
    <s v="ACTIVA"/>
    <n v="147143.82"/>
    <n v="3327.8"/>
    <n v="0"/>
    <n v="0"/>
    <n v="28.4"/>
    <n v="2840.4"/>
    <n v="459"/>
    <n v="2.261596851298274E-2"/>
    <n v="0.14724686663850201"/>
    <n v="418.24000000000109"/>
    <n v="0"/>
    <n v="85.212000000000003"/>
    <n v="503.45200000000108"/>
    <n v="80.552320000000179"/>
    <n v="584.00432000000126"/>
    <n v="10.069040000000022"/>
    <n v="0"/>
    <n v="10.069040000000022"/>
    <m/>
    <n v="493.38296000000105"/>
    <s v="Aucun"/>
    <m/>
    <n v="0"/>
    <m/>
    <m/>
    <n v="0"/>
    <m/>
    <n v="584.00432000000126"/>
    <n v="584.00432000000126"/>
    <n v="0"/>
    <s v="ACTIVA"/>
    <d v="2022-09-27T00:00:00"/>
    <m/>
    <s v="RENEWED"/>
    <s v="COMP MOTOR"/>
    <m/>
    <m/>
    <m/>
  </r>
  <r>
    <x v="9"/>
    <s v="Yes"/>
    <d v="2022-08-23T00:00:00"/>
    <d v="2022-08-17T00:00:00"/>
    <d v="2022-08-17T00:00:00"/>
    <d v="2023-01-31T00:00:00"/>
    <s v="000-470/AIB RDC/2022"/>
    <n v="16"/>
    <s v="INCORPORATION"/>
    <s v="12001-33002-0001-104-0001845-2022"/>
    <s v="CFAO RDC / Loxea RDC"/>
    <s v="Distribution"/>
    <s v="ANDY"/>
    <s v="Andy"/>
    <s v="COMP MOTOR"/>
    <s v="MOTOR COMP"/>
    <x v="0"/>
    <s v="ACTIVA"/>
    <n v="111001"/>
    <n v="2385.69"/>
    <n v="0"/>
    <n v="0"/>
    <n v="20.36"/>
    <n v="2036.26"/>
    <n v="329.07"/>
    <n v="2.1492509076494807E-2"/>
    <n v="0.14840442772533999"/>
    <n v="302.19000000000079"/>
    <n v="0"/>
    <n v="61.087799999999994"/>
    <n v="363.27780000000081"/>
    <n v="58.124448000000129"/>
    <n v="421.40224800000095"/>
    <n v="7.2655560000000161"/>
    <n v="0"/>
    <n v="7.2655560000000161"/>
    <m/>
    <n v="356.01224400000081"/>
    <s v="Aucun"/>
    <m/>
    <n v="0"/>
    <m/>
    <m/>
    <n v="0"/>
    <m/>
    <n v="421.40224800000095"/>
    <n v="421.40224800000095"/>
    <n v="0"/>
    <s v="ACTIVA"/>
    <d v="2022-09-27T00:00:00"/>
    <m/>
    <s v="RENEWED"/>
    <s v="COMP MOTOR"/>
    <m/>
    <m/>
    <m/>
  </r>
  <r>
    <x v="9"/>
    <s v="Yes"/>
    <d v="2022-08-03T00:00:00"/>
    <d v="2022-08-25T00:00:00"/>
    <d v="2022-08-01T00:00:00"/>
    <d v="2024-01-31T00:00:00"/>
    <s v="000-471/AIB RDC/2022"/>
    <n v="0"/>
    <s v="SOUSCRIPTION"/>
    <s v="301-51000009"/>
    <s v="Chemaf SA"/>
    <s v="MINING"/>
    <s v="ANDY"/>
    <s v="Andy"/>
    <s v="CAR"/>
    <s v="CONSTRUCTIONS"/>
    <x v="4"/>
    <s v="PRICE FORBES"/>
    <n v="0"/>
    <n v="3994506.19"/>
    <n v="0"/>
    <n v="-116000"/>
    <n v="0"/>
    <n v="3385174.74"/>
    <n v="541627.96"/>
    <e v="#DIV/0!"/>
    <n v="0"/>
    <n v="0"/>
    <n v="81709.41"/>
    <n v="121624.05"/>
    <n v="203333.46000000002"/>
    <n v="32533.353600000006"/>
    <n v="235866.81360000002"/>
    <n v="4066.6692000000007"/>
    <m/>
    <n v="4066.6692000000007"/>
    <m/>
    <n v="199266.79080000002"/>
    <m/>
    <m/>
    <n v="0"/>
    <m/>
    <m/>
    <n v="0"/>
    <m/>
    <n v="235866.81360000002"/>
    <n v="235866.81360000002"/>
    <n v="0"/>
    <s v="RAWSUR"/>
    <d v="2022-09-28T00:00:00"/>
    <m/>
    <m/>
    <s v="CAR"/>
    <m/>
    <m/>
    <m/>
  </r>
  <r>
    <x v="9"/>
    <s v="Yes"/>
    <d v="2022-08-03T00:00:00"/>
    <d v="2022-08-25T00:00:00"/>
    <d v="2022-08-01T00:00:00"/>
    <d v="2024-02-28T00:00:00"/>
    <s v="000-472/AIB RDC/2022"/>
    <n v="0"/>
    <s v="SOUSCRIPTION"/>
    <s v="12002-33002-0006-114-00016904-2022"/>
    <s v="Chemaf SA"/>
    <s v="MINING"/>
    <s v="ANDY"/>
    <s v="Andy"/>
    <s v="CAR"/>
    <s v="CONSTRUCTIONS"/>
    <x v="6"/>
    <s v="PRICE FORBES"/>
    <n v="0"/>
    <n v="1005873.65"/>
    <n v="99635.29"/>
    <n v="-29850.74"/>
    <n v="0"/>
    <n v="752800"/>
    <n v="136389.65"/>
    <e v="#DIV/0!"/>
    <n v="0.05"/>
    <n v="0"/>
    <n v="20935.37"/>
    <n v="18820"/>
    <n v="39755.369999999995"/>
    <n v="6360.859199999999"/>
    <n v="46116.229199999994"/>
    <n v="795.10739999999987"/>
    <m/>
    <n v="795.10739999999987"/>
    <m/>
    <n v="38960.262599999995"/>
    <m/>
    <m/>
    <n v="0"/>
    <m/>
    <m/>
    <n v="0"/>
    <m/>
    <n v="46116.229199999994"/>
    <n v="46116.229199999994"/>
    <n v="0"/>
    <s v="SFA"/>
    <d v="2022-09-19T00:00:00"/>
    <m/>
    <m/>
    <s v="CAR"/>
    <m/>
    <m/>
    <m/>
  </r>
  <r>
    <x v="9"/>
    <s v="Yes"/>
    <d v="2022-08-16T00:00:00"/>
    <d v="2022-08-18T00:00:00"/>
    <d v="2022-08-18T00:00:00"/>
    <d v="2022-10-08T00:00:00"/>
    <s v="000-473/AIB RDC/2022"/>
    <n v="0"/>
    <s v="SOUSCRIPTION"/>
    <s v="33002-0012-111-0002652"/>
    <s v="Metalco Sarl"/>
    <m/>
    <s v="ANDY"/>
    <s v="Andy"/>
    <s v="MARINE CARGO / GIT"/>
    <s v="MARINE"/>
    <x v="2"/>
    <s v="SUNU"/>
    <n v="58100.17"/>
    <n v="112.69"/>
    <n v="0"/>
    <n v="0"/>
    <n v="10"/>
    <n v="87.15"/>
    <n v="15.54"/>
    <n v="1.9395812439103018E-3"/>
    <n v="0.15"/>
    <n v="13.0725"/>
    <n v="0"/>
    <n v="0"/>
    <n v="13.0725"/>
    <n v="2.0916000000000001"/>
    <n v="15.164099999999999"/>
    <n v="0.26145000000000002"/>
    <m/>
    <n v="0.26145000000000002"/>
    <m/>
    <n v="12.81105"/>
    <m/>
    <m/>
    <n v="0"/>
    <m/>
    <m/>
    <n v="0"/>
    <m/>
    <n v="15.164099999999999"/>
    <n v="15.164099999999999"/>
    <n v="0"/>
    <s v="SUNU"/>
    <d v="2022-10-12T00:00:00"/>
    <m/>
    <s v="ONCE OFF"/>
    <s v="MARINE CARGO / GIT"/>
    <m/>
    <m/>
    <m/>
  </r>
  <r>
    <x v="9"/>
    <s v="Yes"/>
    <d v="2022-08-08T00:00:00"/>
    <d v="2022-08-08T00:00:00"/>
    <d v="2022-08-08T00:00:00"/>
    <d v="2023-08-07T00:00:00"/>
    <s v="000-474/AIB RDC/2022"/>
    <n v="0"/>
    <s v="SOUSCRIPTION"/>
    <s v="12001-33002-0001-103-00002691"/>
    <s v="Paragon DRC"/>
    <s v="Transport"/>
    <s v="ANDY"/>
    <s v="Andy"/>
    <s v="MOTOR TPL"/>
    <s v="MOTOR TPL"/>
    <x v="0"/>
    <s v="ACTIVA"/>
    <n v="0"/>
    <n v="322.61"/>
    <n v="0"/>
    <n v="0"/>
    <n v="10"/>
    <n v="268.11"/>
    <n v="44.5"/>
    <e v="#DIV/0!"/>
    <n v="0.13009999999999999"/>
    <n v="34.881110999999997"/>
    <m/>
    <m/>
    <n v="34.881110999999997"/>
    <n v="5.5809777599999997"/>
    <n v="40.46208876"/>
    <n v="0.69762221999999996"/>
    <m/>
    <n v="0.69762221999999996"/>
    <m/>
    <n v="34.183488779999998"/>
    <m/>
    <m/>
    <n v="0"/>
    <m/>
    <m/>
    <n v="0"/>
    <m/>
    <n v="40.46208876"/>
    <n v="40.46208876"/>
    <n v="0"/>
    <s v="ACTIVA"/>
    <d v="2022-09-27T00:00:00"/>
    <m/>
    <m/>
    <s v="MOTOR TPL"/>
    <m/>
    <m/>
    <m/>
  </r>
  <r>
    <x v="9"/>
    <s v="Yes"/>
    <d v="2022-08-26T00:00:00"/>
    <d v="2022-09-09T00:00:00"/>
    <d v="2022-08-25T00:00:00"/>
    <d v="2023-08-24T00:00:00"/>
    <s v="000-475/AIB RDC/2022"/>
    <n v="0"/>
    <s v="SOUSCRIPTION"/>
    <s v="00017003"/>
    <s v="Group Forrest International SAS"/>
    <m/>
    <s v="ANDY"/>
    <s v="Andy"/>
    <s v="AVIATION HULL ALL RISK"/>
    <s v="AVIATION"/>
    <x v="6"/>
    <s v="AIRCRAFT RISK COMPANY"/>
    <n v="11600000"/>
    <n v="43334.2"/>
    <n v="5454.04"/>
    <n v="0"/>
    <n v="363.6"/>
    <n v="30906.25"/>
    <n v="5875.8"/>
    <n v="3.735706896551724E-3"/>
    <n v="0"/>
    <n v="0"/>
    <n v="1636.212"/>
    <n v="2156.2499999999995"/>
    <n v="3792.4619999999995"/>
    <n v="606.79391999999996"/>
    <n v="4399.2559199999996"/>
    <n v="75.849239999999995"/>
    <m/>
    <n v="75.849239999999995"/>
    <m/>
    <n v="3716.6127599999995"/>
    <m/>
    <m/>
    <n v="0"/>
    <m/>
    <m/>
    <n v="0"/>
    <m/>
    <n v="4399.2559199999996"/>
    <n v="4399.2559199999996"/>
    <n v="0"/>
    <s v="SFA"/>
    <d v="2022-10-28T00:00:00"/>
    <m/>
    <m/>
    <s v="AVIATION HULL ALL RISK"/>
    <m/>
    <m/>
    <m/>
  </r>
  <r>
    <x v="9"/>
    <s v="Yes"/>
    <d v="2022-03-18T00:00:00"/>
    <d v="2022-08-24T00:00:00"/>
    <d v="2022-08-23T00:00:00"/>
    <d v="2023-08-22T00:00:00"/>
    <s v="000-476/AIB RDC/2022"/>
    <n v="0"/>
    <s v="SOUSCRIPTION"/>
    <s v="12002-33002-0002-112-00016903"/>
    <s v="Glencore / Mutanda Mining"/>
    <s v="MINING"/>
    <s v="ANDY"/>
    <s v="Andy"/>
    <s v="FIRE"/>
    <s v="PROPERTIES"/>
    <x v="6"/>
    <s v="SFA"/>
    <n v="0"/>
    <n v="2989.42"/>
    <n v="0"/>
    <n v="0"/>
    <n v="22.55"/>
    <n v="2510.87"/>
    <n v="405.35"/>
    <e v="#DIV/0!"/>
    <n v="0.1"/>
    <n v="251.08699999999999"/>
    <n v="0"/>
    <n v="0"/>
    <n v="251.08699999999999"/>
    <n v="40.173920000000003"/>
    <n v="291.26092"/>
    <n v="5.0217400000000003"/>
    <n v="0"/>
    <n v="5.0217400000000003"/>
    <m/>
    <n v="246.06525999999999"/>
    <m/>
    <m/>
    <n v="0"/>
    <m/>
    <m/>
    <n v="0"/>
    <m/>
    <n v="291.26092"/>
    <n v="291.26092"/>
    <n v="0"/>
    <s v="SFA"/>
    <d v="2022-09-19T00:00:00"/>
    <m/>
    <m/>
    <s v="FIRE"/>
    <m/>
    <m/>
    <m/>
  </r>
  <r>
    <x v="1"/>
    <s v="Yes"/>
    <d v="2022-08-18T00:00:00"/>
    <d v="2022-08-31T00:00:00"/>
    <d v="2022-09-07T00:00:00"/>
    <d v="2023-09-06T00:00:00"/>
    <s v="000-477/AIB RDC/2022"/>
    <n v="0"/>
    <s v="SOUSCRIPTION"/>
    <s v="00016944"/>
    <s v="Sandvik Mining &amp; Construction Sarl"/>
    <s v="MINING"/>
    <s v="ANDY"/>
    <s v="Sabrina"/>
    <s v="COMP MOTOR"/>
    <s v="MOTOR COMP"/>
    <x v="6"/>
    <s v="SFA"/>
    <n v="959013"/>
    <n v="50983.61"/>
    <n v="0"/>
    <n v="0"/>
    <n v="638.42999999999995"/>
    <n v="42568.03"/>
    <n v="6913.03"/>
    <n v="5.3162584865898588E-2"/>
    <n v="0.15"/>
    <n v="6385.2044999999998"/>
    <n v="0"/>
    <n v="0"/>
    <n v="6385.2044999999998"/>
    <n v="1021.6327199999999"/>
    <n v="7406.8372199999994"/>
    <n v="127.70408999999999"/>
    <m/>
    <n v="127.70408999999999"/>
    <m/>
    <n v="6257.5004099999996"/>
    <s v="AFINBRO"/>
    <n v="0.5"/>
    <n v="3128.7502049999998"/>
    <n v="3128.7502049999998"/>
    <d v="2022-11-29T00:00:00"/>
    <n v="0"/>
    <s v="PT012/AIB RDC/2022"/>
    <n v="7406.8372199999994"/>
    <n v="7406.8372199999994"/>
    <n v="0"/>
    <s v="SFA"/>
    <d v="2022-10-28T00:00:00"/>
    <m/>
    <m/>
    <s v="COMP MOTOR"/>
    <m/>
    <m/>
    <m/>
  </r>
  <r>
    <x v="11"/>
    <s v="Yes"/>
    <d v="2022-08-09T00:00:00"/>
    <d v="2022-09-12T00:00:00"/>
    <d v="2022-07-01T00:00:00"/>
    <d v="2023-06-30T00:00:00"/>
    <s v="000-478/AIB RDC/2022"/>
    <n v="2"/>
    <s v="RENOUVELLEMENT"/>
    <s v="00017023"/>
    <s v="Shoprite"/>
    <m/>
    <s v="ANDY"/>
    <s v="Andy"/>
    <s v="MARINE CARGO / GIT"/>
    <s v="MARINE"/>
    <x v="6"/>
    <s v="MARSH"/>
    <n v="1835003.81"/>
    <n v="4041.03"/>
    <n v="510.02"/>
    <n v="0"/>
    <n v="24.45"/>
    <n v="2890.13"/>
    <n v="547.94000000000005"/>
    <n v="2.2021916128882589E-3"/>
    <n v="0"/>
    <n v="0"/>
    <n v="153.006"/>
    <n v="433.51949999999999"/>
    <n v="586.52549999999997"/>
    <n v="93.844079999999991"/>
    <n v="680.36957999999993"/>
    <n v="11.730509999999999"/>
    <n v="0"/>
    <n v="11.730509999999999"/>
    <m/>
    <n v="574.79498999999998"/>
    <s v="MARSH"/>
    <n v="0"/>
    <n v="0"/>
    <m/>
    <m/>
    <n v="0"/>
    <m/>
    <n v="680.36957999999993"/>
    <n v="680.36957999999993"/>
    <n v="0"/>
    <s v="SFA"/>
    <d v="2022-10-28T00:00:00"/>
    <m/>
    <s v="CANCELLED"/>
    <s v="MARINE CARGO / GIT"/>
    <m/>
    <m/>
    <m/>
  </r>
  <r>
    <x v="9"/>
    <s v="Yes"/>
    <d v="2022-09-07T00:00:00"/>
    <d v="2022-08-25T00:00:00"/>
    <d v="2022-08-24T00:00:00"/>
    <d v="2022-08-31T00:00:00"/>
    <s v="000-479/AIB RDC/2022"/>
    <n v="0"/>
    <s v="SOUSCRIPTION"/>
    <s v="00016905"/>
    <s v="MANDLA SERVICES / Bolloré"/>
    <m/>
    <s v="SYNTYCHE"/>
    <s v="Victor"/>
    <s v="MARINE CARGO / GIT"/>
    <s v="MARINE"/>
    <x v="6"/>
    <s v="SFA"/>
    <n v="418.21"/>
    <n v="17.95"/>
    <n v="0"/>
    <n v="0"/>
    <n v="0.22"/>
    <n v="15"/>
    <n v="2.44"/>
    <n v="4.2921020539920134E-2"/>
    <n v="0.15"/>
    <n v="2.25"/>
    <n v="0"/>
    <n v="0"/>
    <n v="2.25"/>
    <n v="0.36"/>
    <n v="2.61"/>
    <n v="4.4999999999999998E-2"/>
    <m/>
    <n v="4.4999999999999998E-2"/>
    <m/>
    <n v="2.2050000000000001"/>
    <s v="BOLLORE"/>
    <n v="0.4"/>
    <n v="0.88200000000000012"/>
    <n v="0.88200000000000012"/>
    <d v="2022-11-02T00:00:00"/>
    <n v="0"/>
    <s v="PT009/AIB RDC/2022"/>
    <n v="2.61"/>
    <n v="2.61"/>
    <n v="0"/>
    <s v="SFA"/>
    <d v="2022-09-19T00:00:00"/>
    <m/>
    <s v="ONCE OFF"/>
    <s v="MARINE CARGO / GIT"/>
    <m/>
    <m/>
    <m/>
  </r>
  <r>
    <x v="9"/>
    <s v="Yes"/>
    <d v="2022-08-10T00:00:00"/>
    <d v="2022-10-01T00:00:00"/>
    <d v="2022-08-01T00:00:00"/>
    <d v="2023-07-31T00:00:00"/>
    <s v="000-480/AIB RDC/2022"/>
    <n v="2"/>
    <s v="RENOUVELLEMENT"/>
    <s v="301/12200003, 301/12200002, 301/12200004"/>
    <s v="KAMOTO COPPER COMPANY"/>
    <s v="Mining"/>
    <s v="ANDY"/>
    <s v="Andy"/>
    <s v="GPA"/>
    <s v="MEDICAL &amp; GPA"/>
    <x v="4"/>
    <s v="HARBOUR INSURANCE PTE Ltd"/>
    <n v="0"/>
    <n v="982509.65"/>
    <n v="124895.29"/>
    <n v="-58284.47"/>
    <n v="0"/>
    <n v="707740"/>
    <n v="133221.65"/>
    <e v="#DIV/0!"/>
    <n v="0"/>
    <n v="0"/>
    <n v="19983.245999999996"/>
    <m/>
    <n v="19983.245999999996"/>
    <n v="3197.3193599999995"/>
    <n v="23180.565359999993"/>
    <n v="399.66491999999994"/>
    <m/>
    <n v="399.66491999999994"/>
    <m/>
    <n v="19583.581079999996"/>
    <m/>
    <m/>
    <n v="0"/>
    <m/>
    <m/>
    <n v="0"/>
    <m/>
    <n v="23180.565359999993"/>
    <n v="23180.565359999993"/>
    <n v="0"/>
    <s v="RAWSUR"/>
    <d v="2022-12-06T00:00:00"/>
    <m/>
    <m/>
    <s v="GPA"/>
    <m/>
    <m/>
    <m/>
  </r>
  <r>
    <x v="9"/>
    <s v="Yes"/>
    <d v="2022-08-10T00:00:00"/>
    <d v="2022-10-08T00:00:00"/>
    <d v="2022-08-01T00:00:00"/>
    <d v="2023-07-31T00:00:00"/>
    <s v="000-481/AIB RDC/2022"/>
    <n v="2"/>
    <s v="RENOUVELLEMENT"/>
    <s v="301/12200003, 301/12200002, 301/12200004"/>
    <s v="Glencore / Mutanda Mining"/>
    <s v="MINING"/>
    <s v="ANDY"/>
    <s v="Andy"/>
    <s v="GPA"/>
    <s v="MEDICAL &amp; GPA"/>
    <x v="4"/>
    <s v="HARBOUR INSURANCE PTE Ltd"/>
    <n v="0"/>
    <n v="266241.32"/>
    <n v="33844.239999999998"/>
    <n v="-15793.98"/>
    <n v="0"/>
    <n v="191784"/>
    <n v="36100.519999999997"/>
    <e v="#DIV/0!"/>
    <n v="0"/>
    <n v="0"/>
    <n v="5415.0779999999995"/>
    <m/>
    <n v="5415.0779999999995"/>
    <n v="866.41247999999996"/>
    <n v="6281.4904799999995"/>
    <n v="108.30155999999999"/>
    <n v="0"/>
    <n v="108.30155999999999"/>
    <m/>
    <n v="5306.7764399999996"/>
    <m/>
    <m/>
    <n v="0"/>
    <m/>
    <m/>
    <n v="0"/>
    <m/>
    <n v="6281.4904799999995"/>
    <n v="6281.4904799999995"/>
    <n v="0"/>
    <s v="RAWSUR"/>
    <d v="2022-12-06T00:00:00"/>
    <m/>
    <m/>
    <s v="GPA"/>
    <m/>
    <m/>
    <m/>
  </r>
  <r>
    <x v="9"/>
    <s v="No"/>
    <d v="2022-08-10T00:00:00"/>
    <m/>
    <d v="2022-08-01T00:00:00"/>
    <d v="2023-07-31T00:00:00"/>
    <s v="000-482/AIB RDC/2022"/>
    <n v="0"/>
    <s v="RENOUVELLEMENT"/>
    <s v="301/120003, 301/1220002, 301/1220004"/>
    <s v="Glencore DRC"/>
    <s v="MINING"/>
    <s v="ANDY"/>
    <s v="Andy"/>
    <s v="GPA"/>
    <s v="MEDICAL &amp; GPA"/>
    <x v="4"/>
    <s v="HARBOUR INSURANCE PTE Ltd"/>
    <n v="0"/>
    <n v="25705.95"/>
    <n v="3267.71"/>
    <n v="-1524.93"/>
    <n v="0"/>
    <n v="18517"/>
    <n v="3485.55"/>
    <e v="#DIV/0!"/>
    <n v="0"/>
    <n v="0"/>
    <n v="522.83399999999995"/>
    <m/>
    <n v="522.83399999999995"/>
    <n v="83.653439999999989"/>
    <n v="606.48743999999988"/>
    <n v="10.456679999999999"/>
    <m/>
    <n v="10.456679999999999"/>
    <m/>
    <n v="512.37731999999994"/>
    <m/>
    <m/>
    <n v="0"/>
    <m/>
    <m/>
    <n v="0"/>
    <m/>
    <n v="606.48743999999988"/>
    <n v="606.48743999999988"/>
    <n v="0"/>
    <s v="RAWSUR"/>
    <d v="2023-11-14T00:00:00"/>
    <m/>
    <m/>
    <s v="GPA"/>
    <m/>
    <m/>
    <s v="Commision à collecter dans le bordereau de Mai"/>
  </r>
  <r>
    <x v="9"/>
    <s v="Yes"/>
    <d v="2022-08-10T00:00:00"/>
    <d v="2022-12-01T00:00:00"/>
    <d v="2022-08-01T00:00:00"/>
    <d v="2023-07-31T00:00:00"/>
    <s v="000-483/AIB RDC/2022"/>
    <n v="1"/>
    <s v="RENOUVELLEMENT"/>
    <s v="301/1220003, 301/1220002, 301/1220004, 12200005"/>
    <s v="Watu Wetu SAS"/>
    <s v="Mining"/>
    <s v="ANDY"/>
    <s v="Andy"/>
    <s v="GPA"/>
    <s v="MEDICAL &amp; GPA"/>
    <x v="4"/>
    <s v="HARBOUR INSURANCE PTE Ltd"/>
    <n v="0"/>
    <n v="21038.71"/>
    <n v="2674.41"/>
    <n v="-1248.06"/>
    <n v="0"/>
    <n v="15155"/>
    <n v="2852.71"/>
    <e v="#DIV/0!"/>
    <n v="0"/>
    <n v="0"/>
    <n v="427.90499999999997"/>
    <n v="0"/>
    <n v="427.90499999999997"/>
    <n v="68.464799999999997"/>
    <n v="496.36979999999994"/>
    <n v="8.5580999999999996"/>
    <m/>
    <n v="8.5580999999999996"/>
    <m/>
    <n v="419.34689999999995"/>
    <m/>
    <m/>
    <n v="0"/>
    <m/>
    <m/>
    <n v="0"/>
    <m/>
    <n v="496.36979999999994"/>
    <n v="496.36979999999994"/>
    <n v="0"/>
    <s v="RAWSUR"/>
    <d v="2023-01-20T00:00:00"/>
    <m/>
    <m/>
    <s v="GPA"/>
    <m/>
    <m/>
    <m/>
  </r>
  <r>
    <x v="4"/>
    <s v="Yes"/>
    <d v="2022-04-26T00:00:00"/>
    <d v="2022-04-26T00:00:00"/>
    <d v="2022-03-31T00:00:00"/>
    <d v="2023-03-30T00:00:00"/>
    <s v="000-484/AIB RDC/2022"/>
    <n v="0"/>
    <s v="SOUSCRIPTION"/>
    <s v="12002-13001-0022-111-00016208-2022"/>
    <s v="BOLLORE TRANSPORT &amp; LOGISTICS RDC"/>
    <s v="TRANSPORT"/>
    <s v="MICHEE"/>
    <s v="Apphia"/>
    <s v="MARINE CARGO / GIT"/>
    <s v="MARINE"/>
    <x v="6"/>
    <s v="SFA"/>
    <n v="300000"/>
    <n v="12456.08"/>
    <n v="0"/>
    <n v="0"/>
    <n v="156"/>
    <n v="10400"/>
    <n v="1688.96"/>
    <n v="4.1520266666666666E-2"/>
    <n v="0.15"/>
    <n v="1560"/>
    <n v="0"/>
    <n v="0"/>
    <n v="1560"/>
    <n v="249.6"/>
    <n v="1809.6"/>
    <n v="31.2"/>
    <m/>
    <n v="31.2"/>
    <m/>
    <n v="1528.8"/>
    <m/>
    <m/>
    <n v="0"/>
    <m/>
    <m/>
    <n v="0"/>
    <m/>
    <n v="1809.6"/>
    <n v="1809.6"/>
    <n v="0"/>
    <s v="SFA"/>
    <d v="2023-02-27T00:00:00"/>
    <m/>
    <m/>
    <s v="MARINE CARGO / GIT"/>
    <m/>
    <m/>
    <m/>
  </r>
  <r>
    <x v="1"/>
    <s v="Yes"/>
    <d v="2022-08-17T00:00:00"/>
    <d v="2022-09-28T00:00:00"/>
    <d v="2022-09-27T00:00:00"/>
    <d v="2023-09-26T00:00:00"/>
    <s v="000-485/AIB RDC/2022"/>
    <n v="0"/>
    <s v="SOUSCRIPTION"/>
    <s v="12005-33002-0022-13001-00003278-2022"/>
    <s v="FABRI METAL CONGO SARL ( FAMECO)"/>
    <m/>
    <s v="MICHEE"/>
    <s v="Apphia"/>
    <s v="PVT"/>
    <s v="POLITICAL VIOLENCE"/>
    <x v="1"/>
    <s v="MAYFAIR"/>
    <n v="19981577"/>
    <n v="28484.01"/>
    <n v="3620.85"/>
    <n v="0"/>
    <n v="0"/>
    <n v="24138.99"/>
    <n v="3862.24"/>
    <n v="1.4255136118635681E-3"/>
    <n v="0"/>
    <n v="0"/>
    <n v="1086.2549999999999"/>
    <n v="2144.9499999999998"/>
    <n v="3231.2049999999999"/>
    <n v="516.99279999999999"/>
    <n v="3748.1977999999999"/>
    <n v="64.624099999999999"/>
    <m/>
    <n v="64.624099999999999"/>
    <m/>
    <n v="3166.5808999999999"/>
    <m/>
    <m/>
    <n v="0"/>
    <m/>
    <m/>
    <n v="0"/>
    <m/>
    <n v="3748.1977999999999"/>
    <n v="3748.1977999999999"/>
    <n v="0"/>
    <s v="MAYFAIR"/>
    <d v="2022-11-10T00:00:00"/>
    <m/>
    <m/>
    <s v="PVT"/>
    <m/>
    <m/>
    <m/>
  </r>
  <r>
    <x v="1"/>
    <s v="Yes"/>
    <d v="2022-06-18T00:00:00"/>
    <d v="2022-09-07T00:00:00"/>
    <d v="2022-09-05T00:00:00"/>
    <d v="2023-09-04T00:00:00"/>
    <s v="000-486/AIB RDC/2022"/>
    <n v="0"/>
    <s v="SOUSCRIPTION"/>
    <s v="00016987"/>
    <s v="RIDER LEVETT BUCKNALL (RLB)"/>
    <m/>
    <s v="MICHEE"/>
    <s v="Apphia"/>
    <s v="PI"/>
    <s v="LIABILITIES"/>
    <x v="6"/>
    <s v="SFA"/>
    <n v="0"/>
    <n v="6796.61"/>
    <n v="429.25"/>
    <n v="0"/>
    <n v="36.47"/>
    <n v="5294.12"/>
    <n v="921.57"/>
    <e v="#DIV/0!"/>
    <n v="0.1"/>
    <n v="529.41200000000003"/>
    <n v="0"/>
    <n v="0"/>
    <n v="529.41200000000003"/>
    <n v="84.705920000000006"/>
    <n v="614.11792000000003"/>
    <n v="10.588240000000001"/>
    <m/>
    <n v="10.588240000000001"/>
    <m/>
    <n v="518.82375999999999"/>
    <m/>
    <m/>
    <n v="0"/>
    <m/>
    <m/>
    <n v="0"/>
    <m/>
    <n v="614.11792000000003"/>
    <n v="614.11792000000003"/>
    <n v="0"/>
    <s v="SFA"/>
    <d v="2022-10-28T00:00:00"/>
    <m/>
    <m/>
    <s v="PI"/>
    <m/>
    <m/>
    <m/>
  </r>
  <r>
    <x v="9"/>
    <s v="Yes"/>
    <d v="2022-08-04T00:00:00"/>
    <d v="2022-08-04T00:00:00"/>
    <d v="2022-08-12T00:00:00"/>
    <d v="2023-03-22T00:00:00"/>
    <s v="000-487/AIB RDC/2022"/>
    <n v="2"/>
    <s v="INCORPORATION"/>
    <s v="00016054"/>
    <s v="AFRI MOBILE MONEY"/>
    <s v="TELECOM"/>
    <s v="MICHEE"/>
    <s v="Apphia"/>
    <s v="MOTOR TPL"/>
    <s v="MOTOR TPL"/>
    <x v="6"/>
    <s v="SFA"/>
    <n v="0"/>
    <n v="374.52"/>
    <n v="0"/>
    <n v="0"/>
    <n v="4.68"/>
    <n v="312.72000000000003"/>
    <n v="50.78"/>
    <e v="#DIV/0!"/>
    <n v="0.1"/>
    <n v="31.272000000000006"/>
    <n v="0"/>
    <n v="0"/>
    <n v="31.272000000000006"/>
    <n v="5.0035200000000009"/>
    <n v="36.275520000000007"/>
    <n v="0.62544000000000011"/>
    <m/>
    <n v="0.62544000000000011"/>
    <m/>
    <n v="30.646560000000004"/>
    <m/>
    <m/>
    <n v="0"/>
    <m/>
    <m/>
    <n v="0"/>
    <m/>
    <n v="36.275520000000007"/>
    <n v="36.275520000000007"/>
    <n v="0"/>
    <s v="SFA"/>
    <d v="2022-09-19T00:00:00"/>
    <m/>
    <s v="RENEWED"/>
    <s v="MOTOR TPL"/>
    <m/>
    <m/>
    <m/>
  </r>
  <r>
    <x v="9"/>
    <s v="Yes"/>
    <d v="2022-08-09T00:00:00"/>
    <d v="2022-08-15T00:00:00"/>
    <d v="2022-08-14T00:00:00"/>
    <d v="2023-08-13T00:00:00"/>
    <s v="000-488/AIB RDC/2022"/>
    <n v="4"/>
    <s v="RENOUVELLEMENT"/>
    <s v="12005--13001-00003229"/>
    <s v="FABRI METAL CONGO SARL ( FAMECO)"/>
    <m/>
    <s v="MICHEE"/>
    <s v="Apphia"/>
    <s v="MOTOR TPL"/>
    <s v="MOTOR TPL"/>
    <x v="1"/>
    <s v="MAYFAIR"/>
    <n v="0"/>
    <n v="15200.62"/>
    <n v="0"/>
    <n v="0"/>
    <n v="220"/>
    <n v="12662.03"/>
    <n v="2061.12"/>
    <e v="#DIV/0!"/>
    <n v="0.125"/>
    <n v="1582.7537500000001"/>
    <n v="0"/>
    <n v="0"/>
    <n v="1582.7537500000001"/>
    <n v="253.24060000000003"/>
    <n v="1835.9943500000002"/>
    <n v="31.655075000000004"/>
    <m/>
    <n v="31.655075000000004"/>
    <m/>
    <n v="1551.0986750000002"/>
    <m/>
    <m/>
    <n v="0"/>
    <m/>
    <m/>
    <n v="0"/>
    <m/>
    <n v="1835.9943500000002"/>
    <n v="1835.9943500000002"/>
    <n v="0"/>
    <s v="MAYFAIR"/>
    <d v="2022-09-30T00:00:00"/>
    <m/>
    <m/>
    <s v="MOTOR TPL"/>
    <m/>
    <m/>
    <m/>
  </r>
  <r>
    <x v="9"/>
    <s v="Yes"/>
    <d v="2022-08-22T00:00:00"/>
    <d v="2022-08-22T00:00:00"/>
    <d v="2022-08-22T00:00:00"/>
    <d v="2023-08-13T00:00:00"/>
    <s v="000-489/AIB RDC/2022"/>
    <n v="5"/>
    <s v="INCORPORATION"/>
    <s v="12005--13001-00003229"/>
    <s v="FABRI METAL CONGO SARL ( FAMECO)"/>
    <m/>
    <s v="MICHEE"/>
    <s v="Apphia"/>
    <s v="MOTOR TPL"/>
    <s v="MOTOR TPL"/>
    <x v="1"/>
    <s v="MAYFAIR"/>
    <n v="0"/>
    <n v="358.55"/>
    <n v="0"/>
    <n v="0"/>
    <n v="10"/>
    <n v="293.85000000000002"/>
    <n v="48.62"/>
    <e v="#DIV/0!"/>
    <n v="0.125"/>
    <n v="36.731250000000003"/>
    <n v="0"/>
    <n v="0"/>
    <n v="36.731250000000003"/>
    <n v="5.8770000000000007"/>
    <n v="42.608250000000005"/>
    <n v="0.73462500000000008"/>
    <m/>
    <n v="0.73462500000000008"/>
    <m/>
    <n v="35.996625000000002"/>
    <m/>
    <m/>
    <n v="0"/>
    <m/>
    <m/>
    <n v="0"/>
    <m/>
    <n v="42.608250000000005"/>
    <n v="42.608250000000005"/>
    <n v="0"/>
    <s v="MAYFAIR"/>
    <d v="2022-09-30T00:00:00"/>
    <m/>
    <m/>
    <s v="MOTOR TPL"/>
    <m/>
    <m/>
    <m/>
  </r>
  <r>
    <x v="11"/>
    <s v="Yes"/>
    <d v="2022-06-22T00:00:00"/>
    <d v="2022-10-22T00:00:00"/>
    <d v="2022-07-24T00:00:00"/>
    <d v="2023-06-14T00:00:00"/>
    <s v="000-490/AIB RDC/2022"/>
    <n v="1"/>
    <s v="RENOUVELLEMENT"/>
    <s v="12002-33002-0002-112-00017353-2022"/>
    <s v="GARDAWORLD DRC SARL"/>
    <s v="SECURITY"/>
    <s v="MICHEE"/>
    <s v="Apphia"/>
    <s v="FIRE"/>
    <s v="PROPERTIES"/>
    <x v="6"/>
    <s v="SFA"/>
    <n v="4927903.16"/>
    <n v="5053.66"/>
    <n v="0"/>
    <n v="0"/>
    <n v="31.26"/>
    <n v="4251.5"/>
    <n v="685.24"/>
    <n v="1.0255193407656168E-3"/>
    <n v="0.1"/>
    <n v="425.15000000000003"/>
    <n v="0"/>
    <n v="0"/>
    <n v="425.15000000000003"/>
    <n v="68.024000000000001"/>
    <n v="493.17400000000004"/>
    <n v="8.5030000000000001"/>
    <m/>
    <n v="8.5030000000000001"/>
    <m/>
    <n v="416.64700000000005"/>
    <m/>
    <m/>
    <n v="0"/>
    <m/>
    <m/>
    <n v="0"/>
    <m/>
    <n v="493.17400000000004"/>
    <n v="493.17400000000004"/>
    <n v="0"/>
    <s v="SFA"/>
    <d v="2023-01-23T00:00:00"/>
    <m/>
    <s v="RENEWING..."/>
    <s v="FIRE"/>
    <m/>
    <m/>
    <m/>
  </r>
  <r>
    <x v="9"/>
    <s v="Yes"/>
    <d v="2022-08-02T00:00:00"/>
    <d v="2022-10-21T00:00:00"/>
    <d v="2022-08-25T00:00:00"/>
    <d v="2023-06-14T00:00:00"/>
    <s v="000-491/AIB RDC/2022"/>
    <n v="1"/>
    <s v="RENOUVELLEMENT"/>
    <s v="12002-33002-0023-113-00017331-2022"/>
    <s v="GARDAWORLD DRC SARL"/>
    <s v="SECURITY"/>
    <s v="MICHEE"/>
    <s v="Apphia"/>
    <s v="PI"/>
    <s v="LIABILITIES"/>
    <x v="6"/>
    <s v="SFA"/>
    <n v="0"/>
    <n v="4634.97"/>
    <n v="585.20000000000005"/>
    <n v="0"/>
    <n v="26.58"/>
    <n v="3316.16"/>
    <n v="628.47"/>
    <e v="#DIV/0!"/>
    <n v="0"/>
    <n v="0"/>
    <n v="175.56"/>
    <n v="0"/>
    <n v="175.56"/>
    <n v="28.089600000000001"/>
    <n v="203.64959999999999"/>
    <n v="3.5112000000000001"/>
    <m/>
    <n v="3.5112000000000001"/>
    <m/>
    <n v="172.0488"/>
    <m/>
    <m/>
    <n v="0"/>
    <m/>
    <m/>
    <n v="0"/>
    <m/>
    <n v="203.64959999999999"/>
    <n v="203.64959999999999"/>
    <n v="0"/>
    <s v="SFA"/>
    <d v="2023-02-27T00:00:00"/>
    <m/>
    <s v="RENEWING..."/>
    <s v="PI"/>
    <m/>
    <m/>
    <m/>
  </r>
  <r>
    <x v="9"/>
    <s v="Yes"/>
    <d v="2022-08-25T00:00:00"/>
    <d v="2022-10-22T00:00:00"/>
    <d v="2022-08-25T00:00:00"/>
    <d v="2023-06-14T00:00:00"/>
    <s v="000-492/AIB RDC/2022"/>
    <n v="0"/>
    <s v="SOUSCRIPTION"/>
    <s v="12002-33002-0023-113-00017352-2022"/>
    <s v="GARDAWORLD DRC SARL"/>
    <s v="SECURITY"/>
    <s v="MICHEE"/>
    <s v="Apphia"/>
    <s v="FIDELITY GUARANTEE"/>
    <s v="LIABILITIES"/>
    <x v="6"/>
    <s v="SFA"/>
    <n v="0"/>
    <n v="2819.09"/>
    <n v="355.36"/>
    <n v="0"/>
    <n v="22.5"/>
    <n v="2013.7"/>
    <n v="382.25"/>
    <e v="#DIV/0!"/>
    <n v="0"/>
    <n v="0"/>
    <n v="106.608"/>
    <n v="0"/>
    <n v="106.608"/>
    <n v="17.057280000000002"/>
    <n v="123.66528000000001"/>
    <n v="2.1321600000000003"/>
    <m/>
    <n v="2.1321600000000003"/>
    <m/>
    <n v="104.47584000000001"/>
    <m/>
    <m/>
    <n v="0"/>
    <m/>
    <m/>
    <n v="0"/>
    <m/>
    <n v="123.66528000000001"/>
    <n v="123.66528000000001"/>
    <n v="0"/>
    <s v="SFA"/>
    <d v="2023-01-23T00:00:00"/>
    <m/>
    <s v="RENEWING..."/>
    <s v="FIDELITY GUARANTEE"/>
    <m/>
    <m/>
    <m/>
  </r>
  <r>
    <x v="9"/>
    <s v="Yes"/>
    <d v="2022-08-31T00:00:00"/>
    <d v="2022-08-23T00:00:00"/>
    <d v="2022-08-22T00:00:00"/>
    <d v="2023-08-21T00:00:00"/>
    <s v="000-493/AIB RDC/2022"/>
    <n v="0"/>
    <s v="SOUSCRIPTION"/>
    <s v="12002-33002-0002-112-00016893-2022"/>
    <s v="TRANS AIR CARGO"/>
    <s v="Aviation"/>
    <s v="SYNTYCHE"/>
    <s v="Grace"/>
    <s v="FIRE"/>
    <s v="PROPERTIES"/>
    <x v="6"/>
    <s v="SFA"/>
    <n v="0"/>
    <n v="6876.22"/>
    <n v="0"/>
    <n v="0"/>
    <n v="38.94"/>
    <n v="5788.36"/>
    <n v="923.37"/>
    <e v="#DIV/0!"/>
    <n v="0.1"/>
    <n v="578.83600000000001"/>
    <n v="0"/>
    <n v="0"/>
    <n v="578.83600000000001"/>
    <n v="92.613759999999999"/>
    <n v="671.44975999999997"/>
    <n v="11.57672"/>
    <m/>
    <n v="11.57672"/>
    <m/>
    <n v="567.25927999999999"/>
    <m/>
    <m/>
    <n v="0"/>
    <m/>
    <m/>
    <n v="0"/>
    <m/>
    <n v="671.44975999999997"/>
    <n v="671.44975999999997"/>
    <n v="0"/>
    <s v="SFA"/>
    <d v="2022-09-19T00:00:00"/>
    <m/>
    <m/>
    <s v="FIRE"/>
    <m/>
    <m/>
    <m/>
  </r>
  <r>
    <x v="9"/>
    <s v="Yes"/>
    <d v="2022-08-31T00:00:00"/>
    <d v="2022-08-23T00:00:00"/>
    <d v="2022-08-17T00:00:00"/>
    <d v="2023-08-16T00:00:00"/>
    <s v="000-494/AIB RDC/2022"/>
    <n v="0"/>
    <s v="SOUSCRIPTION"/>
    <s v="12002-33002-0002-112-00016892-2022"/>
    <s v="Mme CONTI"/>
    <s v="PERSON"/>
    <s v="SYNTYCHE"/>
    <s v="Grace"/>
    <s v="FIRE"/>
    <s v="PROPERTIES"/>
    <x v="6"/>
    <s v="SFA"/>
    <n v="0"/>
    <n v="4307.38"/>
    <n v="0"/>
    <n v="0"/>
    <n v="28.11"/>
    <n v="3622.21"/>
    <n v="584.04999999999995"/>
    <e v="#DIV/0!"/>
    <n v="0.1"/>
    <n v="362.221"/>
    <n v="0"/>
    <n v="0"/>
    <n v="362.221"/>
    <n v="57.955359999999999"/>
    <n v="420.17635999999999"/>
    <n v="7.2444199999999999"/>
    <m/>
    <n v="7.2444199999999999"/>
    <m/>
    <n v="354.97658000000001"/>
    <m/>
    <m/>
    <n v="0"/>
    <m/>
    <m/>
    <n v="0"/>
    <m/>
    <n v="420.17635999999999"/>
    <n v="420.17635999999999"/>
    <n v="0"/>
    <s v="SFA"/>
    <d v="2022-09-19T00:00:00"/>
    <m/>
    <m/>
    <s v="FIRE"/>
    <m/>
    <m/>
    <m/>
  </r>
  <r>
    <x v="9"/>
    <s v="Yes"/>
    <d v="2022-08-31T00:00:00"/>
    <d v="2022-08-04T00:00:00"/>
    <d v="2022-08-03T00:00:00"/>
    <d v="2023-01-19T00:00:00"/>
    <s v="000-495/AIB RDC/2022"/>
    <n v="17"/>
    <s v="INCORPORATION"/>
    <s v="01-RCAP-2021-000013"/>
    <s v="GSA"/>
    <s v="SECURITY"/>
    <s v="SYNTYCHE"/>
    <s v="Grace"/>
    <s v="MOTOR TPL"/>
    <s v="MOTOR TPL"/>
    <x v="6"/>
    <s v="SFA"/>
    <n v="0"/>
    <n v="410.65"/>
    <n v="0"/>
    <n v="0"/>
    <n v="5.15"/>
    <n v="342.86"/>
    <n v="55.68"/>
    <e v="#DIV/0!"/>
    <n v="0.1"/>
    <n v="34.286000000000001"/>
    <n v="0"/>
    <n v="0"/>
    <n v="34.286000000000001"/>
    <n v="5.48576"/>
    <n v="39.77176"/>
    <n v="0.68572"/>
    <n v="0"/>
    <n v="0.68572"/>
    <m/>
    <n v="33.600279999999998"/>
    <m/>
    <m/>
    <n v="0"/>
    <m/>
    <m/>
    <n v="0"/>
    <m/>
    <n v="39.77176"/>
    <n v="39.77176"/>
    <n v="0"/>
    <s v="SFA"/>
    <d v="2022-09-19T00:00:00"/>
    <m/>
    <s v="RENEWED"/>
    <s v="MOTOR TPL"/>
    <m/>
    <m/>
    <m/>
  </r>
  <r>
    <x v="9"/>
    <s v="Yes"/>
    <d v="2022-08-31T00:00:00"/>
    <d v="2022-08-15T00:00:00"/>
    <d v="2022-08-05T00:00:00"/>
    <d v="2022-09-03T00:00:00"/>
    <s v="000-496/AIB RDC/2022"/>
    <n v="0"/>
    <s v="SOUSCRIPTION"/>
    <s v="12002-33002-0022-111-00016837-2022"/>
    <s v="PANACO / Bolloré"/>
    <m/>
    <s v="SYNTYCHE"/>
    <s v="Victor"/>
    <s v="MARINE CARGO / GIT"/>
    <s v="MARINE"/>
    <x v="6"/>
    <s v="SFA"/>
    <n v="138553.79"/>
    <n v="459.15"/>
    <n v="0"/>
    <n v="0"/>
    <n v="20"/>
    <n v="369.11"/>
    <n v="62.26"/>
    <n v="3.31387542700925E-3"/>
    <n v="0.15"/>
    <n v="55.366500000000002"/>
    <n v="0"/>
    <n v="0"/>
    <n v="55.366500000000002"/>
    <n v="8.8586400000000012"/>
    <n v="64.22514000000001"/>
    <n v="1.1073300000000001"/>
    <m/>
    <n v="1.1073300000000001"/>
    <m/>
    <n v="54.259170000000005"/>
    <s v="BOLLORE"/>
    <n v="0.4"/>
    <n v="21.703668000000004"/>
    <n v="21.703668000000004"/>
    <d v="2022-11-02T00:00:00"/>
    <n v="0"/>
    <s v="PT009/AIB RDC/2022"/>
    <n v="64.22514000000001"/>
    <n v="64.22514000000001"/>
    <n v="0"/>
    <s v="SFA"/>
    <d v="2022-09-19T00:00:00"/>
    <m/>
    <s v="ONCE OFF"/>
    <s v="MARINE CARGO / GIT"/>
    <m/>
    <m/>
    <m/>
  </r>
  <r>
    <x v="11"/>
    <s v="Yes"/>
    <d v="2022-07-04T00:00:00"/>
    <d v="2022-08-08T00:00:00"/>
    <d v="2022-07-01T00:00:00"/>
    <d v="2023-06-30T00:00:00"/>
    <s v="000-497/AIB RDC/2022"/>
    <n v="0"/>
    <s v="SOUSCRIPTION"/>
    <n v="2022990768"/>
    <s v="EASTCASTLE INFRASTRUCTURE DRC SARLU"/>
    <m/>
    <s v="ALICE"/>
    <s v="Alice"/>
    <s v="LIFE"/>
    <s v="LIFE"/>
    <x v="9"/>
    <s v="ACTIVA - LIFE"/>
    <n v="3476872.61"/>
    <n v="31241.5"/>
    <n v="0"/>
    <n v="0"/>
    <n v="70"/>
    <n v="31171.5"/>
    <n v="0"/>
    <n v="8.9855175913390751E-3"/>
    <n v="0.1"/>
    <n v="3117.15"/>
    <n v="0"/>
    <n v="0"/>
    <n v="3117.15"/>
    <n v="0"/>
    <n v="3117.15"/>
    <n v="31.171500000000002"/>
    <m/>
    <n v="31.171500000000002"/>
    <m/>
    <n v="3085.9785000000002"/>
    <s v="MERCER"/>
    <n v="0.7"/>
    <n v="2160.1849499999998"/>
    <m/>
    <m/>
    <n v="2160.1849499999998"/>
    <m/>
    <n v="3117.15"/>
    <n v="3117.15"/>
    <n v="0"/>
    <s v="ACTIVA - LIFE"/>
    <d v="2022-10-11T00:00:00"/>
    <m/>
    <s v="RENEWING..."/>
    <s v="LIFE"/>
    <m/>
    <m/>
    <m/>
  </r>
  <r>
    <x v="11"/>
    <s v="Yes"/>
    <d v="2022-08-04T00:00:00"/>
    <d v="2022-08-25T00:00:00"/>
    <d v="2022-07-01T00:00:00"/>
    <d v="2022-12-31T00:00:00"/>
    <s v="000-498/AIB RDC/2022"/>
    <n v="0"/>
    <s v="SOUSCRIPTION"/>
    <s v="11001-33002-0001-207-00000030-2022 / 301-219000007"/>
    <s v="MAERSK CONGO RDC SA"/>
    <m/>
    <s v="ALICE"/>
    <s v="Alice"/>
    <s v="LIFE"/>
    <s v="LIFE"/>
    <x v="5"/>
    <s v="RAWSUR - LIFE"/>
    <n v="2874802"/>
    <n v="6400"/>
    <n v="0"/>
    <n v="0"/>
    <n v="63.37"/>
    <n v="6336.63"/>
    <n v="0"/>
    <n v="2.2262402767216664E-3"/>
    <n v="0.1"/>
    <n v="633.66300000000001"/>
    <n v="0"/>
    <n v="0"/>
    <n v="633.66300000000001"/>
    <n v="0"/>
    <n v="633.66300000000001"/>
    <n v="6.3366300000000004"/>
    <m/>
    <n v="6.3366300000000004"/>
    <m/>
    <n v="627.32637"/>
    <s v="MERCER"/>
    <n v="0.7"/>
    <n v="439.12845899999996"/>
    <m/>
    <m/>
    <n v="439.12845899999996"/>
    <m/>
    <n v="633.66300000000001"/>
    <n v="633.66300000000001"/>
    <n v="0"/>
    <s v="RAWSUR - LIFE"/>
    <d v="2022-11-10T00:00:00"/>
    <m/>
    <s v="RENEWED"/>
    <s v="LIFE"/>
    <m/>
    <m/>
    <m/>
  </r>
  <r>
    <x v="9"/>
    <s v="Yes"/>
    <d v="2022-08-25T00:00:00"/>
    <d v="2022-08-29T00:00:00"/>
    <d v="2022-08-25T00:00:00"/>
    <d v="2023-08-24T00:00:00"/>
    <s v="000-499/AIB RDC/2022"/>
    <n v="0"/>
    <s v="SOUSCRIPTION"/>
    <s v="12005-33002-0011-13001-00003333-2022"/>
    <s v="AFRICAN TRADEX FZC-SHARJAH"/>
    <m/>
    <s v="ALICE"/>
    <s v="Alice"/>
    <s v="MARINE CARGO / GIT"/>
    <s v="MARINE"/>
    <x v="1"/>
    <s v="MAYFAIR"/>
    <n v="15000000"/>
    <n v="26078"/>
    <n v="0"/>
    <n v="0"/>
    <n v="100"/>
    <n v="22000"/>
    <n v="3536"/>
    <n v="1.7385333333333334E-3"/>
    <n v="0.15"/>
    <n v="3300"/>
    <n v="0"/>
    <n v="0"/>
    <n v="3300"/>
    <n v="528"/>
    <n v="3828"/>
    <n v="66"/>
    <m/>
    <n v="66"/>
    <m/>
    <n v="3234"/>
    <m/>
    <m/>
    <n v="0"/>
    <m/>
    <m/>
    <n v="0"/>
    <m/>
    <n v="3828"/>
    <n v="3828"/>
    <n v="0"/>
    <s v="MAYFAIR"/>
    <d v="2022-09-30T00:00:00"/>
    <m/>
    <m/>
    <s v="MARINE CARGO / GIT"/>
    <m/>
    <m/>
    <m/>
  </r>
  <r>
    <x v="11"/>
    <s v="Yes"/>
    <d v="2022-09-07T00:00:00"/>
    <d v="2022-07-20T00:00:00"/>
    <d v="2022-07-20T00:00:00"/>
    <d v="2023-07-19T00:00:00"/>
    <s v="000-500/AIB RDC/2022"/>
    <n v="0"/>
    <s v="SOUSCRIPTION"/>
    <n v="59000006"/>
    <s v="BELTEXCO"/>
    <m/>
    <s v="ALICE"/>
    <s v="Alice"/>
    <s v="PVT"/>
    <s v="POLITICAL VIOLENCE"/>
    <x v="4"/>
    <s v="RAWSUR"/>
    <n v="0"/>
    <n v="78310.77"/>
    <n v="11265.06"/>
    <n v="0"/>
    <n v="100"/>
    <n v="55000"/>
    <n v="10618.41"/>
    <e v="#DIV/0!"/>
    <n v="0"/>
    <n v="0"/>
    <n v="3379.5179999999996"/>
    <m/>
    <n v="3379.5179999999996"/>
    <n v="540.72287999999992"/>
    <n v="3920.2408799999994"/>
    <n v="67.59035999999999"/>
    <m/>
    <n v="67.59035999999999"/>
    <m/>
    <n v="3311.9276399999994"/>
    <m/>
    <m/>
    <n v="0"/>
    <m/>
    <m/>
    <n v="0"/>
    <m/>
    <n v="3920.2408799999994"/>
    <n v="3920.2408799999994"/>
    <n v="0"/>
    <s v="RAWSUR"/>
    <d v="2023-03-27T00:00:00"/>
    <m/>
    <m/>
    <s v="PVT"/>
    <m/>
    <m/>
    <m/>
  </r>
  <r>
    <x v="11"/>
    <s v="Yes"/>
    <d v="2022-09-07T00:00:00"/>
    <d v="2022-07-20T00:00:00"/>
    <d v="2022-07-20T00:00:00"/>
    <d v="2023-07-19T00:00:00"/>
    <s v="000-501/AIB RDC/2022"/>
    <n v="0"/>
    <s v="SOUSCRIPTION"/>
    <s v="301/42000014"/>
    <s v="MARSAVCO"/>
    <m/>
    <s v="ALICE"/>
    <s v="Alice"/>
    <s v="FIRE"/>
    <s v="PROPERTIES"/>
    <x v="4"/>
    <s v="RAWSUR"/>
    <n v="0"/>
    <n v="141872.59"/>
    <n v="25721.48"/>
    <n v="0"/>
    <n v="0"/>
    <n v="113268.78"/>
    <n v="0"/>
    <e v="#DIV/0!"/>
    <n v="0"/>
    <n v="0"/>
    <n v="7716.4439999999995"/>
    <m/>
    <n v="7716.4439999999995"/>
    <n v="1234.63104"/>
    <n v="8951.0750399999997"/>
    <n v="154.32888"/>
    <m/>
    <n v="154.32888"/>
    <m/>
    <n v="7562.1151199999995"/>
    <m/>
    <m/>
    <n v="0"/>
    <m/>
    <m/>
    <n v="0"/>
    <m/>
    <n v="8951.0750399999997"/>
    <n v="8951.0750399999997"/>
    <n v="0"/>
    <s v="RAWSUR"/>
    <d v="2023-03-09T00:00:00"/>
    <m/>
    <m/>
    <s v="FIRE"/>
    <m/>
    <m/>
    <m/>
  </r>
  <r>
    <x v="10"/>
    <s v="Yes"/>
    <d v="2022-09-07T00:00:00"/>
    <d v="2022-09-14T00:00:00"/>
    <d v="2022-06-01T00:00:00"/>
    <d v="2023-05-31T00:00:00"/>
    <s v="000-502/AIB RDC/2022"/>
    <n v="0"/>
    <s v="SOUSCRIPTION"/>
    <s v="50100001 - 301"/>
    <s v="KATANGA CONTRACTING SERVICES SAS"/>
    <m/>
    <s v="ALICE"/>
    <s v="Alice"/>
    <s v="TRC"/>
    <s v="CONSTRUCTIONS"/>
    <x v="4"/>
    <s v="RAWSUR"/>
    <n v="0"/>
    <n v="151762.16"/>
    <n v="0"/>
    <n v="0"/>
    <m/>
    <n v="128602"/>
    <m/>
    <e v="#DIV/0!"/>
    <n v="0.15"/>
    <n v="19290.3"/>
    <n v="0"/>
    <n v="0"/>
    <n v="19290.3"/>
    <n v="3086.4479999999999"/>
    <n v="22376.748"/>
    <n v="385.80599999999998"/>
    <m/>
    <n v="385.80599999999998"/>
    <m/>
    <n v="18904.493999999999"/>
    <m/>
    <m/>
    <n v="0"/>
    <m/>
    <m/>
    <n v="0"/>
    <m/>
    <n v="22376.748"/>
    <n v="22376.748"/>
    <n v="0"/>
    <s v="RAWSUR"/>
    <d v="2023-03-09T00:00:00"/>
    <m/>
    <m/>
    <s v="TRC"/>
    <m/>
    <m/>
    <s v="Compte venu via Rawsur"/>
  </r>
  <r>
    <x v="5"/>
    <s v="No"/>
    <m/>
    <m/>
    <d v="2022-11-30T00:00:00"/>
    <d v="2023-12-01T00:00:00"/>
    <s v="000-503/AIB RDC/2022"/>
    <n v="1"/>
    <s v="RISTOURNE"/>
    <n v="45000016"/>
    <s v="Glencore / Mutanda Mining"/>
    <s v="Mining"/>
    <s v="ANDY"/>
    <s v="Andy"/>
    <s v="PROPERTY DAMAGE &amp; BI"/>
    <s v="PROPERTIES"/>
    <x v="4"/>
    <s v="HARBOUR INSURANCE PTE Ltd"/>
    <n v="0"/>
    <n v="-224760.42"/>
    <n v="-24844.560000000001"/>
    <n v="11594.13"/>
    <n v="0"/>
    <n v="-165630.38"/>
    <n v="-30475.99"/>
    <e v="#DIV/0!"/>
    <n v="0"/>
    <n v="0"/>
    <n v="-3975.1290000000004"/>
    <n v="0"/>
    <n v="-3975.1290000000004"/>
    <n v="-636.02064000000007"/>
    <n v="-4611.1496400000005"/>
    <n v="-79.502580000000009"/>
    <n v="0"/>
    <n v="-79.502580000000009"/>
    <m/>
    <n v="-3895.6264200000005"/>
    <m/>
    <m/>
    <n v="0"/>
    <m/>
    <m/>
    <n v="0"/>
    <m/>
    <m/>
    <n v="-4611.1496400000005"/>
    <n v="-4611.1496400000005"/>
    <s v="RAWSUR"/>
    <m/>
    <m/>
    <m/>
    <s v="PROPERTY DAMAGE &amp; BI"/>
    <m/>
    <m/>
    <m/>
  </r>
  <r>
    <x v="9"/>
    <s v="Yes"/>
    <d v="2022-09-07T00:00:00"/>
    <d v="2022-08-18T00:00:00"/>
    <d v="2022-08-15T00:00:00"/>
    <d v="2023-08-14T00:00:00"/>
    <s v="000-504/AIB RDC/2022"/>
    <n v="0"/>
    <s v="SOUSCRIPTION"/>
    <n v="60100013"/>
    <s v="COBIL Aviation SA"/>
    <m/>
    <s v="ALICE"/>
    <s v="Alice"/>
    <s v="REFUELING LIABILITY"/>
    <s v="LIABILITIES"/>
    <x v="4"/>
    <s v="RAWSUR"/>
    <n v="0"/>
    <m/>
    <n v="42705.88"/>
    <n v="0"/>
    <m/>
    <n v="242000"/>
    <m/>
    <e v="#DIV/0!"/>
    <n v="0"/>
    <n v="0"/>
    <n v="12811.763999999999"/>
    <n v="0"/>
    <n v="12811.763999999999"/>
    <n v="2049.8822399999999"/>
    <n v="14861.646239999998"/>
    <n v="256.23527999999999"/>
    <m/>
    <n v="256.23527999999999"/>
    <m/>
    <n v="12555.528719999998"/>
    <m/>
    <m/>
    <n v="0"/>
    <m/>
    <m/>
    <n v="0"/>
    <m/>
    <n v="14861.65"/>
    <n v="14861.65"/>
    <n v="0"/>
    <s v="RAWSUR"/>
    <d v="2023-04-27T00:00:00"/>
    <m/>
    <m/>
    <s v="REFUELING LIABILITY"/>
    <m/>
    <m/>
    <s v="Compte venu via Rawsur"/>
  </r>
  <r>
    <x v="5"/>
    <s v="No"/>
    <m/>
    <m/>
    <d v="2022-11-30T00:00:00"/>
    <d v="2023-12-01T00:00:00"/>
    <s v="000-505/AIB RDC/2022"/>
    <n v="1"/>
    <s v="RISTOURNE"/>
    <n v="45000016"/>
    <s v="Glencore / Mutanda Mining"/>
    <s v="Mining"/>
    <s v="ANDY"/>
    <s v="Andy"/>
    <s v="PROPERTY DAMAGE &amp; BI"/>
    <s v="PROPERTIES"/>
    <x v="4"/>
    <s v="HARBOUR INSURANCE PTE Ltd"/>
    <n v="0"/>
    <n v="-349627.32"/>
    <n v="-38647.089999999997"/>
    <n v="18035.310000000001"/>
    <n v="0"/>
    <n v="-257647.25"/>
    <n v="-47407.09"/>
    <e v="#DIV/0!"/>
    <n v="0"/>
    <n v="0"/>
    <n v="-6183.5339999999987"/>
    <n v="0"/>
    <n v="-6183.5339999999987"/>
    <n v="-989.36543999999981"/>
    <n v="-7172.8994399999983"/>
    <n v="-123.67067999999998"/>
    <n v="0"/>
    <n v="-123.67067999999998"/>
    <m/>
    <n v="-6059.8633199999986"/>
    <m/>
    <m/>
    <n v="0"/>
    <m/>
    <m/>
    <n v="0"/>
    <m/>
    <m/>
    <n v="-7172.8994399999983"/>
    <n v="-7172.8994399999983"/>
    <s v="RAWSUR"/>
    <m/>
    <m/>
    <m/>
    <s v="PROPERTY DAMAGE &amp; BI"/>
    <m/>
    <m/>
    <m/>
  </r>
  <r>
    <x v="11"/>
    <s v="Yes"/>
    <d v="2022-09-07T00:00:00"/>
    <d v="2022-08-19T00:00:00"/>
    <d v="2022-07-01T00:00:00"/>
    <d v="2023-06-30T00:00:00"/>
    <s v="000-506/AIB RDC/2022"/>
    <n v="0"/>
    <s v="SOUSCRIPTION"/>
    <s v="00016865"/>
    <s v="TENKE FUNGURUME MINING SA"/>
    <s v="Mining"/>
    <s v="ANDY"/>
    <s v="Andy"/>
    <s v="D&amp;O"/>
    <s v="LIABILITIES"/>
    <x v="6"/>
    <s v="SFA"/>
    <n v="0"/>
    <n v="47500"/>
    <n v="6011.09"/>
    <n v="0"/>
    <n v="180.32"/>
    <n v="34062.83"/>
    <n v="6440.68"/>
    <e v="#DIV/0!"/>
    <n v="5.2900000000000003E-2"/>
    <n v="1803.33"/>
    <n v="0"/>
    <m/>
    <n v="1803.33"/>
    <n v="288.53280000000001"/>
    <n v="2091.8627999999999"/>
    <n v="36.066600000000001"/>
    <m/>
    <n v="36.066600000000001"/>
    <m/>
    <n v="1767.2633999999998"/>
    <m/>
    <m/>
    <n v="0"/>
    <m/>
    <m/>
    <n v="0"/>
    <m/>
    <n v="2091.8627999999999"/>
    <n v="2091.8627999999999"/>
    <n v="0"/>
    <s v="SFA"/>
    <d v="2022-09-19T00:00:00"/>
    <m/>
    <m/>
    <s v="D&amp;O"/>
    <m/>
    <m/>
    <m/>
  </r>
  <r>
    <x v="9"/>
    <s v="Yes"/>
    <d v="2022-10-09T00:00:00"/>
    <d v="2022-08-19T00:00:00"/>
    <d v="2022-08-19T00:00:00"/>
    <d v="2023-04-22T00:00:00"/>
    <s v="000-507/AIB RDC/2022"/>
    <n v="4"/>
    <s v="INCORPORATION"/>
    <s v="12003-33002-0001-103-00000927-2022 / 30000011"/>
    <s v="Chemaf SA"/>
    <s v="MINING"/>
    <s v="ANDY"/>
    <s v="Nyota"/>
    <s v="MOTOR TPL"/>
    <s v="MOTOR TPL"/>
    <x v="4"/>
    <s v="RAWSUR"/>
    <n v="0"/>
    <n v="512.48"/>
    <n v="0"/>
    <n v="0"/>
    <n v="10"/>
    <n v="424.3"/>
    <n v="69.489999999999995"/>
    <e v="#DIV/0!"/>
    <n v="0.1"/>
    <n v="42.430000000000007"/>
    <n v="0"/>
    <n v="0"/>
    <n v="42.430000000000007"/>
    <n v="6.7888000000000011"/>
    <n v="49.218800000000009"/>
    <n v="0.84860000000000013"/>
    <n v="0"/>
    <n v="0.84860000000000013"/>
    <m/>
    <n v="41.581400000000009"/>
    <m/>
    <m/>
    <n v="0"/>
    <m/>
    <m/>
    <n v="0"/>
    <m/>
    <n v="49.218800000000009"/>
    <n v="49.218800000000009"/>
    <n v="0"/>
    <s v="RAWSUR"/>
    <d v="2022-09-28T00:00:00"/>
    <m/>
    <s v="RENEWED"/>
    <s v="MOTOR TPL"/>
    <m/>
    <m/>
    <m/>
  </r>
  <r>
    <x v="9"/>
    <s v="Yes"/>
    <d v="2022-09-06T00:00:00"/>
    <d v="2022-09-15T00:00:00"/>
    <d v="2022-08-26T00:00:00"/>
    <d v="2022-10-14T00:00:00"/>
    <s v="000-508/AIB RDC/2022"/>
    <n v="2"/>
    <s v="INCORPORATION"/>
    <s v="01/01/040/00100/2020"/>
    <s v="CENTRE MEDICAL DIAMANT"/>
    <s v="HOSPITAL"/>
    <s v="MICHEE"/>
    <s v="Apphia"/>
    <s v="PVT"/>
    <s v="POLITICAL VIOLENCE"/>
    <x v="1"/>
    <s v="MAYFAIR"/>
    <n v="570000"/>
    <n v="338.4"/>
    <n v="0"/>
    <n v="0"/>
    <n v="100"/>
    <n v="186.78"/>
    <n v="45.88"/>
    <n v="5.936842105263157E-4"/>
    <n v="0.03"/>
    <n v="5.6033999999999997"/>
    <n v="0"/>
    <n v="0"/>
    <n v="5.6033999999999997"/>
    <n v="0.89654400000000001"/>
    <n v="6.4999439999999993"/>
    <n v="0.112068"/>
    <n v="0"/>
    <n v="0.112068"/>
    <m/>
    <n v="5.4913319999999999"/>
    <m/>
    <m/>
    <n v="0"/>
    <m/>
    <m/>
    <n v="0"/>
    <m/>
    <n v="6.4999439999999993"/>
    <n v="6.4999439999999993"/>
    <n v="0"/>
    <s v="MAYFAIR"/>
    <d v="2022-11-10T00:00:00"/>
    <m/>
    <s v="RENEWING..."/>
    <s v="PVT"/>
    <m/>
    <m/>
    <m/>
  </r>
  <r>
    <x v="8"/>
    <s v="No"/>
    <m/>
    <m/>
    <d v="2022-04-01T00:00:00"/>
    <d v="2027-03-03T00:00:00"/>
    <s v="000-509/AIB RDC/2022"/>
    <n v="0"/>
    <s v="SOUSCRIPTION"/>
    <m/>
    <s v="MEDECINS ITURI"/>
    <m/>
    <s v="ALICE"/>
    <s v="Alice"/>
    <s v="LIFE"/>
    <s v="LIFE"/>
    <x v="9"/>
    <s v="ACTIVA - LIFE"/>
    <n v="0"/>
    <n v="3445.6952500000002"/>
    <n v="0"/>
    <m/>
    <n v="135"/>
    <n v="3310.6952500000002"/>
    <n v="0"/>
    <e v="#DIV/0!"/>
    <n v="0.1"/>
    <n v="331.06952500000006"/>
    <n v="0"/>
    <n v="0"/>
    <n v="331.06952500000006"/>
    <n v="0"/>
    <n v="331.06952500000006"/>
    <n v="3.3106952500000006"/>
    <n v="0"/>
    <n v="3.3106952500000006"/>
    <m/>
    <n v="327.75882975000007"/>
    <m/>
    <m/>
    <n v="0"/>
    <m/>
    <m/>
    <n v="0"/>
    <m/>
    <n v="331.06952500000006"/>
    <n v="331.06952500000006"/>
    <n v="0"/>
    <s v="ACTIVA - LIFE"/>
    <d v="2022-10-11T00:00:00"/>
    <m/>
    <m/>
    <s v="LIFE"/>
    <m/>
    <m/>
    <m/>
  </r>
  <r>
    <x v="10"/>
    <s v="Yes"/>
    <d v="2022-09-08T00:00:00"/>
    <d v="2022-08-16T00:00:00"/>
    <d v="2022-06-01T00:00:00"/>
    <d v="2022-06-30T00:00:00"/>
    <s v="000-510/AIB RDC/2022"/>
    <n v="0"/>
    <s v="SOUSCRIPTION"/>
    <n v="60100007"/>
    <s v="International Facilities Services DRC ( IFS)"/>
    <m/>
    <s v="ALICE"/>
    <s v="Alice"/>
    <s v="GENERAL LIABILITY"/>
    <s v="LIABILITIES"/>
    <x v="4"/>
    <s v="RAWSUR"/>
    <n v="0"/>
    <n v="1903.8"/>
    <n v="0"/>
    <n v="0"/>
    <n v="100"/>
    <n v="1513.39"/>
    <n v="258.14"/>
    <e v="#DIV/0!"/>
    <n v="0"/>
    <n v="0"/>
    <n v="151"/>
    <m/>
    <n v="151"/>
    <n v="24.16"/>
    <n v="175.16"/>
    <n v="3.02"/>
    <m/>
    <n v="3.02"/>
    <m/>
    <n v="147.97999999999999"/>
    <m/>
    <m/>
    <n v="0"/>
    <m/>
    <m/>
    <n v="0"/>
    <m/>
    <n v="175.16"/>
    <n v="175.16"/>
    <n v="0"/>
    <s v="RAWSUR"/>
    <d v="2022-09-28T00:00:00"/>
    <m/>
    <s v="RENEWED"/>
    <s v="GENERAL LIABILITY"/>
    <m/>
    <s v="RAWSUR"/>
    <m/>
  </r>
  <r>
    <x v="11"/>
    <s v="Yes"/>
    <d v="2022-09-30T00:00:00"/>
    <d v="2022-09-27T00:00:00"/>
    <d v="2022-07-09T00:00:00"/>
    <d v="2023-07-08T00:00:00"/>
    <s v="000-511/AIB RDC/2022"/>
    <n v="0"/>
    <s v="SOUSCRIPTION"/>
    <s v="12002-33002-0024-113-00017113-2022"/>
    <s v="INDUSTRIAL SERVICES"/>
    <m/>
    <s v="SYNTYCHE"/>
    <s v="Grace"/>
    <s v="GENERAL LIABILITY"/>
    <s v="LIABILITIES"/>
    <x v="6"/>
    <s v="SFA"/>
    <n v="0"/>
    <n v="2912.86"/>
    <n v="198.53"/>
    <n v="0"/>
    <n v="20"/>
    <n v="2250"/>
    <n v="394.96"/>
    <e v="#DIV/0!"/>
    <n v="0.15"/>
    <n v="337.5"/>
    <n v="0"/>
    <n v="0"/>
    <n v="337.5"/>
    <n v="54"/>
    <n v="391.5"/>
    <n v="6.75"/>
    <m/>
    <n v="6.75"/>
    <m/>
    <n v="330.75"/>
    <m/>
    <m/>
    <n v="0"/>
    <m/>
    <m/>
    <n v="0"/>
    <m/>
    <n v="391.5"/>
    <n v="391.5"/>
    <n v="0"/>
    <s v="SFA"/>
    <d v="2022-10-28T00:00:00"/>
    <m/>
    <s v="RENEWING..."/>
    <s v="GENERAL LIABILITY"/>
    <m/>
    <m/>
    <m/>
  </r>
  <r>
    <x v="2"/>
    <s v="Yes"/>
    <d v="2022-09-30T00:00:00"/>
    <d v="2022-10-05T00:00:00"/>
    <d v="2022-10-05T00:00:00"/>
    <d v="2023-01-04T00:00:00"/>
    <s v="000-512/AIB RDC/2022"/>
    <n v="0"/>
    <s v="SOUSCRIPTION"/>
    <s v="301 - 72000065"/>
    <s v="ORICA / Bolloré"/>
    <m/>
    <s v="SYNTYCHE"/>
    <s v="Victor"/>
    <s v="MARINE CARGO / GIT"/>
    <s v="MARINE"/>
    <x v="4"/>
    <s v="RAWSUR"/>
    <n v="483"/>
    <n v="70.8"/>
    <n v="0"/>
    <n v="0"/>
    <n v="10"/>
    <n v="50"/>
    <n v="9.6"/>
    <n v="0.146583850931677"/>
    <n v="0.15"/>
    <n v="7.5"/>
    <n v="0"/>
    <n v="0"/>
    <n v="7.5"/>
    <n v="1.2"/>
    <n v="8.6999999999999993"/>
    <n v="0.15"/>
    <m/>
    <n v="0.15"/>
    <m/>
    <n v="7.35"/>
    <s v="BOLLORE"/>
    <n v="0.4"/>
    <n v="2.94"/>
    <n v="2.94"/>
    <d v="2023-10-30T00:00:00"/>
    <n v="0"/>
    <m/>
    <n v="8.6999999999999993"/>
    <n v="8.6999999999999993"/>
    <n v="0"/>
    <s v="RAWSUR"/>
    <d v="2022-12-06T00:00:00"/>
    <m/>
    <s v="ONCE OFF"/>
    <s v="MARINE CARGO / GIT"/>
    <m/>
    <m/>
    <m/>
  </r>
  <r>
    <x v="1"/>
    <s v="Yes"/>
    <d v="2022-09-30T00:00:00"/>
    <d v="2022-10-01T00:00:00"/>
    <d v="2022-09-05T00:00:00"/>
    <d v="2022-12-04T00:00:00"/>
    <s v="000-513/AIB RDC/2022"/>
    <n v="0"/>
    <s v="SOUSCRIPTION"/>
    <s v="301 - 72000064"/>
    <s v="ORICA / Bolloré"/>
    <m/>
    <s v="SYNTYCHE"/>
    <s v="Victor"/>
    <s v="MARINE CARGO / GIT"/>
    <s v="MARINE"/>
    <x v="4"/>
    <s v="RAWSUR"/>
    <n v="31939.5"/>
    <n v="162.56"/>
    <n v="0"/>
    <n v="0"/>
    <n v="10"/>
    <n v="127.72"/>
    <n v="22.04"/>
    <n v="5.0896225676669953E-3"/>
    <n v="0.15"/>
    <n v="19.157999999999998"/>
    <n v="0"/>
    <n v="0"/>
    <n v="19.157999999999998"/>
    <n v="3.0652799999999996"/>
    <n v="22.223279999999995"/>
    <n v="0.38315999999999995"/>
    <m/>
    <n v="0.38315999999999995"/>
    <m/>
    <n v="18.774839999999998"/>
    <s v="BOLLORE"/>
    <n v="0.4"/>
    <n v="7.5099359999999997"/>
    <n v="7.5099359999999997"/>
    <d v="2023-10-30T00:00:00"/>
    <n v="0"/>
    <m/>
    <n v="22.223279999999995"/>
    <n v="22.223279999999995"/>
    <n v="0"/>
    <s v="RAWSUR"/>
    <d v="2022-12-06T00:00:00"/>
    <m/>
    <s v="ONCE OFF"/>
    <s v="MARINE CARGO / GIT"/>
    <m/>
    <m/>
    <m/>
  </r>
  <r>
    <x v="1"/>
    <s v="Yes"/>
    <d v="2022-09-30T00:00:00"/>
    <d v="2022-09-09T00:00:00"/>
    <d v="2022-09-09T00:00:00"/>
    <d v="2023-09-08T00:00:00"/>
    <s v="000-514/AIB RDC/2022"/>
    <n v="0"/>
    <s v="SOUSCRIPTION"/>
    <s v="12002-33002-0004-103-00017002-2022"/>
    <s v="KIN BETON"/>
    <s v="CONSTRUCTION"/>
    <s v="SYNTYCHE"/>
    <s v="Grace"/>
    <s v="MOTOR TPL"/>
    <s v="MOTOR TPL"/>
    <x v="6"/>
    <s v="SFA"/>
    <n v="0"/>
    <n v="4911.78"/>
    <n v="0"/>
    <n v="0"/>
    <n v="61.53"/>
    <n v="4101"/>
    <n v="666"/>
    <e v="#DIV/0!"/>
    <n v="0.1"/>
    <n v="410.1"/>
    <n v="0"/>
    <n v="0"/>
    <n v="410.1"/>
    <n v="65.616"/>
    <n v="475.71600000000001"/>
    <n v="8.202"/>
    <m/>
    <n v="8.202"/>
    <m/>
    <n v="401.89800000000002"/>
    <m/>
    <m/>
    <n v="0"/>
    <m/>
    <m/>
    <n v="0"/>
    <m/>
    <n v="475.71600000000001"/>
    <n v="475.71600000000001"/>
    <n v="0"/>
    <s v="SFA"/>
    <d v="2022-10-28T00:00:00"/>
    <m/>
    <m/>
    <s v="MOTOR TPL"/>
    <m/>
    <m/>
    <m/>
  </r>
  <r>
    <x v="1"/>
    <s v="Yes"/>
    <d v="2022-09-30T00:00:00"/>
    <d v="2022-09-21T00:00:00"/>
    <d v="2022-09-25T00:00:00"/>
    <d v="2023-09-24T00:00:00"/>
    <s v="000-515/AIB RDC/2022"/>
    <n v="3"/>
    <s v="RENOUVELLEMENT"/>
    <s v="12003-33002-0001-103-00001454-2022 / 30000005"/>
    <s v="LEREXCOM"/>
    <m/>
    <s v="SYNTYCHE"/>
    <s v="Grace"/>
    <s v="MOTOR TPL"/>
    <s v="MOTOR TPL"/>
    <x v="4"/>
    <s v="RAWSUR"/>
    <n v="0"/>
    <n v="69550.8"/>
    <n v="0"/>
    <n v="0"/>
    <n v="1410"/>
    <n v="57531.17"/>
    <n v="9430.7099999999991"/>
    <e v="#DIV/0!"/>
    <n v="0.1"/>
    <n v="5753.1170000000002"/>
    <n v="0"/>
    <n v="0"/>
    <n v="5753.1170000000002"/>
    <n v="920.49872000000005"/>
    <n v="6673.6157199999998"/>
    <n v="115.06234000000001"/>
    <m/>
    <n v="115.06234000000001"/>
    <m/>
    <n v="5638.0546599999998"/>
    <m/>
    <m/>
    <n v="0"/>
    <m/>
    <m/>
    <n v="0"/>
    <m/>
    <n v="6673.6157199999998"/>
    <n v="6673.6157199999998"/>
    <n v="0"/>
    <s v="RAWSUR"/>
    <d v="2022-11-04T00:00:00"/>
    <m/>
    <m/>
    <s v="MOTOR TPL"/>
    <m/>
    <m/>
    <m/>
  </r>
  <r>
    <x v="1"/>
    <s v="Yes"/>
    <d v="2022-09-30T00:00:00"/>
    <d v="2022-09-13T00:00:00"/>
    <d v="2022-09-20T00:00:00"/>
    <d v="2023-09-19T00:00:00"/>
    <s v="000-516/AIB RDC/2022"/>
    <n v="1"/>
    <s v="RENOUVELLEMENT"/>
    <s v="301 - 70100002"/>
    <s v="LEREXCOM"/>
    <m/>
    <s v="SYNTYCHE"/>
    <s v="Grace"/>
    <s v="MARINE CARGO / GIT"/>
    <s v="MARINE"/>
    <x v="4"/>
    <s v="RAWSUR"/>
    <n v="0"/>
    <n v="95000"/>
    <n v="0"/>
    <n v="0"/>
    <n v="100"/>
    <n v="80408.47"/>
    <n v="12881.36"/>
    <e v="#DIV/0!"/>
    <n v="0.15"/>
    <n v="12061.270500000001"/>
    <n v="0"/>
    <n v="0"/>
    <n v="12061.270500000001"/>
    <n v="1929.8032800000001"/>
    <n v="13991.073780000001"/>
    <n v="241.22541000000001"/>
    <m/>
    <n v="241.22541000000001"/>
    <m/>
    <n v="11820.04509"/>
    <m/>
    <m/>
    <n v="0"/>
    <m/>
    <m/>
    <n v="0"/>
    <m/>
    <n v="13991.073780000001"/>
    <n v="13991.073780000001"/>
    <n v="0"/>
    <s v="RAWSUR"/>
    <d v="2022-11-04T00:00:00"/>
    <m/>
    <m/>
    <s v="MARINE CARGO / GIT"/>
    <m/>
    <m/>
    <m/>
  </r>
  <r>
    <x v="1"/>
    <s v="Yes"/>
    <d v="2022-09-30T00:00:00"/>
    <d v="2022-09-13T00:00:00"/>
    <d v="2022-09-03T00:00:00"/>
    <d v="2022-09-05T00:00:00"/>
    <s v="000-517/AIB RDC/2022"/>
    <n v="0"/>
    <s v="SOUSCRIPTION"/>
    <s v="12002-33002-0022-111-00017034-2022"/>
    <s v="GLOBAL LABORATORIES / Bolloré"/>
    <m/>
    <s v="SYNTYCHE"/>
    <s v="Victor"/>
    <s v="MARINE CARGO / GIT"/>
    <s v="MARINE"/>
    <x v="6"/>
    <s v="SFA"/>
    <n v="9776.99"/>
    <n v="94.4"/>
    <n v="0"/>
    <n v="0"/>
    <n v="20"/>
    <n v="60"/>
    <n v="12.8"/>
    <n v="9.655323366393952E-3"/>
    <n v="0.15"/>
    <n v="9"/>
    <n v="0"/>
    <n v="0"/>
    <n v="9"/>
    <n v="1.44"/>
    <n v="10.44"/>
    <n v="0.18"/>
    <m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2-10-28T00:00:00"/>
    <m/>
    <s v="ONCE OFF"/>
    <s v="MARINE CARGO / GIT"/>
    <m/>
    <m/>
    <m/>
  </r>
  <r>
    <x v="1"/>
    <s v="Yes"/>
    <d v="2022-10-03T00:00:00"/>
    <d v="2022-10-01T00:00:00"/>
    <d v="2022-09-23T00:00:00"/>
    <d v="2022-12-22T00:00:00"/>
    <s v="000-518/AIB RDC/2022"/>
    <n v="0"/>
    <s v="SOUSCRIPTION"/>
    <s v="301 - 72000067"/>
    <s v="ORICA / Bolloré"/>
    <m/>
    <s v="SYNTYCHE"/>
    <s v="Victor"/>
    <s v="MARINE CARGO / GIT"/>
    <s v="MARINE"/>
    <x v="4"/>
    <s v="RAWSUR"/>
    <n v="1621"/>
    <n v="129.80000000000001"/>
    <n v="0"/>
    <n v="0"/>
    <n v="10"/>
    <n v="100"/>
    <n v="17.600000000000001"/>
    <n v="8.0074028377544737E-2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2-12-06T00:00:00"/>
    <m/>
    <s v="ONCE OFF"/>
    <s v="MARINE CARGO / GIT"/>
    <m/>
    <m/>
    <m/>
  </r>
  <r>
    <x v="1"/>
    <s v="Yes"/>
    <d v="2022-10-03T00:00:00"/>
    <d v="2022-10-01T00:00:00"/>
    <d v="2022-09-23T00:00:00"/>
    <d v="2022-12-22T00:00:00"/>
    <s v="000-519/AIB RDC/2022"/>
    <n v="0"/>
    <s v="SOUSCRIPTION"/>
    <s v="301 - 72000068"/>
    <s v="ORICA / Bolloré"/>
    <m/>
    <s v="SYNTYCHE"/>
    <s v="Victor"/>
    <s v="MARINE CARGO / GIT"/>
    <s v="MARINE"/>
    <x v="4"/>
    <s v="RAWSUR"/>
    <n v="208"/>
    <n v="70.8"/>
    <n v="0"/>
    <n v="0"/>
    <n v="10"/>
    <n v="50"/>
    <n v="9.6"/>
    <n v="0.3403846153846154"/>
    <n v="0.15"/>
    <n v="7.5"/>
    <n v="0"/>
    <n v="0"/>
    <n v="7.5"/>
    <n v="1.2"/>
    <n v="8.6999999999999993"/>
    <n v="0.15"/>
    <m/>
    <n v="0.15"/>
    <m/>
    <n v="7.35"/>
    <s v="BOLLORE"/>
    <n v="0.4"/>
    <n v="2.94"/>
    <n v="2.94"/>
    <d v="2023-10-30T00:00:00"/>
    <n v="0"/>
    <m/>
    <n v="8.6999999999999993"/>
    <n v="8.6999999999999993"/>
    <n v="0"/>
    <s v="RAWSUR"/>
    <d v="2022-12-06T00:00:00"/>
    <m/>
    <s v="ONCE OFF"/>
    <s v="MARINE CARGO / GIT"/>
    <m/>
    <m/>
    <m/>
  </r>
  <r>
    <x v="1"/>
    <s v="Yes"/>
    <d v="2022-10-03T00:00:00"/>
    <d v="2022-10-01T00:00:00"/>
    <d v="2022-09-23T00:00:00"/>
    <d v="2022-12-22T00:00:00"/>
    <s v="000-520/AIB RDC/2022"/>
    <n v="0"/>
    <s v="SOUSCRIPTION"/>
    <s v="301 - 72000066"/>
    <s v="ORICA / Bolloré"/>
    <m/>
    <s v="SYNTYCHE"/>
    <s v="Victor"/>
    <s v="MARINE CARGO / GIT"/>
    <s v="MARINE"/>
    <x v="4"/>
    <s v="RAWSUR"/>
    <n v="1353"/>
    <n v="129.80000000000001"/>
    <n v="0"/>
    <n v="0"/>
    <n v="10"/>
    <n v="100"/>
    <n v="17.600000000000001"/>
    <n v="9.5934959349593507E-2"/>
    <n v="0.15"/>
    <n v="15"/>
    <n v="0"/>
    <n v="0"/>
    <n v="15"/>
    <n v="2.4"/>
    <n v="17.399999999999999"/>
    <n v="0.3"/>
    <m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2-12-06T00:00:00"/>
    <m/>
    <s v="ONCE OFF"/>
    <s v="MARINE CARGO / GIT"/>
    <m/>
    <m/>
    <m/>
  </r>
  <r>
    <x v="1"/>
    <s v="Yes"/>
    <d v="2022-10-03T00:00:00"/>
    <d v="2022-09-23T00:00:00"/>
    <d v="2022-09-21T00:00:00"/>
    <d v="2023-09-20T00:00:00"/>
    <s v="000-521/AIB RDC/2022"/>
    <n v="0"/>
    <s v="SOUSCRIPTION"/>
    <s v="12002-33002-0022-111-00017098-2022"/>
    <s v="PANACO / Bolloré"/>
    <m/>
    <s v="SYNTYCHE"/>
    <s v="Victor"/>
    <s v="MARINE CARGO / GIT"/>
    <s v="MARINE"/>
    <x v="6"/>
    <s v="SFA"/>
    <n v="32116"/>
    <n v="73.62"/>
    <n v="0"/>
    <n v="0"/>
    <n v="20"/>
    <n v="42.39"/>
    <n v="9.98"/>
    <n v="2.2923153568314859E-3"/>
    <n v="0.15"/>
    <n v="6.3585000000000003"/>
    <n v="0"/>
    <n v="0"/>
    <n v="6.3585000000000003"/>
    <n v="1.01736"/>
    <n v="7.3758600000000003"/>
    <n v="0.12717000000000001"/>
    <m/>
    <n v="0.12717000000000001"/>
    <m/>
    <n v="6.2313299999999998"/>
    <s v="BOLLORE"/>
    <n v="0.4"/>
    <n v="2.4925320000000002"/>
    <n v="2.4925320000000002"/>
    <d v="2023-10-30T00:00:00"/>
    <n v="0"/>
    <m/>
    <n v="7.3758600000000003"/>
    <n v="7.3758600000000003"/>
    <n v="0"/>
    <s v="SFA"/>
    <d v="2023-05-30T00:00:00"/>
    <m/>
    <s v="ONCE OFF"/>
    <s v="MARINE CARGO / GIT"/>
    <m/>
    <m/>
    <s v="Prime en cours de paiement par Bolloré"/>
  </r>
  <r>
    <x v="1"/>
    <s v="Yes"/>
    <d v="2022-10-03T00:00:00"/>
    <d v="2022-09-23T00:00:00"/>
    <d v="2022-09-21T00:00:00"/>
    <d v="2023-09-20T00:00:00"/>
    <s v="000-522/AIB RDC/2022"/>
    <n v="0"/>
    <s v="SOUSCRIPTION"/>
    <s v="12002-33002-0022-111-00017097-2022"/>
    <s v="PANACO / Bolloré"/>
    <m/>
    <s v="SYNTYCHE"/>
    <s v="Victor"/>
    <s v="MARINE CARGO / GIT"/>
    <s v="MARINE"/>
    <x v="6"/>
    <s v="SFA"/>
    <n v="7389.29"/>
    <n v="50.15"/>
    <n v="0"/>
    <n v="0"/>
    <n v="20"/>
    <n v="22.5"/>
    <n v="6.8"/>
    <n v="6.78684961613362E-3"/>
    <n v="0.15"/>
    <n v="3.375"/>
    <n v="0"/>
    <n v="0"/>
    <n v="3.375"/>
    <n v="0.54"/>
    <n v="3.915"/>
    <n v="6.7500000000000004E-2"/>
    <m/>
    <n v="6.7500000000000004E-2"/>
    <m/>
    <n v="3.3075000000000001"/>
    <s v="BOLLORE"/>
    <n v="0.4"/>
    <n v="1.3230000000000002"/>
    <n v="1.3230000000000002"/>
    <d v="2023-10-30T00:00:00"/>
    <n v="0"/>
    <m/>
    <n v="3.915"/>
    <n v="3.915"/>
    <n v="0"/>
    <s v="SFA"/>
    <d v="2023-05-24T00:00:00"/>
    <m/>
    <s v="ONCE OFF"/>
    <s v="MARINE CARGO / GIT"/>
    <m/>
    <m/>
    <s v="Prime en cours de paiement "/>
  </r>
  <r>
    <x v="1"/>
    <s v="Yes"/>
    <d v="2022-10-03T00:00:00"/>
    <d v="2022-09-23T00:00:00"/>
    <d v="2022-09-21T00:00:00"/>
    <d v="2023-09-20T00:00:00"/>
    <s v="000-523/AIB RDC/2022"/>
    <n v="0"/>
    <s v="SOUSCRIPTION"/>
    <s v="12002-33002-0022-111-00017096-2022"/>
    <s v="PANACO / Bolloré"/>
    <m/>
    <s v="SYNTYCHE"/>
    <s v="Victor"/>
    <s v="MARINE CARGO / GIT"/>
    <s v="MARINE"/>
    <x v="6"/>
    <s v="SFA"/>
    <n v="21175"/>
    <n v="80.180000000000007"/>
    <n v="0"/>
    <n v="0"/>
    <n v="40"/>
    <n v="27.95"/>
    <n v="10.87"/>
    <n v="3.7865407319952779E-3"/>
    <n v="0.15"/>
    <n v="4.1924999999999999"/>
    <n v="0"/>
    <n v="0"/>
    <n v="4.1924999999999999"/>
    <n v="0.67079999999999995"/>
    <n v="4.8632999999999997"/>
    <n v="8.3849999999999994E-2"/>
    <m/>
    <n v="8.3849999999999994E-2"/>
    <m/>
    <n v="4.1086499999999999"/>
    <s v="BOLLORE"/>
    <n v="0.4"/>
    <n v="1.6434600000000001"/>
    <n v="1.6434600000000001"/>
    <d v="2023-10-30T00:00:00"/>
    <n v="0"/>
    <m/>
    <n v="4.8632999999999997"/>
    <n v="4.8632999999999997"/>
    <n v="0"/>
    <s v="SFA"/>
    <d v="2023-05-24T00:00:00"/>
    <m/>
    <s v="ONCE OFF"/>
    <s v="MARINE CARGO / GIT"/>
    <m/>
    <m/>
    <s v="Prime en cours de paiement "/>
  </r>
  <r>
    <x v="1"/>
    <s v="Yes"/>
    <d v="2022-10-03T00:00:00"/>
    <d v="2022-09-23T00:00:00"/>
    <d v="2022-09-21T00:00:00"/>
    <d v="2023-09-20T00:00:00"/>
    <s v="000-524/AIB RDC/2022"/>
    <n v="0"/>
    <s v="SOUSCRIPTION"/>
    <s v="12002-33002-0022-111-00017095-2022"/>
    <s v="PANACO / Bolloré"/>
    <m/>
    <s v="SYNTYCHE"/>
    <s v="Victor"/>
    <s v="MARINE CARGO / GIT"/>
    <s v="MARINE"/>
    <x v="6"/>
    <s v="SFA"/>
    <n v="29816.27"/>
    <n v="70.05"/>
    <n v="0"/>
    <n v="0"/>
    <n v="20"/>
    <n v="39.36"/>
    <n v="9.5"/>
    <n v="2.3493884379233217E-3"/>
    <n v="0.15"/>
    <n v="5.9039999999999999"/>
    <n v="0"/>
    <n v="0"/>
    <n v="5.9039999999999999"/>
    <n v="0.94464000000000004"/>
    <n v="6.8486399999999996"/>
    <n v="0.11808"/>
    <m/>
    <n v="0.11808"/>
    <m/>
    <n v="5.78592"/>
    <s v="BOLLORE"/>
    <n v="0.4"/>
    <n v="2.314368"/>
    <n v="2.314368"/>
    <d v="2023-10-30T00:00:00"/>
    <n v="0"/>
    <m/>
    <n v="6.8486399999999996"/>
    <n v="6.8486399999999996"/>
    <n v="0"/>
    <s v="SFA"/>
    <d v="2023-02-27T00:00:00"/>
    <m/>
    <s v="ONCE OFF"/>
    <s v="MARINE CARGO / GIT"/>
    <m/>
    <m/>
    <s v="Prime en cours de paiement "/>
  </r>
  <r>
    <x v="1"/>
    <s v="Yes"/>
    <d v="2022-10-03T00:00:00"/>
    <d v="2022-09-29T00:00:00"/>
    <d v="2022-09-25T00:00:00"/>
    <d v="2023-09-24T00:00:00"/>
    <s v="000-525/AIB RDC/2022"/>
    <n v="2"/>
    <s v="RENOUVELLEMENT"/>
    <s v="12002-33002-0024-113-00017152-2022"/>
    <s v="LEREXCOM"/>
    <m/>
    <s v="SYNTYCHE"/>
    <s v="Grace"/>
    <s v="PUBLIC LIABILITY"/>
    <s v="LIABILITIES"/>
    <x v="6"/>
    <s v="SFA"/>
    <n v="0"/>
    <n v="83630.38"/>
    <n v="10584.5"/>
    <n v="0"/>
    <n v="309.89"/>
    <n v="59978.82"/>
    <n v="11339.71"/>
    <e v="#DIV/0!"/>
    <n v="0.16189198120269799"/>
    <n v="0"/>
    <n v="3175.35"/>
    <n v="9710.0900000000056"/>
    <n v="12885.440000000006"/>
    <n v="2061.6704000000009"/>
    <n v="14947.110400000007"/>
    <n v="257.70880000000011"/>
    <m/>
    <n v="257.70880000000011"/>
    <m/>
    <n v="12627.731200000006"/>
    <m/>
    <m/>
    <n v="0"/>
    <m/>
    <m/>
    <n v="0"/>
    <m/>
    <n v="14947.110400000007"/>
    <n v="14947.110400000007"/>
    <n v="0"/>
    <s v="SFA"/>
    <d v="2022-10-28T00:00:00"/>
    <m/>
    <m/>
    <s v="PUBLIC LIABILITY"/>
    <m/>
    <m/>
    <m/>
  </r>
  <r>
    <x v="1"/>
    <s v="Yes"/>
    <d v="2022-10-03T00:00:00"/>
    <d v="2022-09-30T00:00:00"/>
    <d v="2022-09-25T00:00:00"/>
    <d v="2023-09-24T00:00:00"/>
    <s v="000-526/AIB RDC/2022"/>
    <n v="2"/>
    <s v="RENOUVELLEMENT"/>
    <s v="12002-33002-0002-112-00017159-2022"/>
    <s v="LEREXCOM"/>
    <m/>
    <s v="SYNTYCHE"/>
    <s v="Grace"/>
    <s v="PROPERTY DAMAGE &amp; BI"/>
    <s v="PROPERTIES"/>
    <x v="6"/>
    <s v="SFA"/>
    <n v="0"/>
    <n v="240862.62"/>
    <n v="30487.06"/>
    <n v="0"/>
    <n v="873.8"/>
    <n v="172760"/>
    <n v="32659.34"/>
    <e v="#DIV/0!"/>
    <n v="0.16189187311877701"/>
    <n v="0"/>
    <n v="9146.1180000000004"/>
    <n v="27968.439999999915"/>
    <n v="37114.557999999917"/>
    <n v="5938.3292799999872"/>
    <n v="43052.887279999908"/>
    <n v="742.2911599999984"/>
    <m/>
    <n v="742.2911599999984"/>
    <m/>
    <n v="36372.266839999917"/>
    <m/>
    <m/>
    <n v="0"/>
    <m/>
    <m/>
    <n v="0"/>
    <m/>
    <n v="43052.89"/>
    <n v="43052.89"/>
    <n v="0"/>
    <s v="SFA"/>
    <d v="2023-06-23T00:00:00"/>
    <m/>
    <m/>
    <s v="PROPERTY DAMAGE &amp; BI"/>
    <m/>
    <m/>
    <s v="Paiement échelonné"/>
  </r>
  <r>
    <x v="1"/>
    <s v="Yes"/>
    <d v="2022-09-30T00:00:00"/>
    <d v="2022-10-28T00:00:00"/>
    <d v="2022-09-28T00:00:00"/>
    <d v="2023-03-27T00:00:00"/>
    <s v="000-527/AIB RDC/2022"/>
    <n v="0"/>
    <s v="SOUSCRIPTION"/>
    <s v="12002-33002-0006-114-00017389-2022"/>
    <s v="KIN BETON"/>
    <s v="CONSTRUCTION"/>
    <s v="SYNTYCHE"/>
    <s v="Michée"/>
    <s v="TRC"/>
    <s v="CONSTRUCTIONS"/>
    <x v="6"/>
    <s v="SFA"/>
    <n v="0"/>
    <n v="2000.26"/>
    <n v="0"/>
    <n v="0"/>
    <n v="18.38"/>
    <n v="1676.75"/>
    <n v="271.22000000000003"/>
    <e v="#DIV/0!"/>
    <n v="0.15"/>
    <n v="251.51249999999999"/>
    <n v="0"/>
    <n v="0"/>
    <n v="251.51249999999999"/>
    <n v="40.241999999999997"/>
    <n v="291.75450000000001"/>
    <n v="5.0302499999999997"/>
    <m/>
    <n v="5.0302499999999997"/>
    <m/>
    <n v="246.48224999999999"/>
    <m/>
    <m/>
    <n v="0"/>
    <m/>
    <m/>
    <n v="0"/>
    <m/>
    <n v="291.75450000000001"/>
    <n v="291.75450000000001"/>
    <n v="0"/>
    <s v="SFA"/>
    <d v="2022-11-22T00:00:00"/>
    <m/>
    <s v="ONCE OFF"/>
    <s v="TRC"/>
    <m/>
    <m/>
    <m/>
  </r>
  <r>
    <x v="5"/>
    <s v="No"/>
    <m/>
    <m/>
    <d v="2022-11-30T00:00:00"/>
    <d v="2023-12-01T00:00:00"/>
    <s v="000-528/AIB RDC/2022"/>
    <n v="1"/>
    <s v="RISTOURNE"/>
    <s v="00018202"/>
    <s v="Glencore / Mutanda Mining"/>
    <s v="Mining"/>
    <s v="ANDY"/>
    <s v="Andy"/>
    <s v="PROPERTY DAMAGE &amp; BI"/>
    <s v="PROPERTIES"/>
    <x v="6"/>
    <s v="HARBOUR INSURANCE PTE Ltd"/>
    <n v="0"/>
    <n v="-416794.85"/>
    <n v="-40358.6"/>
    <n v="18834.009999999998"/>
    <n v="0"/>
    <n v="-312857.38"/>
    <n v="-56514.559999999998"/>
    <e v="#DIV/0!"/>
    <n v="1.3650000000000001E-2"/>
    <n v="-4270.5032369999999"/>
    <n v="-6457.3769999999995"/>
    <n v="0"/>
    <n v="-10727.880236999999"/>
    <n v="-1716.4608379199999"/>
    <n v="-12444.341074919999"/>
    <n v="-214.55760473999999"/>
    <n v="0"/>
    <n v="-214.55760473999999"/>
    <m/>
    <n v="-10513.322632259998"/>
    <m/>
    <m/>
    <n v="0"/>
    <m/>
    <m/>
    <n v="0"/>
    <m/>
    <m/>
    <n v="-12444.341074919999"/>
    <n v="-12444.341074919999"/>
    <s v="SFA"/>
    <m/>
    <m/>
    <m/>
    <s v="PROPERTY DAMAGE &amp; BI"/>
    <m/>
    <m/>
    <m/>
  </r>
  <r>
    <x v="2"/>
    <s v="Yes"/>
    <d v="2022-10-03T00:00:00"/>
    <d v="2022-10-04T00:00:00"/>
    <d v="2022-10-04T00:00:00"/>
    <d v="2023-01-03T00:00:00"/>
    <s v="000-529/AIB RDC/2022"/>
    <n v="0"/>
    <s v="SOUSCRIPTION"/>
    <s v="301 - 72000063"/>
    <s v="LONSHI ( SABWE MINING SARL) / Bolloré"/>
    <m/>
    <s v="SYNTYCHE"/>
    <s v="Victor"/>
    <s v="MARINE CARGO / GIT"/>
    <s v="MARINE"/>
    <x v="4"/>
    <s v="RAWSUR"/>
    <n v="90"/>
    <n v="29.5"/>
    <n v="0"/>
    <n v="0"/>
    <n v="10"/>
    <n v="15"/>
    <n v="4"/>
    <n v="0.32777777777777778"/>
    <n v="0.15"/>
    <n v="2.25"/>
    <n v="0"/>
    <n v="0"/>
    <n v="2.25"/>
    <n v="0.36"/>
    <n v="2.61"/>
    <n v="4.4999999999999998E-2"/>
    <m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RAWSUR"/>
    <d v="2022-12-06T00:00:00"/>
    <m/>
    <s v="ONCE OFF"/>
    <s v="MARINE CARGO / GIT"/>
    <m/>
    <m/>
    <m/>
  </r>
  <r>
    <x v="1"/>
    <s v="Yes"/>
    <d v="2022-10-03T00:00:00"/>
    <d v="2022-10-04T00:00:00"/>
    <d v="2022-09-13T00:00:00"/>
    <d v="2022-10-12T00:00:00"/>
    <s v="000-530/AIB RDC/2022"/>
    <n v="0"/>
    <s v="SOUSCRIPTION"/>
    <s v="12002-33002-0022-111-00017178-2022"/>
    <s v="PANACO / Bolloré"/>
    <m/>
    <s v="SYNTYCHE"/>
    <s v="Victor"/>
    <s v="MARINE CARGO / GIT"/>
    <s v="MARINE"/>
    <x v="6"/>
    <s v="SFA"/>
    <n v="251098.36"/>
    <n v="578.26"/>
    <n v="0"/>
    <n v="0"/>
    <n v="20"/>
    <n v="470.05"/>
    <n v="78.41"/>
    <n v="2.3029222492731535E-3"/>
    <n v="0.15"/>
    <n v="70.507499999999993"/>
    <n v="0"/>
    <n v="0"/>
    <n v="70.507499999999993"/>
    <n v="11.281199999999998"/>
    <n v="81.788699999999992"/>
    <n v="1.4101499999999998"/>
    <m/>
    <n v="1.4101499999999998"/>
    <m/>
    <n v="69.097349999999992"/>
    <s v="BOLLORE"/>
    <n v="0.4"/>
    <n v="27.638939999999998"/>
    <n v="27.638939999999998"/>
    <d v="2023-10-30T00:00:00"/>
    <n v="0"/>
    <m/>
    <n v="81.788699999999992"/>
    <n v="81.788699999999992"/>
    <n v="0"/>
    <s v="SFA"/>
    <d v="2022-11-22T00:00:00"/>
    <m/>
    <s v="ONCE OFF"/>
    <s v="MARINE CARGO / GIT"/>
    <m/>
    <m/>
    <m/>
  </r>
  <r>
    <x v="1"/>
    <s v="Yes"/>
    <d v="2022-09-30T00:00:00"/>
    <d v="2022-11-02T00:00:00"/>
    <d v="2022-09-01T00:00:00"/>
    <d v="2022-09-03T00:00:00"/>
    <s v="000-531/AIB RDC/2022"/>
    <n v="0"/>
    <s v="SOUSCRIPTION"/>
    <s v="12002-33002-0022-111-00017437-2022"/>
    <s v="DEZIWA / Bolloré"/>
    <m/>
    <s v="SYNTYCHE"/>
    <s v="Victor"/>
    <s v="MARINE CARGO / GIT"/>
    <s v="MARINE"/>
    <x v="6"/>
    <s v="SFA"/>
    <n v="51754.46"/>
    <n v="247.8"/>
    <n v="0"/>
    <n v="0"/>
    <n v="20"/>
    <n v="190"/>
    <n v="33.6"/>
    <n v="4.787993150735222E-3"/>
    <n v="0.15"/>
    <n v="28.5"/>
    <n v="0"/>
    <n v="0"/>
    <n v="28.5"/>
    <n v="4.5600000000000005"/>
    <n v="33.06"/>
    <n v="0.57000000000000006"/>
    <m/>
    <n v="0.57000000000000006"/>
    <m/>
    <n v="27.93"/>
    <s v="BOLLORE"/>
    <n v="0.4"/>
    <n v="11.172000000000001"/>
    <n v="11.172000000000001"/>
    <d v="2023-10-30T00:00:00"/>
    <n v="0"/>
    <m/>
    <n v="33.06"/>
    <n v="33.06"/>
    <n v="0"/>
    <s v="SFA"/>
    <d v="2023-01-23T00:00:00"/>
    <m/>
    <s v="ONCE OFF"/>
    <s v="MARINE CARGO / GIT"/>
    <m/>
    <m/>
    <m/>
  </r>
  <r>
    <x v="2"/>
    <s v="No"/>
    <d v="2023-07-06T00:00:00"/>
    <d v="2022-10-25T00:00:00"/>
    <d v="2022-10-21T00:00:00"/>
    <d v="2023-10-20T00:00:00"/>
    <s v="000-532/AIB RDC/2022"/>
    <n v="0"/>
    <s v="SOUSCRIPTION"/>
    <s v="12002-33002-0002-112-00017372-2022"/>
    <s v="Glencore / Watu Wetu"/>
    <s v="Mining"/>
    <s v="ANDY"/>
    <s v="Andy"/>
    <s v="FIRE"/>
    <s v="PROPERTIES"/>
    <x v="6"/>
    <s v="SFA"/>
    <n v="2420000"/>
    <n v="2881.68"/>
    <n v="0"/>
    <n v="0"/>
    <n v="22.1"/>
    <n v="2420"/>
    <n v="390.74"/>
    <n v="1.1907768595041321E-3"/>
    <n v="0.1"/>
    <n v="242"/>
    <n v="0"/>
    <n v="0"/>
    <n v="242"/>
    <n v="38.72"/>
    <n v="280.72000000000003"/>
    <n v="4.84"/>
    <n v="0"/>
    <n v="4.84"/>
    <m/>
    <n v="237.16"/>
    <s v="Aucun"/>
    <m/>
    <n v="0"/>
    <m/>
    <m/>
    <n v="0"/>
    <m/>
    <m/>
    <n v="280.72000000000003"/>
    <n v="280.72000000000003"/>
    <s v="SFA"/>
    <m/>
    <m/>
    <m/>
    <m/>
    <m/>
    <m/>
    <m/>
  </r>
  <r>
    <x v="1"/>
    <s v="Yes"/>
    <d v="2022-10-03T00:00:00"/>
    <d v="2022-09-13T00:00:00"/>
    <d v="2022-09-09T00:00:00"/>
    <d v="2022-09-11T00:00:00"/>
    <s v="000-533/AIB RDC/2022"/>
    <n v="0"/>
    <s v="SOUSCRIPTION"/>
    <s v="12002-33002-0022-111-00017035-2022"/>
    <s v="ORICA / Bolloré"/>
    <m/>
    <s v="SYNTYCHE"/>
    <s v="Victor"/>
    <s v="MARINE CARGO / GIT"/>
    <s v="MARINE"/>
    <x v="6"/>
    <s v="SFA"/>
    <n v="1389.51"/>
    <n v="94.4"/>
    <n v="0"/>
    <n v="0"/>
    <n v="20"/>
    <n v="60"/>
    <n v="12.8"/>
    <n v="6.7937618297097546E-2"/>
    <n v="0.15"/>
    <n v="9"/>
    <n v="0"/>
    <n v="0"/>
    <n v="9"/>
    <n v="1.44"/>
    <n v="10.44"/>
    <n v="0.18"/>
    <m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2-10-28T00:00:00"/>
    <m/>
    <s v="ONCE OFF"/>
    <s v="MARINE CARGO / GIT"/>
    <m/>
    <m/>
    <m/>
  </r>
  <r>
    <x v="1"/>
    <s v="Yes"/>
    <d v="2022-10-03T00:00:00"/>
    <d v="2022-09-13T00:00:00"/>
    <d v="2022-09-09T00:00:00"/>
    <d v="2022-09-11T00:00:00"/>
    <s v="000-534/AIB RDC/2022"/>
    <n v="0"/>
    <s v="SOUSCRIPTION"/>
    <s v="12002-33002-0022-111-00017036-2022"/>
    <s v="ORICA / Bolloré"/>
    <m/>
    <s v="SYNTYCHE"/>
    <s v="Victor"/>
    <s v="MARINE CARGO / GIT"/>
    <s v="MARINE"/>
    <x v="6"/>
    <s v="SFA"/>
    <n v="2262.31"/>
    <n v="94.4"/>
    <n v="0"/>
    <n v="0"/>
    <n v="20"/>
    <n v="60"/>
    <n v="12.8"/>
    <n v="4.1727261073858136E-2"/>
    <n v="0.15"/>
    <n v="9"/>
    <n v="0"/>
    <n v="0"/>
    <n v="9"/>
    <n v="1.44"/>
    <n v="10.44"/>
    <n v="0.18"/>
    <m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2-10-28T00:00:00"/>
    <m/>
    <s v="ONCE OFF"/>
    <s v="MARINE CARGO / GIT"/>
    <m/>
    <m/>
    <m/>
  </r>
  <r>
    <x v="1"/>
    <s v="Yes"/>
    <d v="2022-10-03T00:00:00"/>
    <d v="2022-09-21T00:00:00"/>
    <d v="2022-09-21T00:00:00"/>
    <d v="2022-09-23T00:00:00"/>
    <s v="000-535/AIB RDC/2022"/>
    <n v="0"/>
    <s v="SOUSCRIPTION"/>
    <s v="12002-33002-0022-111-00017078-2022"/>
    <s v="ORICA / Bolloré"/>
    <m/>
    <s v="SYNTYCHE"/>
    <s v="Victor"/>
    <s v="MARINE CARGO / GIT"/>
    <s v="MARINE"/>
    <x v="6"/>
    <s v="SFA"/>
    <n v="2780"/>
    <n v="50.15"/>
    <n v="0"/>
    <n v="0"/>
    <n v="20"/>
    <n v="22.5"/>
    <n v="6.8"/>
    <n v="1.8039568345323741E-2"/>
    <n v="0.15"/>
    <n v="3.375"/>
    <n v="0"/>
    <n v="0"/>
    <n v="3.375"/>
    <n v="0.54"/>
    <n v="3.915"/>
    <n v="6.7500000000000004E-2"/>
    <m/>
    <n v="6.7500000000000004E-2"/>
    <m/>
    <n v="3.3075000000000001"/>
    <s v="BOLLORE"/>
    <n v="0.4"/>
    <n v="1.3230000000000002"/>
    <n v="1.3230000000000002"/>
    <d v="2023-10-30T00:00:00"/>
    <n v="0"/>
    <m/>
    <n v="3.915"/>
    <n v="3.915"/>
    <n v="0"/>
    <s v="SFA"/>
    <d v="2022-11-22T00:00:00"/>
    <m/>
    <s v="ONCE OFF"/>
    <s v="MARINE CARGO / GIT"/>
    <m/>
    <m/>
    <m/>
  </r>
  <r>
    <x v="1"/>
    <s v="Yes"/>
    <d v="2022-10-03T00:00:00"/>
    <d v="2022-09-28T00:00:00"/>
    <d v="2022-09-28T00:00:00"/>
    <d v="2022-10-01T00:00:00"/>
    <s v="000-536/AIB RDC/2022"/>
    <n v="0"/>
    <s v="SOUSCRIPTION"/>
    <s v="12002-33002-0022-111-00017140-2022"/>
    <s v="ORICA / Bolloré"/>
    <m/>
    <s v="SYNTYCHE"/>
    <s v="Victor"/>
    <s v="MARINE CARGO / GIT"/>
    <s v="MARINE"/>
    <x v="6"/>
    <s v="SFA"/>
    <n v="1528.18"/>
    <n v="94.4"/>
    <n v="0"/>
    <n v="0"/>
    <n v="20"/>
    <n v="60"/>
    <n v="12.8"/>
    <n v="6.1772827808242482E-2"/>
    <n v="0.15"/>
    <n v="9"/>
    <n v="0"/>
    <n v="0"/>
    <n v="9"/>
    <n v="1.44"/>
    <n v="10.44"/>
    <n v="0.18"/>
    <m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3-02-27T00:00:00"/>
    <m/>
    <s v="ONCE OFF"/>
    <s v="MARINE CARGO / GIT"/>
    <m/>
    <m/>
    <s v="Prime en cours de paiement par Bolloré"/>
  </r>
  <r>
    <x v="1"/>
    <s v="Yes"/>
    <d v="2022-10-03T00:00:00"/>
    <d v="2022-10-04T00:00:00"/>
    <d v="2022-09-04T00:00:00"/>
    <d v="2022-09-07T00:00:00"/>
    <s v="000-537/AIB RDC/2022"/>
    <n v="0"/>
    <s v="SOUSCRIPTION"/>
    <s v="12002-33002-0022-111-00017184-2022"/>
    <s v="DEZIWA / Bolloré"/>
    <m/>
    <s v="SYNTYCHE"/>
    <s v="Victor"/>
    <s v="MARINE CARGO / GIT"/>
    <s v="MARINE"/>
    <x v="6"/>
    <s v="SFA"/>
    <n v="89867.12"/>
    <n v="163.57"/>
    <n v="0"/>
    <n v="0"/>
    <n v="20"/>
    <n v="118.62"/>
    <n v="22.18"/>
    <n v="1.8201317678812896E-3"/>
    <n v="0.15"/>
    <n v="17.792999999999999"/>
    <n v="0"/>
    <n v="0"/>
    <n v="17.792999999999999"/>
    <n v="2.8468800000000001"/>
    <n v="20.639879999999998"/>
    <n v="0.35586000000000001"/>
    <m/>
    <n v="0.35586000000000001"/>
    <m/>
    <n v="17.437139999999999"/>
    <s v="BOLLORE"/>
    <n v="0.4"/>
    <n v="6.9748559999999999"/>
    <n v="6.9748559999999999"/>
    <d v="2023-10-30T00:00:00"/>
    <n v="0"/>
    <m/>
    <n v="20.639879999999998"/>
    <n v="20.639879999999998"/>
    <n v="0"/>
    <s v="SFA"/>
    <d v="2022-11-22T00:00:00"/>
    <m/>
    <s v="ONCE OFF"/>
    <s v="MARINE CARGO / GIT"/>
    <m/>
    <m/>
    <m/>
  </r>
  <r>
    <x v="1"/>
    <s v="Yes"/>
    <d v="2022-09-20T00:00:00"/>
    <d v="2022-09-20T00:00:00"/>
    <d v="2022-09-16T00:00:00"/>
    <d v="2023-03-22T00:00:00"/>
    <s v="000-538/AIB RDC/2022"/>
    <n v="5"/>
    <s v="INCORPORATION"/>
    <s v="00016055"/>
    <s v="AFRICELL RDC Sa"/>
    <s v="TELECOM"/>
    <s v="MICHEE"/>
    <s v="Apphia"/>
    <s v="MOTOR TPL"/>
    <s v="MOTOR TPL"/>
    <x v="6"/>
    <s v="SFA"/>
    <n v="0"/>
    <n v="236.24"/>
    <n v="0"/>
    <n v="0"/>
    <n v="2.96"/>
    <n v="197.25"/>
    <n v="32.03"/>
    <e v="#DIV/0!"/>
    <n v="0.1"/>
    <n v="19.725000000000001"/>
    <n v="0"/>
    <n v="0"/>
    <n v="19.725000000000001"/>
    <n v="3.1560000000000001"/>
    <n v="22.881"/>
    <n v="0.39450000000000002"/>
    <n v="0"/>
    <n v="0.39450000000000002"/>
    <m/>
    <n v="19.330500000000001"/>
    <m/>
    <m/>
    <n v="0"/>
    <m/>
    <m/>
    <n v="0"/>
    <m/>
    <n v="22.881"/>
    <n v="22.881"/>
    <n v="0"/>
    <s v="SFA"/>
    <d v="2022-10-28T00:00:00"/>
    <m/>
    <s v="RENEWED"/>
    <s v="MOTOR TPL"/>
    <m/>
    <m/>
    <m/>
  </r>
  <r>
    <x v="1"/>
    <s v="Yes"/>
    <d v="2022-09-21T00:00:00"/>
    <d v="2022-09-28T00:00:00"/>
    <d v="2022-09-27T00:00:00"/>
    <d v="2023-09-26T00:00:00"/>
    <s v="000-539/AIB RDC/2022"/>
    <n v="0"/>
    <s v="SOUSCRIPTION"/>
    <s v="12005-33002-0001-13001-00003575-2022"/>
    <s v="FABRI METAL CONGO SARL ( FAMECO)"/>
    <m/>
    <s v="MICHEE"/>
    <s v="Apphia"/>
    <s v="GPA"/>
    <s v="MEDICAL &amp; GPA"/>
    <x v="1"/>
    <s v="MAYFAIR"/>
    <n v="0"/>
    <n v="7584"/>
    <n v="0"/>
    <n v="0"/>
    <n v="50"/>
    <n v="6378"/>
    <n v="1027"/>
    <e v="#DIV/0!"/>
    <n v="0.1"/>
    <n v="637.80000000000007"/>
    <m/>
    <m/>
    <n v="637.80000000000007"/>
    <n v="102.04800000000002"/>
    <n v="739.84800000000007"/>
    <n v="12.756000000000002"/>
    <m/>
    <n v="12.756000000000002"/>
    <m/>
    <n v="625.0440000000001"/>
    <m/>
    <m/>
    <n v="0"/>
    <m/>
    <m/>
    <n v="0"/>
    <m/>
    <n v="739.84800000000007"/>
    <n v="739.84800000000007"/>
    <n v="0"/>
    <s v="MAYFAIR"/>
    <d v="2022-11-10T00:00:00"/>
    <m/>
    <m/>
    <s v="GPA"/>
    <m/>
    <m/>
    <m/>
  </r>
  <r>
    <x v="1"/>
    <s v="Yes"/>
    <d v="2022-09-21T00:00:00"/>
    <d v="2022-09-28T00:00:00"/>
    <d v="2022-09-27T00:00:00"/>
    <d v="2023-09-26T00:00:00"/>
    <s v="000-540/AIB RDC/2022"/>
    <n v="0"/>
    <s v="SOUSCRIPTION"/>
    <s v="12005-33002-0001-13001-00003576-2022"/>
    <s v="FABRI METAL CONGO SARL ( FAMECO)"/>
    <m/>
    <s v="MICHEE"/>
    <s v="Apphia"/>
    <s v="GPA"/>
    <s v="MEDICAL &amp; GPA"/>
    <x v="1"/>
    <s v="MAYFAIR"/>
    <n v="0"/>
    <n v="6171"/>
    <n v="0"/>
    <n v="0"/>
    <n v="50"/>
    <n v="5180"/>
    <n v="837"/>
    <e v="#DIV/0!"/>
    <n v="0.1"/>
    <n v="518"/>
    <m/>
    <m/>
    <n v="518"/>
    <n v="82.88"/>
    <n v="600.88"/>
    <n v="10.36"/>
    <m/>
    <n v="10.36"/>
    <m/>
    <n v="507.64"/>
    <m/>
    <m/>
    <n v="0"/>
    <m/>
    <m/>
    <n v="0"/>
    <m/>
    <n v="600.88"/>
    <n v="600.88"/>
    <n v="0"/>
    <s v="MAYFAIR"/>
    <d v="2022-11-10T00:00:00"/>
    <m/>
    <m/>
    <s v="GPA"/>
    <m/>
    <m/>
    <m/>
  </r>
  <r>
    <x v="5"/>
    <s v="Yes"/>
    <d v="2022-09-23T00:00:00"/>
    <d v="2022-11-09T00:00:00"/>
    <d v="2022-11-10T00:00:00"/>
    <d v="2023-07-31T00:00:00"/>
    <s v="000-541/AIB RDC/2022"/>
    <n v="1"/>
    <s v="INCORPORATION"/>
    <s v="12002-33002-0004-104-00016907-2022"/>
    <s v="FRASER ALEXANDER"/>
    <m/>
    <s v="MICHEE"/>
    <s v="Apphia"/>
    <s v="COMP MOTOR"/>
    <s v="MOTOR COMP"/>
    <x v="6"/>
    <s v="SFA"/>
    <n v="0"/>
    <n v="3485.58"/>
    <n v="0"/>
    <n v="0"/>
    <n v="127.4"/>
    <n v="2826.48"/>
    <n v="427.62"/>
    <e v="#DIV/0!"/>
    <n v="0.15"/>
    <n v="423.97199999999998"/>
    <m/>
    <m/>
    <n v="423.97199999999998"/>
    <n v="67.835520000000002"/>
    <n v="491.80751999999995"/>
    <n v="8.4794400000000003"/>
    <m/>
    <n v="8.4794400000000003"/>
    <m/>
    <n v="415.49255999999997"/>
    <m/>
    <m/>
    <n v="0"/>
    <m/>
    <m/>
    <n v="0"/>
    <m/>
    <n v="491.80751999999995"/>
    <n v="491.80751999999995"/>
    <n v="0"/>
    <s v="SFA"/>
    <d v="2022-12-16T00:00:00"/>
    <m/>
    <s v="RENEWING..."/>
    <s v="COMP MOTOR"/>
    <m/>
    <m/>
    <m/>
  </r>
  <r>
    <x v="1"/>
    <s v="Yes"/>
    <d v="2022-09-28T00:00:00"/>
    <d v="2022-10-01T00:00:00"/>
    <d v="2022-09-28T00:00:00"/>
    <d v="2023-09-27T00:00:00"/>
    <s v="000-542/AIB RDC/2022"/>
    <n v="0"/>
    <s v="SOUSCRIPTION"/>
    <s v="12005-33002-0011-13002-00003631-2022"/>
    <s v="GOLDEN AFRICAN RESOURCES SARL"/>
    <m/>
    <s v="MICHEE"/>
    <s v="Apphia"/>
    <s v="MARINE CARGO / GIT"/>
    <s v="MARINE"/>
    <x v="1"/>
    <s v="MAYFAIR"/>
    <n v="0"/>
    <n v="8701"/>
    <n v="0"/>
    <n v="0"/>
    <n v="100"/>
    <n v="7273"/>
    <n v="1180"/>
    <e v="#DIV/0!"/>
    <n v="0.15"/>
    <n v="1090.95"/>
    <m/>
    <m/>
    <n v="1090.95"/>
    <n v="174.55200000000002"/>
    <n v="1265.502"/>
    <n v="21.819000000000003"/>
    <m/>
    <n v="21.819000000000003"/>
    <m/>
    <n v="1069.1310000000001"/>
    <m/>
    <m/>
    <n v="0"/>
    <m/>
    <m/>
    <n v="0"/>
    <m/>
    <n v="1265.502"/>
    <n v="1265.502"/>
    <n v="0"/>
    <s v="MAYFAIR"/>
    <d v="2022-11-10T00:00:00"/>
    <m/>
    <m/>
    <s v="MARINE CARGO / GIT"/>
    <m/>
    <m/>
    <m/>
  </r>
  <r>
    <x v="1"/>
    <s v="Yes"/>
    <d v="2022-09-27T00:00:00"/>
    <d v="2022-07-28T00:00:00"/>
    <d v="2022-09-27T00:00:00"/>
    <d v="2023-09-26T00:00:00"/>
    <s v="000-543/AIB RDC/2022"/>
    <n v="0"/>
    <s v="SOUSCRIPTION"/>
    <s v="12005-33002-0003-13001-00003622-2022"/>
    <s v="DEBRUYNE"/>
    <m/>
    <s v="MICHEE"/>
    <s v="Apphia"/>
    <s v="COMP MOTOR"/>
    <s v="MOTOR COMP"/>
    <x v="1"/>
    <s v="MAYFAIR"/>
    <n v="23500"/>
    <n v="1424.03"/>
    <n v="0"/>
    <n v="0"/>
    <n v="10"/>
    <n v="1196.8"/>
    <n v="193.09"/>
    <n v="6.059702127659574E-2"/>
    <n v="0.15"/>
    <n v="179.51999999999998"/>
    <m/>
    <m/>
    <n v="179.51999999999998"/>
    <n v="28.723199999999999"/>
    <n v="208.24319999999997"/>
    <n v="3.5903999999999998"/>
    <m/>
    <n v="3.5903999999999998"/>
    <m/>
    <n v="175.92959999999999"/>
    <m/>
    <m/>
    <n v="0"/>
    <m/>
    <m/>
    <n v="0"/>
    <m/>
    <n v="208.24319999999997"/>
    <n v="208.24319999999997"/>
    <n v="0"/>
    <s v="MAYFAIR"/>
    <d v="2022-11-10T00:00:00"/>
    <m/>
    <m/>
    <s v="COMP MOTOR"/>
    <m/>
    <m/>
    <m/>
  </r>
  <r>
    <x v="2"/>
    <s v="Yes"/>
    <d v="2022-09-30T00:00:00"/>
    <d v="2022-11-24T00:00:00"/>
    <d v="2022-10-13T00:00:00"/>
    <d v="2023-10-12T00:00:00"/>
    <s v="000-544/AIB RDC/2022"/>
    <n v="0"/>
    <s v="SOUSCRIPTION"/>
    <s v="33002-0009-113-0003954 / 0001"/>
    <s v="PARAGON TAILINGS DRC Sarl"/>
    <m/>
    <s v="MICHEE"/>
    <s v="Apphia"/>
    <s v="D&amp;O"/>
    <s v="LIABILITIES"/>
    <x v="2"/>
    <s v="SUNU"/>
    <n v="0"/>
    <n v="11130.2"/>
    <n v="0"/>
    <n v="0"/>
    <n v="95"/>
    <n v="9500"/>
    <n v="1535.2"/>
    <e v="#DIV/0!"/>
    <n v="0.15"/>
    <n v="1425"/>
    <n v="0"/>
    <n v="0"/>
    <n v="1425"/>
    <n v="228"/>
    <n v="1653"/>
    <n v="28.5"/>
    <m/>
    <n v="28.5"/>
    <m/>
    <n v="1396.5"/>
    <s v="Mont Blanc"/>
    <n v="0.5"/>
    <n v="698.25"/>
    <n v="698.25"/>
    <d v="2023-06-09T00:00:00"/>
    <n v="0"/>
    <s v="PT016/AIB RDC/2022"/>
    <n v="1653"/>
    <n v="1653"/>
    <n v="0"/>
    <s v="SUNU"/>
    <d v="2022-12-23T00:00:00"/>
    <m/>
    <m/>
    <s v="D&amp;O"/>
    <m/>
    <m/>
    <m/>
  </r>
  <r>
    <x v="2"/>
    <s v="Yes"/>
    <d v="2022-09-30T00:00:00"/>
    <d v="2022-11-24T00:00:00"/>
    <d v="2022-10-13T00:00:00"/>
    <d v="2023-10-12T00:00:00"/>
    <s v="000-545/AIB RDC/2022"/>
    <n v="0"/>
    <s v="SOUSCRIPTION"/>
    <s v="33002-0009-113-0003955 / 0001"/>
    <s v="PARAGON TAILINGS DRC Sarl"/>
    <m/>
    <s v="MICHEE"/>
    <s v="Apphia"/>
    <s v="GENERAL LIABILITY"/>
    <s v="LIABILITIES"/>
    <x v="2"/>
    <s v="SUNU"/>
    <n v="0"/>
    <n v="16988.2"/>
    <n v="0"/>
    <n v="0"/>
    <n v="145"/>
    <n v="14500"/>
    <n v="2343.1999999999998"/>
    <e v="#DIV/0!"/>
    <n v="0.1"/>
    <n v="1450"/>
    <n v="0"/>
    <n v="0"/>
    <n v="1450"/>
    <n v="232"/>
    <n v="1682"/>
    <n v="29"/>
    <m/>
    <n v="29"/>
    <m/>
    <n v="1421"/>
    <s v="Mont Blanc"/>
    <n v="0.5"/>
    <n v="710.5"/>
    <n v="710.5"/>
    <d v="2023-06-09T00:00:00"/>
    <n v="0"/>
    <s v="PT016/AIB RDC/2022"/>
    <n v="1682"/>
    <n v="1682"/>
    <n v="0"/>
    <s v="SUNU"/>
    <d v="2022-12-23T00:00:00"/>
    <m/>
    <m/>
    <s v="GENERAL LIABILITY"/>
    <m/>
    <m/>
    <m/>
  </r>
  <r>
    <x v="2"/>
    <s v="Yes"/>
    <d v="2022-09-30T00:00:00"/>
    <d v="2022-10-16T00:00:00"/>
    <d v="2022-10-13T00:00:00"/>
    <d v="2023-10-12T00:00:00"/>
    <s v="000-546/AIB RDC/2022"/>
    <n v="0"/>
    <s v="SOUSCRIPTION"/>
    <s v="33002-0009-113-0003410 / 0001"/>
    <s v="PARAGON TAILINGS DRC Sarl"/>
    <m/>
    <s v="MICHEE"/>
    <s v="Apphia"/>
    <s v="GENERAL LIABILITY"/>
    <s v="LIABILITIES"/>
    <x v="2"/>
    <s v="SUNU"/>
    <n v="0"/>
    <n v="9372.7999999999993"/>
    <n v="0"/>
    <n v="0"/>
    <n v="80"/>
    <n v="8000"/>
    <n v="1292.8"/>
    <e v="#DIV/0!"/>
    <n v="0.1"/>
    <n v="800"/>
    <n v="0"/>
    <n v="0"/>
    <n v="800"/>
    <n v="128"/>
    <n v="928"/>
    <n v="16"/>
    <m/>
    <n v="16"/>
    <m/>
    <n v="784"/>
    <s v="Mont Blanc"/>
    <n v="0.5"/>
    <n v="392"/>
    <n v="392"/>
    <d v="2023-01-12T00:00:00"/>
    <n v="0"/>
    <s v="PT014/AIB RDC/2022"/>
    <n v="928"/>
    <n v="928"/>
    <n v="0"/>
    <s v="SUNU"/>
    <d v="2022-11-23T00:00:00"/>
    <m/>
    <m/>
    <s v="GENERAL LIABILITY"/>
    <m/>
    <m/>
    <m/>
  </r>
  <r>
    <x v="1"/>
    <s v="Yes"/>
    <d v="2022-09-27T00:00:00"/>
    <d v="2022-10-05T00:00:00"/>
    <d v="2022-09-28T00:00:00"/>
    <d v="2023-09-27T00:00:00"/>
    <s v="000-547/AIB RDC/2022"/>
    <n v="1"/>
    <s v="RENOUVELLEMENT"/>
    <s v="301/60500001"/>
    <s v="SOCIETE FINANCIERE D'ASSURANCE ( SFA)"/>
    <s v="INSURANCE"/>
    <s v="MICHEE"/>
    <s v="Apphia"/>
    <s v="PI"/>
    <s v="LIABILITIES"/>
    <x v="4"/>
    <s v="RAWSUR"/>
    <n v="0"/>
    <n v="29791.56"/>
    <n v="3772.06"/>
    <n v="0"/>
    <n v="100"/>
    <n v="21375"/>
    <n v="4039.53"/>
    <e v="#DIV/0!"/>
    <n v="0"/>
    <n v="0"/>
    <n v="1131.6179999999999"/>
    <n v="2211.21"/>
    <n v="3342.828"/>
    <n v="534.85248000000001"/>
    <n v="3877.68048"/>
    <n v="66.856560000000002"/>
    <m/>
    <n v="66.856560000000002"/>
    <m/>
    <n v="3275.9714399999998"/>
    <m/>
    <m/>
    <n v="0"/>
    <m/>
    <m/>
    <n v="0"/>
    <m/>
    <n v="3877.68048"/>
    <n v="3877.68048"/>
    <n v="0"/>
    <s v="RAWSUR"/>
    <d v="2022-12-06T00:00:00"/>
    <m/>
    <m/>
    <s v="PI"/>
    <m/>
    <m/>
    <m/>
  </r>
  <r>
    <x v="2"/>
    <s v="Yes"/>
    <d v="2022-10-03T00:00:00"/>
    <d v="2022-10-06T00:00:00"/>
    <d v="2022-10-06T00:00:00"/>
    <d v="2023-10-05T00:00:00"/>
    <s v="000-548/AIB RDC/2022"/>
    <n v="0"/>
    <s v="SOUSCRIPTION"/>
    <s v="33002-0009-113-0003292/0001"/>
    <s v="PARAGON TAILINGS DRC Sarl"/>
    <m/>
    <s v="MICHEE"/>
    <s v="Apphia"/>
    <s v="PI"/>
    <s v="LIABILITIES"/>
    <x v="2"/>
    <s v="SUNU"/>
    <n v="0"/>
    <n v="22260.400000000001"/>
    <n v="0"/>
    <n v="0"/>
    <n v="190"/>
    <n v="19000"/>
    <n v="3070.4"/>
    <e v="#DIV/0!"/>
    <n v="0.1"/>
    <n v="1900"/>
    <n v="0"/>
    <n v="0"/>
    <n v="1900"/>
    <n v="304"/>
    <n v="2204"/>
    <n v="38"/>
    <m/>
    <n v="38"/>
    <m/>
    <n v="1862"/>
    <s v="Mont Blanc"/>
    <n v="0.5"/>
    <n v="931"/>
    <n v="931"/>
    <d v="2023-01-12T00:00:00"/>
    <n v="0"/>
    <s v="PT014/AIB RDC/2022"/>
    <n v="2204"/>
    <n v="2204"/>
    <n v="0"/>
    <s v="SUNU"/>
    <d v="2022-11-23T00:00:00"/>
    <m/>
    <m/>
    <s v="PI"/>
    <m/>
    <m/>
    <m/>
  </r>
  <r>
    <x v="2"/>
    <s v="Yes"/>
    <d v="2022-10-03T00:00:00"/>
    <d v="2022-10-13T00:00:00"/>
    <d v="2022-10-13T00:00:00"/>
    <d v="2023-10-12T00:00:00"/>
    <s v="000-549/AIB RDC/2022"/>
    <n v="0"/>
    <s v="SOUSCRIPTION"/>
    <s v="33002-0017-104-0003390 / 0001"/>
    <s v="PARAGON TAILINGS DRC Sarl"/>
    <m/>
    <s v="MICHEE"/>
    <s v="Apphia"/>
    <s v="COMP MOTOR"/>
    <s v="MOTOR COMP"/>
    <x v="2"/>
    <s v="SUNU"/>
    <n v="0"/>
    <n v="988.32"/>
    <n v="0"/>
    <n v="0"/>
    <n v="10"/>
    <n v="842"/>
    <n v="136.32"/>
    <e v="#DIV/0!"/>
    <n v="0.15"/>
    <n v="126.3"/>
    <n v="0"/>
    <n v="0"/>
    <n v="126.3"/>
    <n v="20.207999999999998"/>
    <n v="146.50799999999998"/>
    <n v="2.5259999999999998"/>
    <m/>
    <n v="2.5259999999999998"/>
    <m/>
    <n v="123.774"/>
    <s v="Mont Blanc"/>
    <n v="0.5"/>
    <n v="61.887"/>
    <n v="61.887"/>
    <d v="2023-01-12T00:00:00"/>
    <n v="0"/>
    <s v="PT014/AIB RDC/2022"/>
    <n v="146.50799999999998"/>
    <n v="146.50799999999998"/>
    <n v="0"/>
    <s v="SUNU"/>
    <d v="2022-11-23T00:00:00"/>
    <m/>
    <m/>
    <s v="COMP MOTOR"/>
    <m/>
    <m/>
    <m/>
  </r>
  <r>
    <x v="9"/>
    <s v="No"/>
    <d v="2022-10-04T00:00:00"/>
    <d v="2022-07-22T00:00:00"/>
    <d v="2022-08-09T00:00:00"/>
    <d v="2023-08-08T00:00:00"/>
    <s v="000-550/AIB RDC/2022"/>
    <n v="0"/>
    <s v="SOUSCRIPTION"/>
    <s v="12005-0001-13002-00003134-2022"/>
    <s v="FORGOTTEN PARKS FOUNDATION ( FPF)"/>
    <m/>
    <s v="ALICE"/>
    <s v="Alice"/>
    <s v="MEDICAL"/>
    <s v="MEDICAL &amp; GPA"/>
    <x v="1"/>
    <s v="MAYFAIR"/>
    <n v="0"/>
    <n v="5536"/>
    <n v="0"/>
    <n v="0"/>
    <n v="0"/>
    <n v="5442.16"/>
    <n v="0"/>
    <e v="#DIV/0!"/>
    <n v="0.1"/>
    <n v="544.21600000000001"/>
    <m/>
    <m/>
    <n v="544.21600000000001"/>
    <n v="0"/>
    <n v="544.21600000000001"/>
    <n v="10.884320000000001"/>
    <m/>
    <n v="10.884320000000001"/>
    <m/>
    <n v="533.33168000000001"/>
    <m/>
    <m/>
    <n v="0"/>
    <m/>
    <m/>
    <n v="0"/>
    <m/>
    <n v="544.21600000000001"/>
    <n v="544.21600000000001"/>
    <n v="0"/>
    <s v="OrcleMed"/>
    <d v="2023-03-07T00:00:00"/>
    <m/>
    <s v="RENEWING..."/>
    <s v="MEDICAL"/>
    <m/>
    <m/>
    <m/>
  </r>
  <r>
    <x v="1"/>
    <s v="No"/>
    <d v="2022-10-04T00:00:00"/>
    <d v="2022-09-07T00:00:00"/>
    <d v="2022-09-01T00:00:00"/>
    <d v="2023-08-31T00:00:00"/>
    <s v="000-551/AIB RDC/2022"/>
    <n v="0"/>
    <s v="SOUSCRIPTION"/>
    <s v="306-219000005"/>
    <s v="PATH"/>
    <m/>
    <s v="ALICE"/>
    <s v="Alice"/>
    <s v="LIFE"/>
    <s v="LIFE"/>
    <x v="5"/>
    <s v="AEB"/>
    <n v="0"/>
    <n v="23455.040000000001"/>
    <n v="0"/>
    <n v="0"/>
    <n v="232.23"/>
    <n v="23222.81"/>
    <n v="0"/>
    <e v="#DIV/0!"/>
    <n v="0"/>
    <n v="0"/>
    <n v="0"/>
    <n v="0"/>
    <n v="0"/>
    <n v="0"/>
    <n v="0"/>
    <n v="0"/>
    <m/>
    <n v="0"/>
    <m/>
    <n v="0"/>
    <s v="MERCER"/>
    <n v="0"/>
    <n v="0"/>
    <m/>
    <m/>
    <n v="0"/>
    <m/>
    <m/>
    <n v="0"/>
    <n v="0"/>
    <s v="RAWSUR - LIFE"/>
    <m/>
    <m/>
    <m/>
    <s v="LIFE"/>
    <m/>
    <m/>
    <s v="AEB n'avait pas prévu de com. Rawsur ne peut donc rien payer"/>
  </r>
  <r>
    <x v="1"/>
    <s v="Yes"/>
    <d v="2022-10-04T00:00:00"/>
    <d v="2022-09-07T00:00:00"/>
    <d v="2022-09-01T00:00:00"/>
    <d v="2022-11-30T00:00:00"/>
    <s v="000-552/AIB RDC/2022"/>
    <n v="0"/>
    <s v="SOUSCRIPTION"/>
    <s v="101-10200013"/>
    <s v="PATH"/>
    <m/>
    <s v="ALICE"/>
    <s v="Alice"/>
    <s v="MEDICAL"/>
    <s v="MEDICAL &amp; GPA"/>
    <x v="4"/>
    <s v="AEB"/>
    <n v="0"/>
    <n v="186332.21"/>
    <n v="0"/>
    <n v="0"/>
    <n v="0"/>
    <n v="182678.64"/>
    <n v="0"/>
    <e v="#DIV/0!"/>
    <n v="0.1"/>
    <n v="18267.864000000001"/>
    <n v="0"/>
    <n v="0"/>
    <n v="18267.864000000001"/>
    <n v="0"/>
    <n v="18267.864000000001"/>
    <n v="365.35728000000006"/>
    <m/>
    <n v="365.35728000000006"/>
    <m/>
    <n v="17902.506720000001"/>
    <s v="MERCER"/>
    <n v="0.7"/>
    <n v="12531.754704000001"/>
    <m/>
    <m/>
    <n v="12531.754704000001"/>
    <m/>
    <n v="18267.864000000001"/>
    <n v="18267.864000000001"/>
    <n v="0"/>
    <s v="RAWSUR"/>
    <d v="2023-03-29T00:00:00"/>
    <s v="ND0021/AIB RDC/2023"/>
    <m/>
    <s v="MEDICAL"/>
    <m/>
    <m/>
    <s v="A OLEA de nous en donner une suite car Rawsur ne nous fourni pas assez d'infos._x000a_Besoin de savoir le status de paiement. Combien des tranches le client a-t-il déjà versé et combien il en reste?"/>
  </r>
  <r>
    <x v="1"/>
    <s v="Yes"/>
    <d v="2022-10-04T00:00:00"/>
    <d v="2022-09-29T00:00:00"/>
    <d v="2022-09-01T00:00:00"/>
    <d v="2023-05-29T00:00:00"/>
    <s v="000-553/AIB RDC/2022"/>
    <n v="2"/>
    <s v="INCORPORATION"/>
    <s v="12001-33002-0001-103-00002313-2022"/>
    <s v="GROUPE VIVENDI AFRICA ( GVA)"/>
    <m/>
    <s v="ALICE"/>
    <s v="Alice"/>
    <s v="COMP MOTOR"/>
    <s v="MOTOR COMP"/>
    <x v="0"/>
    <s v="ACTIVA"/>
    <n v="0"/>
    <n v="1732.07"/>
    <n v="0"/>
    <n v="0"/>
    <n v="14.78"/>
    <n v="1478.38"/>
    <n v="238.91"/>
    <e v="#DIV/0!"/>
    <n v="0.148366105913946"/>
    <n v="219.3414836610595"/>
    <n v="0"/>
    <n v="0"/>
    <n v="219.3414836610595"/>
    <n v="35.094637385769524"/>
    <n v="254.43612104682902"/>
    <n v="4.3868296732211904"/>
    <n v="0"/>
    <n v="4.3868296732211904"/>
    <m/>
    <n v="214.9546539878383"/>
    <m/>
    <m/>
    <n v="0"/>
    <m/>
    <m/>
    <n v="0"/>
    <m/>
    <n v="254.43612104682902"/>
    <n v="254.43612104682902"/>
    <n v="0"/>
    <s v="ACTIVA"/>
    <d v="2022-11-29T00:00:00"/>
    <m/>
    <s v="RENEWED"/>
    <s v="COMP MOTOR"/>
    <m/>
    <m/>
    <m/>
  </r>
  <r>
    <x v="1"/>
    <s v="Yes"/>
    <d v="2022-10-04T00:00:00"/>
    <d v="2022-09-25T00:00:00"/>
    <d v="2022-09-29T00:00:00"/>
    <d v="2022-12-27T00:00:00"/>
    <s v="000-554/AIB RDC/2022"/>
    <n v="0"/>
    <s v="SOUSCRIPTION"/>
    <s v="33002-0004-119-0002995 / 0001"/>
    <s v="ERIC NONGA NDAY MALUNDA"/>
    <s v="Person"/>
    <s v="ALICE"/>
    <s v="Alice"/>
    <s v="TRAVEL"/>
    <s v="MEDICAL &amp; GPA"/>
    <x v="2"/>
    <s v="SUNU"/>
    <n v="0"/>
    <n v="60.85"/>
    <n v="0"/>
    <n v="0"/>
    <n v="1.03"/>
    <n v="51.43"/>
    <n v="8.39"/>
    <e v="#DIV/0!"/>
    <n v="0.2"/>
    <n v="10.286000000000001"/>
    <n v="0"/>
    <n v="0"/>
    <n v="10.286000000000001"/>
    <n v="1.6457600000000003"/>
    <n v="11.931760000000002"/>
    <n v="0.20572000000000004"/>
    <m/>
    <n v="0.20572000000000004"/>
    <m/>
    <n v="10.080280000000002"/>
    <m/>
    <m/>
    <n v="0"/>
    <m/>
    <m/>
    <n v="0"/>
    <m/>
    <n v="11.931760000000002"/>
    <n v="11.931760000000002"/>
    <n v="0"/>
    <s v="SUNU"/>
    <d v="2022-10-24T00:00:00"/>
    <m/>
    <s v="ONCE OFF"/>
    <s v="TRAVEL"/>
    <m/>
    <m/>
    <m/>
  </r>
  <r>
    <x v="1"/>
    <s v="Yes"/>
    <d v="2022-10-04T00:00:00"/>
    <d v="2022-09-22T00:00:00"/>
    <d v="2022-09-28T00:00:00"/>
    <d v="2022-10-27T00:00:00"/>
    <s v="000-555/AIB RDC/2022"/>
    <n v="0"/>
    <s v="SOUSCRIPTION"/>
    <s v="301-14400001"/>
    <s v="KORENE DANIEL HAY"/>
    <m/>
    <s v="ALICE"/>
    <s v="Alice"/>
    <s v="TRAVEL"/>
    <s v="MEDICAL &amp; GPA"/>
    <x v="4"/>
    <s v="RAWSUR"/>
    <n v="30000"/>
    <n v="111.77"/>
    <n v="0"/>
    <n v="0"/>
    <n v="2"/>
    <n v="92.47"/>
    <n v="15.11"/>
    <n v="3.7256666666666666E-3"/>
    <n v="0.2"/>
    <n v="18.494"/>
    <n v="0"/>
    <n v="0"/>
    <n v="18.494"/>
    <n v="2.9590399999999999"/>
    <n v="21.453040000000001"/>
    <n v="0.36987999999999999"/>
    <m/>
    <n v="0.36987999999999999"/>
    <m/>
    <n v="18.124120000000001"/>
    <m/>
    <m/>
    <n v="0"/>
    <m/>
    <m/>
    <n v="0"/>
    <m/>
    <n v="21.453040000000001"/>
    <n v="21.453040000000001"/>
    <n v="0"/>
    <s v="RAWSUR"/>
    <d v="2022-11-04T00:00:00"/>
    <m/>
    <s v="ONCE OFF"/>
    <s v="TRAVEL"/>
    <m/>
    <m/>
    <m/>
  </r>
  <r>
    <x v="1"/>
    <s v="Yes"/>
    <d v="2022-10-04T00:00:00"/>
    <d v="2022-08-31T00:00:00"/>
    <d v="2022-09-01T00:00:00"/>
    <d v="2022-12-31T00:00:00"/>
    <s v="000-556/AIB RDC/2022"/>
    <n v="0"/>
    <s v="SOUSCRIPTION"/>
    <s v="12001-33002-008-10200002900-2022"/>
    <s v="HAVAS"/>
    <m/>
    <s v="ALICE"/>
    <s v="Alice"/>
    <s v="MEDICAL"/>
    <s v="MEDICAL &amp; GPA"/>
    <x v="0"/>
    <s v="ACTIVA"/>
    <n v="0"/>
    <n v="7283.52"/>
    <n v="0"/>
    <n v="0"/>
    <n v="72"/>
    <n v="7200"/>
    <n v="11.52"/>
    <e v="#DIV/0!"/>
    <n v="0.1"/>
    <n v="720"/>
    <m/>
    <m/>
    <n v="720"/>
    <n v="115.2"/>
    <n v="835.2"/>
    <n v="14.4"/>
    <m/>
    <n v="14.4"/>
    <m/>
    <n v="705.6"/>
    <m/>
    <m/>
    <n v="0"/>
    <m/>
    <m/>
    <n v="0"/>
    <m/>
    <n v="835.2"/>
    <n v="835.2"/>
    <n v="0"/>
    <s v="ACTIVA"/>
    <d v="2022-11-29T00:00:00"/>
    <m/>
    <s v="RENEWED"/>
    <s v="MEDICAL"/>
    <m/>
    <m/>
    <m/>
  </r>
  <r>
    <x v="2"/>
    <s v="Yes"/>
    <d v="2022-09-27T00:00:00"/>
    <d v="2022-10-05T00:00:00"/>
    <d v="2022-10-04T00:00:00"/>
    <d v="2023-06-16T00:00:00"/>
    <s v="000-557/AIB RDC/2022"/>
    <n v="3"/>
    <s v="INCORPORATION"/>
    <s v="12002-33002-0004-104-00016497-2022"/>
    <s v="INDUSTRIAL SERVICES"/>
    <m/>
    <s v="SYNTYCHE"/>
    <s v="Grace"/>
    <s v="COMP MOTOR"/>
    <s v="MOTOR COMP"/>
    <x v="6"/>
    <s v="SFA"/>
    <n v="48000"/>
    <n v="2055.42"/>
    <n v="0"/>
    <n v="0"/>
    <n v="25.74"/>
    <n v="1716.15"/>
    <n v="278.7"/>
    <n v="4.2821249999999998E-2"/>
    <n v="0.15"/>
    <n v="257.42250000000001"/>
    <n v="0"/>
    <n v="0"/>
    <n v="257.42250000000001"/>
    <n v="41.187600000000003"/>
    <n v="298.61009999999999"/>
    <n v="5.1484500000000004"/>
    <m/>
    <n v="5.1484500000000004"/>
    <m/>
    <n v="252.27405000000002"/>
    <m/>
    <m/>
    <n v="0"/>
    <m/>
    <m/>
    <n v="0"/>
    <m/>
    <n v="298.61009999999999"/>
    <n v="298.61009999999999"/>
    <n v="0"/>
    <s v="SFA"/>
    <d v="2022-11-22T00:00:00"/>
    <m/>
    <s v="RENEWED"/>
    <s v="COMP MOTOR"/>
    <m/>
    <m/>
    <m/>
  </r>
  <r>
    <x v="7"/>
    <s v="Yes"/>
    <d v="2022-09-01T00:00:00"/>
    <d v="2022-09-01T00:00:00"/>
    <d v="2022-05-06T00:00:00"/>
    <d v="2023-05-05T00:00:00"/>
    <s v="000-558/AIB RDC/2022"/>
    <n v="1"/>
    <s v="RENOUVELLEMENT"/>
    <s v="42000013 - 301"/>
    <s v="LIEDEKERKE"/>
    <s v="CABINET D'AVOCAT"/>
    <s v="SYNTYCHE"/>
    <s v="Syntyche"/>
    <s v="FIRE"/>
    <s v="PROPERTIES"/>
    <x v="4"/>
    <s v="RAWSUR"/>
    <n v="0"/>
    <n v="1594.89"/>
    <n v="0"/>
    <n v="0"/>
    <n v="50"/>
    <n v="1301.6099999999999"/>
    <n v="216.25"/>
    <e v="#DIV/0!"/>
    <n v="0.15"/>
    <n v="195.24149999999997"/>
    <n v="0"/>
    <n v="0"/>
    <n v="195.24149999999997"/>
    <n v="31.238639999999997"/>
    <n v="226.48013999999998"/>
    <n v="3.9048299999999996"/>
    <m/>
    <n v="3.9048299999999996"/>
    <m/>
    <n v="191.33666999999997"/>
    <m/>
    <m/>
    <n v="0"/>
    <m/>
    <m/>
    <n v="0"/>
    <m/>
    <n v="226.48013999999998"/>
    <n v="226.48013999999998"/>
    <n v="0"/>
    <s v="RAWSUR"/>
    <d v="2022-11-04T00:00:00"/>
    <m/>
    <s v="RENEWED"/>
    <s v="FIRE"/>
    <m/>
    <m/>
    <m/>
  </r>
  <r>
    <x v="1"/>
    <s v="Yes"/>
    <d v="2022-09-20T00:00:00"/>
    <d v="2022-09-20T00:00:00"/>
    <d v="2022-09-20T00:00:00"/>
    <d v="2022-12-19T00:00:00"/>
    <s v="000-559/AIB RDC/2022"/>
    <n v="0"/>
    <s v="SOUSCRIPTION"/>
    <s v="33002-0017-103-0003076 / 0001"/>
    <s v="LOLEKA BONGIMA THEODORE"/>
    <s v="Person "/>
    <s v="MICHEE"/>
    <s v="Apphia"/>
    <s v="MOTOR TPL"/>
    <s v="MOTOR TPL"/>
    <x v="2"/>
    <s v="SUNU"/>
    <n v="0"/>
    <n v="83.22"/>
    <n v="0"/>
    <n v="0"/>
    <n v="10"/>
    <n v="61.74"/>
    <n v="11.48"/>
    <e v="#DIV/0!"/>
    <n v="0.1"/>
    <n v="6.1740000000000004"/>
    <n v="0"/>
    <n v="0"/>
    <n v="6.1740000000000004"/>
    <n v="0.98784000000000005"/>
    <n v="7.1618400000000007"/>
    <n v="0.12348000000000001"/>
    <m/>
    <n v="0.12348000000000001"/>
    <m/>
    <n v="6.0505200000000006"/>
    <m/>
    <m/>
    <n v="0"/>
    <m/>
    <m/>
    <n v="0"/>
    <m/>
    <n v="7.1618400000000007"/>
    <n v="7.1618400000000007"/>
    <n v="0"/>
    <s v="SUNU"/>
    <d v="2022-10-24T00:00:00"/>
    <m/>
    <s v="RENEWED"/>
    <s v="MOTOR TPL"/>
    <m/>
    <m/>
    <m/>
  </r>
  <r>
    <x v="7"/>
    <s v="Yes"/>
    <d v="2022-09-22T00:00:00"/>
    <d v="2022-04-12T00:00:00"/>
    <d v="2022-05-06T00:00:00"/>
    <d v="2023-01-07T00:00:00"/>
    <s v="000-560/AIB RDC/2022"/>
    <n v="3"/>
    <s v="INCORPORATION"/>
    <s v="12002-33002-0010-108-00016053-2022"/>
    <s v="Compagnie Africaine d'Aviation / CAA"/>
    <s v="Aviation"/>
    <s v="ANDY"/>
    <s v="Andy"/>
    <s v="AVIATION HULL ALL RISK"/>
    <s v="AVIATION"/>
    <x v="6"/>
    <s v="Arthur J. Gallagher"/>
    <n v="0"/>
    <n v="427397.62"/>
    <n v="54315.21"/>
    <n v="-40915.86"/>
    <n v="100"/>
    <n v="307786.15999999997"/>
    <n v="57952.22"/>
    <e v="#DIV/0!"/>
    <n v="0"/>
    <n v="0"/>
    <n v="4019.8049999999994"/>
    <n v="0"/>
    <n v="4019.8049999999994"/>
    <n v="643.16879999999992"/>
    <n v="4662.9737999999998"/>
    <n v="80.39609999999999"/>
    <n v="0"/>
    <n v="80.39609999999999"/>
    <m/>
    <n v="3939.4088999999994"/>
    <s v="Aucun"/>
    <m/>
    <n v="0"/>
    <m/>
    <m/>
    <n v="0"/>
    <m/>
    <n v="4662.9737999999998"/>
    <n v="4662.9737999999998"/>
    <n v="0"/>
    <s v="SFA"/>
    <d v="2023-05-30T00:00:00"/>
    <m/>
    <s v="RENEWED"/>
    <s v="AVIATION HULL ALL RISK"/>
    <m/>
    <m/>
    <s v="En attente du paiement de la prime"/>
  </r>
  <r>
    <x v="10"/>
    <s v="Yes"/>
    <d v="2022-09-22T00:00:00"/>
    <d v="2022-09-28T00:00:00"/>
    <d v="2022-06-05T00:00:00"/>
    <d v="2023-06-04T00:00:00"/>
    <s v="000-561/AIB RDC/2022"/>
    <n v="0"/>
    <s v="SOUSCRIPTION"/>
    <s v="00017138"/>
    <s v="Sandvik Mining &amp; Construction Sarl"/>
    <s v="MINING"/>
    <s v="ANDY"/>
    <s v="Andy"/>
    <s v="EMPLOYER'S LIABILITY"/>
    <s v="LIABILITIES"/>
    <x v="6"/>
    <s v="SFA"/>
    <n v="0"/>
    <n v="18588.47"/>
    <n v="2352.94"/>
    <n v="0"/>
    <n v="66.67"/>
    <n v="13333.33"/>
    <n v="2520.4699999999998"/>
    <e v="#DIV/0!"/>
    <n v="0.1"/>
    <n v="1333.3330000000001"/>
    <n v="0"/>
    <n v="0"/>
    <n v="1333.3330000000001"/>
    <n v="213.33328000000003"/>
    <n v="1546.6662800000001"/>
    <n v="26.666660000000004"/>
    <m/>
    <n v="26.666660000000004"/>
    <m/>
    <n v="1306.66634"/>
    <s v="AFINBRO"/>
    <n v="0.5"/>
    <n v="653.33317"/>
    <n v="653.33317"/>
    <d v="2022-11-29T00:00:00"/>
    <n v="0"/>
    <s v="PT012/AIB RDC/2022"/>
    <n v="1546.6662800000001"/>
    <n v="1546.6662800000001"/>
    <n v="0"/>
    <s v="SFA"/>
    <d v="2022-10-28T00:00:00"/>
    <m/>
    <s v="RENEWING..."/>
    <s v="EMPLOYER'S LIABILITY"/>
    <m/>
    <m/>
    <m/>
  </r>
  <r>
    <x v="10"/>
    <s v="Yes"/>
    <d v="2022-08-25T00:00:00"/>
    <d v="2022-09-16T00:00:00"/>
    <d v="2022-06-18T00:00:00"/>
    <d v="2023-06-30T00:00:00"/>
    <s v="000-562/AIB RDC/2022"/>
    <n v="1"/>
    <s v="INCORPORATION"/>
    <s v="12005-33002-0007-13001-00002326-2022"/>
    <s v="Teichmann Group / T3 Projects"/>
    <s v="MINING"/>
    <s v="ANDY"/>
    <s v="Andy"/>
    <s v="MARINE CARGO / GIT"/>
    <s v="MARINE"/>
    <x v="1"/>
    <s v="MAYFAIR"/>
    <n v="149475.03"/>
    <n v="278"/>
    <n v="0"/>
    <n v="0"/>
    <n v="50"/>
    <n v="182"/>
    <n v="37"/>
    <n v="1.8598424097991484E-3"/>
    <n v="0.15"/>
    <n v="27.3"/>
    <m/>
    <m/>
    <n v="27.3"/>
    <n v="4.3680000000000003"/>
    <n v="31.667999999999999"/>
    <n v="0.54600000000000004"/>
    <n v="0"/>
    <n v="0.54600000000000004"/>
    <m/>
    <n v="26.754000000000001"/>
    <s v="O'NEILS"/>
    <n v="0.5"/>
    <n v="13.377000000000001"/>
    <n v="13.377000000000001"/>
    <d v="2023-06-09T00:00:00"/>
    <n v="0"/>
    <s v="PT015/AIB RDC/2022"/>
    <n v="31.667999999999999"/>
    <n v="31.667999999999999"/>
    <n v="0"/>
    <s v="MAYFAIR"/>
    <d v="2022-11-10T00:00:00"/>
    <m/>
    <s v="RENEWING..."/>
    <s v="MARINE CARGO / GIT"/>
    <m/>
    <m/>
    <m/>
  </r>
  <r>
    <x v="9"/>
    <s v="Yes"/>
    <d v="2022-08-25T00:00:00"/>
    <d v="2022-08-25T00:00:00"/>
    <d v="2022-08-26T00:00:00"/>
    <d v="2023-04-22T00:00:00"/>
    <s v="000-563/AIB RDC/2022"/>
    <n v="5"/>
    <s v="INCORPORATION"/>
    <s v="12003-33002-0001-103-00000927-2022 / 30000011"/>
    <s v="Chemaf SA"/>
    <s v="MINING"/>
    <s v="ANDY"/>
    <s v="Nyota"/>
    <s v="MOTOR TPL"/>
    <s v="MOTOR TPL"/>
    <x v="4"/>
    <s v="RAWSUR"/>
    <n v="0"/>
    <n v="272.66000000000003"/>
    <n v="0"/>
    <n v="0"/>
    <n v="20"/>
    <n v="211.06"/>
    <n v="36.979999999999997"/>
    <e v="#DIV/0!"/>
    <n v="0.1"/>
    <n v="21.106000000000002"/>
    <n v="0"/>
    <n v="0"/>
    <n v="21.106000000000002"/>
    <n v="3.3769600000000004"/>
    <n v="24.482960000000002"/>
    <n v="0.42212000000000005"/>
    <m/>
    <n v="0.42212000000000005"/>
    <m/>
    <n v="20.683880000000002"/>
    <m/>
    <m/>
    <n v="0"/>
    <m/>
    <m/>
    <n v="0"/>
    <m/>
    <n v="24.482960000000002"/>
    <n v="24.482960000000002"/>
    <n v="0"/>
    <s v="RAWSUR"/>
    <d v="2023-03-09T00:00:00"/>
    <m/>
    <s v="RENEWED"/>
    <s v="MOTOR TPL"/>
    <m/>
    <m/>
    <m/>
  </r>
  <r>
    <x v="9"/>
    <s v="Yes"/>
    <d v="2022-08-22T00:00:00"/>
    <d v="2022-09-17T00:00:00"/>
    <d v="2022-08-17T00:00:00"/>
    <d v="2023-02-24T00:00:00"/>
    <s v="000-564/AIB RDC/2022"/>
    <n v="1"/>
    <s v="INCORPORATION"/>
    <s v="01-TRA-2022-000009"/>
    <s v="Group Optorg / Tractafric Equipment"/>
    <s v="Distribution"/>
    <s v="ANDY"/>
    <s v="Serge"/>
    <s v="COMP MOTOR"/>
    <s v="MOTOR COMP"/>
    <x v="6"/>
    <s v="SFA"/>
    <n v="65305.4"/>
    <n v="2148.58"/>
    <n v="0"/>
    <n v="0"/>
    <n v="26.91"/>
    <n v="1793.91"/>
    <n v="291.33"/>
    <n v="3.2900495211728276E-2"/>
    <n v="0.15"/>
    <n v="269.0865"/>
    <n v="0"/>
    <n v="0"/>
    <n v="269.0865"/>
    <n v="43.053840000000001"/>
    <n v="312.14033999999998"/>
    <n v="5.3817300000000001"/>
    <n v="0"/>
    <n v="5.3817300000000001"/>
    <m/>
    <n v="263.70477"/>
    <s v="OLEA"/>
    <n v="0.35"/>
    <n v="92.296669499999993"/>
    <m/>
    <m/>
    <n v="92.296669499999993"/>
    <m/>
    <n v="312.14033999999998"/>
    <n v="312.14033999999998"/>
    <n v="0"/>
    <s v="SFA"/>
    <d v="2022-10-28T00:00:00"/>
    <m/>
    <s v="RENEWED"/>
    <s v="COMP MOTOR"/>
    <m/>
    <m/>
    <m/>
  </r>
  <r>
    <x v="2"/>
    <s v="Yes"/>
    <d v="2022-09-16T00:00:00"/>
    <d v="2022-10-01T00:00:00"/>
    <d v="2022-10-01T00:00:00"/>
    <d v="2023-10-31T00:00:00"/>
    <s v="000-565/AIB RDC/2022"/>
    <n v="1"/>
    <s v="PROROGATION"/>
    <s v="12003-33002-0004-114-00000041-2022 / 51000005"/>
    <s v="KAMOA COPPER SA"/>
    <s v="MINING"/>
    <s v="ANDY"/>
    <s v="Andy"/>
    <s v="CAR"/>
    <s v="CONSTRUCTIONS"/>
    <x v="4"/>
    <s v="OMI &amp; CONSORT"/>
    <n v="36000000"/>
    <n v="381049.76"/>
    <n v="48423.53"/>
    <n v="0"/>
    <n v="100"/>
    <n v="274400"/>
    <n v="51667.76"/>
    <n v="1.0584715555555556E-2"/>
    <n v="0"/>
    <s v="$"/>
    <n v="14527.058999999999"/>
    <n v="9935.1733600000007"/>
    <n v="24462.232360000002"/>
    <n v="3913.9571776000003"/>
    <n v="28376.189537600003"/>
    <n v="489.24464720000003"/>
    <m/>
    <n v="489.24464720000003"/>
    <m/>
    <n v="23972.987712800001"/>
    <s v="Aucun"/>
    <m/>
    <n v="0"/>
    <m/>
    <m/>
    <n v="0"/>
    <m/>
    <n v="28376.189537600003"/>
    <n v="28376.189537600003"/>
    <n v="0"/>
    <s v="RAWSUR"/>
    <d v="2022-12-06T00:00:00"/>
    <m/>
    <m/>
    <s v="CAR"/>
    <m/>
    <m/>
    <s v="Ne figure pas dans la production 2022 d'Active, Ils ont besoin de la preuve de paiement."/>
  </r>
  <r>
    <x v="2"/>
    <s v="Yes"/>
    <d v="2022-09-15T00:00:00"/>
    <d v="2022-09-15T00:00:00"/>
    <d v="2022-10-21T00:00:00"/>
    <d v="2023-10-20T00:00:00"/>
    <s v="000-566/AIB RDC/2022"/>
    <n v="1"/>
    <s v="RENOUVELLEMENT"/>
    <s v="33002-0006-112-0000700 / 0002"/>
    <s v="Mashamba Farm Enterprise DRC SA"/>
    <s v="DISTRIBUTION"/>
    <s v="ANDY"/>
    <s v="Andy"/>
    <s v="FIRE"/>
    <s v="PROPERTIES"/>
    <x v="2"/>
    <s v="SUNU"/>
    <n v="12000000"/>
    <n v="30056.69"/>
    <n v="0"/>
    <n v="0"/>
    <n v="156.54"/>
    <n v="25654.400000000001"/>
    <n v="4145.75"/>
    <n v="2.5047241666666664E-3"/>
    <n v="0.1"/>
    <n v="2565.4400000000005"/>
    <n v="0"/>
    <n v="0"/>
    <n v="2565.4400000000005"/>
    <n v="410.4704000000001"/>
    <n v="2975.9104000000007"/>
    <n v="51.308800000000012"/>
    <n v="0"/>
    <n v="51.308800000000012"/>
    <m/>
    <n v="2514.1312000000007"/>
    <s v="O'NEILS"/>
    <n v="0.5"/>
    <n v="1257.0656000000004"/>
    <n v="1257.0656000000004"/>
    <d v="2023-06-09T00:00:00"/>
    <n v="0"/>
    <s v="PT015/AIB RDC/2022"/>
    <n v="2975.9104000000007"/>
    <n v="2975.9104000000007"/>
    <n v="0"/>
    <s v="SUNU"/>
    <d v="2023-03-17T00:00:00"/>
    <s v="ND0005/AIB RDC/2022"/>
    <m/>
    <s v="FIRE"/>
    <m/>
    <m/>
    <s v="Paiement échelonné"/>
  </r>
  <r>
    <x v="2"/>
    <s v="Yes"/>
    <d v="2022-09-15T00:00:00"/>
    <d v="2022-09-15T00:00:00"/>
    <d v="2022-10-21T00:00:00"/>
    <d v="2023-10-20T00:00:00"/>
    <s v="000-567/AIB RDC/2022"/>
    <n v="1"/>
    <s v="RENOUVELLEMENT"/>
    <s v="33002-0006-112-0000699 / 0002"/>
    <s v="Mashamba Mill Enterprise DRC SA"/>
    <s v="DISTRIBUTION"/>
    <s v="ANDY"/>
    <s v="Andy"/>
    <s v="FIRE"/>
    <s v="PROPERTIES"/>
    <x v="2"/>
    <s v="SUNU"/>
    <n v="8461685"/>
    <n v="15083.69"/>
    <n v="0"/>
    <n v="0"/>
    <n v="128.74"/>
    <n v="12874"/>
    <n v="2080.5100000000002"/>
    <n v="1.7825870379244797E-3"/>
    <n v="0.1"/>
    <n v="1287.4000000000001"/>
    <n v="0"/>
    <n v="0"/>
    <n v="1287.4000000000001"/>
    <n v="205.98400000000001"/>
    <n v="1493.384"/>
    <n v="25.748000000000001"/>
    <n v="0"/>
    <n v="25.748000000000001"/>
    <m/>
    <n v="1261.652"/>
    <s v="O'NEILS"/>
    <n v="0.5"/>
    <n v="630.82600000000002"/>
    <n v="630.82600000000002"/>
    <d v="2023-06-09T00:00:00"/>
    <n v="0"/>
    <s v="PT015/AIB RDC/2022"/>
    <n v="1493.384"/>
    <n v="1493.384"/>
    <n v="0"/>
    <s v="SUNU"/>
    <d v="2023-03-17T00:00:00"/>
    <s v="ND0005/AIB RDC/2022"/>
    <m/>
    <s v="FIRE"/>
    <m/>
    <m/>
    <s v="Ok, présentement mise en paiement dans l'état de janvier 2023"/>
  </r>
  <r>
    <x v="2"/>
    <s v="Yes"/>
    <d v="2022-09-23T00:00:00"/>
    <d v="2022-12-22T00:00:00"/>
    <d v="2022-10-01T00:00:00"/>
    <d v="2023-09-30T00:00:00"/>
    <s v="000-568/AIB RDC/2022"/>
    <n v="1"/>
    <s v="RENOUVELLEMENT"/>
    <s v="301/402000011"/>
    <s v="CARGOMAN Sarl"/>
    <s v="Aviation"/>
    <s v="ANDY"/>
    <s v="Andy"/>
    <s v="FIRE"/>
    <s v="PROPERTIES"/>
    <x v="4"/>
    <s v="RAWSUR"/>
    <n v="1475018"/>
    <n v="1791.24"/>
    <n v="0"/>
    <n v="0"/>
    <n v="100"/>
    <n v="1418"/>
    <n v="242.88"/>
    <n v="1.2143851803842393E-3"/>
    <n v="0.15"/>
    <n v="212.7"/>
    <n v="0"/>
    <n v="0"/>
    <n v="212.7"/>
    <n v="34.031999999999996"/>
    <n v="246.73199999999997"/>
    <n v="4.2539999999999996"/>
    <m/>
    <n v="4.2539999999999996"/>
    <m/>
    <n v="208.446"/>
    <m/>
    <m/>
    <n v="0"/>
    <m/>
    <m/>
    <n v="0"/>
    <m/>
    <n v="246.73199999999997"/>
    <n v="246.73199999999997"/>
    <n v="0"/>
    <s v="RAWSUR"/>
    <d v="2023-01-20T00:00:00"/>
    <m/>
    <m/>
    <s v="FIRE"/>
    <m/>
    <m/>
    <m/>
  </r>
  <r>
    <x v="1"/>
    <s v="Yes"/>
    <d v="2022-09-08T00:00:00"/>
    <d v="2022-09-21T00:00:00"/>
    <d v="2022-09-20T00:00:00"/>
    <d v="2023-03-19T00:00:00"/>
    <s v="000-569/AIB RDC/2022"/>
    <n v="2"/>
    <s v="PROROGATION"/>
    <s v="12002-33002-0007-101-00017076-2022"/>
    <s v="Sandvik Mining &amp; Construction Sarl"/>
    <s v="Mining"/>
    <s v="ANDY"/>
    <s v="Syntyche"/>
    <s v="GPA"/>
    <s v="MEDICAL &amp; GPA"/>
    <x v="6"/>
    <s v="SFA"/>
    <n v="0"/>
    <n v="9816.02"/>
    <n v="0"/>
    <n v="0"/>
    <n v="578.45000000000005"/>
    <n v="7740.45"/>
    <n v="1330.98"/>
    <e v="#DIV/0!"/>
    <n v="0.1"/>
    <n v="774.04500000000007"/>
    <n v="0"/>
    <n v="0"/>
    <n v="774.04500000000007"/>
    <n v="123.84720000000002"/>
    <n v="897.89220000000012"/>
    <n v="15.480900000000002"/>
    <m/>
    <n v="15.480900000000002"/>
    <m/>
    <n v="758.56410000000005"/>
    <s v="AFINBRO"/>
    <n v="0.5"/>
    <n v="379.28205000000003"/>
    <n v="379.28"/>
    <d v="2023-10-23T00:00:00"/>
    <n v="2.0500000000538421E-3"/>
    <m/>
    <n v="897.89220000000012"/>
    <n v="897.89220000000012"/>
    <n v="0"/>
    <s v="SFA"/>
    <d v="2022-10-28T00:00:00"/>
    <m/>
    <s v="CANCELLED"/>
    <s v="GPA"/>
    <m/>
    <m/>
    <m/>
  </r>
  <r>
    <x v="1"/>
    <s v="Yes"/>
    <d v="2022-09-15T00:00:00"/>
    <d v="2022-09-15T00:00:00"/>
    <d v="2022-09-15T00:00:00"/>
    <d v="2023-04-22T00:00:00"/>
    <s v="000-570/AIB RDC/2022"/>
    <n v="6"/>
    <s v="INCORPORATION"/>
    <s v="12003-33002-0001-103-00000927-2022 / 30000011"/>
    <s v="Chemaf SA"/>
    <s v="MINING"/>
    <s v="ANDY"/>
    <s v="Nyota"/>
    <s v="MOTOR TPL"/>
    <s v="MOTOR TPL"/>
    <x v="4"/>
    <s v="RAWSUR"/>
    <n v="0"/>
    <n v="323.02"/>
    <n v="0"/>
    <n v="0"/>
    <n v="20"/>
    <n v="253.76"/>
    <n v="43.8"/>
    <e v="#DIV/0!"/>
    <n v="0.1"/>
    <n v="25.376000000000001"/>
    <n v="0"/>
    <n v="0"/>
    <n v="25.376000000000001"/>
    <n v="4.0601600000000007"/>
    <n v="29.436160000000001"/>
    <n v="0.50752000000000008"/>
    <m/>
    <n v="0.50752000000000008"/>
    <m/>
    <n v="24.868480000000002"/>
    <m/>
    <m/>
    <n v="0"/>
    <m/>
    <m/>
    <n v="0"/>
    <m/>
    <n v="29.436160000000001"/>
    <n v="29.436160000000001"/>
    <n v="0"/>
    <s v="RAWSUR"/>
    <d v="2022-11-04T00:00:00"/>
    <m/>
    <s v="RENEWED"/>
    <s v="MOTOR TPL"/>
    <m/>
    <m/>
    <m/>
  </r>
  <r>
    <x v="2"/>
    <s v="Yes"/>
    <d v="2022-09-23T00:00:00"/>
    <d v="2022-10-03T00:00:00"/>
    <d v="2022-10-04T00:00:00"/>
    <d v="2023-04-22T00:00:00"/>
    <s v="000-571/AIB RDC/2022"/>
    <n v="7"/>
    <s v="INCORPORATION"/>
    <s v="12003-33002-0001-103-00000927-2022 / 30000011"/>
    <s v="Chemaf SA"/>
    <s v="MINING"/>
    <s v="ANDY"/>
    <s v="Nyota"/>
    <s v="MOTOR TPL"/>
    <s v="MOTOR TPL"/>
    <x v="4"/>
    <s v="RAWSUR"/>
    <n v="0"/>
    <n v="2367.04"/>
    <n v="0"/>
    <n v="0"/>
    <n v="40"/>
    <n v="1965.96"/>
    <n v="320.95999999999998"/>
    <e v="#DIV/0!"/>
    <n v="0.1"/>
    <n v="196.596"/>
    <n v="0"/>
    <n v="0"/>
    <n v="196.596"/>
    <n v="31.455360000000002"/>
    <n v="228.05136000000002"/>
    <n v="3.9319200000000003"/>
    <m/>
    <n v="3.9319200000000003"/>
    <m/>
    <n v="192.66408000000001"/>
    <m/>
    <m/>
    <n v="0"/>
    <m/>
    <m/>
    <n v="0"/>
    <m/>
    <n v="228.05136000000002"/>
    <n v="228.05136000000002"/>
    <n v="0"/>
    <s v="RAWSUR"/>
    <d v="2022-12-06T00:00:00"/>
    <m/>
    <s v="RENEWED"/>
    <s v="MOTOR TPL"/>
    <m/>
    <m/>
    <m/>
  </r>
  <r>
    <x v="1"/>
    <s v="Yes"/>
    <d v="2022-09-09T00:00:00"/>
    <d v="2022-09-20T00:00:00"/>
    <d v="2022-09-02T00:00:00"/>
    <d v="2023-09-01T00:00:00"/>
    <s v="000-572/AIB RDC/2022"/>
    <n v="1"/>
    <s v="RENOUVELLEMENT"/>
    <s v="12002-33002-0022-111-00017072-2022"/>
    <s v="Luano City"/>
    <s v="CONSTRUCTION"/>
    <s v="ANDY"/>
    <s v="Andy"/>
    <s v="MARINE CARGO / GIT"/>
    <s v="MARINE"/>
    <x v="6"/>
    <s v="SFA"/>
    <n v="500000"/>
    <n v="11515.6"/>
    <n v="0"/>
    <n v="0"/>
    <n v="144.22"/>
    <n v="9614.76"/>
    <n v="1561.44"/>
    <n v="2.3031200000000002E-2"/>
    <n v="0.15"/>
    <n v="1442.2139999999999"/>
    <m/>
    <m/>
    <n v="1442.2139999999999"/>
    <n v="230.75423999999998"/>
    <n v="1672.9682399999999"/>
    <n v="28.844279999999998"/>
    <m/>
    <n v="28.844279999999998"/>
    <m/>
    <n v="1413.3697199999999"/>
    <m/>
    <m/>
    <n v="0"/>
    <m/>
    <m/>
    <n v="0"/>
    <m/>
    <n v="1672.9682399999999"/>
    <n v="1672.9682399999999"/>
    <n v="0"/>
    <s v="SFA"/>
    <d v="2022-10-28T00:00:00"/>
    <m/>
    <s v="EXTENDED"/>
    <s v="MARINE CARGO / GIT"/>
    <m/>
    <m/>
    <m/>
  </r>
  <r>
    <x v="1"/>
    <s v="Yes"/>
    <d v="2022-09-08T00:00:00"/>
    <d v="2022-09-15T00:00:00"/>
    <d v="2022-09-08T00:00:00"/>
    <d v="2023-09-07T00:00:00"/>
    <s v="000-573/AIB RDC/2022"/>
    <n v="0"/>
    <s v="SOUSCRIPTION"/>
    <s v="33002-0001-101-0002945/0001"/>
    <s v="Metalco Sarl"/>
    <s v="Construction"/>
    <s v="ANDY"/>
    <s v="Michée"/>
    <s v="GPA"/>
    <s v="MEDICAL &amp; GPA"/>
    <x v="2"/>
    <s v="SUNU"/>
    <n v="331200"/>
    <n v="1160"/>
    <n v="0"/>
    <n v="0"/>
    <n v="10"/>
    <n v="990"/>
    <n v="160"/>
    <n v="3.5024154589371982E-3"/>
    <n v="0.1"/>
    <n v="99"/>
    <n v="0"/>
    <n v="0"/>
    <n v="99"/>
    <n v="15.84"/>
    <n v="114.84"/>
    <n v="1.98"/>
    <m/>
    <n v="1.98"/>
    <m/>
    <n v="97.02"/>
    <m/>
    <m/>
    <n v="0"/>
    <m/>
    <m/>
    <n v="0"/>
    <m/>
    <n v="114.84"/>
    <n v="114.84"/>
    <n v="0"/>
    <s v="SUNU"/>
    <d v="2022-10-24T00:00:00"/>
    <m/>
    <m/>
    <s v="GPA"/>
    <m/>
    <m/>
    <m/>
  </r>
  <r>
    <x v="1"/>
    <s v="Yes"/>
    <d v="2022-09-20T00:00:00"/>
    <d v="2022-09-20T00:00:00"/>
    <d v="2022-09-20T00:00:00"/>
    <d v="2022-10-10T00:00:00"/>
    <s v="000-574/AIB RDC/2022"/>
    <n v="0"/>
    <s v="SOUSCRIPTION"/>
    <s v="12001-33002-0001-104-00003331-2022"/>
    <s v="Paragon DRC / Prodimpex"/>
    <s v="Transport"/>
    <s v="ANDY"/>
    <s v="Andy"/>
    <s v="COMP MOTOR"/>
    <s v="MOTOR COMP"/>
    <x v="0"/>
    <s v="ACTIVA"/>
    <n v="216000"/>
    <n v="2529.4499999999998"/>
    <n v="0"/>
    <n v="0"/>
    <n v="21.59"/>
    <n v="2158.9699999999998"/>
    <n v="348.89"/>
    <n v="1.1710416666666666E-2"/>
    <n v="0.15"/>
    <n v="323.84549999999996"/>
    <m/>
    <m/>
    <n v="323.84549999999996"/>
    <n v="51.815279999999994"/>
    <n v="375.66077999999993"/>
    <n v="6.4769099999999993"/>
    <m/>
    <n v="6.4769099999999993"/>
    <m/>
    <n v="317.36858999999998"/>
    <m/>
    <m/>
    <n v="0"/>
    <m/>
    <m/>
    <n v="0"/>
    <m/>
    <n v="375.66077999999993"/>
    <n v="375.66077999999993"/>
    <n v="0"/>
    <s v="ACTIVA"/>
    <d v="2022-11-29T00:00:00"/>
    <m/>
    <s v="CANCELLED"/>
    <s v="COMP MOTOR"/>
    <m/>
    <m/>
    <m/>
  </r>
  <r>
    <x v="9"/>
    <s v="No"/>
    <d v="2023-08-18T00:00:00"/>
    <m/>
    <d v="2022-08-01T00:00:00"/>
    <d v="2023-07-31T00:00:00"/>
    <s v="000-575/AIB RDC/2022"/>
    <n v="2"/>
    <s v="INCORPORATION"/>
    <s v="301-12200005"/>
    <s v="Glencore / Watu Wetu"/>
    <s v="Mining"/>
    <s v="ANDY"/>
    <s v="Andy"/>
    <s v="GPA"/>
    <s v="MEDICAL &amp; GPA"/>
    <x v="4"/>
    <s v="HARBOUR INSURANCE PTE Ltd"/>
    <n v="0"/>
    <n v="25.54"/>
    <n v="3.25"/>
    <n v="-1.52"/>
    <n v="0"/>
    <n v="18.399999999999999"/>
    <n v="3.46"/>
    <e v="#DIV/0!"/>
    <n v="0"/>
    <n v="0"/>
    <n v="0.51900000000000002"/>
    <n v="0"/>
    <n v="0.51900000000000002"/>
    <n v="8.3040000000000003E-2"/>
    <n v="0.60204000000000002"/>
    <n v="1.038E-2"/>
    <m/>
    <n v="1.038E-2"/>
    <m/>
    <n v="0.50862000000000007"/>
    <m/>
    <m/>
    <n v="0"/>
    <m/>
    <m/>
    <n v="0"/>
    <m/>
    <m/>
    <n v="0.60204000000000002"/>
    <n v="0.60204000000000002"/>
    <s v="RAWSUR"/>
    <m/>
    <m/>
    <m/>
    <m/>
    <m/>
    <m/>
    <m/>
  </r>
  <r>
    <x v="1"/>
    <s v="No"/>
    <d v="2022-09-09T00:00:00"/>
    <m/>
    <d v="2022-09-09T00:00:00"/>
    <d v="2023-01-31T00:00:00"/>
    <s v="000-576/AIB RDC/2022"/>
    <n v="18"/>
    <s v="INCORPORATION"/>
    <s v="12001-33002-0001-104-0001845-2022"/>
    <s v="CFAO RDC / Loxea RDC"/>
    <s v="Distribution"/>
    <s v="ANDY"/>
    <s v="Serge"/>
    <s v="COMP MOTOR"/>
    <s v="MOTOR COMP"/>
    <x v="0"/>
    <s v="ACTIVA"/>
    <n v="62200"/>
    <n v="1217.05"/>
    <n v="0"/>
    <n v="0"/>
    <n v="10.39"/>
    <n v="1038.8"/>
    <n v="167.87"/>
    <n v="1.9566720257234726E-2"/>
    <n v="0.15"/>
    <n v="155.82"/>
    <n v="0"/>
    <n v="31.163999999999998"/>
    <n v="186.98399999999998"/>
    <n v="29.917439999999999"/>
    <n v="216.90143999999998"/>
    <n v="3.7396799999999999"/>
    <n v="0"/>
    <n v="3.7396799999999999"/>
    <m/>
    <n v="183.24431999999999"/>
    <s v="Aucun"/>
    <m/>
    <n v="0"/>
    <m/>
    <m/>
    <n v="0"/>
    <m/>
    <n v="216.90143999999998"/>
    <n v="216.90143999999998"/>
    <n v="0"/>
    <s v="ACTIVA"/>
    <d v="2023-08-14T00:00:00"/>
    <m/>
    <s v="RENEWED"/>
    <s v="COMP MOTOR"/>
    <m/>
    <m/>
    <s v="En attente du paiemet de la prime"/>
  </r>
  <r>
    <x v="1"/>
    <s v="Yes"/>
    <d v="2022-09-16T00:00:00"/>
    <d v="2022-09-15T00:00:00"/>
    <d v="2022-09-15T00:00:00"/>
    <d v="2023-01-31T00:00:00"/>
    <s v="000-577/AIB RDC/2022"/>
    <n v="19"/>
    <s v="INCORPORATION"/>
    <s v="12001-33002-0001-104-0001845-2022"/>
    <s v="CFAO RDC / Loxea RDC"/>
    <s v="Distribution"/>
    <s v="ANDY"/>
    <s v="Serge"/>
    <s v="COMP MOTOR"/>
    <s v="MOTOR COMP"/>
    <x v="0"/>
    <s v="ACTIVA"/>
    <n v="39582"/>
    <n v="748"/>
    <n v="0"/>
    <n v="0"/>
    <n v="10"/>
    <n v="634.82000000000005"/>
    <n v="103.18"/>
    <n v="1.8897478651912485E-2"/>
    <n v="0.14690778488390399"/>
    <n v="93.259999999999934"/>
    <n v="0"/>
    <n v="19.044599999999999"/>
    <n v="112.30459999999994"/>
    <n v="17.968735999999989"/>
    <n v="130.27333599999992"/>
    <n v="2.2460919999999986"/>
    <n v="0"/>
    <n v="2.2460919999999986"/>
    <m/>
    <n v="110.05850799999993"/>
    <s v="Aucun"/>
    <m/>
    <n v="0"/>
    <m/>
    <m/>
    <n v="0"/>
    <m/>
    <n v="130.27333599999992"/>
    <n v="130.27333599999992"/>
    <n v="0"/>
    <s v="ACTIVA"/>
    <d v="2022-11-29T00:00:00"/>
    <m/>
    <s v="RENEWED"/>
    <s v="COMP MOTOR"/>
    <m/>
    <m/>
    <m/>
  </r>
  <r>
    <x v="1"/>
    <s v="Yes"/>
    <d v="2022-09-21T00:00:00"/>
    <d v="2022-09-20T00:00:00"/>
    <d v="2022-09-20T00:00:00"/>
    <d v="2023-01-31T00:00:00"/>
    <s v="000-578/AIB RDC/2022"/>
    <n v="20"/>
    <s v="INCORPORATION"/>
    <s v="12001-33002-0001-104-0001845-2022"/>
    <s v="CFAO RDC / Loxea RDC"/>
    <s v="Distribution"/>
    <s v="ANDY"/>
    <s v="Serge"/>
    <s v="COMP MOTOR"/>
    <s v="MOTOR COMP"/>
    <x v="0"/>
    <s v="ACTIVA"/>
    <n v="90819"/>
    <n v="1577.39"/>
    <n v="0"/>
    <n v="0"/>
    <n v="13.46"/>
    <n v="1346.36"/>
    <n v="217.57"/>
    <n v="1.7368502185665997E-2"/>
    <n v="0.147583112986126"/>
    <n v="198.70000000000059"/>
    <n v="0"/>
    <n v="40.390799999999999"/>
    <n v="239.09080000000057"/>
    <n v="38.254528000000093"/>
    <n v="277.34532800000068"/>
    <n v="4.7818160000000116"/>
    <n v="0"/>
    <n v="4.7818160000000116"/>
    <m/>
    <n v="234.30898400000055"/>
    <s v="Aucun"/>
    <m/>
    <n v="0"/>
    <m/>
    <m/>
    <n v="0"/>
    <m/>
    <n v="277.34532800000068"/>
    <n v="277.34532800000068"/>
    <n v="0"/>
    <s v="ACTIVA"/>
    <d v="2022-11-29T00:00:00"/>
    <m/>
    <s v="RENEWED"/>
    <s v="COMP MOTOR"/>
    <m/>
    <m/>
    <m/>
  </r>
  <r>
    <x v="1"/>
    <s v="Yes"/>
    <d v="2022-09-21T00:00:00"/>
    <d v="2022-09-19T00:00:00"/>
    <d v="2022-09-19T00:00:00"/>
    <d v="2023-01-31T00:00:00"/>
    <s v="000-579/AIB RDC/2022"/>
    <n v="21"/>
    <s v="INCORPORATION"/>
    <s v="12001-33002-0001-104-0001845-2022"/>
    <s v="CFAO RDC / Loxea RDC"/>
    <s v="Distribution"/>
    <s v="ANDY"/>
    <s v="Andy"/>
    <s v="COMP MOTOR"/>
    <s v="MOTOR COMP"/>
    <x v="0"/>
    <s v="ACTIVA"/>
    <n v="26685"/>
    <n v="521.46"/>
    <n v="0"/>
    <n v="0"/>
    <n v="4.45"/>
    <n v="445.08"/>
    <n v="71.930000000000007"/>
    <n v="1.9541315345699833E-2"/>
    <n v="0.14559180372067901"/>
    <n v="64.799999999999812"/>
    <n v="0"/>
    <n v="13.352399999999999"/>
    <n v="78.152399999999815"/>
    <n v="12.504383999999972"/>
    <n v="90.656783999999789"/>
    <n v="1.5630479999999964"/>
    <n v="0"/>
    <n v="1.5630479999999964"/>
    <m/>
    <n v="76.58935199999982"/>
    <s v="Aucun"/>
    <m/>
    <n v="0"/>
    <m/>
    <m/>
    <n v="0"/>
    <m/>
    <n v="90.656783999999789"/>
    <n v="90.656783999999789"/>
    <n v="0"/>
    <s v="ACTIVA"/>
    <d v="2022-11-29T00:00:00"/>
    <m/>
    <s v="RENEWED"/>
    <s v="COMP MOTOR"/>
    <m/>
    <m/>
    <m/>
  </r>
  <r>
    <x v="1"/>
    <s v="Yes"/>
    <d v="2022-09-05T00:00:00"/>
    <d v="2022-09-26T00:00:00"/>
    <d v="2022-09-05T00:00:00"/>
    <d v="2023-09-04T00:00:00"/>
    <s v="000-580/AIB RDC/2022"/>
    <n v="0"/>
    <s v="SOUSCRIPTION"/>
    <s v="12005-33002-0012-13001-00003387-2022"/>
    <s v="CinetPay RDC Sa"/>
    <m/>
    <s v="ANDY"/>
    <s v="Andy"/>
    <s v="FIRE"/>
    <s v="PROPERTIES"/>
    <x v="1"/>
    <s v="MAYFAIR"/>
    <n v="342500"/>
    <n v="501.5"/>
    <n v="0"/>
    <n v="0"/>
    <n v="20"/>
    <n v="405"/>
    <n v="68"/>
    <n v="1.4642335766423358E-3"/>
    <n v="0.15"/>
    <n v="60.75"/>
    <m/>
    <m/>
    <n v="60.75"/>
    <n v="9.7200000000000006"/>
    <n v="70.47"/>
    <n v="1.2150000000000001"/>
    <m/>
    <n v="1.2150000000000001"/>
    <m/>
    <n v="59.534999999999997"/>
    <s v="OLEA"/>
    <n v="0.35"/>
    <n v="20.837249999999997"/>
    <m/>
    <m/>
    <n v="20.837249999999997"/>
    <m/>
    <n v="70.47"/>
    <n v="70.47"/>
    <n v="0"/>
    <s v="MAYFAIR"/>
    <d v="2022-11-10T00:00:00"/>
    <m/>
    <m/>
    <s v="FIRE"/>
    <m/>
    <m/>
    <m/>
  </r>
  <r>
    <x v="1"/>
    <s v="Yes"/>
    <d v="2022-09-05T00:00:00"/>
    <d v="2022-09-29T00:00:00"/>
    <d v="2022-09-05T00:00:00"/>
    <d v="2023-09-04T00:00:00"/>
    <s v="000-581/AIB RDC/2022"/>
    <n v="0"/>
    <s v="SOUSCRIPTION"/>
    <s v="12005-33002-0014-13001-00003386-2022"/>
    <s v="CinetPay RDC Sa"/>
    <m/>
    <s v="ANDY"/>
    <s v="Andy"/>
    <s v="PUBLIC LIABILITY"/>
    <s v="LIABILITIES"/>
    <x v="1"/>
    <s v="MAYFAIR"/>
    <n v="0"/>
    <n v="1829"/>
    <n v="0"/>
    <n v="0"/>
    <n v="50"/>
    <n v="1500"/>
    <n v="248"/>
    <e v="#DIV/0!"/>
    <n v="0.1"/>
    <n v="150"/>
    <m/>
    <m/>
    <n v="150"/>
    <n v="24"/>
    <n v="174"/>
    <n v="3"/>
    <m/>
    <n v="3"/>
    <m/>
    <n v="147"/>
    <s v="OLEA"/>
    <n v="0.35"/>
    <n v="51.449999999999996"/>
    <m/>
    <m/>
    <n v="51.449999999999996"/>
    <m/>
    <n v="174"/>
    <n v="174"/>
    <n v="0"/>
    <s v="MAYFAIR"/>
    <d v="2022-11-10T00:00:00"/>
    <m/>
    <m/>
    <s v="PUBLIC LIABILITY"/>
    <m/>
    <m/>
    <m/>
  </r>
  <r>
    <x v="1"/>
    <s v="Yes"/>
    <d v="2022-09-27T00:00:00"/>
    <d v="2022-10-04T00:00:00"/>
    <d v="2022-09-27T00:00:00"/>
    <d v="2023-09-26T00:00:00"/>
    <s v="000-582/AIB RDC/2022"/>
    <n v="0"/>
    <s v="SOUSCRIPTION"/>
    <s v="12001-33002-0001-103-00003414-2022"/>
    <s v="Paragon DRC"/>
    <s v="Transport"/>
    <s v="ANDY"/>
    <s v="Victor"/>
    <s v="MOTOR TPL"/>
    <s v="MOTOR TPL"/>
    <x v="0"/>
    <s v="ACTIVA"/>
    <n v="0"/>
    <n v="322.61"/>
    <n v="0"/>
    <n v="0"/>
    <n v="10"/>
    <n v="268.11"/>
    <n v="44.5"/>
    <e v="#DIV/0!"/>
    <n v="0.1295"/>
    <n v="34.720245000000006"/>
    <m/>
    <m/>
    <n v="34.720245000000006"/>
    <n v="5.5552392000000008"/>
    <n v="40.275484200000008"/>
    <n v="0.6944049000000001"/>
    <m/>
    <n v="0.6944049000000001"/>
    <m/>
    <n v="34.025840100000003"/>
    <m/>
    <m/>
    <n v="0"/>
    <m/>
    <m/>
    <n v="0"/>
    <m/>
    <n v="40.275484200000008"/>
    <n v="40.275484200000008"/>
    <n v="0"/>
    <s v="ACTIVA"/>
    <d v="2022-11-29T00:00:00"/>
    <m/>
    <m/>
    <s v="MOTOR TPL"/>
    <m/>
    <m/>
    <m/>
  </r>
  <r>
    <x v="1"/>
    <s v="Yes"/>
    <d v="2022-09-01T00:00:00"/>
    <d v="2022-09-07T00:00:00"/>
    <d v="2022-09-08T00:00:00"/>
    <d v="2023-09-07T00:00:00"/>
    <s v="000-583/AIB RDC/2022"/>
    <n v="1"/>
    <s v="RENOUVELLEMENT"/>
    <s v="12002-33002-0004-103-00016986-2022"/>
    <s v="Teichmann Group / T3 Drilling"/>
    <s v="MINING"/>
    <s v="ANDY"/>
    <s v="Andy"/>
    <s v="MOTOR TPL"/>
    <s v="MOTOR TPL"/>
    <x v="6"/>
    <s v="SFA"/>
    <n v="0"/>
    <n v="24415.97"/>
    <n v="0"/>
    <n v="0"/>
    <n v="305.48"/>
    <n v="20386.02"/>
    <n v="3310.64"/>
    <e v="#DIV/0!"/>
    <n v="0.1"/>
    <n v="2038.6020000000001"/>
    <m/>
    <m/>
    <n v="2038.6020000000001"/>
    <n v="326.17632000000003"/>
    <n v="2364.7783200000003"/>
    <n v="40.772040000000004"/>
    <m/>
    <n v="40.772040000000004"/>
    <m/>
    <n v="1997.82996"/>
    <s v="O'NEILS"/>
    <n v="0.5"/>
    <n v="998.91498000000001"/>
    <n v="998.91498000000001"/>
    <d v="2022-12-07T00:00:00"/>
    <n v="0"/>
    <s v="PT013/AIB RDC/2022"/>
    <n v="2364.7783200000003"/>
    <n v="2364.7783200000003"/>
    <n v="0"/>
    <s v="SFA"/>
    <d v="2022-10-28T00:00:00"/>
    <m/>
    <m/>
    <s v="MOTOR TPL"/>
    <m/>
    <m/>
    <m/>
  </r>
  <r>
    <x v="1"/>
    <s v="Yes"/>
    <d v="2022-08-25T00:00:00"/>
    <d v="2022-09-07T00:00:00"/>
    <d v="2022-09-07T00:00:00"/>
    <d v="2023-09-06T00:00:00"/>
    <s v="000-584/AIB RDC/2022"/>
    <n v="1"/>
    <s v="RENOUVELLEMENT"/>
    <s v="12002-33002-0004-103-00016990-2022"/>
    <s v="Teichmann Group / Kongo River"/>
    <s v="MINING"/>
    <s v="ANDY"/>
    <s v="Michée"/>
    <s v="MOTOR TPL"/>
    <s v="MOTOR TPL"/>
    <x v="6"/>
    <s v="SFA"/>
    <n v="0"/>
    <n v="38450.620000000003"/>
    <n v="0"/>
    <n v="0"/>
    <n v="481.28"/>
    <n v="32104"/>
    <n v="3"/>
    <e v="#DIV/0!"/>
    <n v="0.1"/>
    <n v="3210.4"/>
    <m/>
    <m/>
    <n v="3210.4"/>
    <n v="513.66399999999999"/>
    <n v="3724.0640000000003"/>
    <n v="64.207999999999998"/>
    <m/>
    <n v="64.207999999999998"/>
    <m/>
    <n v="3146.192"/>
    <s v="O'NEILS"/>
    <n v="0.5"/>
    <n v="1573.096"/>
    <n v="1573.096"/>
    <d v="2023-06-09T00:00:00"/>
    <n v="0"/>
    <s v="PT015/AIB RDC/2022"/>
    <n v="3724.0640000000003"/>
    <n v="3724.0640000000003"/>
    <n v="0"/>
    <s v="SFA"/>
    <d v="2022-10-28T00:00:00"/>
    <m/>
    <m/>
    <s v="MOTOR TPL"/>
    <m/>
    <m/>
    <m/>
  </r>
  <r>
    <x v="1"/>
    <s v="Yes"/>
    <d v="2022-09-13T00:00:00"/>
    <d v="2022-09-27T00:00:00"/>
    <d v="2022-09-15T00:00:00"/>
    <d v="2022-12-31T00:00:00"/>
    <s v="000-585/AIB RDC/2022"/>
    <n v="2"/>
    <s v="PROROGATION"/>
    <s v="01-TRC-2020-000014"/>
    <s v="Luano City"/>
    <s v="CONSTRUCTION"/>
    <s v="ANDY"/>
    <s v="Andy"/>
    <s v="CAR"/>
    <s v="CONSTRUCTIONS"/>
    <x v="6"/>
    <s v="SFA"/>
    <n v="1800000"/>
    <n v="2087.5700000000002"/>
    <n v="0"/>
    <n v="0"/>
    <n v="20"/>
    <n v="1749.13"/>
    <n v="283.06"/>
    <n v="1.1597611111111112E-3"/>
    <n v="0.15"/>
    <n v="262.36950000000002"/>
    <m/>
    <m/>
    <n v="262.36950000000002"/>
    <n v="41.979120000000002"/>
    <n v="304.34862000000004"/>
    <n v="5.2473900000000002"/>
    <m/>
    <n v="5.2473900000000002"/>
    <m/>
    <n v="257.12211000000002"/>
    <m/>
    <m/>
    <n v="0"/>
    <m/>
    <m/>
    <n v="0"/>
    <m/>
    <n v="304.34862000000004"/>
    <n v="304.34862000000004"/>
    <n v="0"/>
    <s v="SFA"/>
    <d v="2022-10-28T00:00:00"/>
    <m/>
    <s v="EXTENDED"/>
    <s v="CAR"/>
    <m/>
    <m/>
    <m/>
  </r>
  <r>
    <x v="1"/>
    <s v="Yes"/>
    <d v="2022-08-22T00:00:00"/>
    <d v="2022-10-10T00:00:00"/>
    <d v="2022-09-08T00:00:00"/>
    <d v="2023-09-07T00:00:00"/>
    <s v="000-586/AIB RDC/2022"/>
    <n v="0"/>
    <s v="SOUSCRIPTION"/>
    <s v="00017218"/>
    <s v="Mashamba Enterprise DRC SA"/>
    <s v="DISTRIBUTION"/>
    <s v="ANDY"/>
    <s v="Michée"/>
    <s v="MOTOR TPL"/>
    <s v="MOTOR TPL"/>
    <x v="6"/>
    <s v="SFA"/>
    <n v="0"/>
    <n v="14626.1"/>
    <n v="0"/>
    <n v="0"/>
    <n v="183.05"/>
    <n v="12211.95"/>
    <n v="1983.2"/>
    <e v="#DIV/0!"/>
    <n v="0.1"/>
    <n v="1221.1950000000002"/>
    <n v="0"/>
    <n v="0"/>
    <n v="1221.1950000000002"/>
    <n v="195.39120000000003"/>
    <n v="1416.5862000000002"/>
    <n v="24.423900000000003"/>
    <n v="0"/>
    <n v="24.423900000000003"/>
    <m/>
    <n v="1196.7711000000002"/>
    <s v="O'NEILS"/>
    <n v="0.5"/>
    <n v="598.38555000000008"/>
    <n v="598.38555000000008"/>
    <d v="2023-06-09T00:00:00"/>
    <n v="0"/>
    <s v="PT015/AIB RDC/2022"/>
    <n v="1416.5862000000002"/>
    <n v="1416.5862000000002"/>
    <n v="0"/>
    <s v="SFA"/>
    <d v="2022-12-16T00:00:00"/>
    <m/>
    <m/>
    <s v="MOTOR TPL"/>
    <m/>
    <m/>
    <m/>
  </r>
  <r>
    <x v="2"/>
    <s v="Yes"/>
    <d v="2022-09-26T00:00:00"/>
    <d v="2022-10-10T00:00:00"/>
    <d v="2022-10-10T00:00:00"/>
    <d v="2023-04-19T00:00:00"/>
    <s v="000-587/AIB RDC/2022"/>
    <n v="1"/>
    <s v="INCORPORATION"/>
    <s v="12002-33002-0004-104-00016200-2022"/>
    <s v="Teichmann Group / T3 Projects"/>
    <s v="MINING"/>
    <s v="ANDY"/>
    <s v="Andy"/>
    <s v="COMP MOTOR"/>
    <s v="MOTOR COMP"/>
    <x v="6"/>
    <s v="SFA"/>
    <n v="0"/>
    <n v="2855.57"/>
    <n v="0"/>
    <n v="0"/>
    <n v="35.68"/>
    <n v="2384.31"/>
    <n v="387.19"/>
    <e v="#DIV/0!"/>
    <n v="0.15"/>
    <n v="357.6465"/>
    <n v="0"/>
    <n v="0"/>
    <n v="357.6465"/>
    <n v="57.223440000000004"/>
    <n v="414.86993999999999"/>
    <n v="7.1529300000000005"/>
    <n v="0"/>
    <n v="7.1529300000000005"/>
    <m/>
    <n v="350.49356999999998"/>
    <s v="O'NEILS"/>
    <n v="0.5"/>
    <n v="175.24678499999999"/>
    <n v="175.24678499999999"/>
    <d v="2023-06-09T00:00:00"/>
    <n v="0"/>
    <s v="PT015/AIB RDC/2022"/>
    <n v="414.86993999999999"/>
    <n v="414.86993999999999"/>
    <n v="0"/>
    <s v="SFA"/>
    <d v="2022-11-22T00:00:00"/>
    <m/>
    <s v="RENEWED"/>
    <s v="COMP MOTOR"/>
    <m/>
    <m/>
    <m/>
  </r>
  <r>
    <x v="9"/>
    <s v="Yes"/>
    <d v="2022-10-10T00:00:00"/>
    <d v="2022-09-01T00:00:00"/>
    <d v="2022-08-30T00:00:00"/>
    <d v="2022-09-01T00:00:00"/>
    <s v="000-588/AIB RDC/2022"/>
    <n v="0"/>
    <s v="SOUSCRIPTION"/>
    <s v="00016961"/>
    <s v="DEZIWA / Bolloré"/>
    <m/>
    <s v="SYNTYCHE"/>
    <s v="Victor"/>
    <s v="MARINE CARGO / GIT"/>
    <s v="MARINE"/>
    <x v="6"/>
    <s v="SFA"/>
    <n v="12186.47"/>
    <n v="224.2"/>
    <n v="0"/>
    <n v="0"/>
    <n v="20"/>
    <n v="170"/>
    <n v="30.4"/>
    <n v="1.8397452256477882E-2"/>
    <n v="0.15"/>
    <n v="25.5"/>
    <n v="0"/>
    <n v="0"/>
    <n v="25.5"/>
    <n v="4.08"/>
    <n v="29.58"/>
    <n v="0.51"/>
    <m/>
    <n v="0.51"/>
    <m/>
    <n v="24.99"/>
    <s v="BOLLORE"/>
    <n v="0.4"/>
    <n v="9.9960000000000004"/>
    <n v="9.9960000000000004"/>
    <d v="2023-10-30T00:00:00"/>
    <n v="0"/>
    <m/>
    <n v="29.58"/>
    <n v="29.58"/>
    <n v="0"/>
    <s v="SFA"/>
    <d v="2022-10-28T00:00:00"/>
    <m/>
    <s v="ONCE OFF"/>
    <s v="MARINE CARGO / GIT"/>
    <m/>
    <m/>
    <m/>
  </r>
  <r>
    <x v="9"/>
    <s v="Yes"/>
    <d v="2022-10-10T00:00:00"/>
    <d v="2022-09-21T00:00:00"/>
    <d v="2022-08-22T00:00:00"/>
    <d v="2023-02-25T00:00:00"/>
    <s v="000-589/AIB RDC/2022"/>
    <n v="2"/>
    <s v="INCORPORATION"/>
    <s v="01-RCAP-2021-000040"/>
    <s v="Glencore / Mutanda Mining"/>
    <s v="MINING"/>
    <s v="ANDY"/>
    <s v="Nyota"/>
    <s v="MOTOR TPL"/>
    <s v="MOTOR TPL"/>
    <x v="6"/>
    <s v="SFA"/>
    <n v="0"/>
    <n v="2243.41"/>
    <n v="0"/>
    <n v="0"/>
    <n v="28.06"/>
    <n v="1873.14"/>
    <n v="304.19"/>
    <e v="#DIV/0!"/>
    <n v="0.1"/>
    <n v="187.31400000000002"/>
    <n v="0"/>
    <n v="0"/>
    <n v="187.31400000000002"/>
    <n v="29.970240000000004"/>
    <n v="217.28424000000001"/>
    <n v="3.7462800000000005"/>
    <n v="0"/>
    <n v="3.7462800000000005"/>
    <m/>
    <n v="183.56772000000001"/>
    <m/>
    <m/>
    <n v="0"/>
    <m/>
    <m/>
    <n v="0"/>
    <m/>
    <n v="217.28424000000001"/>
    <n v="217.28424000000001"/>
    <n v="0"/>
    <s v="SFA"/>
    <d v="2022-10-28T00:00:00"/>
    <m/>
    <s v="RENEWED"/>
    <s v="MOTOR TPL"/>
    <m/>
    <m/>
    <m/>
  </r>
  <r>
    <x v="9"/>
    <s v="Yes"/>
    <d v="2022-10-10T00:00:00"/>
    <d v="2022-08-24T00:00:00"/>
    <d v="2022-08-01T00:00:00"/>
    <d v="2022-12-30T00:00:00"/>
    <s v="000-590/AIB RDC/2022"/>
    <n v="4"/>
    <s v="PROROGATION"/>
    <s v="01-TRC-2020-000013"/>
    <s v="LUANO GRANDES PROPRIETES  S.A.R.L/ Offices"/>
    <s v="CONSTRUCTION"/>
    <s v="ANDY"/>
    <s v="Michée"/>
    <s v="TRC"/>
    <s v="CONSTRUCTIONS"/>
    <x v="6"/>
    <s v="SFA"/>
    <n v="0"/>
    <n v="4348.79"/>
    <n v="0"/>
    <n v="0"/>
    <n v="28.29"/>
    <n v="3657.12"/>
    <n v="589.66999999999996"/>
    <e v="#DIV/0!"/>
    <n v="0.15"/>
    <n v="548.56799999999998"/>
    <n v="0"/>
    <n v="0"/>
    <n v="548.56799999999998"/>
    <n v="87.770880000000005"/>
    <n v="636.33888000000002"/>
    <n v="10.971360000000001"/>
    <m/>
    <n v="10.971360000000001"/>
    <m/>
    <n v="537.59663999999998"/>
    <m/>
    <m/>
    <n v="0"/>
    <m/>
    <m/>
    <n v="0"/>
    <m/>
    <n v="636.33888000000002"/>
    <n v="636.33888000000002"/>
    <n v="0"/>
    <s v="SFA"/>
    <d v="2022-10-28T00:00:00"/>
    <m/>
    <s v="EXTENDED"/>
    <s v="TRC"/>
    <m/>
    <m/>
    <m/>
  </r>
  <r>
    <x v="10"/>
    <s v="Yes"/>
    <d v="2022-10-10T00:00:00"/>
    <d v="2022-09-14T00:00:00"/>
    <d v="2022-06-01T00:00:00"/>
    <d v="2022-09-30T00:00:00"/>
    <s v="000-591/AIB RDC/2022"/>
    <n v="0"/>
    <s v="SOUSCRIPTION"/>
    <s v="00017038"/>
    <s v="Glencore DRC"/>
    <s v="MINING"/>
    <s v="ANDY"/>
    <s v="Andy"/>
    <s v="MEDICAL"/>
    <s v="MEDICAL &amp; GPA"/>
    <x v="6"/>
    <s v="SFA"/>
    <n v="0"/>
    <n v="18385.009999999998"/>
    <n v="2703.68"/>
    <n v="0"/>
    <n v="0"/>
    <n v="15320.84"/>
    <n v="0"/>
    <e v="#DIV/0!"/>
    <n v="5.29409614616431E-2"/>
    <n v="811.10000000000014"/>
    <n v="0"/>
    <n v="0"/>
    <n v="811.10000000000014"/>
    <n v="129.77600000000001"/>
    <n v="940.8760000000002"/>
    <n v="16.222000000000001"/>
    <m/>
    <n v="16.222000000000001"/>
    <m/>
    <n v="794.87800000000016"/>
    <m/>
    <m/>
    <n v="0"/>
    <m/>
    <m/>
    <n v="0"/>
    <m/>
    <n v="940.8760000000002"/>
    <n v="940.8760000000002"/>
    <n v="0"/>
    <s v="SFA"/>
    <d v="2022-10-28T00:00:00"/>
    <m/>
    <s v="RENEWING..."/>
    <s v="MEDICAL"/>
    <m/>
    <m/>
    <m/>
  </r>
  <r>
    <x v="1"/>
    <s v="Yes"/>
    <d v="2022-10-10T00:00:00"/>
    <d v="2022-09-07T00:00:00"/>
    <d v="2022-09-08T00:00:00"/>
    <d v="2023-09-07T00:00:00"/>
    <s v="000-592/AIB RDC/2022"/>
    <n v="2"/>
    <s v="RENOUVELLEMENT"/>
    <s v="00016993"/>
    <s v="Teichmann Group / Durban Logistics"/>
    <m/>
    <s v="ANDY"/>
    <s v="Andy"/>
    <s v="MOTOR TPL"/>
    <s v="MOTOR TPL"/>
    <x v="6"/>
    <s v="SFA"/>
    <n v="0"/>
    <n v="12305.9"/>
    <n v="0"/>
    <n v="0"/>
    <n v="153.94"/>
    <n v="10274.799999999999"/>
    <n v="1668.59"/>
    <e v="#DIV/0!"/>
    <n v="0.1"/>
    <n v="1027.48"/>
    <n v="0"/>
    <n v="0"/>
    <n v="1027.48"/>
    <n v="164.39680000000001"/>
    <n v="1191.8768"/>
    <n v="20.549600000000002"/>
    <m/>
    <n v="20.549600000000002"/>
    <m/>
    <n v="1006.9304"/>
    <s v="O'NEILS"/>
    <n v="0.5"/>
    <n v="503.46519999999998"/>
    <n v="503.46519999999998"/>
    <d v="2023-06-09T00:00:00"/>
    <n v="0"/>
    <s v="PT015/AIB RDC/2022"/>
    <n v="1191.8768"/>
    <n v="1191.8768"/>
    <n v="0"/>
    <s v="SFA"/>
    <d v="2022-10-28T00:00:00"/>
    <m/>
    <m/>
    <s v="MOTOR TPL"/>
    <m/>
    <m/>
    <m/>
  </r>
  <r>
    <x v="1"/>
    <s v="Yes"/>
    <d v="2022-10-10T00:00:00"/>
    <d v="2022-09-09T00:00:00"/>
    <d v="2022-09-09T00:00:00"/>
    <d v="2023-09-08T00:00:00"/>
    <s v="000-593/AIB RDC/2022"/>
    <n v="0"/>
    <s v="SOUSCRIPTION"/>
    <s v="00017008"/>
    <s v="Shoprite"/>
    <m/>
    <s v="SYNTYCHE"/>
    <s v="Syntyche"/>
    <s v="MOTOR TPL"/>
    <s v="MOTOR TPL"/>
    <x v="6"/>
    <s v="SFA"/>
    <n v="0"/>
    <n v="768.92"/>
    <n v="0"/>
    <n v="0"/>
    <n v="9.6300000000000008"/>
    <n v="642"/>
    <n v="104.26"/>
    <e v="#DIV/0!"/>
    <n v="0.1"/>
    <n v="64.2"/>
    <n v="0"/>
    <n v="0"/>
    <n v="64.2"/>
    <n v="10.272"/>
    <n v="74.472000000000008"/>
    <n v="1.284"/>
    <n v="0"/>
    <n v="1.284"/>
    <m/>
    <n v="62.916000000000004"/>
    <s v="MARSH"/>
    <n v="0"/>
    <n v="0"/>
    <m/>
    <m/>
    <n v="0"/>
    <m/>
    <n v="74.472000000000008"/>
    <n v="74.472000000000008"/>
    <n v="0"/>
    <s v="SFA"/>
    <d v="2022-10-28T00:00:00"/>
    <m/>
    <m/>
    <s v="MOTOR TPL"/>
    <m/>
    <m/>
    <m/>
  </r>
  <r>
    <x v="1"/>
    <s v="Yes"/>
    <d v="2022-10-10T00:00:00"/>
    <d v="2022-09-12T00:00:00"/>
    <d v="2022-09-09T00:00:00"/>
    <d v="2023-09-08T00:00:00"/>
    <s v="000-594/AIB RDC/2022"/>
    <n v="1"/>
    <s v="RENOUVELLEMENT"/>
    <s v="00017022"/>
    <s v="Shoprite"/>
    <m/>
    <s v="SYNTYCHE"/>
    <s v="Syntyche"/>
    <s v="GPA"/>
    <s v="MEDICAL &amp; GPA"/>
    <x v="6"/>
    <s v="SFA"/>
    <n v="0"/>
    <n v="1343.61"/>
    <n v="0"/>
    <n v="0"/>
    <n v="174.76"/>
    <n v="963.9"/>
    <n v="182.18"/>
    <e v="#DIV/0!"/>
    <n v="0.1"/>
    <n v="96.39"/>
    <n v="0"/>
    <n v="0"/>
    <n v="96.39"/>
    <n v="15.4224"/>
    <n v="111.8124"/>
    <n v="1.9278"/>
    <n v="0"/>
    <n v="1.9278"/>
    <m/>
    <n v="94.462199999999996"/>
    <s v="MARSH"/>
    <n v="0"/>
    <n v="0"/>
    <m/>
    <m/>
    <n v="0"/>
    <m/>
    <n v="111.8124"/>
    <n v="111.8124"/>
    <n v="0"/>
    <s v="SFA"/>
    <d v="2022-10-28T00:00:00"/>
    <m/>
    <m/>
    <s v="GPA"/>
    <m/>
    <m/>
    <m/>
  </r>
  <r>
    <x v="1"/>
    <s v="Yes"/>
    <d v="2022-08-10T00:00:00"/>
    <d v="2022-09-17T00:00:00"/>
    <d v="2022-09-01T00:00:00"/>
    <d v="2023-08-31T00:00:00"/>
    <s v="000-595/AIB RDC/2022"/>
    <n v="1"/>
    <s v="RENOUVELLEMENT"/>
    <s v="301/60600001"/>
    <s v="Watu Wetu SAS"/>
    <s v="Mining"/>
    <s v="ANDY"/>
    <s v="Andy"/>
    <s v="GENERAL LIABILITY"/>
    <s v="LIABILITIES"/>
    <x v="4"/>
    <s v="HARBOUR INSURANCE PTE Ltd"/>
    <n v="0"/>
    <n v="124941.18"/>
    <n v="15882.35"/>
    <n v="-7411.76"/>
    <n v="0"/>
    <n v="90000"/>
    <n v="16941.18"/>
    <e v="#DIV/0!"/>
    <n v="0"/>
    <n v="0"/>
    <n v="2541.1770000000001"/>
    <n v="0"/>
    <n v="2541.1770000000001"/>
    <n v="406.58832000000001"/>
    <n v="2947.76532"/>
    <n v="50.823540000000001"/>
    <m/>
    <n v="50.823540000000001"/>
    <m/>
    <n v="2490.3534600000003"/>
    <m/>
    <m/>
    <n v="0"/>
    <m/>
    <m/>
    <n v="0"/>
    <m/>
    <n v="2947.76532"/>
    <n v="2947.76532"/>
    <n v="0"/>
    <s v="RAWSUR"/>
    <d v="2022-11-04T00:00:00"/>
    <m/>
    <m/>
    <s v="GENERAL LIABILITY"/>
    <m/>
    <m/>
    <m/>
  </r>
  <r>
    <x v="5"/>
    <s v="Yes"/>
    <d v="2022-11-07T00:00:00"/>
    <d v="2022-10-21T00:00:00"/>
    <d v="2022-11-01T00:00:00"/>
    <d v="2023-10-31T00:00:00"/>
    <s v="000-596/AIB RDC/2022"/>
    <n v="0"/>
    <s v="SOUSCRIPTION"/>
    <s v="12001-090017/1005/370000000787"/>
    <s v="FBN BANK"/>
    <s v="Banking"/>
    <s v="ALICE"/>
    <s v="Alice"/>
    <s v="BBB"/>
    <s v="PROPERTIES"/>
    <x v="0"/>
    <s v="ACTIVA"/>
    <n v="0"/>
    <n v="698669.71"/>
    <n v="0"/>
    <n v="0"/>
    <n v="5963.38"/>
    <n v="596338.09"/>
    <n v="96368.24"/>
    <e v="#DIV/0!"/>
    <n v="0"/>
    <n v="0"/>
    <n v="41744"/>
    <n v="0"/>
    <n v="41744"/>
    <n v="6679.04"/>
    <n v="48423.040000000001"/>
    <n v="834.88"/>
    <m/>
    <n v="834.88"/>
    <m/>
    <n v="40909.120000000003"/>
    <m/>
    <m/>
    <n v="0"/>
    <m/>
    <m/>
    <n v="0"/>
    <m/>
    <n v="48423.040000000001"/>
    <n v="48423.040000000001"/>
    <n v="0"/>
    <s v="ACTIVA"/>
    <d v="2022-12-22T00:00:00"/>
    <m/>
    <m/>
    <s v="BBB"/>
    <m/>
    <m/>
    <m/>
  </r>
  <r>
    <x v="1"/>
    <s v="Yes"/>
    <d v="2022-09-02T00:00:00"/>
    <d v="2022-10-31T00:00:00"/>
    <d v="2022-09-02T00:00:00"/>
    <d v="2022-09-04T00:00:00"/>
    <s v="000-597/AIB RDC/2022"/>
    <n v="0"/>
    <s v="SOUSCRIPTION"/>
    <s v="12002-33002-0022-111-00017413-2022"/>
    <s v="SACIM / Bolloré"/>
    <m/>
    <s v="SYNTYCHE"/>
    <s v="Victor"/>
    <s v="MARINE CARGO / GIT"/>
    <s v="MARINE"/>
    <x v="6"/>
    <s v="SFA"/>
    <n v="311.27999999999997"/>
    <n v="94.4"/>
    <n v="0"/>
    <n v="0"/>
    <n v="20"/>
    <n v="60"/>
    <n v="12.8"/>
    <n v="0.30326394243125165"/>
    <n v="0.15"/>
    <n v="9"/>
    <n v="0"/>
    <n v="0"/>
    <n v="9"/>
    <n v="1.44"/>
    <n v="10.44"/>
    <n v="0.18"/>
    <n v="0"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2-11-22T00:00:00"/>
    <m/>
    <s v="ONCE OFF"/>
    <s v="MARINE CARGO / GIT"/>
    <m/>
    <m/>
    <m/>
  </r>
  <r>
    <x v="2"/>
    <s v="Yes"/>
    <d v="2022-10-22T00:00:00"/>
    <d v="2022-10-27T00:00:00"/>
    <d v="2022-10-27T00:00:00"/>
    <d v="2023-03-22T00:00:00"/>
    <s v="000-598/AIB RDC/2022"/>
    <n v="6"/>
    <s v="INCORPORATION"/>
    <s v="00016055"/>
    <s v="AFRICELL RDC Sa"/>
    <s v="TELECOM"/>
    <s v="MICHEE"/>
    <s v="Apphia"/>
    <s v="MOTOR TPL"/>
    <s v="MOTOR TPL"/>
    <x v="6"/>
    <s v="SFA"/>
    <n v="0"/>
    <n v="40.659999999999997"/>
    <n v="0"/>
    <n v="0"/>
    <n v="0.51"/>
    <n v="33.950000000000003"/>
    <n v="5.51"/>
    <e v="#DIV/0!"/>
    <n v="0.1"/>
    <n v="3.3950000000000005"/>
    <n v="0"/>
    <n v="0"/>
    <n v="3.3950000000000005"/>
    <n v="0.54320000000000013"/>
    <n v="3.9382000000000006"/>
    <n v="6.7900000000000016E-2"/>
    <m/>
    <n v="6.7900000000000016E-2"/>
    <m/>
    <n v="3.3271000000000006"/>
    <m/>
    <m/>
    <n v="0"/>
    <m/>
    <m/>
    <n v="0"/>
    <m/>
    <n v="3.9382000000000006"/>
    <n v="3.9382000000000006"/>
    <n v="0"/>
    <s v="SFA"/>
    <d v="2022-11-22T00:00:00"/>
    <m/>
    <s v="RENEWED"/>
    <s v="MOTOR TPL"/>
    <m/>
    <m/>
    <m/>
  </r>
  <r>
    <x v="2"/>
    <s v="Yes"/>
    <d v="2022-10-06T00:00:00"/>
    <d v="2022-10-14T00:00:00"/>
    <d v="2022-10-14T00:00:00"/>
    <d v="2023-10-13T00:00:00"/>
    <s v="000-599/AIB RDC/2022"/>
    <n v="0"/>
    <s v="SOUSCRIPTION"/>
    <s v="12002-33002-0004-103-00017248-2022"/>
    <s v="ALLIED INSURANCE BROKERS ( AIB) RDC SA"/>
    <s v="INSURANCE"/>
    <s v="MICHEE"/>
    <s v="Apphia"/>
    <s v="MOTOR TPL"/>
    <s v="MOTOR TPL"/>
    <x v="6"/>
    <s v="SFA"/>
    <n v="0"/>
    <n v="889.89"/>
    <n v="0"/>
    <n v="0"/>
    <n v="11.15"/>
    <n v="743"/>
    <n v="120.66"/>
    <e v="#DIV/0!"/>
    <n v="0.1"/>
    <n v="74.3"/>
    <n v="0"/>
    <n v="0"/>
    <n v="74.3"/>
    <n v="11.888"/>
    <n v="86.188000000000002"/>
    <n v="1.486"/>
    <m/>
    <n v="1.486"/>
    <m/>
    <n v="72.813999999999993"/>
    <m/>
    <m/>
    <n v="0"/>
    <m/>
    <m/>
    <n v="0"/>
    <m/>
    <n v="86.188000000000002"/>
    <n v="86.188000000000002"/>
    <n v="0"/>
    <s v="SFA"/>
    <d v="2022-11-22T00:00:00"/>
    <m/>
    <m/>
    <s v="MOTOR TPL"/>
    <m/>
    <m/>
    <m/>
  </r>
  <r>
    <x v="9"/>
    <s v="No"/>
    <d v="2023-08-18T00:00:00"/>
    <m/>
    <d v="2022-08-01T00:00:00"/>
    <d v="2023-07-31T00:00:00"/>
    <s v="000-600/AIB RDC/2022"/>
    <n v="1"/>
    <s v="INCORPORATION"/>
    <s v="301-12200003"/>
    <s v="Glencore DRC"/>
    <s v="Mining"/>
    <s v="ANDY"/>
    <s v="Andy"/>
    <s v="GPA"/>
    <s v="MEDICAL &amp; GPA"/>
    <x v="4"/>
    <s v="HARBOUR INSURANCE PTE Ltd"/>
    <n v="0"/>
    <n v="3837.54"/>
    <n v="487.82"/>
    <n v="-227.65"/>
    <n v="0"/>
    <n v="2764.33"/>
    <n v="520.34"/>
    <e v="#DIV/0!"/>
    <n v="0"/>
    <n v="0"/>
    <n v="78.050999999999988"/>
    <n v="0"/>
    <n v="78.050999999999988"/>
    <n v="12.488159999999999"/>
    <n v="90.539159999999981"/>
    <n v="1.5610199999999999"/>
    <m/>
    <n v="1.5610199999999999"/>
    <m/>
    <n v="76.489979999999989"/>
    <m/>
    <m/>
    <n v="0"/>
    <m/>
    <m/>
    <n v="0"/>
    <m/>
    <m/>
    <n v="90.539159999999981"/>
    <n v="90.539159999999981"/>
    <s v="RAWSUR"/>
    <m/>
    <m/>
    <m/>
    <m/>
    <m/>
    <m/>
    <m/>
  </r>
  <r>
    <x v="2"/>
    <s v="Yes"/>
    <d v="2022-10-18T00:00:00"/>
    <d v="2022-10-24T00:00:00"/>
    <d v="2022-10-18T00:00:00"/>
    <d v="2023-10-17T00:00:00"/>
    <s v="000-601/AIB RDC/2022"/>
    <n v="0"/>
    <s v="SOUSCRIPTION"/>
    <s v="12005-33002-0008-13001-00003834-2022"/>
    <s v="EASTCASTLE INFRASTRUCTURE DRC SARLU"/>
    <m/>
    <s v="MICHEE"/>
    <s v="Apphia"/>
    <s v="PROPERTY DAMAGE &amp; BI"/>
    <s v="PROPERTIES"/>
    <x v="1"/>
    <s v="MAYFAIR"/>
    <n v="0"/>
    <n v="38720"/>
    <n v="0"/>
    <n v="0"/>
    <n v="50"/>
    <n v="32763.56"/>
    <n v="5250.17"/>
    <e v="#DIV/0!"/>
    <n v="0.15"/>
    <n v="4914.5339999999997"/>
    <n v="0"/>
    <n v="0"/>
    <n v="4914.5339999999997"/>
    <n v="786.32543999999996"/>
    <n v="5700.8594399999993"/>
    <n v="98.290679999999995"/>
    <n v="0"/>
    <n v="98.290679999999995"/>
    <m/>
    <n v="4816.2433199999996"/>
    <s v="MARSH"/>
    <n v="0.3"/>
    <n v="1444.8729959999998"/>
    <n v="1444.8729959999998"/>
    <d v="2023-09-19T00:00:00"/>
    <n v="0"/>
    <m/>
    <n v="5700.8594399999993"/>
    <n v="5700.8594399999993"/>
    <n v="0"/>
    <s v="MAYFAIR"/>
    <d v="2022-11-17T00:00:00"/>
    <m/>
    <m/>
    <s v="PROPERTY DAMAGE &amp; BI"/>
    <m/>
    <m/>
    <m/>
  </r>
  <r>
    <x v="2"/>
    <s v="Yes"/>
    <d v="2022-09-27T00:00:00"/>
    <d v="2022-10-18T00:00:00"/>
    <d v="2022-10-18T00:00:00"/>
    <d v="2023-10-17T00:00:00"/>
    <s v="000-602/AIB RDC/2022"/>
    <n v="0"/>
    <s v="SOUSCRIPTION"/>
    <s v="12002-33002-0004-103-00017305-2022"/>
    <s v="FORTUNE CONSTRUCTION CONGO (Group LAXMAN)"/>
    <m/>
    <s v="MICHEE"/>
    <s v="Apphia"/>
    <s v="MOTOR TPL"/>
    <s v="MOTOR TPL"/>
    <x v="6"/>
    <s v="SFA"/>
    <n v="0"/>
    <n v="21250.19"/>
    <n v="0"/>
    <n v="0"/>
    <n v="265.74"/>
    <n v="17742.900000000001"/>
    <n v="2881.38"/>
    <e v="#DIV/0!"/>
    <n v="0.1"/>
    <n v="1774.2900000000002"/>
    <n v="0"/>
    <n v="0"/>
    <n v="1774.2900000000002"/>
    <n v="283.88640000000004"/>
    <n v="2058.1764000000003"/>
    <n v="35.485800000000005"/>
    <m/>
    <n v="35.485800000000005"/>
    <m/>
    <n v="1738.8042000000003"/>
    <m/>
    <m/>
    <n v="0"/>
    <m/>
    <m/>
    <n v="0"/>
    <m/>
    <n v="2058.1764000000003"/>
    <n v="2058.1764000000003"/>
    <n v="0"/>
    <s v="SFA"/>
    <d v="2022-11-22T00:00:00"/>
    <m/>
    <m/>
    <s v="MOTOR TPL"/>
    <m/>
    <m/>
    <m/>
  </r>
  <r>
    <x v="5"/>
    <s v="Yes"/>
    <d v="2022-10-19T00:00:00"/>
    <d v="2022-10-31T00:00:00"/>
    <d v="2022-11-01T00:00:00"/>
    <d v="2023-10-31T00:00:00"/>
    <s v="000-603/AIB RDC/2022"/>
    <n v="0"/>
    <s v="SOUSCRIPTION"/>
    <s v="12002-33002-0002-112-00017417-2022"/>
    <s v="AFRICELL RDC Sa"/>
    <s v="TELECOM"/>
    <s v="MICHEE"/>
    <s v="Apphia"/>
    <s v="CIT"/>
    <s v="MARINE"/>
    <x v="6"/>
    <s v="SFA"/>
    <n v="0"/>
    <n v="9770.75"/>
    <n v="1235.29"/>
    <n v="0"/>
    <n v="45"/>
    <n v="7000"/>
    <n v="1324.85"/>
    <e v="#DIV/0!"/>
    <n v="0.15"/>
    <n v="1050"/>
    <n v="0"/>
    <n v="0"/>
    <n v="1050"/>
    <n v="168"/>
    <n v="1218"/>
    <n v="21"/>
    <m/>
    <n v="21"/>
    <m/>
    <n v="1029"/>
    <m/>
    <m/>
    <n v="0"/>
    <m/>
    <m/>
    <n v="0"/>
    <m/>
    <n v="1218"/>
    <n v="1218"/>
    <n v="0"/>
    <s v="SFA"/>
    <d v="2022-11-22T00:00:00"/>
    <m/>
    <m/>
    <s v="CIT"/>
    <m/>
    <m/>
    <m/>
  </r>
  <r>
    <x v="1"/>
    <s v="Yes"/>
    <d v="2022-10-06T00:00:00"/>
    <d v="2022-10-24T00:00:00"/>
    <d v="2022-09-30T00:00:00"/>
    <d v="2023-09-29T00:00:00"/>
    <s v="000-604/AIB RDC/2022"/>
    <n v="0"/>
    <s v="SOUSCRIPTION"/>
    <s v="12002-33002-0024-113-00017357-2022"/>
    <s v="AVZ Dathcom Mining"/>
    <s v="Mining"/>
    <s v="ANDY"/>
    <s v="Andy"/>
    <s v="PUBLIC LIABILITY"/>
    <s v="LIABILITIES"/>
    <x v="6"/>
    <s v="SFA"/>
    <n v="1000000"/>
    <n v="4935.95"/>
    <n v="622.84"/>
    <n v="0"/>
    <n v="30.76"/>
    <n v="3529.41"/>
    <n v="669.28"/>
    <n v="4.9359499999999997E-3"/>
    <n v="0.15"/>
    <n v="529.41149999999993"/>
    <n v="0"/>
    <n v="0"/>
    <n v="529.41149999999993"/>
    <n v="84.705839999999995"/>
    <n v="614.1173399999999"/>
    <n v="10.588229999999999"/>
    <m/>
    <n v="10.588229999999999"/>
    <m/>
    <n v="518.82326999999998"/>
    <s v="Fenchurch Insurance"/>
    <m/>
    <n v="0"/>
    <m/>
    <m/>
    <n v="0"/>
    <m/>
    <n v="614.1173399999999"/>
    <n v="614.1173399999999"/>
    <n v="0"/>
    <s v="SFA"/>
    <d v="2022-11-22T00:00:00"/>
    <m/>
    <m/>
    <s v="PUBLIC LIABILITY"/>
    <m/>
    <m/>
    <m/>
  </r>
  <r>
    <x v="2"/>
    <s v="No"/>
    <d v="2022-11-04T00:00:00"/>
    <s v="TBA"/>
    <d v="2022-10-17T00:00:00"/>
    <d v="2023-01-16T00:00:00"/>
    <s v="000-605/AIB RDC/2022"/>
    <n v="0"/>
    <s v="SOUSCRIPTION"/>
    <n v="72000070"/>
    <s v="GLOBAL LABORATORIES / Bolloré"/>
    <m/>
    <s v="SYNTYCHE"/>
    <s v="Victor"/>
    <s v="MARINE CARGO / GIT"/>
    <s v="MARINE"/>
    <x v="4"/>
    <s v="RAWSUR"/>
    <n v="8988"/>
    <n v="129.80000000000001"/>
    <n v="0"/>
    <n v="0"/>
    <n v="10"/>
    <n v="100"/>
    <n v="10"/>
    <n v="1.4441477525589677E-2"/>
    <n v="0.15"/>
    <n v="15"/>
    <n v="0"/>
    <n v="0"/>
    <n v="15"/>
    <n v="2.4"/>
    <n v="17.399999999999999"/>
    <n v="0.3"/>
    <m/>
    <n v="0.3"/>
    <m/>
    <n v="14.7"/>
    <s v="BOLLORE"/>
    <n v="0.4"/>
    <n v="5.88"/>
    <m/>
    <m/>
    <n v="5.88"/>
    <m/>
    <m/>
    <n v="17.399999999999999"/>
    <n v="17.399999999999999"/>
    <s v="RAWSUR"/>
    <m/>
    <m/>
    <s v="ONCE OFF"/>
    <s v="MARINE CARGO / GIT"/>
    <m/>
    <m/>
    <s v="Prime en cours de paiement par Bolloré"/>
  </r>
  <r>
    <x v="2"/>
    <s v="No"/>
    <m/>
    <m/>
    <m/>
    <m/>
    <s v="000-606/AIB RDC/2022"/>
    <m/>
    <m/>
    <m/>
    <s v="ANGEL COSMETICS"/>
    <m/>
    <s v="MICHEE"/>
    <s v="Apphia"/>
    <s v="FIRE"/>
    <s v="PROPERTIES"/>
    <x v="6"/>
    <s v="SFA"/>
    <n v="0"/>
    <m/>
    <m/>
    <m/>
    <m/>
    <m/>
    <m/>
    <e v="#DIV/0!"/>
    <m/>
    <n v="0"/>
    <n v="0"/>
    <n v="0"/>
    <n v="0"/>
    <n v="0"/>
    <n v="0"/>
    <n v="0"/>
    <m/>
    <n v="0"/>
    <m/>
    <n v="0"/>
    <m/>
    <m/>
    <n v="0"/>
    <m/>
    <m/>
    <n v="0"/>
    <m/>
    <m/>
    <n v="0"/>
    <n v="0"/>
    <s v="SFA"/>
    <m/>
    <m/>
    <m/>
    <s v="FIRE"/>
    <m/>
    <m/>
    <m/>
  </r>
  <r>
    <x v="1"/>
    <s v="Yes"/>
    <d v="2022-12-09T00:00:00"/>
    <d v="2022-11-14T00:00:00"/>
    <d v="2022-09-16T00:00:00"/>
    <d v="2023-09-15T00:00:00"/>
    <s v="000-607/AIB RDC/2022"/>
    <n v="0"/>
    <s v="SOUSCRIPTION"/>
    <s v="00017521"/>
    <s v="PALMCO"/>
    <m/>
    <s v="MICHEE"/>
    <s v="Apphia"/>
    <s v="FIRE"/>
    <s v="PROPERTIES"/>
    <x v="6"/>
    <s v="SFA"/>
    <n v="0"/>
    <n v="169636.05"/>
    <n v="18333.41"/>
    <n v="0"/>
    <n v="633.96"/>
    <n v="124791.99"/>
    <n v="23001.5"/>
    <e v="#DIV/0!"/>
    <n v="7.0000000000000007E-2"/>
    <n v="8735.4393000000018"/>
    <n v="0"/>
    <n v="0"/>
    <n v="8735.4393000000018"/>
    <n v="1397.6702880000003"/>
    <n v="10133.109588000003"/>
    <n v="174.70878600000003"/>
    <m/>
    <n v="174.70878600000003"/>
    <m/>
    <n v="8560.7305140000026"/>
    <s v="Aucun"/>
    <m/>
    <n v="0"/>
    <m/>
    <m/>
    <n v="0"/>
    <m/>
    <n v="10133.109588000003"/>
    <n v="10133.109588000003"/>
    <n v="0"/>
    <s v="SFA"/>
    <d v="2022-12-16T00:00:00"/>
    <m/>
    <m/>
    <s v="FIRE"/>
    <m/>
    <m/>
    <m/>
  </r>
  <r>
    <x v="2"/>
    <s v="Yes"/>
    <d v="2022-10-31T00:00:00"/>
    <d v="2022-10-13T00:00:00"/>
    <d v="2022-10-11T00:00:00"/>
    <d v="2023-10-10T00:00:00"/>
    <s v="000-608/AIB RDC/2022"/>
    <n v="0"/>
    <s v="SOUSCRIPTION"/>
    <s v="12002-33002-0024-113-00017239-2022"/>
    <s v="WINE O'CLOCK / Drink store"/>
    <m/>
    <s v="SYNTYCHE"/>
    <s v="Syntyche"/>
    <s v="GENERAL LIABILITY"/>
    <s v="LIABILITIES"/>
    <x v="6"/>
    <s v="SFA"/>
    <n v="0"/>
    <n v="756.59"/>
    <n v="0"/>
    <n v="0"/>
    <n v="20"/>
    <n v="621.17999999999995"/>
    <n v="102.59"/>
    <e v="#DIV/0!"/>
    <n v="0.15"/>
    <n v="93.176999999999992"/>
    <n v="0"/>
    <n v="0"/>
    <n v="93.176999999999992"/>
    <n v="14.90832"/>
    <n v="108.08532"/>
    <n v="1.86354"/>
    <m/>
    <n v="1.86354"/>
    <m/>
    <n v="91.313459999999992"/>
    <m/>
    <m/>
    <n v="0"/>
    <m/>
    <m/>
    <n v="0"/>
    <m/>
    <n v="108.08532"/>
    <n v="108.08532"/>
    <n v="0"/>
    <s v="SFA"/>
    <d v="2022-11-22T00:00:00"/>
    <m/>
    <m/>
    <s v="GENERAL LIABILITY"/>
    <m/>
    <m/>
    <m/>
  </r>
  <r>
    <x v="2"/>
    <s v="Yes"/>
    <d v="2022-11-04T00:00:00"/>
    <d v="2022-10-08T00:00:00"/>
    <d v="2022-10-08T00:00:00"/>
    <d v="2023-01-19T00:00:00"/>
    <s v="000-609/AIB RDC/2022"/>
    <n v="18"/>
    <s v="INCORPORATION"/>
    <s v="01-RCAP-2021-000013"/>
    <s v="GSA"/>
    <s v="SECURITY"/>
    <s v="SYNTYCHE"/>
    <s v="Grace"/>
    <s v="MOTOR TPL"/>
    <s v="MOTOR TPL"/>
    <x v="6"/>
    <s v="SFA"/>
    <n v="0"/>
    <n v="121.51"/>
    <n v="0"/>
    <n v="0"/>
    <n v="1.52"/>
    <n v="101.47"/>
    <n v="16.47"/>
    <e v="#DIV/0!"/>
    <n v="0.1"/>
    <n v="10.147"/>
    <n v="0"/>
    <n v="0"/>
    <n v="10.147"/>
    <n v="1.6235200000000001"/>
    <n v="11.770520000000001"/>
    <n v="0.20294000000000001"/>
    <n v="0"/>
    <n v="0.20294000000000001"/>
    <m/>
    <n v="9.9440600000000003"/>
    <m/>
    <m/>
    <n v="0"/>
    <m/>
    <m/>
    <n v="0"/>
    <m/>
    <n v="11.770520000000001"/>
    <n v="11.770520000000001"/>
    <n v="0"/>
    <s v="SFA"/>
    <d v="2022-11-22T00:00:00"/>
    <m/>
    <s v="RENEWED"/>
    <s v="MOTOR TPL"/>
    <m/>
    <m/>
    <m/>
  </r>
  <r>
    <x v="2"/>
    <s v="Yes"/>
    <d v="2022-11-04T00:00:00"/>
    <d v="2022-10-28T00:00:00"/>
    <d v="2022-10-10T00:00:00"/>
    <d v="2023-10-09T00:00:00"/>
    <s v="000-610/AIB RDC/2022"/>
    <n v="0"/>
    <s v="SOUSCRIPTION"/>
    <s v="00017391"/>
    <s v="GSA"/>
    <s v="SECURITY"/>
    <s v="SYNTYCHE"/>
    <s v="Michée"/>
    <s v="GPA"/>
    <s v="MEDICAL &amp; GPA"/>
    <x v="6"/>
    <s v="SFA"/>
    <n v="0"/>
    <n v="16413.39"/>
    <n v="2076.12"/>
    <n v="0"/>
    <n v="68.819999999999993"/>
    <n v="11764.71"/>
    <n v="2225.54"/>
    <e v="#DIV/0!"/>
    <n v="0.1"/>
    <n v="1176.471"/>
    <n v="0"/>
    <n v="0"/>
    <n v="1176.471"/>
    <n v="188.23536000000001"/>
    <n v="1364.7063600000001"/>
    <n v="23.529420000000002"/>
    <n v="0"/>
    <n v="23.529420000000002"/>
    <m/>
    <n v="1152.9415799999999"/>
    <m/>
    <m/>
    <n v="0"/>
    <m/>
    <m/>
    <n v="0"/>
    <m/>
    <n v="1364.71"/>
    <n v="1364.71"/>
    <n v="0"/>
    <s v="SFA"/>
    <d v="2023-05-24T00:00:00"/>
    <m/>
    <m/>
    <s v="GPA"/>
    <m/>
    <m/>
    <s v="Paiement échelonné"/>
  </r>
  <r>
    <x v="2"/>
    <s v="No"/>
    <d v="2022-11-04T00:00:00"/>
    <s v="TBA"/>
    <s v="TBA"/>
    <s v="TBA"/>
    <s v="000-611/AIB RDC/2022"/>
    <n v="0"/>
    <s v="SOUSCRIPTION"/>
    <s v="PR004153"/>
    <s v="GREAT LAKES CEMENT (GLC) / Bolloré"/>
    <m/>
    <s v="SYNTYCHE"/>
    <s v="Victor"/>
    <s v="MARINE CARGO / GIT"/>
    <s v="MARINE"/>
    <x v="6"/>
    <s v="SFA"/>
    <n v="80475"/>
    <n v="111.04"/>
    <n v="0"/>
    <n v="0"/>
    <n v="1.39"/>
    <n v="92.71"/>
    <n v="15.06"/>
    <n v="1.3798073936004971E-3"/>
    <n v="0.15"/>
    <n v="13.906499999999999"/>
    <n v="0"/>
    <n v="0"/>
    <n v="13.906499999999999"/>
    <n v="2.2250399999999999"/>
    <n v="16.131540000000001"/>
    <n v="0.27812999999999999"/>
    <m/>
    <n v="0.27812999999999999"/>
    <m/>
    <n v="13.62837"/>
    <s v="BOLLORE"/>
    <n v="0.4"/>
    <n v="5.4513480000000003"/>
    <m/>
    <m/>
    <n v="5.4513480000000003"/>
    <m/>
    <m/>
    <n v="16.131540000000001"/>
    <n v="16.131540000000001"/>
    <s v="SFA"/>
    <m/>
    <m/>
    <s v="ONCE OFF"/>
    <s v="MARINE CARGO / GIT"/>
    <m/>
    <m/>
    <s v="Prime en cours de paiement par Bolloré"/>
  </r>
  <r>
    <x v="2"/>
    <s v="Yes"/>
    <d v="2022-11-04T00:00:00"/>
    <d v="2022-10-21T00:00:00"/>
    <d v="2022-10-21T00:00:00"/>
    <d v="2022-10-24T00:00:00"/>
    <s v="000-612/AIB RDC/2022"/>
    <n v="0"/>
    <s v="SOUSCRIPTION"/>
    <s v="12002-33002-0022-111-00017341-2022"/>
    <s v="DEZIWA / Bolloré"/>
    <m/>
    <s v="SYNTYCHE"/>
    <s v="Victor"/>
    <s v="MARINE CARGO / GIT"/>
    <s v="MARINE"/>
    <x v="6"/>
    <s v="SFA"/>
    <n v="31631.14"/>
    <n v="100.3"/>
    <n v="0"/>
    <n v="0"/>
    <n v="20"/>
    <n v="65"/>
    <n v="13.6"/>
    <n v="3.1709258660927173E-3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3-20T00:00:00"/>
    <m/>
    <s v="ONCE OFF"/>
    <s v="MARINE CARGO / GIT"/>
    <m/>
    <m/>
    <s v="Prime en cours de paiement par Bolloré"/>
  </r>
  <r>
    <x v="2"/>
    <s v="Yes"/>
    <d v="2022-11-04T00:00:00"/>
    <d v="2022-10-21T00:00:00"/>
    <d v="2022-10-21T00:00:00"/>
    <d v="2022-10-24T00:00:00"/>
    <s v="000-613/AIB RDC/2022"/>
    <n v="0"/>
    <s v="SOUSCRIPTION"/>
    <s v="12002-33002-0022-111-00017342-2022"/>
    <s v="DEZIWA / Bolloré"/>
    <m/>
    <s v="SYNTYCHE"/>
    <s v="Victor"/>
    <s v="MARINE CARGO / GIT"/>
    <s v="MARINE"/>
    <x v="6"/>
    <s v="SFA"/>
    <n v="78339.350000000006"/>
    <n v="112.33"/>
    <n v="0"/>
    <n v="0"/>
    <n v="20"/>
    <n v="75.2"/>
    <n v="15.23"/>
    <n v="1.4338898650550456E-3"/>
    <n v="0.15"/>
    <n v="11.28"/>
    <n v="0"/>
    <n v="0"/>
    <n v="11.28"/>
    <n v="1.8048"/>
    <n v="13.0848"/>
    <n v="0.22559999999999999"/>
    <m/>
    <n v="0.22559999999999999"/>
    <m/>
    <n v="11.054399999999999"/>
    <s v="BOLLORE"/>
    <n v="0.4"/>
    <n v="4.4217599999999999"/>
    <n v="4.4217599999999999"/>
    <d v="2023-10-30T00:00:00"/>
    <n v="0"/>
    <m/>
    <n v="13.0848"/>
    <n v="13.0848"/>
    <n v="0"/>
    <s v="SFA"/>
    <d v="2023-03-20T00:00:00"/>
    <m/>
    <s v="ONCE OFF"/>
    <s v="MARINE CARGO / GIT"/>
    <m/>
    <m/>
    <s v="Prime en cours de paiement par Bolloré"/>
  </r>
  <r>
    <x v="7"/>
    <s v="No"/>
    <d v="2022-05-31T00:00:00"/>
    <m/>
    <d v="2022-05-31T00:00:00"/>
    <d v="2022-06-30T00:00:00"/>
    <s v="000-614/AIB RDC/2022"/>
    <n v="0"/>
    <s v="SOUSCRIPTION"/>
    <m/>
    <s v="Group Optorg / Katanga Motors"/>
    <s v="Distribution"/>
    <s v="ANDY"/>
    <s v="Andy"/>
    <s v="COMP MOTOR"/>
    <s v="MOTOR COMP"/>
    <x v="6"/>
    <s v="SFA"/>
    <n v="145000"/>
    <n v="706.66"/>
    <n v="0"/>
    <n v="0"/>
    <n v="8.85"/>
    <n v="590.01"/>
    <n v="95.82"/>
    <n v="4.8735172413793097E-3"/>
    <n v="0.15"/>
    <n v="88.501499999999993"/>
    <n v="0"/>
    <n v="0"/>
    <n v="88.501499999999993"/>
    <n v="14.16024"/>
    <n v="102.66173999999999"/>
    <n v="1.77003"/>
    <m/>
    <n v="1.77003"/>
    <m/>
    <n v="86.731469999999987"/>
    <s v="OLEA"/>
    <n v="0.35"/>
    <n v="30.356014499999993"/>
    <m/>
    <m/>
    <n v="30.356014499999993"/>
    <m/>
    <m/>
    <n v="102.66173999999999"/>
    <n v="102.66173999999999"/>
    <s v="SFA"/>
    <m/>
    <m/>
    <s v="ONCE OFF"/>
    <s v="COMP MOTOR"/>
    <m/>
    <m/>
    <s v="Commision à collecter dans le bordereau de Mai"/>
  </r>
  <r>
    <x v="7"/>
    <s v="No"/>
    <d v="2022-05-31T00:00:00"/>
    <m/>
    <d v="2022-05-31T00:00:00"/>
    <d v="2022-06-30T00:00:00"/>
    <s v="000-615/AIB RDC/2022"/>
    <n v="0"/>
    <s v="SOUSCRIPTION"/>
    <m/>
    <s v="Group Optorg / Tractafric Equipment"/>
    <s v="Distribution"/>
    <s v="ANDY"/>
    <s v="Andy"/>
    <s v="COMP MOTOR"/>
    <s v="MOTOR COMP"/>
    <x v="6"/>
    <s v="SFA"/>
    <n v="325557"/>
    <n v="2198.23"/>
    <n v="0"/>
    <n v="0"/>
    <n v="27.52"/>
    <n v="1835.4"/>
    <n v="298.06"/>
    <n v="6.7522123621977107E-3"/>
    <n v="0.15"/>
    <n v="275.31"/>
    <m/>
    <m/>
    <n v="275.31"/>
    <n v="44.049599999999998"/>
    <n v="319.3596"/>
    <n v="5.5061999999999998"/>
    <n v="0"/>
    <n v="5.5061999999999998"/>
    <m/>
    <n v="269.80380000000002"/>
    <s v="OLEA"/>
    <n v="0.35"/>
    <n v="94.431330000000003"/>
    <m/>
    <m/>
    <n v="94.431330000000003"/>
    <m/>
    <m/>
    <n v="319.3596"/>
    <n v="319.3596"/>
    <s v="SFA"/>
    <m/>
    <m/>
    <s v="ONCE OFF"/>
    <s v="COMP MOTOR"/>
    <m/>
    <m/>
    <s v="En attente du paiement de la prime"/>
  </r>
  <r>
    <x v="2"/>
    <s v="No"/>
    <d v="2022-10-04T00:00:00"/>
    <d v="2023-02-24T00:00:00"/>
    <d v="2022-10-04T00:00:00"/>
    <d v="2023-02-24T00:00:00"/>
    <s v="000-616/AIB RDC/2022"/>
    <n v="2"/>
    <s v="RISTOURNE"/>
    <s v="01-TRA-2022-000009"/>
    <s v="Group Optorg / Tractafric Equipment"/>
    <s v="Distribution"/>
    <s v="ANDY"/>
    <s v="Andy"/>
    <s v="COMP MOTOR"/>
    <s v="MOTOR COMP"/>
    <x v="6"/>
    <s v="SFA"/>
    <n v="0"/>
    <n v="-108.32"/>
    <n v="0"/>
    <n v="0"/>
    <n v="0"/>
    <n v="-93.38"/>
    <n v="-14.94"/>
    <e v="#DIV/0!"/>
    <n v="0.1"/>
    <n v="-9.3379999999999992"/>
    <n v="0"/>
    <n v="0"/>
    <n v="-9.3379999999999992"/>
    <n v="-1.4940799999999999"/>
    <n v="-10.832079999999999"/>
    <n v="-0.18675999999999998"/>
    <n v="0"/>
    <n v="-0.18675999999999998"/>
    <m/>
    <n v="-9.1512399999999996"/>
    <s v="OLEA"/>
    <n v="0.35"/>
    <n v="-3.2029339999999995"/>
    <m/>
    <m/>
    <n v="-3.2029339999999995"/>
    <m/>
    <m/>
    <n v="-10.832079999999999"/>
    <n v="-10.832079999999999"/>
    <s v="SFA"/>
    <m/>
    <m/>
    <s v="RENEWED"/>
    <s v="COMP MOTOR"/>
    <m/>
    <m/>
    <m/>
  </r>
  <r>
    <x v="2"/>
    <s v="Yes"/>
    <d v="2022-11-04T00:00:00"/>
    <d v="2022-10-10T00:00:00"/>
    <d v="2022-10-10T00:00:00"/>
    <d v="2022-10-12T00:00:00"/>
    <s v="000-617/AIB RDC/2022"/>
    <n v="0"/>
    <s v="SOUSCRIPTION"/>
    <s v="12002-33002-0022-111-00017219-2022"/>
    <s v="DEZIWA / Bolloré"/>
    <m/>
    <s v="SYNTYCHE"/>
    <s v="Victor"/>
    <s v="MARINE CARGO / GIT"/>
    <s v="MARINE"/>
    <x v="6"/>
    <s v="SFA"/>
    <n v="33635.699999999997"/>
    <n v="66.08"/>
    <n v="0"/>
    <n v="0"/>
    <n v="20"/>
    <n v="36"/>
    <n v="8.9600000000000009"/>
    <n v="1.964579301159185E-3"/>
    <n v="0.15"/>
    <n v="5.3999999999999995"/>
    <n v="0"/>
    <n v="0"/>
    <n v="5.3999999999999995"/>
    <n v="0.86399999999999988"/>
    <n v="6.2639999999999993"/>
    <n v="0.10799999999999998"/>
    <m/>
    <n v="0.10799999999999998"/>
    <m/>
    <n v="5.2919999999999998"/>
    <s v="BOLLORE"/>
    <n v="0.4"/>
    <n v="2.1168"/>
    <n v="2.1168"/>
    <d v="2023-10-30T00:00:00"/>
    <n v="0"/>
    <m/>
    <n v="6.2639999999999993"/>
    <n v="6.2639999999999993"/>
    <n v="0"/>
    <s v="SFA"/>
    <d v="2023-03-20T00:00:00"/>
    <m/>
    <s v="ONCE OFF"/>
    <s v="MARINE CARGO / GIT"/>
    <m/>
    <m/>
    <s v="Prime en cours de paiement par Bolloré"/>
  </r>
  <r>
    <x v="2"/>
    <s v="Yes"/>
    <d v="2022-11-04T00:00:00"/>
    <d v="2022-10-21T00:00:00"/>
    <d v="2022-10-19T00:00:00"/>
    <d v="2023-10-18T00:00:00"/>
    <s v="000-618/AIB RDC/2022"/>
    <n v="0"/>
    <s v="SOUSCRIPTION"/>
    <s v="12002-33002-0022-111-00017330-2022"/>
    <s v="DEZIWA / Bolloré"/>
    <m/>
    <s v="SYNTYCHE"/>
    <s v="Victor"/>
    <s v="MARINE CARGO / GIT"/>
    <s v="MARINE"/>
    <x v="6"/>
    <s v="SFA"/>
    <n v="213791.84"/>
    <n v="595.34"/>
    <n v="0"/>
    <n v="0"/>
    <n v="7.46"/>
    <n v="497.07"/>
    <n v="80.72"/>
    <n v="2.7846712952187512E-3"/>
    <n v="0.15"/>
    <n v="74.56049999999999"/>
    <n v="0"/>
    <n v="0"/>
    <n v="74.56049999999999"/>
    <n v="11.929679999999999"/>
    <n v="86.490179999999995"/>
    <n v="1.4912099999999999"/>
    <m/>
    <n v="1.4912099999999999"/>
    <m/>
    <n v="73.069289999999995"/>
    <s v="BOLLORE"/>
    <n v="0.4"/>
    <n v="29.227716000000001"/>
    <n v="29.227716000000001"/>
    <d v="2023-10-30T00:00:00"/>
    <n v="0"/>
    <m/>
    <n v="86.490179999999995"/>
    <n v="86.490179999999995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19/AIB RDC/2022"/>
    <n v="0"/>
    <s v="SOUSCRIPTION"/>
    <s v="12002-33002-0022-111-00017323-2022"/>
    <s v="DEZIWA / Bolloré"/>
    <m/>
    <s v="SYNTYCHE"/>
    <s v="Victor"/>
    <s v="MARINE CARGO / GIT"/>
    <s v="MARINE"/>
    <x v="6"/>
    <s v="SFA"/>
    <n v="415052.57"/>
    <n v="1155.79"/>
    <n v="0"/>
    <n v="0"/>
    <n v="14.48"/>
    <n v="965"/>
    <n v="156.72"/>
    <n v="2.7846833956479294E-3"/>
    <n v="0.15"/>
    <n v="144.75"/>
    <n v="0"/>
    <n v="0"/>
    <n v="144.75"/>
    <n v="23.16"/>
    <n v="167.91"/>
    <n v="2.895"/>
    <m/>
    <n v="2.895"/>
    <m/>
    <n v="141.85499999999999"/>
    <s v="BOLLORE"/>
    <n v="0.4"/>
    <n v="56.741999999999997"/>
    <n v="56.741999999999997"/>
    <d v="2023-10-30T00:00:00"/>
    <n v="0"/>
    <m/>
    <n v="167.91"/>
    <n v="167.91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0/AIB RDC/2022"/>
    <n v="0"/>
    <s v="SOUSCRIPTION"/>
    <s v="12002-33002-0022-111-00017321-2022"/>
    <s v="DEZIWA / Bolloré"/>
    <m/>
    <s v="SYNTYCHE"/>
    <s v="Victor"/>
    <s v="MARINE CARGO / GIT"/>
    <s v="MARINE"/>
    <x v="6"/>
    <s v="SFA"/>
    <n v="36054.730000000003"/>
    <n v="100.4"/>
    <n v="0"/>
    <n v="0"/>
    <n v="1.26"/>
    <n v="83.83"/>
    <n v="13.61"/>
    <n v="2.784655439106048E-3"/>
    <n v="0.15"/>
    <n v="12.574499999999999"/>
    <n v="0"/>
    <n v="0"/>
    <n v="12.574499999999999"/>
    <n v="2.0119199999999999"/>
    <n v="14.586419999999999"/>
    <n v="0.25148999999999999"/>
    <m/>
    <n v="0.25148999999999999"/>
    <m/>
    <n v="12.323009999999998"/>
    <s v="BOLLORE"/>
    <n v="0.4"/>
    <n v="4.9292039999999995"/>
    <n v="4.9292039999999995"/>
    <d v="2023-10-30T00:00:00"/>
    <n v="0"/>
    <m/>
    <n v="14.586419999999999"/>
    <n v="14.586419999999999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1/AIB RDC/2022"/>
    <n v="0"/>
    <s v="SOUSCRIPTION"/>
    <s v="12002-33002-0022-111-00017320-2022"/>
    <s v="DEZIWA / Bolloré"/>
    <m/>
    <s v="SYNTYCHE"/>
    <s v="Victor"/>
    <s v="MARINE CARGO / GIT"/>
    <s v="MARINE"/>
    <x v="6"/>
    <s v="SFA"/>
    <n v="195073.32"/>
    <n v="543.22"/>
    <n v="0"/>
    <n v="0"/>
    <n v="6.8"/>
    <n v="453.55"/>
    <n v="73.66"/>
    <n v="2.7846965438431048E-3"/>
    <n v="0.15"/>
    <n v="68.032499999999999"/>
    <n v="0"/>
    <n v="0"/>
    <n v="68.032499999999999"/>
    <n v="10.885199999999999"/>
    <n v="78.917699999999996"/>
    <n v="1.3606499999999999"/>
    <m/>
    <n v="1.3606499999999999"/>
    <m/>
    <n v="66.671849999999992"/>
    <s v="BOLLORE"/>
    <n v="0.4"/>
    <n v="26.66874"/>
    <n v="26.66874"/>
    <d v="2023-10-30T00:00:00"/>
    <n v="0"/>
    <m/>
    <n v="78.917699999999996"/>
    <n v="78.917699999999996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2/AIB RDC/2022"/>
    <n v="0"/>
    <s v="SOUSCRIPTION"/>
    <s v="12002-33002-0022-111-00017319-2022"/>
    <s v="DEZIWA / Bolloré"/>
    <m/>
    <s v="SYNTYCHE"/>
    <s v="Victor"/>
    <s v="MARINE CARGO / GIT"/>
    <s v="MARINE"/>
    <x v="6"/>
    <s v="SFA"/>
    <n v="36644.15"/>
    <n v="102.05"/>
    <n v="0"/>
    <n v="0"/>
    <n v="1.28"/>
    <n v="85.2"/>
    <n v="13.84"/>
    <n v="2.7848919950387713E-3"/>
    <n v="0.15"/>
    <n v="12.78"/>
    <n v="0"/>
    <n v="0"/>
    <n v="12.78"/>
    <n v="2.0448"/>
    <n v="14.8248"/>
    <n v="0.25559999999999999"/>
    <m/>
    <n v="0.25559999999999999"/>
    <m/>
    <n v="12.5244"/>
    <s v="BOLLORE"/>
    <n v="0.4"/>
    <n v="5.00976"/>
    <n v="5.00976"/>
    <d v="2023-10-30T00:00:00"/>
    <n v="0"/>
    <m/>
    <n v="14.8248"/>
    <n v="14.8248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3/AIB RDC/2022"/>
    <n v="0"/>
    <s v="SOUSCRIPTION"/>
    <s v="12002-33002-0022-111-00017318-2022"/>
    <s v="DEZIWA / Bolloré"/>
    <m/>
    <s v="SYNTYCHE"/>
    <s v="Victor"/>
    <s v="MARINE CARGO / GIT"/>
    <s v="MARINE"/>
    <x v="6"/>
    <s v="SFA"/>
    <n v="36108.269999999997"/>
    <n v="100.54"/>
    <n v="0"/>
    <n v="0"/>
    <n v="1.26"/>
    <n v="83.95"/>
    <n v="13.63"/>
    <n v="2.7844036836990535E-3"/>
    <n v="0.15"/>
    <n v="12.592499999999999"/>
    <n v="0"/>
    <n v="0"/>
    <n v="12.592499999999999"/>
    <n v="2.0148000000000001"/>
    <n v="14.607299999999999"/>
    <n v="0.25185000000000002"/>
    <m/>
    <n v="0.25185000000000002"/>
    <m/>
    <n v="12.34065"/>
    <s v="BOLLORE"/>
    <n v="0.4"/>
    <n v="4.9362600000000008"/>
    <n v="4.9362600000000008"/>
    <d v="2023-10-30T00:00:00"/>
    <n v="0"/>
    <m/>
    <n v="14.607299999999999"/>
    <n v="14.607299999999999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4/AIB RDC/2022"/>
    <n v="0"/>
    <s v="SOUSCRIPTION"/>
    <s v="12002-33002-0022-111-00017317-2022"/>
    <s v="DEZIWA / Bolloré"/>
    <m/>
    <s v="SYNTYCHE"/>
    <s v="Victor"/>
    <s v="MARINE CARGO / GIT"/>
    <s v="MARINE"/>
    <x v="6"/>
    <s v="SFA"/>
    <n v="155297.99"/>
    <n v="432.46"/>
    <n v="0"/>
    <n v="0"/>
    <n v="5.42"/>
    <n v="361.07"/>
    <n v="58.64"/>
    <n v="2.7847108645771912E-3"/>
    <n v="0.15"/>
    <n v="54.160499999999999"/>
    <n v="0"/>
    <n v="0"/>
    <n v="54.160499999999999"/>
    <n v="8.66568"/>
    <n v="62.826180000000001"/>
    <n v="1.08321"/>
    <m/>
    <n v="1.08321"/>
    <m/>
    <n v="53.077289999999998"/>
    <s v="BOLLORE"/>
    <n v="0.4"/>
    <n v="21.230916000000001"/>
    <n v="21.230916000000001"/>
    <d v="2023-10-30T00:00:00"/>
    <n v="0"/>
    <m/>
    <n v="62.826180000000001"/>
    <n v="62.826180000000001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5/AIB RDC/2022"/>
    <n v="0"/>
    <s v="SOUSCRIPTION"/>
    <s v="12002-33002-0022-111-00017316-2022"/>
    <s v="DEZIWA / Bolloré"/>
    <m/>
    <s v="SYNTYCHE"/>
    <s v="Victor"/>
    <s v="MARINE CARGO / GIT"/>
    <s v="MARINE"/>
    <x v="6"/>
    <s v="SFA"/>
    <n v="58033.440000000002"/>
    <n v="161.6"/>
    <n v="0"/>
    <n v="0"/>
    <n v="2.02"/>
    <n v="134.93"/>
    <n v="21.91"/>
    <n v="2.7846014297963381E-3"/>
    <n v="0.15"/>
    <n v="20.2395"/>
    <n v="0"/>
    <n v="0"/>
    <n v="20.2395"/>
    <n v="3.2383199999999999"/>
    <n v="23.477820000000001"/>
    <n v="0.40478999999999998"/>
    <m/>
    <n v="0.40478999999999998"/>
    <m/>
    <n v="19.834710000000001"/>
    <s v="BOLLORE"/>
    <n v="0.4"/>
    <n v="7.9338840000000008"/>
    <n v="7.9338840000000008"/>
    <d v="2023-10-30T00:00:00"/>
    <n v="0"/>
    <m/>
    <n v="23.477820000000001"/>
    <n v="23.477820000000001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6/AIB RDC/2022"/>
    <n v="0"/>
    <s v="SOUSCRIPTION"/>
    <s v="12002-33002-0022-111-00017315-2022"/>
    <s v="DEZIWA / Bolloré"/>
    <m/>
    <s v="SYNTYCHE"/>
    <s v="Victor"/>
    <s v="MARINE CARGO / GIT"/>
    <s v="MARINE"/>
    <x v="6"/>
    <s v="SFA"/>
    <n v="87655.23"/>
    <n v="244.1"/>
    <n v="0"/>
    <n v="0"/>
    <n v="3.06"/>
    <n v="203.8"/>
    <n v="33.1"/>
    <n v="2.7847739376190101E-3"/>
    <n v="0.15"/>
    <n v="30.57"/>
    <n v="0"/>
    <n v="0"/>
    <n v="30.57"/>
    <n v="4.8912000000000004"/>
    <n v="35.461199999999998"/>
    <n v="0.61140000000000005"/>
    <m/>
    <n v="0.61140000000000005"/>
    <m/>
    <n v="29.958600000000001"/>
    <s v="BOLLORE"/>
    <n v="0.4"/>
    <n v="11.983440000000002"/>
    <n v="11.983440000000002"/>
    <d v="2023-10-30T00:00:00"/>
    <n v="0"/>
    <m/>
    <n v="35.461199999999998"/>
    <n v="35.461199999999998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7/AIB RDC/2022"/>
    <n v="0"/>
    <s v="SOUSCRIPTION"/>
    <s v="12002-33002-0022-111-00017311-2022"/>
    <s v="DEZIWA / Bolloré"/>
    <m/>
    <s v="SYNTYCHE"/>
    <s v="Victor"/>
    <s v="MARINE CARGO / GIT"/>
    <s v="MARINE"/>
    <x v="6"/>
    <s v="SFA"/>
    <n v="67626.66"/>
    <n v="188.31"/>
    <n v="0"/>
    <n v="0"/>
    <n v="2.36"/>
    <n v="157.22999999999999"/>
    <n v="25.53"/>
    <n v="2.7845527192973895E-3"/>
    <n v="0.15"/>
    <n v="23.584499999999998"/>
    <n v="0"/>
    <n v="0"/>
    <n v="23.584499999999998"/>
    <n v="3.77352"/>
    <n v="27.35802"/>
    <n v="0.47169"/>
    <m/>
    <n v="0.47169"/>
    <m/>
    <n v="23.11281"/>
    <s v="BOLLORE"/>
    <n v="0.4"/>
    <n v="9.2451240000000006"/>
    <n v="9.2451240000000006"/>
    <d v="2023-10-30T00:00:00"/>
    <n v="0"/>
    <m/>
    <n v="27.35802"/>
    <n v="27.35802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8/AIB RDC/2022"/>
    <n v="0"/>
    <s v="SOUSCRIPTION"/>
    <s v="12002-33002-0022-111-00017313-2022"/>
    <s v="DEZIWA / Bolloré"/>
    <m/>
    <s v="SYNTYCHE"/>
    <s v="Victor"/>
    <s v="MARINE CARGO / GIT"/>
    <s v="MARINE"/>
    <x v="6"/>
    <s v="SFA"/>
    <n v="77640.94"/>
    <n v="216.21"/>
    <n v="0"/>
    <n v="0"/>
    <n v="2.71"/>
    <n v="180.52"/>
    <n v="29.32"/>
    <n v="2.7847421733946036E-3"/>
    <n v="0.15"/>
    <n v="27.077999999999999"/>
    <n v="0"/>
    <n v="0"/>
    <n v="27.077999999999999"/>
    <n v="4.3324800000000003"/>
    <n v="31.41048"/>
    <n v="0.54156000000000004"/>
    <m/>
    <n v="0.54156000000000004"/>
    <m/>
    <n v="26.536439999999999"/>
    <s v="BOLLORE"/>
    <n v="0.4"/>
    <n v="10.614576"/>
    <n v="10.614576"/>
    <d v="2023-10-30T00:00:00"/>
    <n v="0"/>
    <m/>
    <n v="31.41048"/>
    <n v="31.41048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29/AIB RDC/2022"/>
    <n v="0"/>
    <s v="SOUSCRIPTION"/>
    <s v="12002-33002-0022-111-00017312-2022"/>
    <s v="DEZIWA / Bolloré"/>
    <m/>
    <s v="SYNTYCHE"/>
    <s v="Victor"/>
    <s v="MARINE CARGO / GIT"/>
    <s v="MARINE"/>
    <x v="6"/>
    <s v="SFA"/>
    <n v="61486.84"/>
    <n v="171.22"/>
    <n v="0"/>
    <n v="0"/>
    <n v="2.14"/>
    <n v="142.96"/>
    <n v="23.22"/>
    <n v="2.7846609128067083E-3"/>
    <n v="0.15"/>
    <n v="21.443999999999999"/>
    <n v="0"/>
    <n v="0"/>
    <n v="21.443999999999999"/>
    <n v="3.4310399999999999"/>
    <n v="24.875039999999998"/>
    <n v="0.42887999999999998"/>
    <m/>
    <n v="0.42887999999999998"/>
    <m/>
    <n v="21.01512"/>
    <s v="BOLLORE"/>
    <n v="0.4"/>
    <n v="8.4060480000000002"/>
    <n v="8.4060480000000002"/>
    <d v="2023-10-30T00:00:00"/>
    <n v="0"/>
    <m/>
    <n v="24.875039999999998"/>
    <n v="24.875039999999998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7T00:00:00"/>
    <d v="2023-10-16T00:00:00"/>
    <s v="000-630/AIB RDC/2022"/>
    <n v="0"/>
    <s v="SOUSCRIPTION"/>
    <s v="12002-33002-0022-111-00017288-2022"/>
    <s v="DEZIWA / Bolloré"/>
    <m/>
    <s v="SYNTYCHE"/>
    <s v="Victor"/>
    <s v="MARINE CARGO / GIT"/>
    <s v="MARINE"/>
    <x v="6"/>
    <s v="SFA"/>
    <n v="67626.649999999994"/>
    <n v="188.31"/>
    <n v="0"/>
    <n v="0"/>
    <n v="2.36"/>
    <n v="157.22999999999999"/>
    <n v="25.53"/>
    <n v="2.7845531310511464E-3"/>
    <n v="0.15"/>
    <n v="23.584499999999998"/>
    <n v="0"/>
    <n v="0"/>
    <n v="23.584499999999998"/>
    <n v="3.77352"/>
    <n v="27.35802"/>
    <n v="0.47169"/>
    <m/>
    <n v="0.47169"/>
    <m/>
    <n v="23.11281"/>
    <s v="BOLLORE"/>
    <n v="0.4"/>
    <n v="9.2451240000000006"/>
    <n v="9.2451240000000006"/>
    <d v="2023-10-30T00:00:00"/>
    <n v="0"/>
    <m/>
    <n v="27.35802"/>
    <n v="27.35802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1/AIB RDC/2022"/>
    <n v="0"/>
    <s v="SOUSCRIPTION"/>
    <s v="12002-33002-0022-111-00017310-2022"/>
    <s v="DEZIWA / Bolloré"/>
    <m/>
    <s v="SYNTYCHE"/>
    <s v="Victor"/>
    <s v="MARINE CARGO / GIT"/>
    <s v="MARINE"/>
    <x v="6"/>
    <s v="SFA"/>
    <n v="44577.61"/>
    <n v="124.12"/>
    <n v="0"/>
    <n v="0"/>
    <n v="1.55"/>
    <n v="103.64"/>
    <n v="16.829999999999998"/>
    <n v="2.7843574386334307E-3"/>
    <n v="0.15"/>
    <n v="15.545999999999999"/>
    <n v="0"/>
    <n v="0"/>
    <n v="15.545999999999999"/>
    <n v="2.4873599999999998"/>
    <n v="18.033359999999998"/>
    <n v="0.31091999999999997"/>
    <m/>
    <n v="0.31091999999999997"/>
    <m/>
    <n v="15.23508"/>
    <s v="BOLLORE"/>
    <n v="0.4"/>
    <n v="6.0940320000000003"/>
    <n v="6.0940320000000003"/>
    <d v="2023-10-30T00:00:00"/>
    <n v="0"/>
    <m/>
    <n v="18.033359999999998"/>
    <n v="18.033359999999998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2/AIB RDC/2022"/>
    <n v="0"/>
    <s v="SOUSCRIPTION"/>
    <s v="12002-33002-0022-111-00017309-2022"/>
    <s v="DEZIWA / Bolloré"/>
    <m/>
    <s v="SYNTYCHE"/>
    <s v="Victor"/>
    <s v="MARINE CARGO / GIT"/>
    <s v="MARINE"/>
    <x v="6"/>
    <s v="SFA"/>
    <n v="60731.72"/>
    <n v="169.12"/>
    <n v="0"/>
    <n v="0"/>
    <n v="2.12"/>
    <n v="141.19999999999999"/>
    <n v="22.93"/>
    <n v="2.7847062457641574E-3"/>
    <n v="0.15"/>
    <n v="21.179999999999996"/>
    <n v="0"/>
    <n v="0"/>
    <n v="21.179999999999996"/>
    <n v="3.3887999999999994"/>
    <n v="24.568799999999996"/>
    <n v="0.42359999999999992"/>
    <m/>
    <n v="0.42359999999999992"/>
    <m/>
    <n v="20.756399999999996"/>
    <s v="BOLLORE"/>
    <n v="0.4"/>
    <n v="8.3025599999999979"/>
    <n v="8.3025599999999979"/>
    <d v="2023-10-30T00:00:00"/>
    <n v="0"/>
    <m/>
    <n v="24.568799999999996"/>
    <n v="24.568799999999996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3/AIB RDC/2022"/>
    <n v="0"/>
    <s v="SOUSCRIPTION"/>
    <s v="12002-33002-0022-111-00017308-2022"/>
    <s v="DEZIWA / Bolloré"/>
    <m/>
    <s v="SYNTYCHE"/>
    <s v="Victor"/>
    <s v="MARINE CARGO / GIT"/>
    <s v="MARINE"/>
    <x v="6"/>
    <s v="SFA"/>
    <n v="66116.42"/>
    <n v="184.11"/>
    <n v="0"/>
    <n v="0"/>
    <n v="2.31"/>
    <n v="153.72"/>
    <n v="24.96"/>
    <n v="2.7846335297646184E-3"/>
    <n v="0.15"/>
    <n v="23.058"/>
    <n v="0"/>
    <n v="0"/>
    <n v="23.058"/>
    <n v="3.6892800000000001"/>
    <n v="26.74728"/>
    <n v="0.46116000000000001"/>
    <m/>
    <n v="0.46116000000000001"/>
    <m/>
    <n v="22.59684"/>
    <s v="BOLLORE"/>
    <n v="0.4"/>
    <n v="9.0387360000000001"/>
    <n v="9.0387360000000001"/>
    <d v="2023-10-30T00:00:00"/>
    <n v="0"/>
    <m/>
    <n v="26.74728"/>
    <n v="26.74728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4/AIB RDC/2022"/>
    <n v="0"/>
    <s v="SOUSCRIPTION"/>
    <s v="12002-33002-0022-111-00017307-2022"/>
    <s v="DEZIWA / Bolloré"/>
    <m/>
    <s v="SYNTYCHE"/>
    <s v="Victor"/>
    <s v="MARINE CARGO / GIT"/>
    <s v="MARINE"/>
    <x v="6"/>
    <s v="SFA"/>
    <n v="66116.460000000006"/>
    <n v="220.93"/>
    <n v="0"/>
    <n v="0"/>
    <n v="2.77"/>
    <n v="184.46"/>
    <n v="2.77"/>
    <n v="3.3415279644433472E-3"/>
    <n v="0.15"/>
    <n v="27.669"/>
    <n v="0"/>
    <n v="0"/>
    <n v="27.669"/>
    <n v="4.4270399999999999"/>
    <n v="32.096040000000002"/>
    <n v="0.55337999999999998"/>
    <m/>
    <n v="0.55337999999999998"/>
    <m/>
    <n v="27.11562"/>
    <s v="BOLLORE"/>
    <n v="0.4"/>
    <n v="10.846248000000001"/>
    <n v="10.846248000000001"/>
    <d v="2023-10-30T00:00:00"/>
    <n v="0"/>
    <m/>
    <n v="32.096040000000002"/>
    <n v="32.096040000000002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5/AIB RDC/2022"/>
    <n v="0"/>
    <s v="SOUSCRIPTION"/>
    <s v="12002-33002-0022-111-00017335-2022"/>
    <s v="DEZIWA / Bolloré"/>
    <m/>
    <s v="SYNTYCHE"/>
    <s v="Victor"/>
    <s v="MARINE CARGO / GIT"/>
    <s v="MARINE"/>
    <x v="6"/>
    <s v="SFA"/>
    <n v="36054.730000000003"/>
    <n v="100.4"/>
    <n v="0"/>
    <n v="0"/>
    <n v="1.26"/>
    <n v="83.83"/>
    <n v="13.61"/>
    <n v="2.784655439106048E-3"/>
    <n v="0.15"/>
    <n v="12.574499999999999"/>
    <n v="0"/>
    <n v="0"/>
    <n v="12.574499999999999"/>
    <n v="2.0119199999999999"/>
    <n v="14.586419999999999"/>
    <n v="0.25148999999999999"/>
    <m/>
    <n v="0.25148999999999999"/>
    <m/>
    <n v="12.323009999999998"/>
    <s v="BOLLORE"/>
    <n v="0.4"/>
    <n v="4.9292039999999995"/>
    <n v="4.9292039999999995"/>
    <d v="2023-10-30T00:00:00"/>
    <n v="0"/>
    <m/>
    <n v="14.586419999999999"/>
    <n v="14.586419999999999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6/AIB RDC/2022"/>
    <n v="0"/>
    <s v="SOUSCRIPTION"/>
    <s v="12002-33002-0022-111-00017337-2022"/>
    <s v="DEZIWA / Bolloré"/>
    <m/>
    <s v="SYNTYCHE"/>
    <s v="Victor"/>
    <s v="MARINE CARGO / GIT"/>
    <s v="MARINE"/>
    <x v="6"/>
    <s v="SFA"/>
    <n v="36054.730000000003"/>
    <n v="100.4"/>
    <n v="0"/>
    <n v="0"/>
    <n v="1.26"/>
    <n v="83.83"/>
    <n v="13.61"/>
    <n v="2.784655439106048E-3"/>
    <n v="0.15"/>
    <n v="12.574499999999999"/>
    <n v="0"/>
    <n v="0"/>
    <n v="12.574499999999999"/>
    <n v="2.0119199999999999"/>
    <n v="14.586419999999999"/>
    <n v="0.25148999999999999"/>
    <m/>
    <n v="0.25148999999999999"/>
    <m/>
    <n v="12.323009999999998"/>
    <s v="BOLLORE"/>
    <n v="0.4"/>
    <n v="4.9292039999999995"/>
    <n v="4.9292039999999995"/>
    <d v="2023-10-30T00:00:00"/>
    <n v="0"/>
    <m/>
    <n v="14.586419999999999"/>
    <n v="14.586419999999999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19T00:00:00"/>
    <d v="2023-10-18T00:00:00"/>
    <s v="000-637/AIB RDC/2022"/>
    <n v="0"/>
    <s v="SOUSCRIPTION"/>
    <s v="12002-33002-0022-111-00017332-2022"/>
    <s v="DEZIWA / Bolloré"/>
    <m/>
    <s v="SYNTYCHE"/>
    <s v="Victor"/>
    <s v="MARINE CARGO / GIT"/>
    <s v="MARINE"/>
    <x v="6"/>
    <s v="SFA"/>
    <n v="6116.42"/>
    <n v="220.93"/>
    <n v="0"/>
    <n v="0"/>
    <n v="2.77"/>
    <n v="184.46"/>
    <n v="29.96"/>
    <n v="3.6120802691770676E-2"/>
    <n v="0.15"/>
    <n v="27.669"/>
    <n v="0"/>
    <n v="0"/>
    <n v="27.669"/>
    <n v="4.4270399999999999"/>
    <n v="32.096040000000002"/>
    <n v="0.55337999999999998"/>
    <m/>
    <n v="0.55337999999999998"/>
    <m/>
    <n v="27.11562"/>
    <s v="BOLLORE"/>
    <n v="0.4"/>
    <n v="10.846248000000001"/>
    <n v="10.846248000000001"/>
    <d v="2023-10-30T00:00:00"/>
    <n v="0"/>
    <m/>
    <n v="32.096040000000002"/>
    <n v="32.096040000000002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38/AIB RDC/2022"/>
    <n v="0"/>
    <s v="SOUSCRIPTION"/>
    <s v="12002-33002-0022-111-00017276-2022"/>
    <s v="DEZIWA / Bolloré"/>
    <m/>
    <s v="SYNTYCHE"/>
    <s v="Victor"/>
    <s v="MARINE CARGO / GIT"/>
    <s v="MARINE"/>
    <x v="6"/>
    <s v="SFA"/>
    <n v="75580.17"/>
    <n v="230.95"/>
    <n v="0"/>
    <n v="0"/>
    <n v="20"/>
    <n v="175.72"/>
    <n v="31.32"/>
    <n v="3.0556956937249544E-3"/>
    <n v="0.15"/>
    <n v="26.358000000000001"/>
    <n v="0"/>
    <n v="0"/>
    <n v="26.358000000000001"/>
    <n v="4.2172800000000006"/>
    <n v="30.575279999999999"/>
    <n v="0.52716000000000007"/>
    <m/>
    <n v="0.52716000000000007"/>
    <m/>
    <n v="25.830840000000002"/>
    <s v="BOLLORE"/>
    <n v="0.4"/>
    <n v="10.332336000000002"/>
    <n v="10.332336000000002"/>
    <d v="2023-10-30T00:00:00"/>
    <n v="0"/>
    <m/>
    <n v="30.575279999999999"/>
    <n v="30.575279999999999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39/AIB RDC/2022"/>
    <n v="0"/>
    <s v="SOUSCRIPTION"/>
    <s v="12002-33002-0022-111-00017277-2022"/>
    <s v="DEZIWA / Bolloré"/>
    <m/>
    <s v="SYNTYCHE"/>
    <s v="Victor"/>
    <s v="MARINE CARGO / GIT"/>
    <s v="MARINE"/>
    <x v="6"/>
    <s v="SFA"/>
    <n v="87655.23"/>
    <n v="264.08999999999997"/>
    <n v="0"/>
    <n v="0"/>
    <n v="20"/>
    <n v="203.8"/>
    <n v="35.81"/>
    <n v="3.0128265021950201E-3"/>
    <n v="0.15"/>
    <n v="30.57"/>
    <n v="0"/>
    <n v="0"/>
    <n v="30.57"/>
    <n v="4.8912000000000004"/>
    <n v="35.461199999999998"/>
    <n v="0.61140000000000005"/>
    <m/>
    <n v="0.61140000000000005"/>
    <m/>
    <n v="29.958600000000001"/>
    <s v="BOLLORE"/>
    <n v="0.4"/>
    <n v="11.983440000000002"/>
    <n v="11.983440000000002"/>
    <d v="2023-10-30T00:00:00"/>
    <n v="0"/>
    <m/>
    <n v="35.461199999999998"/>
    <n v="35.461199999999998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40/AIB RDC/2022"/>
    <n v="0"/>
    <s v="SOUSCRIPTION"/>
    <s v="12002-33002-0022-111-00017281-2022"/>
    <s v="DEZIWA / Bolloré"/>
    <m/>
    <s v="SYNTYCHE"/>
    <s v="Victor"/>
    <s v="MARINE CARGO / GIT"/>
    <s v="MARINE"/>
    <x v="6"/>
    <s v="SFA"/>
    <n v="66116.42"/>
    <n v="204.99"/>
    <n v="0"/>
    <n v="0"/>
    <n v="20"/>
    <n v="153.72999999999999"/>
    <n v="27.8"/>
    <n v="3.100440102473788E-3"/>
    <n v="0.15"/>
    <n v="23.059499999999996"/>
    <n v="0"/>
    <n v="0"/>
    <n v="23.059499999999996"/>
    <n v="3.6895199999999995"/>
    <n v="26.749019999999994"/>
    <n v="0.46118999999999993"/>
    <m/>
    <n v="0.46118999999999993"/>
    <m/>
    <n v="22.598309999999998"/>
    <s v="BOLLORE"/>
    <n v="0.4"/>
    <n v="9.0393239999999988"/>
    <n v="9.0393239999999988"/>
    <d v="2023-10-30T00:00:00"/>
    <n v="0"/>
    <m/>
    <n v="26.749019999999994"/>
    <n v="26.749019999999994"/>
    <n v="0"/>
    <s v="SFA"/>
    <d v="2023-01-23T00:00:00"/>
    <m/>
    <s v="ONCE OFF"/>
    <s v="MARINE CARGO / GIT"/>
    <m/>
    <m/>
    <m/>
  </r>
  <r>
    <x v="10"/>
    <s v="Yes"/>
    <d v="2022-06-27T00:00:00"/>
    <d v="2022-06-28T00:00:00"/>
    <d v="2022-06-17T00:00:00"/>
    <d v="2023-06-16T00:00:00"/>
    <s v="000-641/AIB RDC/2022"/>
    <n v="1"/>
    <s v="RISTOURNE"/>
    <s v="12002-33002-0004-104-00016497-2022"/>
    <s v="INDUSTRIAL SERVICES"/>
    <m/>
    <s v="SYNTYCHE"/>
    <s v="Grâce"/>
    <s v="COMP MOTOR"/>
    <s v="MOTOR COMP"/>
    <x v="6"/>
    <s v="SFA"/>
    <n v="0"/>
    <n v="-234.68"/>
    <n v="0"/>
    <n v="0"/>
    <n v="0"/>
    <n v="-202.31"/>
    <n v="-32.369999999999997"/>
    <e v="#DIV/0!"/>
    <n v="0.15"/>
    <n v="-30.346499999999999"/>
    <n v="0"/>
    <n v="0"/>
    <n v="-30.346499999999999"/>
    <n v="-4.8554399999999998"/>
    <n v="-35.20194"/>
    <n v="-0.60692999999999997"/>
    <m/>
    <n v="-0.60692999999999997"/>
    <m/>
    <n v="-29.739570000000001"/>
    <m/>
    <m/>
    <n v="0"/>
    <m/>
    <m/>
    <n v="0"/>
    <m/>
    <m/>
    <n v="-35.20194"/>
    <n v="-35.20194"/>
    <s v="SFA"/>
    <m/>
    <m/>
    <s v="RENEWED"/>
    <s v="COMP MOTOR"/>
    <m/>
    <m/>
    <m/>
  </r>
  <r>
    <x v="2"/>
    <s v="Yes"/>
    <d v="2022-11-04T00:00:00"/>
    <d v="2022-10-18T00:00:00"/>
    <d v="2022-10-17T00:00:00"/>
    <d v="2023-10-16T00:00:00"/>
    <s v="000-642/AIB RDC/2022"/>
    <n v="0"/>
    <s v="SOUSCRIPTION"/>
    <s v="12002-33002-0022-111-00017286-2022"/>
    <s v="DEZIWA / Bolloré"/>
    <m/>
    <s v="SYNTYCHE"/>
    <s v="Victor"/>
    <s v="MARINE CARGO / GIT"/>
    <s v="MARINE"/>
    <x v="6"/>
    <s v="SFA"/>
    <n v="48166.04"/>
    <n v="155.9"/>
    <n v="0"/>
    <n v="0"/>
    <n v="1.95"/>
    <n v="130.16999999999999"/>
    <n v="21.12"/>
    <n v="3.2367203116552661E-3"/>
    <n v="0.15"/>
    <n v="19.525499999999997"/>
    <n v="0"/>
    <n v="0"/>
    <n v="19.525499999999997"/>
    <n v="3.1240799999999997"/>
    <n v="22.649579999999997"/>
    <n v="0.39050999999999997"/>
    <m/>
    <n v="0.39050999999999997"/>
    <m/>
    <n v="19.134989999999998"/>
    <s v="BOLLORE"/>
    <n v="0.4"/>
    <n v="7.6539959999999994"/>
    <n v="7.6539959999999994"/>
    <d v="2023-10-30T00:00:00"/>
    <n v="0"/>
    <m/>
    <n v="22.649579999999997"/>
    <n v="22.649579999999997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43/AIB RDC/2022"/>
    <n v="0"/>
    <s v="SOUSCRIPTION"/>
    <s v="12002-33002-0022-111-00017284-2022"/>
    <s v="DEZIWA / Bolloré"/>
    <m/>
    <s v="SYNTYCHE"/>
    <s v="Victor"/>
    <s v="MARINE CARGO / GIT"/>
    <s v="MARINE"/>
    <x v="6"/>
    <s v="SFA"/>
    <n v="60731.72"/>
    <n v="190.21"/>
    <n v="0"/>
    <n v="0"/>
    <n v="20"/>
    <n v="141.19999999999999"/>
    <n v="25.79"/>
    <n v="3.1319712334839192E-3"/>
    <n v="0.15"/>
    <n v="21.179999999999996"/>
    <n v="0"/>
    <n v="0"/>
    <n v="21.179999999999996"/>
    <n v="3.3887999999999994"/>
    <n v="24.568799999999996"/>
    <n v="0.42359999999999992"/>
    <m/>
    <n v="0.42359999999999992"/>
    <m/>
    <n v="20.756399999999996"/>
    <s v="BOLLORE"/>
    <n v="0.4"/>
    <n v="8.3025599999999979"/>
    <n v="8.3025599999999979"/>
    <d v="2023-10-30T00:00:00"/>
    <n v="0"/>
    <m/>
    <n v="24.568799999999996"/>
    <n v="24.568799999999996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44/AIB RDC/2022"/>
    <n v="0"/>
    <s v="SOUSCRIPTION"/>
    <s v="12002-33002-0022-111-00017285-2022"/>
    <s v="DEZIWA / Bolloré"/>
    <m/>
    <s v="SYNTYCHE"/>
    <s v="Victor"/>
    <s v="MARINE CARGO / GIT"/>
    <s v="MARINE"/>
    <x v="6"/>
    <s v="SFA"/>
    <n v="87555.23"/>
    <n v="264.08999999999997"/>
    <n v="0"/>
    <n v="0"/>
    <n v="20"/>
    <n v="203.8"/>
    <n v="35.81"/>
    <n v="3.0162675604872491E-3"/>
    <n v="0.15"/>
    <n v="30.57"/>
    <n v="0"/>
    <n v="0"/>
    <n v="30.57"/>
    <n v="4.8912000000000004"/>
    <n v="35.461199999999998"/>
    <n v="0.61140000000000005"/>
    <m/>
    <n v="0.61140000000000005"/>
    <m/>
    <n v="29.958600000000001"/>
    <s v="BOLLORE"/>
    <n v="0.4"/>
    <n v="11.983440000000002"/>
    <n v="11.983440000000002"/>
    <d v="2023-10-30T00:00:00"/>
    <n v="0"/>
    <m/>
    <n v="35.461199999999998"/>
    <n v="35.461199999999998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645/AIB RDC/2022"/>
    <n v="0"/>
    <s v="SOUSCRIPTION"/>
    <s v="12002-33002-0022-111-00017275-2022"/>
    <s v="DEZIWA / Bolloré"/>
    <m/>
    <s v="SYNTYCHE"/>
    <s v="Victor"/>
    <s v="MARINE CARGO / GIT"/>
    <s v="MARINE"/>
    <x v="6"/>
    <s v="SFA"/>
    <n v="140469.06"/>
    <n v="409.04"/>
    <n v="0"/>
    <n v="0"/>
    <n v="20"/>
    <n v="326.64999999999998"/>
    <n v="55.46"/>
    <n v="2.9119579785043055E-3"/>
    <n v="0.15"/>
    <n v="48.997499999999995"/>
    <n v="0"/>
    <n v="0"/>
    <n v="48.997499999999995"/>
    <n v="7.839599999999999"/>
    <n v="56.837099999999992"/>
    <n v="0.97994999999999988"/>
    <m/>
    <n v="0.97994999999999988"/>
    <m/>
    <n v="48.017549999999993"/>
    <s v="BOLLORE"/>
    <n v="0.4"/>
    <n v="19.20702"/>
    <n v="19.20702"/>
    <d v="2023-10-30T00:00:00"/>
    <n v="0"/>
    <m/>
    <n v="56.837099999999992"/>
    <n v="56.837099999999992"/>
    <n v="0"/>
    <s v="SFA"/>
    <d v="2023-01-23T00:00:00"/>
    <m/>
    <s v="ONCE OFF"/>
    <s v="MARINE CARGO / GIT"/>
    <m/>
    <m/>
    <m/>
  </r>
  <r>
    <x v="2"/>
    <s v="Yes"/>
    <d v="2022-11-04T00:00:00"/>
    <d v="2022-10-21T00:00:00"/>
    <d v="2022-10-21T00:00:00"/>
    <d v="2022-10-23T00:00:00"/>
    <s v="000-646/AIB RDC/2022"/>
    <n v="0"/>
    <s v="SOUSCRIPTION"/>
    <s v="12002-33002-0022-111-00017343-2022"/>
    <s v="WUHUANG CONSTRUCTION ET COMMERCE RDC SAS ( WHCC) / Bolloré"/>
    <m/>
    <s v="SYNTYCHE"/>
    <s v="Victor"/>
    <s v="MARINE CARGO / GIT"/>
    <s v="MARINE"/>
    <x v="6"/>
    <s v="SFA"/>
    <n v="57660.43"/>
    <n v="66.290000000000006"/>
    <n v="0"/>
    <n v="0"/>
    <n v="0.83"/>
    <n v="55.35"/>
    <n v="8.99"/>
    <n v="1.1496619085220143E-3"/>
    <n v="0.15"/>
    <n v="8.3025000000000002"/>
    <n v="0"/>
    <n v="0"/>
    <n v="8.3025000000000002"/>
    <n v="1.3284"/>
    <n v="9.6309000000000005"/>
    <n v="0.16605"/>
    <m/>
    <n v="0.16605"/>
    <m/>
    <n v="8.13645"/>
    <s v="BOLLORE"/>
    <n v="0.4"/>
    <n v="3.2545800000000003"/>
    <n v="3.2545800000000003"/>
    <d v="2023-10-30T00:00:00"/>
    <n v="0"/>
    <m/>
    <n v="9.6309000000000005"/>
    <n v="9.6309000000000005"/>
    <n v="0"/>
    <s v="SFA"/>
    <d v="2023-02-27T00:00:00"/>
    <m/>
    <s v="ONCE OFF"/>
    <s v="MARINE CARGO / GIT"/>
    <m/>
    <m/>
    <s v="Prime en cours de paiement par Bolloré"/>
  </r>
  <r>
    <x v="2"/>
    <s v="Yes"/>
    <d v="2022-11-04T00:00:00"/>
    <d v="2022-10-21T00:00:00"/>
    <d v="2022-10-21T00:00:00"/>
    <d v="2023-10-20T00:00:00"/>
    <s v="000-647/AIB RDC/2022"/>
    <n v="0"/>
    <s v="SOUSCRIPTION"/>
    <s v="00017344"/>
    <s v="WUHUANG CONSTRUCTION ET COMMERCE RDC SAS ( WHCC) / Bolloré"/>
    <m/>
    <s v="SYNTYCHE"/>
    <s v="Victor"/>
    <s v="MARINE CARGO / GIT"/>
    <s v="MARINE"/>
    <x v="6"/>
    <s v="SFA"/>
    <n v="21872.42"/>
    <n v="65"/>
    <n v="0"/>
    <n v="0"/>
    <n v="0.81"/>
    <n v="54.28"/>
    <n v="8.81"/>
    <n v="2.971779071543067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1-23T00:00:00"/>
    <m/>
    <s v="ONCE OFF"/>
    <s v="MARINE CARGO / GIT"/>
    <m/>
    <m/>
    <m/>
  </r>
  <r>
    <x v="2"/>
    <s v="Yes"/>
    <d v="2022-11-04T00:00:00"/>
    <d v="2022-10-14T00:00:00"/>
    <d v="2022-10-13T00:00:00"/>
    <d v="2022-10-16T00:00:00"/>
    <s v="000-648/AIB RDC/2022"/>
    <n v="0"/>
    <s v="SOUSCRIPTION"/>
    <s v="00017249"/>
    <s v="TEICHMANN STRUCTURE DRC LTD / Bolloré"/>
    <m/>
    <s v="SYNTYCHE"/>
    <s v="Victor"/>
    <s v="MARINE CARGO / GIT"/>
    <s v="MARINE"/>
    <x v="6"/>
    <s v="SFA"/>
    <n v="1221.57"/>
    <n v="100.3"/>
    <n v="0"/>
    <n v="0"/>
    <n v="20"/>
    <n v="65"/>
    <n v="13.6"/>
    <n v="8.210745188568809E-2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1-23T00:00:00"/>
    <m/>
    <s v="ONCE OFF"/>
    <s v="MARINE CARGO / GIT"/>
    <m/>
    <m/>
    <m/>
  </r>
  <r>
    <x v="2"/>
    <s v="Yes"/>
    <d v="2022-11-04T00:00:00"/>
    <d v="2022-10-14T00:00:00"/>
    <d v="2022-10-13T00:00:00"/>
    <d v="2022-10-16T00:00:00"/>
    <s v="000-649/AIB RDC/2022"/>
    <n v="0"/>
    <s v="SOUSCRIPTION"/>
    <s v="00017251"/>
    <s v="TEICHMANN STRUCTURE DRC LTD / Bolloré"/>
    <m/>
    <s v="SYNTYCHE"/>
    <s v="Victor"/>
    <s v="MARINE CARGO / GIT"/>
    <s v="MARINE"/>
    <x v="6"/>
    <s v="SFA"/>
    <n v="2037.63"/>
    <n v="100.3"/>
    <n v="0"/>
    <n v="0"/>
    <n v="20"/>
    <n v="65"/>
    <n v="13.6"/>
    <n v="4.9223853202004286E-2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1-23T00:00:00"/>
    <m/>
    <s v="ONCE OFF"/>
    <s v="MARINE CARGO / GIT"/>
    <m/>
    <m/>
    <m/>
  </r>
  <r>
    <x v="2"/>
    <s v="Yes"/>
    <d v="2022-11-04T00:00:00"/>
    <d v="2022-10-14T00:00:00"/>
    <d v="2022-10-13T00:00:00"/>
    <d v="2022-10-16T00:00:00"/>
    <s v="000-650/AIB RDC/2022"/>
    <n v="0"/>
    <s v="SOUSCRIPTION"/>
    <s v="00017252"/>
    <s v="TEICHMANN STRUCTURE DRC LTD / Bolloré"/>
    <m/>
    <s v="SYNTYCHE"/>
    <s v="Victor"/>
    <s v="MARINE CARGO / GIT"/>
    <s v="MARINE"/>
    <x v="6"/>
    <s v="SFA"/>
    <n v="2075.34"/>
    <n v="100.3"/>
    <n v="0"/>
    <n v="0"/>
    <n v="20"/>
    <n v="65"/>
    <n v="13.6"/>
    <n v="4.8329430358399102E-2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1-23T00:00:00"/>
    <m/>
    <s v="ONCE OFF"/>
    <s v="MARINE CARGO / GIT"/>
    <m/>
    <m/>
    <m/>
  </r>
  <r>
    <x v="2"/>
    <s v="Yes"/>
    <d v="2022-11-04T00:00:00"/>
    <d v="2022-10-07T00:00:00"/>
    <d v="2022-10-06T00:00:00"/>
    <d v="2023-10-05T00:00:00"/>
    <s v="000-651/AIB RDC/2022"/>
    <n v="0"/>
    <s v="SOUSCRIPTION"/>
    <s v="12002-33002-0022-111-00017209-2022"/>
    <s v="WUHUANG CONSTRUCTION ET COMMERCE RDC SAS ( WHCC) / Bolloré"/>
    <m/>
    <s v="SYNTYCHE"/>
    <s v="Victor"/>
    <s v="MARINE CARGO / GIT"/>
    <s v="MARINE"/>
    <x v="6"/>
    <s v="SFA"/>
    <n v="22268.240000000002"/>
    <n v="108.56"/>
    <n v="0"/>
    <n v="0"/>
    <n v="20"/>
    <n v="72"/>
    <n v="14.72"/>
    <n v="4.8751046333253096E-3"/>
    <n v="0.15"/>
    <n v="10.799999999999999"/>
    <n v="0"/>
    <n v="0"/>
    <n v="10.799999999999999"/>
    <n v="1.7279999999999998"/>
    <n v="12.527999999999999"/>
    <n v="0.21599999999999997"/>
    <m/>
    <n v="0.21599999999999997"/>
    <m/>
    <n v="10.584"/>
    <s v="BOLLORE"/>
    <n v="0.4"/>
    <n v="4.2336"/>
    <n v="4.2336"/>
    <d v="2023-10-30T00:00:00"/>
    <n v="0"/>
    <m/>
    <n v="12.527999999999999"/>
    <n v="12.527999999999999"/>
    <n v="0"/>
    <s v="SFA"/>
    <d v="2023-02-27T00:00:00"/>
    <m/>
    <s v="ONCE OFF"/>
    <s v="MARINE CARGO / GIT"/>
    <m/>
    <m/>
    <s v="Prime en cours de paiement par Bolloré"/>
  </r>
  <r>
    <x v="11"/>
    <s v="Yes"/>
    <d v="2022-09-07T00:00:00"/>
    <d v="2022-08-16T00:00:00"/>
    <d v="2022-07-01T00:00:00"/>
    <d v="2023-06-30T00:00:00"/>
    <s v="000-652/AIB RDC/2022"/>
    <n v="1"/>
    <s v="RENOUVELLEMENT"/>
    <n v="60100007"/>
    <s v="International Facilities Services DRC ( IFS)"/>
    <m/>
    <s v="ALICE"/>
    <s v="Alice"/>
    <s v="GENERAL LIABILITY"/>
    <s v="LIABILITIES"/>
    <x v="4"/>
    <s v="RAWSUR"/>
    <n v="0"/>
    <n v="35100.269999999997"/>
    <n v="4439.3100000000004"/>
    <n v="0"/>
    <n v="100"/>
    <n v="25156.080000000002"/>
    <n v="4759.3599999999997"/>
    <e v="#DIV/0!"/>
    <n v="0"/>
    <n v="0"/>
    <n v="1331.7930000000001"/>
    <m/>
    <n v="1331.7930000000001"/>
    <n v="213.08688000000004"/>
    <n v="1544.8798800000002"/>
    <n v="26.635860000000005"/>
    <m/>
    <n v="26.635860000000005"/>
    <m/>
    <n v="1305.15714"/>
    <m/>
    <m/>
    <n v="0"/>
    <m/>
    <m/>
    <n v="0"/>
    <m/>
    <n v="1530.33"/>
    <n v="1544.8798800000002"/>
    <n v="14.549880000000257"/>
    <s v="RAWSUR"/>
    <d v="2022-09-28T00:00:00"/>
    <m/>
    <m/>
    <s v="GENERAL LIABILITY"/>
    <m/>
    <m/>
    <s v="Compte venu via Rawsur"/>
  </r>
  <r>
    <x v="6"/>
    <s v="No"/>
    <d v="2023-07-21T00:00:00"/>
    <d v="2023-09-01T00:00:00"/>
    <d v="2022-12-29T00:00:00"/>
    <d v="2022-12-31T00:00:00"/>
    <s v="000-653/AIB RDC/2022"/>
    <n v="2"/>
    <s v="INCORPORATION"/>
    <n v="73200013"/>
    <s v="KAMOA COPPER SA"/>
    <s v="Mining"/>
    <s v="ANDY"/>
    <s v="Andy"/>
    <s v="MARINE CARGO / GIT"/>
    <s v="MARINE"/>
    <x v="4"/>
    <s v="RAWSUR"/>
    <n v="166231202.53999999"/>
    <n v="355131.53"/>
    <n v="45128.84"/>
    <n v="-23083.72"/>
    <n v="100"/>
    <n v="255730.08"/>
    <n v="48153.43"/>
    <n v="2.1363710577413722E-3"/>
    <n v="0"/>
    <n v="0"/>
    <n v="6613.5359999999982"/>
    <n v="320.97585067982402"/>
    <n v="6934.5118506798226"/>
    <n v="1109.5218961087717"/>
    <n v="8044.0337467885947"/>
    <n v="138.69023701359646"/>
    <m/>
    <n v="138.69023701359646"/>
    <m/>
    <n v="6795.8216136662259"/>
    <m/>
    <m/>
    <n v="0"/>
    <m/>
    <m/>
    <n v="0"/>
    <m/>
    <n v="5486.92"/>
    <n v="8044.0337467885947"/>
    <n v="2557.1137467885947"/>
    <s v="RAWSUR"/>
    <d v="2023-10-20T00:00:00"/>
    <m/>
    <m/>
    <s v="MARINE CARGO / GIT"/>
    <m/>
    <m/>
    <m/>
  </r>
  <r>
    <x v="2"/>
    <s v="Yes"/>
    <d v="2022-11-04T00:00:00"/>
    <d v="2022-10-26T00:00:00"/>
    <d v="2022-10-24T00:00:00"/>
    <d v="2023-10-23T00:00:00"/>
    <s v="000-654/AIB RDC/2022"/>
    <n v="0"/>
    <s v="SOUSCRIPTION"/>
    <s v="12002-33002-0022-111-00017374-2022"/>
    <s v="PANACO / Bolloré"/>
    <m/>
    <s v="SYNTYCHE"/>
    <s v="Victor"/>
    <s v="MARINE CARGO / GIT"/>
    <s v="MARINE"/>
    <x v="6"/>
    <s v="SFA"/>
    <n v="10639.05"/>
    <n v="77.86"/>
    <n v="0"/>
    <n v="0"/>
    <n v="0.98"/>
    <n v="65"/>
    <n v="10.56"/>
    <n v="7.3183225945925631E-3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2-27T00:00:00"/>
    <m/>
    <s v="ONCE OFF"/>
    <s v="MARINE CARGO / GIT"/>
    <m/>
    <m/>
    <s v="Prime en cours de paiement par Bolloré"/>
  </r>
  <r>
    <x v="2"/>
    <s v="Yes"/>
    <d v="2022-11-04T00:00:00"/>
    <d v="2022-10-26T00:00:00"/>
    <d v="2022-10-24T00:00:00"/>
    <d v="2023-10-23T00:00:00"/>
    <s v="000-655/AIB RDC/2022"/>
    <n v="0"/>
    <s v="SOUSCRIPTION"/>
    <s v="12002-33002-0022-111-00017376-2022"/>
    <s v="PANACO / Bolloré"/>
    <m/>
    <s v="SYNTYCHE"/>
    <s v="Victor"/>
    <s v="MARINE CARGO / GIT"/>
    <s v="MARINE"/>
    <x v="6"/>
    <s v="SFA"/>
    <n v="17728.48"/>
    <n v="77.86"/>
    <n v="0"/>
    <n v="0"/>
    <n v="0.98"/>
    <n v="65"/>
    <n v="10.56"/>
    <n v="4.3918034710251526E-3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2-27T00:00:00"/>
    <m/>
    <s v="ONCE OFF"/>
    <s v="MARINE CARGO / GIT"/>
    <m/>
    <m/>
    <s v="Prime en cours de paiement par Bolloré"/>
  </r>
  <r>
    <x v="5"/>
    <s v="Yes"/>
    <d v="2022-10-19T00:00:00"/>
    <d v="2022-10-31T00:00:00"/>
    <d v="2022-11-01T00:00:00"/>
    <d v="2023-10-31T00:00:00"/>
    <s v="000-656/AIB RDC/2022"/>
    <n v="0"/>
    <s v="SOUSCRIPTION"/>
    <s v="12002-33002-0023-113-00017418-2022"/>
    <s v="AFRICELL RDC Sa"/>
    <s v="TELECOM"/>
    <s v="MICHEE"/>
    <s v="Apphia"/>
    <s v="FIDELITY GUARANTEE"/>
    <s v="LIABILITIES"/>
    <x v="6"/>
    <s v="SFA"/>
    <n v="0"/>
    <n v="7685.27"/>
    <n v="970.59"/>
    <n v="0"/>
    <n v="42.35"/>
    <n v="5500"/>
    <n v="1042.07"/>
    <e v="#DIV/0!"/>
    <n v="0.1"/>
    <n v="550"/>
    <n v="0"/>
    <n v="0"/>
    <n v="550"/>
    <n v="88"/>
    <n v="638"/>
    <n v="11"/>
    <m/>
    <n v="11"/>
    <m/>
    <n v="539"/>
    <m/>
    <m/>
    <n v="0"/>
    <m/>
    <m/>
    <n v="0"/>
    <m/>
    <n v="638"/>
    <n v="638"/>
    <n v="0"/>
    <s v="SFA"/>
    <d v="2022-11-22T00:00:00"/>
    <m/>
    <m/>
    <s v="FIDELITY GUARANTEE"/>
    <m/>
    <m/>
    <m/>
  </r>
  <r>
    <x v="2"/>
    <s v="Yes"/>
    <d v="2022-11-04T00:00:00"/>
    <d v="2022-10-31T00:00:00"/>
    <d v="2022-10-31T00:00:00"/>
    <d v="2022-11-29T00:00:00"/>
    <s v="000-657/AIB RDC/2022"/>
    <n v="0"/>
    <s v="SOUSCRIPTION"/>
    <s v="12002-33002-0022-111-00017414-2022"/>
    <s v="YOUNG TECH SOLUTIONS / Bolloré"/>
    <m/>
    <s v="SYNTYCHE"/>
    <s v="Victor"/>
    <s v="MARINE CARGO / GIT"/>
    <s v="MARINE"/>
    <x v="6"/>
    <s v="SFA"/>
    <n v="882080.25"/>
    <n v="1977.7"/>
    <n v="0"/>
    <n v="0"/>
    <n v="24.77"/>
    <n v="1651.25"/>
    <n v="268.16000000000003"/>
    <n v="2.2420862500889234E-3"/>
    <n v="0.15"/>
    <n v="247.6875"/>
    <n v="0"/>
    <n v="0"/>
    <n v="247.6875"/>
    <n v="39.630000000000003"/>
    <n v="287.3175"/>
    <n v="4.9537500000000003"/>
    <m/>
    <n v="4.9537500000000003"/>
    <m/>
    <n v="242.73374999999999"/>
    <s v="BOLLORE"/>
    <n v="0.4"/>
    <n v="97.093500000000006"/>
    <n v="97.093500000000006"/>
    <d v="2023-10-30T00:00:00"/>
    <n v="0"/>
    <m/>
    <n v="287.3175"/>
    <n v="287.3175"/>
    <n v="0"/>
    <s v="SFA"/>
    <d v="2022-12-16T00:00:00"/>
    <m/>
    <s v="ONCE OFF"/>
    <s v="MARINE CARGO / GIT"/>
    <m/>
    <m/>
    <m/>
  </r>
  <r>
    <x v="6"/>
    <s v="Yes"/>
    <d v="2022-11-07T00:00:00"/>
    <d v="2022-10-27T00:00:00"/>
    <d v="2022-12-23T00:00:00"/>
    <d v="2023-01-06T00:00:00"/>
    <s v="000-658/AIB RDC/2022"/>
    <n v="0"/>
    <s v="SOUSCRIPTION"/>
    <s v="14000002/301"/>
    <s v="SHARMA DHRUV"/>
    <s v="PERSON"/>
    <s v="ALICE"/>
    <s v="Alice"/>
    <s v="TRAVEL"/>
    <s v="MEDICAL &amp; GPA"/>
    <x v="4"/>
    <s v="RAWSUR"/>
    <n v="30000"/>
    <n v="41.3"/>
    <n v="0"/>
    <n v="0"/>
    <n v="2"/>
    <n v="33"/>
    <n v="5.6"/>
    <n v="1.3766666666666667E-3"/>
    <n v="0.2"/>
    <n v="6.6000000000000005"/>
    <n v="0"/>
    <n v="0"/>
    <n v="6.6000000000000005"/>
    <n v="1.056"/>
    <n v="7.6560000000000006"/>
    <n v="0.13200000000000001"/>
    <m/>
    <n v="0.13200000000000001"/>
    <m/>
    <n v="6.4680000000000009"/>
    <m/>
    <m/>
    <n v="0"/>
    <m/>
    <m/>
    <n v="0"/>
    <m/>
    <n v="7.6560000000000006"/>
    <n v="7.6560000000000006"/>
    <n v="0"/>
    <s v="RAWSUR"/>
    <d v="2023-03-09T00:00:00"/>
    <m/>
    <s v="ONCE OFF"/>
    <s v="TRAVEL"/>
    <m/>
    <m/>
    <m/>
  </r>
  <r>
    <x v="2"/>
    <s v="Yes"/>
    <d v="2022-11-07T00:00:00"/>
    <d v="2022-10-07T00:00:00"/>
    <d v="2022-10-22T00:00:00"/>
    <d v="2022-11-11T00:00:00"/>
    <s v="000-659/AIB RDC/2022"/>
    <n v="0"/>
    <s v="SOUSCRIPTION"/>
    <s v="33002-0004-119-0003470 / 0001"/>
    <s v="SYNTYCHE MWEMA"/>
    <s v="PERSON"/>
    <s v="ALICE"/>
    <s v="Alice"/>
    <s v="TRAVEL"/>
    <s v="MEDICAL &amp; GPA"/>
    <x v="2"/>
    <s v="SUNU"/>
    <n v="0"/>
    <n v="52.15"/>
    <n v="0"/>
    <n v="0"/>
    <n v="0.88"/>
    <n v="44.08"/>
    <n v="7.19"/>
    <e v="#DIV/0!"/>
    <n v="0.2"/>
    <n v="8.8160000000000007"/>
    <n v="0"/>
    <n v="0"/>
    <n v="8.8160000000000007"/>
    <n v="1.41056"/>
    <n v="10.226560000000001"/>
    <n v="0.17632"/>
    <m/>
    <n v="0.17632"/>
    <m/>
    <n v="8.6396800000000002"/>
    <m/>
    <m/>
    <n v="0"/>
    <m/>
    <m/>
    <n v="0"/>
    <m/>
    <n v="10.226560000000001"/>
    <n v="10.226560000000001"/>
    <n v="0"/>
    <s v="SUNU"/>
    <d v="2022-11-23T00:00:00"/>
    <m/>
    <s v="ONCE OFF"/>
    <s v="TRAVEL"/>
    <m/>
    <m/>
    <m/>
  </r>
  <r>
    <x v="1"/>
    <s v="Yes"/>
    <d v="2022-10-06T00:00:00"/>
    <d v="2022-10-24T00:00:00"/>
    <d v="2022-09-30T00:00:00"/>
    <d v="2023-09-29T00:00:00"/>
    <s v="000-660/AIB RDC/2022"/>
    <n v="0"/>
    <s v="SOUSCRIPTION"/>
    <s v="12002-33002-0015-113-00017356-2022"/>
    <s v="AVZ Dathcom Mining"/>
    <s v="Mining"/>
    <s v="ANDY"/>
    <s v="Andy"/>
    <s v="D&amp;O"/>
    <s v="LIABILITIES"/>
    <x v="6"/>
    <s v="SFA"/>
    <n v="1000000"/>
    <n v="8218.7099999999991"/>
    <n v="1038.06"/>
    <n v="0"/>
    <n v="44.6"/>
    <n v="5882.35"/>
    <n v="1114.4000000000001"/>
    <n v="8.2187099999999989E-3"/>
    <n v="0.15"/>
    <n v="882.35250000000008"/>
    <n v="0"/>
    <n v="0"/>
    <n v="882.35250000000008"/>
    <n v="141.17640000000003"/>
    <n v="1023.5289000000001"/>
    <n v="17.647050000000004"/>
    <m/>
    <n v="17.647050000000004"/>
    <m/>
    <n v="864.70545000000004"/>
    <s v="Fenchurch Insurance"/>
    <m/>
    <n v="0"/>
    <m/>
    <m/>
    <n v="0"/>
    <m/>
    <n v="1023.5289000000001"/>
    <n v="1023.5289000000001"/>
    <n v="0"/>
    <s v="SFA"/>
    <d v="2022-11-22T00:00:00"/>
    <m/>
    <m/>
    <s v="D&amp;O"/>
    <m/>
    <m/>
    <m/>
  </r>
  <r>
    <x v="2"/>
    <s v="No"/>
    <d v="2022-10-31T00:00:00"/>
    <d v="2022-11-01T00:00:00"/>
    <d v="2022-10-28T00:00:00"/>
    <d v="2023-10-14T00:00:00"/>
    <s v="000-661/AIB RDC/2022"/>
    <n v="3"/>
    <s v="RISTOURNE"/>
    <s v="12002-33002-0004-103-00017222-2022"/>
    <s v="KAMOTO COPPER COMPANY"/>
    <s v="Mining"/>
    <s v="ANDY"/>
    <s v="Andy"/>
    <s v="MOTOR TPL"/>
    <s v="MOTOR TPL"/>
    <x v="6"/>
    <s v="SFA"/>
    <n v="0"/>
    <n v="-1189.3800000000001"/>
    <n v="0"/>
    <n v="0"/>
    <n v="0"/>
    <n v="-1025.33"/>
    <n v="-164.05"/>
    <e v="#DIV/0!"/>
    <n v="0.1"/>
    <n v="-102.533"/>
    <n v="0"/>
    <n v="0"/>
    <n v="-102.533"/>
    <n v="-16.405280000000001"/>
    <n v="-118.93828000000001"/>
    <n v="-2.0506600000000001"/>
    <m/>
    <n v="-2.0506600000000001"/>
    <m/>
    <n v="-100.48234000000001"/>
    <m/>
    <m/>
    <n v="0"/>
    <m/>
    <m/>
    <n v="0"/>
    <m/>
    <m/>
    <n v="-118.93828000000001"/>
    <n v="-118.93828000000001"/>
    <s v="SFA"/>
    <m/>
    <m/>
    <m/>
    <s v="MOTOR TPL"/>
    <m/>
    <m/>
    <m/>
  </r>
  <r>
    <x v="2"/>
    <s v="Yes"/>
    <d v="2022-10-08T00:00:00"/>
    <d v="2022-10-20T00:00:00"/>
    <d v="2022-10-05T00:00:00"/>
    <d v="2023-10-04T00:00:00"/>
    <s v="000-662/AIB RDC/2022"/>
    <n v="1"/>
    <s v="RENOUVELLEMENT"/>
    <s v="33002-0009-113-0000601/0002"/>
    <s v="Cilu Heidelberg"/>
    <m/>
    <s v="ANDY"/>
    <s v="Andy"/>
    <s v="PUBLIC LIABILITY"/>
    <s v="LIABILITIES"/>
    <x v="2"/>
    <s v="SUNU"/>
    <n v="0"/>
    <n v="18364.830000000002"/>
    <n v="0"/>
    <n v="0"/>
    <n v="156.75"/>
    <n v="15675"/>
    <n v="2533.08"/>
    <e v="#DIV/0!"/>
    <n v="0.1"/>
    <n v="1567.5"/>
    <n v="0"/>
    <n v="0"/>
    <n v="1567.5"/>
    <n v="250.8"/>
    <n v="1818.3"/>
    <n v="31.35"/>
    <n v="0"/>
    <n v="31.35"/>
    <m/>
    <n v="1536.15"/>
    <s v="Aucun"/>
    <n v="0"/>
    <n v="0"/>
    <m/>
    <m/>
    <n v="0"/>
    <m/>
    <n v="1818.3"/>
    <n v="1818.3"/>
    <n v="0"/>
    <s v="SUNU"/>
    <d v="2022-11-23T00:00:00"/>
    <m/>
    <m/>
    <s v="PUBLIC LIABILITY"/>
    <m/>
    <m/>
    <m/>
  </r>
  <r>
    <x v="2"/>
    <s v="Yes"/>
    <d v="2022-09-09T00:00:00"/>
    <d v="2022-10-11T00:00:00"/>
    <d v="2022-10-15T00:00:00"/>
    <d v="2023-10-14T00:00:00"/>
    <s v="000-663/AIB RDC/2022"/>
    <n v="0"/>
    <s v="SOUSCRIPTION"/>
    <s v="12002-33002-0004-103-00017222-2022"/>
    <s v="KAMOTO COPPER COMPANY"/>
    <s v="Mining"/>
    <s v="ANDY"/>
    <s v="Andy"/>
    <s v="MOTOR TPL"/>
    <s v="MOTOR TPL"/>
    <x v="6"/>
    <s v="SFA"/>
    <n v="0"/>
    <n v="181008.38"/>
    <n v="0"/>
    <n v="0"/>
    <n v="2262.94"/>
    <n v="151134"/>
    <n v="24543.51"/>
    <e v="#DIV/0!"/>
    <n v="0.1"/>
    <n v="15113.400000000001"/>
    <n v="0"/>
    <n v="0"/>
    <n v="15113.400000000001"/>
    <n v="2418.1440000000002"/>
    <n v="17531.544000000002"/>
    <n v="302.26800000000003"/>
    <m/>
    <n v="302.26800000000003"/>
    <m/>
    <n v="14811.132000000001"/>
    <m/>
    <m/>
    <n v="0"/>
    <m/>
    <m/>
    <n v="0"/>
    <m/>
    <n v="17531.544000000002"/>
    <n v="17531.544000000002"/>
    <n v="0"/>
    <s v="SFA"/>
    <d v="2022-11-22T00:00:00"/>
    <m/>
    <m/>
    <s v="MOTOR TPL"/>
    <m/>
    <m/>
    <m/>
  </r>
  <r>
    <x v="12"/>
    <s v="No"/>
    <m/>
    <m/>
    <m/>
    <m/>
    <s v="000-664/AIB RDC/2022"/>
    <m/>
    <s v="RISTOURNE"/>
    <s v="01-RCAP-2020-000107"/>
    <s v="KAMOTO COPPER COMPANY"/>
    <s v="Mining"/>
    <s v="ANDY"/>
    <s v="Andy"/>
    <s v="MOTOR TPL"/>
    <s v="MOTOR TPL"/>
    <x v="6"/>
    <s v="SFA"/>
    <n v="0"/>
    <n v="-12608.04"/>
    <n v="0"/>
    <n v="0"/>
    <n v="0"/>
    <n v="-10869"/>
    <n v="-1739.04"/>
    <e v="#DIV/0!"/>
    <n v="0"/>
    <n v="0"/>
    <n v="0"/>
    <n v="0"/>
    <n v="0"/>
    <n v="0"/>
    <n v="0"/>
    <n v="0"/>
    <m/>
    <n v="0"/>
    <m/>
    <n v="0"/>
    <m/>
    <m/>
    <n v="0"/>
    <m/>
    <m/>
    <n v="0"/>
    <m/>
    <m/>
    <n v="0"/>
    <n v="0"/>
    <s v="SFA"/>
    <m/>
    <m/>
    <m/>
    <s v="MOTOR TPL"/>
    <m/>
    <m/>
    <m/>
  </r>
  <r>
    <x v="5"/>
    <s v="Yes"/>
    <d v="2022-10-18T00:00:00"/>
    <d v="2022-10-31T00:00:00"/>
    <d v="2022-11-12T00:00:00"/>
    <d v="2023-10-14T00:00:00"/>
    <s v="000-665/AIB RDC/2022"/>
    <n v="1"/>
    <s v="INCORPORATION"/>
    <s v="12002-33002-0004-103-00017222-2022"/>
    <s v="KAMOTO COPPER COMPANY"/>
    <s v="Mining"/>
    <s v="ANDY"/>
    <s v="Andy"/>
    <s v="MOTOR TPL"/>
    <s v="MOTOR TPL"/>
    <x v="6"/>
    <s v="SFA"/>
    <n v="0"/>
    <n v="5337.67"/>
    <n v="0"/>
    <n v="0"/>
    <n v="66.819999999999993"/>
    <n v="4456.6400000000003"/>
    <n v="723.75"/>
    <e v="#DIV/0!"/>
    <n v="0.1"/>
    <n v="445.66400000000004"/>
    <n v="0"/>
    <n v="0"/>
    <n v="445.66400000000004"/>
    <n v="71.306240000000003"/>
    <n v="516.9702400000001"/>
    <n v="8.9132800000000003"/>
    <m/>
    <n v="8.9132800000000003"/>
    <m/>
    <n v="436.75072000000006"/>
    <m/>
    <m/>
    <n v="0"/>
    <m/>
    <m/>
    <n v="0"/>
    <m/>
    <n v="516.9702400000001"/>
    <n v="516.9702400000001"/>
    <n v="0"/>
    <s v="SFA"/>
    <d v="2022-12-16T00:00:00"/>
    <m/>
    <m/>
    <s v="MOTOR TPL"/>
    <m/>
    <m/>
    <m/>
  </r>
  <r>
    <x v="2"/>
    <s v="Yes"/>
    <d v="2022-10-31T00:00:00"/>
    <d v="2022-11-04T00:00:00"/>
    <d v="2022-10-28T00:00:00"/>
    <d v="2023-10-14T00:00:00"/>
    <s v="000-666/AIB RDC/2022"/>
    <n v="2"/>
    <s v="INCORPORATION"/>
    <s v="12002-33002-0004-103-00017222-2022"/>
    <s v="KAMOTO COPPER COMPANY"/>
    <s v="Mining"/>
    <s v="ANDY"/>
    <s v="Andy"/>
    <s v="MOTOR TPL"/>
    <s v="MOTOR TPL"/>
    <x v="6"/>
    <s v="SFA"/>
    <n v="0"/>
    <n v="1483.66"/>
    <n v="0"/>
    <n v="0"/>
    <n v="18.57"/>
    <n v="1238.78"/>
    <n v="201.17"/>
    <e v="#DIV/0!"/>
    <n v="0.1"/>
    <n v="123.878"/>
    <n v="0"/>
    <n v="0"/>
    <n v="123.878"/>
    <n v="19.82048"/>
    <n v="143.69847999999999"/>
    <n v="2.47756"/>
    <m/>
    <n v="2.47756"/>
    <m/>
    <n v="121.40044"/>
    <m/>
    <m/>
    <n v="0"/>
    <m/>
    <m/>
    <n v="0"/>
    <m/>
    <n v="143.69847999999999"/>
    <n v="143.69847999999999"/>
    <n v="0"/>
    <s v="SFA"/>
    <d v="2023-01-23T00:00:00"/>
    <m/>
    <m/>
    <s v="MOTOR TPL"/>
    <m/>
    <m/>
    <m/>
  </r>
  <r>
    <x v="5"/>
    <s v="No"/>
    <d v="2022-11-04T00:00:00"/>
    <d v="2022-11-04T00:00:00"/>
    <d v="2022-11-04T00:00:00"/>
    <d v="2023-10-14T00:00:00"/>
    <s v="000-667/AIB RDC/2022"/>
    <n v="5"/>
    <s v="RISTOURNE"/>
    <s v="12002-33002-0004-103-00017222-2022"/>
    <s v="KAMOTO COPPER COMPANY"/>
    <s v="Mining"/>
    <s v="ANDY"/>
    <s v="Andy"/>
    <s v="MOTOR TPL"/>
    <s v="MOTOR TPL"/>
    <x v="6"/>
    <s v="SFA"/>
    <n v="0"/>
    <n v="-2329.91"/>
    <n v="0"/>
    <n v="0"/>
    <n v="0"/>
    <n v="-2008.55"/>
    <n v="-321.36"/>
    <e v="#DIV/0!"/>
    <n v="0.1"/>
    <n v="-200.85500000000002"/>
    <n v="0"/>
    <n v="0"/>
    <n v="-200.85500000000002"/>
    <n v="-32.136800000000001"/>
    <n v="-232.99180000000001"/>
    <n v="-4.0171000000000001"/>
    <m/>
    <n v="-4.0171000000000001"/>
    <m/>
    <n v="-196.83790000000002"/>
    <m/>
    <m/>
    <n v="0"/>
    <m/>
    <m/>
    <n v="0"/>
    <m/>
    <m/>
    <n v="-232.99180000000001"/>
    <n v="-232.99180000000001"/>
    <s v="SFA"/>
    <m/>
    <m/>
    <m/>
    <s v="MOTOR TPL"/>
    <m/>
    <m/>
    <m/>
  </r>
  <r>
    <x v="2"/>
    <s v="Yes"/>
    <d v="2022-09-16T00:00:00"/>
    <d v="2022-10-10T00:00:00"/>
    <d v="2022-10-10T00:00:00"/>
    <d v="2023-10-09T00:00:00"/>
    <s v="000-668/AIB RDC/2022"/>
    <n v="0"/>
    <s v="SOUSCRIPTION"/>
    <s v="12002-33002-0004-103-00017217-2022"/>
    <s v="Glencore DRC"/>
    <s v="MINING"/>
    <s v="ANDY"/>
    <s v="Andy"/>
    <s v="MOTOR TPL"/>
    <s v="MOTOR TPL"/>
    <x v="6"/>
    <s v="SFA"/>
    <n v="0"/>
    <n v="1234.82"/>
    <n v="0"/>
    <n v="0"/>
    <n v="15.47"/>
    <n v="1031"/>
    <n v="167.43"/>
    <e v="#DIV/0!"/>
    <n v="0.1"/>
    <n v="103.10000000000001"/>
    <n v="0"/>
    <n v="0"/>
    <n v="103.10000000000001"/>
    <n v="16.496000000000002"/>
    <n v="119.596"/>
    <n v="2.0620000000000003"/>
    <m/>
    <n v="2.0620000000000003"/>
    <m/>
    <n v="101.03800000000001"/>
    <m/>
    <m/>
    <n v="0"/>
    <m/>
    <m/>
    <n v="0"/>
    <m/>
    <n v="119.596"/>
    <n v="119.596"/>
    <n v="0"/>
    <s v="SFA"/>
    <d v="2022-11-22T00:00:00"/>
    <m/>
    <m/>
    <s v="MOTOR TPL"/>
    <m/>
    <m/>
    <m/>
  </r>
  <r>
    <x v="10"/>
    <s v="Yes"/>
    <d v="2022-06-17T00:00:00"/>
    <d v="2022-07-01T00:00:00"/>
    <d v="2022-06-24T00:00:00"/>
    <d v="2022-10-14T00:00:00"/>
    <s v="000-669/AIB RDC/2022"/>
    <n v="11"/>
    <s v="RISTOURNE"/>
    <s v="01-RCAP-2020-000107"/>
    <s v="KAMOTO COPPER COMPANY"/>
    <s v="Mining"/>
    <s v="RAMSY"/>
    <s v="Apphia"/>
    <s v="MOTOR TPL"/>
    <s v="MOTOR TPL"/>
    <x v="6"/>
    <s v="SFA"/>
    <n v="0"/>
    <n v="-2571.36"/>
    <n v="0"/>
    <n v="0"/>
    <n v="0"/>
    <n v="-2216.69"/>
    <n v="-354.67"/>
    <e v="#DIV/0!"/>
    <n v="0.1"/>
    <n v="-221.66900000000001"/>
    <n v="0"/>
    <n v="0"/>
    <n v="-221.66900000000001"/>
    <n v="-35.467040000000004"/>
    <n v="-257.13604000000004"/>
    <n v="-4.4333800000000005"/>
    <m/>
    <n v="-4.4333800000000005"/>
    <m/>
    <n v="-217.23562000000001"/>
    <m/>
    <m/>
    <n v="0"/>
    <m/>
    <m/>
    <n v="0"/>
    <m/>
    <m/>
    <n v="-257.13604000000004"/>
    <n v="-257.13604000000004"/>
    <s v="SFA"/>
    <m/>
    <m/>
    <s v="RENEWED"/>
    <s v="MOTOR TPL"/>
    <m/>
    <s v="SFA"/>
    <m/>
  </r>
  <r>
    <x v="2"/>
    <s v="Yes"/>
    <d v="2022-10-12T00:00:00"/>
    <d v="2022-11-06T00:00:00"/>
    <d v="2022-10-27T00:00:00"/>
    <d v="2022-12-31T00:00:00"/>
    <s v="000-670/AIB RDC/2022"/>
    <n v="1"/>
    <s v="INCORPORATION"/>
    <s v="33002-0011-111-0000927 / 0002"/>
    <s v="CANAL PLUS"/>
    <s v="Communication"/>
    <s v="ANDY"/>
    <s v="Andy"/>
    <s v="MARINE CARGO / GIT"/>
    <s v="MARINE"/>
    <x v="2"/>
    <s v="SUNU"/>
    <n v="2305245"/>
    <n v="4866.88"/>
    <n v="0"/>
    <n v="0"/>
    <n v="41.54"/>
    <n v="4154.04"/>
    <n v="671.3"/>
    <n v="2.1112202824428638E-3"/>
    <n v="0.15"/>
    <n v="623.10599999999999"/>
    <n v="0"/>
    <n v="0"/>
    <n v="623.10599999999999"/>
    <n v="99.696960000000004"/>
    <n v="722.80295999999998"/>
    <n v="12.462120000000001"/>
    <n v="0"/>
    <n v="12.462120000000001"/>
    <m/>
    <n v="610.64387999999997"/>
    <s v="OLEA"/>
    <n v="0.35"/>
    <n v="213.72535799999997"/>
    <m/>
    <m/>
    <n v="213.72535799999997"/>
    <m/>
    <n v="722.80295999999998"/>
    <n v="722.80295999999998"/>
    <n v="0"/>
    <s v="SUNU"/>
    <d v="2022-12-23T00:00:00"/>
    <m/>
    <s v="RENEWED"/>
    <s v="MARINE CARGO / GIT"/>
    <m/>
    <m/>
    <m/>
  </r>
  <r>
    <x v="2"/>
    <s v="Yes"/>
    <d v="2022-10-14T00:00:00"/>
    <d v="2022-10-14T00:00:00"/>
    <d v="2022-10-10T00:00:00"/>
    <d v="2022-10-10T00:00:00"/>
    <s v="000-671/AIB RDC/2022"/>
    <n v="2"/>
    <s v="RISTOURNE"/>
    <s v="01-MCO-2021-000070"/>
    <s v="Confiance DRC Sarl"/>
    <s v="Transport"/>
    <s v="ANDY"/>
    <s v="Andy"/>
    <s v="MARINE CARGO / GIT"/>
    <s v="MARINE"/>
    <x v="6"/>
    <s v="SFA"/>
    <n v="0"/>
    <n v="-3967.03"/>
    <n v="0"/>
    <n v="0"/>
    <n v="0"/>
    <n v="-3419.85"/>
    <n v="-547.17999999999995"/>
    <e v="#DIV/0!"/>
    <n v="0.15"/>
    <n v="-512.97749999999996"/>
    <n v="0"/>
    <n v="0"/>
    <n v="-512.97749999999996"/>
    <n v="-82.076399999999992"/>
    <n v="-595.0539"/>
    <n v="-10.259549999999999"/>
    <n v="0"/>
    <n v="-10.259549999999999"/>
    <m/>
    <n v="-502.71794999999997"/>
    <s v="O'NEILS"/>
    <n v="0.5"/>
    <n v="-251.35897499999999"/>
    <n v="-251.35897499999999"/>
    <d v="2023-06-09T00:00:00"/>
    <n v="0"/>
    <s v="PT015/AIB RDC/2022"/>
    <n v="-595.0539"/>
    <n v="-595.0539"/>
    <n v="0"/>
    <s v="SFA"/>
    <d v="2023-01-23T00:00:00"/>
    <m/>
    <s v="RENEWED"/>
    <s v="MARINE CARGO / GIT"/>
    <m/>
    <m/>
    <m/>
  </r>
  <r>
    <x v="2"/>
    <s v="Yes"/>
    <d v="2022-10-13T00:00:00"/>
    <d v="2022-10-19T00:00:00"/>
    <d v="2022-10-11T00:00:00"/>
    <d v="2023-10-10T00:00:00"/>
    <s v="000-672/AIB RDC/2022"/>
    <n v="3"/>
    <s v="RENOUVELLEMENT"/>
    <s v="00017295"/>
    <s v="Confiance DRC Sarl"/>
    <s v="Transport"/>
    <s v="ANDY"/>
    <s v="Andy"/>
    <s v="MARINE CARGO / GIT"/>
    <s v="MARINE"/>
    <x v="6"/>
    <s v="SFA"/>
    <n v="23000000"/>
    <n v="37313.160000000003"/>
    <n v="0"/>
    <n v="0"/>
    <n v="157.32"/>
    <n v="31464"/>
    <n v="5059.41"/>
    <n v="1.6223113043478262E-3"/>
    <n v="0.15"/>
    <n v="4719.5999999999995"/>
    <n v="0"/>
    <n v="0"/>
    <n v="4719.5999999999995"/>
    <n v="755.13599999999997"/>
    <n v="5474.735999999999"/>
    <n v="94.391999999999996"/>
    <n v="0"/>
    <n v="94.391999999999996"/>
    <m/>
    <n v="4625.2079999999996"/>
    <s v="O'NEILS"/>
    <n v="0.5"/>
    <n v="2312.6039999999998"/>
    <n v="2312.6039999999998"/>
    <d v="2023-06-09T00:00:00"/>
    <n v="0"/>
    <s v="PT015/AIB RDC/2022"/>
    <n v="5474.735999999999"/>
    <n v="5474.735999999999"/>
    <n v="0"/>
    <s v="SFA"/>
    <d v="2023-01-23T00:00:00"/>
    <m/>
    <m/>
    <s v="MARINE CARGO / GIT"/>
    <m/>
    <m/>
    <m/>
  </r>
  <r>
    <x v="5"/>
    <s v="Yes"/>
    <d v="2022-10-19T00:00:00"/>
    <d v="2022-11-07T00:00:00"/>
    <d v="2022-11-06T00:00:00"/>
    <d v="2022-12-31T00:00:00"/>
    <s v="000-673/AIB RDC/2022"/>
    <n v="1"/>
    <s v="PROROGATION"/>
    <s v="1/01/040/00234/2021"/>
    <s v="Mott McDonald"/>
    <m/>
    <s v="ANDY"/>
    <s v="Andy"/>
    <s v="FIRE"/>
    <s v="PROPERTIES"/>
    <x v="1"/>
    <s v="MAYFAIR"/>
    <n v="73442"/>
    <n v="190.88"/>
    <n v="0"/>
    <n v="0"/>
    <n v="20"/>
    <n v="141.76"/>
    <n v="25.88"/>
    <n v="2.5990577598649272E-3"/>
    <n v="0.15"/>
    <n v="21.263999999999999"/>
    <n v="0"/>
    <n v="0"/>
    <n v="21.263999999999999"/>
    <n v="3.4022399999999999"/>
    <n v="24.666239999999998"/>
    <n v="0.42527999999999999"/>
    <m/>
    <n v="0.42527999999999999"/>
    <m/>
    <n v="20.838719999999999"/>
    <m/>
    <m/>
    <n v="0"/>
    <m/>
    <m/>
    <n v="0"/>
    <m/>
    <n v="24.666239999999998"/>
    <n v="24.666239999999998"/>
    <n v="0"/>
    <s v="MAYFAIR"/>
    <d v="2022-12-19T00:00:00"/>
    <m/>
    <s v="CANCELLED"/>
    <s v="FIRE"/>
    <m/>
    <m/>
    <m/>
  </r>
  <r>
    <x v="1"/>
    <s v="Yes"/>
    <d v="2022-09-26T00:00:00"/>
    <d v="2022-10-04T00:00:00"/>
    <d v="2022-09-01T00:00:00"/>
    <d v="2022-12-31T00:00:00"/>
    <s v="000-674/AIB RDC/2022"/>
    <n v="5"/>
    <s v="PROROGATION"/>
    <s v="12001-33002-0007-121-00000737-2020"/>
    <s v="NATIONAL DEMOCRATIC INSTITUTE / NDI"/>
    <m/>
    <s v="ANDY"/>
    <s v="Andy"/>
    <s v="FIRE"/>
    <s v="PROPERTIES"/>
    <x v="0"/>
    <s v="ACTIVA"/>
    <n v="565500"/>
    <n v="562.6"/>
    <n v="0"/>
    <n v="0"/>
    <n v="10"/>
    <n v="475"/>
    <n v="77.599999999999994"/>
    <n v="9.9487179487179494E-4"/>
    <n v="0.1"/>
    <n v="47.5"/>
    <n v="0"/>
    <n v="0"/>
    <n v="47.5"/>
    <n v="7.6000000000000005"/>
    <n v="55.1"/>
    <n v="0.95000000000000007"/>
    <n v="0"/>
    <n v="0.95000000000000007"/>
    <m/>
    <n v="46.55"/>
    <s v="OLEA"/>
    <n v="0.35"/>
    <n v="16.292499999999997"/>
    <m/>
    <m/>
    <n v="16.292499999999997"/>
    <m/>
    <n v="55.1"/>
    <n v="55.1"/>
    <n v="0"/>
    <s v="ACTIVA"/>
    <d v="2022-11-29T00:00:00"/>
    <m/>
    <s v="CANCELLED"/>
    <s v="FIRE"/>
    <m/>
    <m/>
    <m/>
  </r>
  <r>
    <x v="2"/>
    <s v="Yes"/>
    <d v="2022-10-21T00:00:00"/>
    <d v="2022-10-21T00:00:00"/>
    <d v="2022-10-21T00:00:00"/>
    <d v="2022-12-31T00:00:00"/>
    <s v="000-675/AIB RDC/2022"/>
    <n v="1"/>
    <s v="INCORPORATION"/>
    <s v="101/01/040/00270/2021"/>
    <s v="AGENCE FRANCAISE DE DEVELOPPEMENT ( AFD)"/>
    <s v="NGO"/>
    <s v="ANDY"/>
    <s v="Andy"/>
    <s v="FIRE"/>
    <s v="PROPERTIES"/>
    <x v="1"/>
    <s v="MAYFAIR"/>
    <n v="1077042"/>
    <n v="287"/>
    <n v="0"/>
    <n v="0"/>
    <n v="20"/>
    <n v="261"/>
    <n v="0"/>
    <n v="2.6647057403518152E-4"/>
    <n v="0.15"/>
    <n v="39.15"/>
    <n v="0"/>
    <n v="0"/>
    <n v="39.15"/>
    <n v="6.2640000000000002"/>
    <n v="45.414000000000001"/>
    <n v="0.78300000000000003"/>
    <n v="0"/>
    <n v="0.78300000000000003"/>
    <m/>
    <n v="38.366999999999997"/>
    <s v="OLEA"/>
    <n v="0.35"/>
    <n v="13.428449999999998"/>
    <m/>
    <m/>
    <n v="13.428449999999998"/>
    <m/>
    <n v="45.414000000000001"/>
    <n v="45.414000000000001"/>
    <n v="0"/>
    <s v="MAYFAIR"/>
    <d v="2022-11-17T00:00:00"/>
    <m/>
    <s v="RENEWED"/>
    <s v="FIRE"/>
    <m/>
    <m/>
    <m/>
  </r>
  <r>
    <x v="2"/>
    <s v="No"/>
    <d v="2022-10-21T00:00:00"/>
    <d v="2022-10-21T00:00:00"/>
    <d v="2022-10-14T00:00:00"/>
    <d v="2023-01-31T00:00:00"/>
    <s v="000-676/AIB RDC/2022"/>
    <n v="22"/>
    <s v="INCORPORATION"/>
    <s v="12001-33002-0001-104-0001845-2022"/>
    <s v="CFAO RDC / Loxea RDC"/>
    <s v="Distribution"/>
    <s v="ANDY"/>
    <s v="Sabrina"/>
    <s v="COMP MOTOR"/>
    <s v="MOTOR COMP"/>
    <x v="0"/>
    <s v="ACTIVA"/>
    <n v="516470"/>
    <n v="6503.63"/>
    <n v="0"/>
    <n v="0"/>
    <n v="55.51"/>
    <n v="5551.07"/>
    <n v="897.05"/>
    <n v="1.2592464228319167E-2"/>
    <n v="0.14559180372067901"/>
    <n v="808.19029387974956"/>
    <n v="0"/>
    <n v="166.53209999999999"/>
    <n v="974.72239387974957"/>
    <n v="155.95558302075995"/>
    <n v="1130.6779769005095"/>
    <n v="19.494447877594993"/>
    <n v="0"/>
    <n v="19.494447877594993"/>
    <m/>
    <n v="955.22794600215457"/>
    <s v="Aucun"/>
    <m/>
    <n v="0"/>
    <m/>
    <m/>
    <n v="0"/>
    <m/>
    <n v="1130.6779769005095"/>
    <n v="1130.6779769005095"/>
    <n v="0"/>
    <s v="ACTIVA"/>
    <d v="2023-08-14T00:00:00"/>
    <m/>
    <s v="RENEWED"/>
    <s v="COMP MOTOR"/>
    <m/>
    <m/>
    <s v="En attente du paiement de la prime"/>
  </r>
  <r>
    <x v="2"/>
    <s v="Yes"/>
    <d v="2022-10-24T00:00:00"/>
    <d v="2022-10-25T00:00:00"/>
    <d v="2022-10-26T00:00:00"/>
    <d v="2023-10-25T00:00:00"/>
    <s v="000-677/AIB RDC/2022"/>
    <n v="0"/>
    <s v="SOUSCRIPTION"/>
    <s v="12002-33002-0004-104-00017370-2022"/>
    <s v="Daon Rental"/>
    <s v="Distribution"/>
    <s v="ANDY"/>
    <s v="Andy"/>
    <s v="COMP MOTOR"/>
    <s v="MOTOR COMP"/>
    <x v="6"/>
    <s v="SFA"/>
    <n v="40000"/>
    <n v="2484.0300000000002"/>
    <n v="0"/>
    <n v="0"/>
    <n v="31.11"/>
    <n v="2074"/>
    <n v="336.82"/>
    <n v="6.2100750000000003E-2"/>
    <n v="0.15"/>
    <n v="311.09999999999997"/>
    <n v="0"/>
    <n v="0"/>
    <n v="311.09999999999997"/>
    <n v="49.775999999999996"/>
    <n v="360.87599999999998"/>
    <n v="6.2219999999999995"/>
    <n v="0"/>
    <n v="6.2219999999999995"/>
    <m/>
    <n v="304.87799999999999"/>
    <m/>
    <m/>
    <n v="0"/>
    <m/>
    <m/>
    <n v="0"/>
    <m/>
    <n v="360.87599999999998"/>
    <n v="360.87599999999998"/>
    <n v="0"/>
    <s v="SFA"/>
    <d v="2022-12-16T00:00:00"/>
    <m/>
    <m/>
    <s v="COMP MOTOR"/>
    <m/>
    <m/>
    <m/>
  </r>
  <r>
    <x v="2"/>
    <s v="Yes"/>
    <d v="2022-10-25T00:00:00"/>
    <d v="2022-10-29T00:00:00"/>
    <d v="2022-10-26T00:00:00"/>
    <d v="2023-10-25T00:00:00"/>
    <s v="000-678/AIB RDC/2022"/>
    <n v="0"/>
    <s v="SOUSCRIPTION"/>
    <s v="12002-33002-0002-112-00017407-2022"/>
    <s v="Meraki Spa"/>
    <s v="Spa"/>
    <s v="ANDY"/>
    <s v="Andy"/>
    <s v="FIRE"/>
    <s v="PROPERTIES"/>
    <x v="6"/>
    <s v="SFA"/>
    <n v="455000"/>
    <n v="746.91"/>
    <n v="0"/>
    <n v="0"/>
    <n v="39.76"/>
    <n v="593.21"/>
    <n v="101.28"/>
    <n v="1.6415604395604395E-3"/>
    <n v="0.1"/>
    <n v="59.321000000000005"/>
    <n v="0"/>
    <n v="0"/>
    <n v="59.321000000000005"/>
    <n v="9.4913600000000002"/>
    <n v="68.812360000000012"/>
    <n v="1.18642"/>
    <n v="0"/>
    <n v="1.18642"/>
    <m/>
    <n v="58.134580000000007"/>
    <m/>
    <m/>
    <n v="0"/>
    <m/>
    <m/>
    <n v="0"/>
    <m/>
    <n v="68.812360000000012"/>
    <n v="68.812360000000012"/>
    <n v="0"/>
    <s v="SFA"/>
    <d v="2022-11-22T00:00:00"/>
    <m/>
    <m/>
    <s v="FIRE"/>
    <m/>
    <m/>
    <m/>
  </r>
  <r>
    <x v="0"/>
    <s v="Yes"/>
    <d v="2022-11-08T00:00:00"/>
    <d v="2022-10-01T00:00:00"/>
    <d v="2022-01-01T00:00:00"/>
    <d v="2022-12-31T00:00:00"/>
    <s v="000-679/AIB RDC/2022"/>
    <n v="3"/>
    <s v="INCORPORATION"/>
    <s v="12001-3002-9007-008-00000308"/>
    <s v="BOLLORE TRANSPORT &amp; LOGISTICS RDC"/>
    <s v="TRANSPORT"/>
    <s v="ANDY"/>
    <s v="Andy"/>
    <s v="FIRE"/>
    <s v="PROPERTIES"/>
    <x v="0"/>
    <s v="ACTIVA"/>
    <n v="0"/>
    <n v="99969.5"/>
    <n v="0"/>
    <n v="0"/>
    <n v="853.27"/>
    <n v="85327.33"/>
    <n v="13788.9"/>
    <e v="#DIV/0!"/>
    <n v="0.05"/>
    <n v="4266.3665000000001"/>
    <n v="0"/>
    <n v="0"/>
    <n v="4266.3665000000001"/>
    <n v="682.61864000000003"/>
    <n v="4948.9851399999998"/>
    <n v="85.327330000000003"/>
    <m/>
    <n v="85.327330000000003"/>
    <m/>
    <n v="4181.03917"/>
    <m/>
    <m/>
    <n v="0"/>
    <m/>
    <m/>
    <n v="0"/>
    <m/>
    <n v="4948.9851399999998"/>
    <n v="4948.9851399999998"/>
    <n v="0"/>
    <s v="ACTIVA"/>
    <d v="2022-11-29T00:00:00"/>
    <m/>
    <s v="RENEWED"/>
    <s v="FIRE"/>
    <m/>
    <m/>
    <m/>
  </r>
  <r>
    <x v="2"/>
    <s v="Yes"/>
    <d v="2022-11-09T00:00:00"/>
    <d v="2022-10-14T00:00:00"/>
    <d v="2022-10-14T00:00:00"/>
    <d v="2023-10-13T00:00:00"/>
    <s v="000-680/AIB RDC/2022"/>
    <n v="0"/>
    <s v="SOUSCRIPTION"/>
    <s v="12001-33002-0001-104-00003551-2022"/>
    <s v="GROUPE VIVENDI AFRICA ( GVA)"/>
    <m/>
    <s v="ALICE"/>
    <s v="Alice"/>
    <s v="COMP MOTOR"/>
    <s v="MOTOR COMP"/>
    <x v="0"/>
    <s v="ACTIVA"/>
    <n v="0"/>
    <n v="4142.8599999999997"/>
    <n v="0"/>
    <n v="0"/>
    <n v="35.36"/>
    <n v="3536.07"/>
    <n v="571.42999999999995"/>
    <e v="#DIV/0!"/>
    <n v="0.14875836734001299"/>
    <n v="526.01999999999975"/>
    <n v="0"/>
    <n v="0"/>
    <n v="526.01999999999975"/>
    <n v="84.163199999999961"/>
    <n v="610.18319999999972"/>
    <n v="10.520399999999995"/>
    <n v="0"/>
    <n v="10.520399999999995"/>
    <m/>
    <n v="515.49959999999976"/>
    <m/>
    <m/>
    <n v="0"/>
    <m/>
    <m/>
    <n v="0"/>
    <m/>
    <n v="610.18319999999972"/>
    <n v="610.18319999999972"/>
    <n v="0"/>
    <s v="ACTIVA"/>
    <d v="2022-11-29T00:00:00"/>
    <m/>
    <m/>
    <s v="COMP MOTOR"/>
    <m/>
    <m/>
    <m/>
  </r>
  <r>
    <x v="5"/>
    <s v="Yes"/>
    <d v="2022-11-09T00:00:00"/>
    <d v="2022-11-04T00:00:00"/>
    <d v="2022-11-05T00:00:00"/>
    <d v="2023-11-04T00:00:00"/>
    <s v="000-681/AIB RDC/2022"/>
    <n v="1"/>
    <s v="RENOUVELLEMENT"/>
    <s v="12001-33002-0001-103-00001653-2021"/>
    <s v="COOPI"/>
    <m/>
    <s v="SYNTYCHE"/>
    <s v="Grace"/>
    <s v="MOTOR TPL"/>
    <s v="MOTOR TPL"/>
    <x v="0"/>
    <s v="ACTIVA"/>
    <n v="0"/>
    <n v="451.24"/>
    <n v="0"/>
    <n v="0"/>
    <n v="10"/>
    <n v="379"/>
    <n v="62.24"/>
    <e v="#DIV/0!"/>
    <n v="0.1"/>
    <n v="37.9"/>
    <m/>
    <m/>
    <n v="37.9"/>
    <n v="6.0640000000000001"/>
    <n v="43.963999999999999"/>
    <n v="0.75800000000000001"/>
    <m/>
    <n v="0.75800000000000001"/>
    <m/>
    <n v="37.141999999999996"/>
    <m/>
    <m/>
    <n v="0"/>
    <m/>
    <m/>
    <n v="0"/>
    <m/>
    <n v="43.963999999999999"/>
    <n v="43.963999999999999"/>
    <n v="0"/>
    <s v="ACTIVA"/>
    <d v="2022-11-29T00:00:00"/>
    <m/>
    <m/>
    <s v="MOTOR TPL"/>
    <m/>
    <m/>
    <m/>
  </r>
  <r>
    <x v="2"/>
    <s v="Yes"/>
    <d v="2022-11-08T00:00:00"/>
    <d v="2022-10-25T00:00:00"/>
    <d v="2022-10-21T00:00:00"/>
    <d v="2023-10-20T00:00:00"/>
    <s v="000-682/AIB RDC/2022"/>
    <n v="0"/>
    <s v="SOUSCRIPTION"/>
    <s v="00017372"/>
    <s v="Watu Wetu SAS"/>
    <s v="Mining"/>
    <s v="ANDY"/>
    <s v="Andy"/>
    <s v="FIRE"/>
    <s v="PROPERTIES"/>
    <x v="6"/>
    <s v="SFA"/>
    <n v="0"/>
    <n v="2881.68"/>
    <n v="0"/>
    <n v="0"/>
    <n v="22.1"/>
    <n v="2420"/>
    <n v="390.74"/>
    <e v="#DIV/0!"/>
    <n v="0.1"/>
    <n v="242"/>
    <n v="0"/>
    <n v="0"/>
    <n v="242"/>
    <n v="38.72"/>
    <n v="280.72000000000003"/>
    <n v="4.84"/>
    <m/>
    <n v="4.84"/>
    <m/>
    <n v="237.16"/>
    <m/>
    <m/>
    <n v="0"/>
    <m/>
    <m/>
    <n v="0"/>
    <m/>
    <n v="280.72000000000003"/>
    <n v="280.72000000000003"/>
    <n v="0"/>
    <s v="SFA"/>
    <d v="2022-11-22T00:00:00"/>
    <m/>
    <m/>
    <s v="FIRE"/>
    <m/>
    <m/>
    <m/>
  </r>
  <r>
    <x v="1"/>
    <s v="Yes"/>
    <d v="2022-11-08T00:00:00"/>
    <d v="2022-10-28T00:00:00"/>
    <d v="2022-09-15T00:00:00"/>
    <d v="2022-12-15T00:00:00"/>
    <s v="000-683/AIB RDC/2022"/>
    <n v="0"/>
    <s v="SOUSCRIPTION"/>
    <s v="00017394"/>
    <s v="Metalco Sarl"/>
    <m/>
    <s v="ALICE"/>
    <s v="Andy"/>
    <s v="TRAVEL"/>
    <s v="MEDICAL &amp; GPA"/>
    <x v="6"/>
    <s v="SFA"/>
    <n v="0"/>
    <n v="189.28"/>
    <n v="0"/>
    <n v="0"/>
    <n v="0"/>
    <n v="185.57"/>
    <n v="0"/>
    <e v="#DIV/0!"/>
    <n v="0.05"/>
    <n v="9.2784999999999993"/>
    <n v="0"/>
    <n v="0"/>
    <n v="9.2784999999999993"/>
    <n v="1.4845599999999999"/>
    <n v="10.763059999999999"/>
    <n v="0.18556999999999998"/>
    <m/>
    <n v="0.18556999999999998"/>
    <m/>
    <n v="9.0929299999999991"/>
    <m/>
    <m/>
    <n v="0"/>
    <m/>
    <m/>
    <n v="0"/>
    <m/>
    <n v="10.763059999999999"/>
    <n v="10.763059999999999"/>
    <n v="0"/>
    <s v="SFA"/>
    <d v="2022-11-22T00:00:00"/>
    <m/>
    <s v="ONCE OFF"/>
    <s v="TRAVEL"/>
    <m/>
    <m/>
    <m/>
  </r>
  <r>
    <x v="9"/>
    <s v="Yes"/>
    <d v="2022-11-08T00:00:00"/>
    <d v="2022-10-29T00:00:00"/>
    <d v="2022-08-27T00:00:00"/>
    <d v="2022-09-30T00:00:00"/>
    <s v="000-684/AIB RDC/2022"/>
    <n v="1"/>
    <s v="PROROGATION"/>
    <s v="01-IMR-2021-000171"/>
    <s v="Liberty Sprl"/>
    <m/>
    <s v="ANDY"/>
    <s v="Andy"/>
    <s v="FIRE"/>
    <s v="PROPERTIES"/>
    <x v="6"/>
    <s v="SFA"/>
    <n v="0"/>
    <n v="5035.3599999999997"/>
    <n v="73.45"/>
    <n v="0"/>
    <n v="30.81"/>
    <n v="4163"/>
    <n v="682.76"/>
    <e v="#DIV/0!"/>
    <n v="0.1"/>
    <n v="416.3"/>
    <n v="0"/>
    <n v="0"/>
    <n v="416.3"/>
    <n v="66.608000000000004"/>
    <n v="482.90800000000002"/>
    <n v="8.3260000000000005"/>
    <m/>
    <n v="8.3260000000000005"/>
    <m/>
    <n v="407.97399999999999"/>
    <m/>
    <m/>
    <n v="0"/>
    <m/>
    <m/>
    <n v="0"/>
    <m/>
    <n v="482.90800000000002"/>
    <n v="482.90800000000002"/>
    <n v="0"/>
    <s v="SFA"/>
    <d v="2022-11-22T00:00:00"/>
    <m/>
    <s v="LOST"/>
    <s v="FIRE"/>
    <m/>
    <m/>
    <m/>
  </r>
  <r>
    <x v="11"/>
    <s v="Yes"/>
    <d v="2022-11-08T00:00:00"/>
    <d v="2022-10-31T00:00:00"/>
    <d v="2022-07-28T00:00:00"/>
    <d v="2023-07-27T00:00:00"/>
    <s v="000-685/AIB RDC/2022"/>
    <n v="0"/>
    <s v="SOUSCRIPTION"/>
    <s v="00017421"/>
    <s v="Boss Mining"/>
    <s v="MINING"/>
    <s v="ANDY"/>
    <s v="Syntyche"/>
    <s v="AVIATION HULL ALL RISK"/>
    <s v="AVIATION"/>
    <x v="6"/>
    <s v="SFA"/>
    <n v="0"/>
    <n v="167740.75"/>
    <n v="21231.24"/>
    <n v="-7934.23"/>
    <n v="611.54999999999995"/>
    <n v="120310.39"/>
    <n v="22744.51"/>
    <e v="#DIV/0!"/>
    <n v="0"/>
    <n v="0"/>
    <n v="3989.1030000000005"/>
    <n v="5185.7925646551703"/>
    <n v="9174.8955646551713"/>
    <n v="1467.9832903448275"/>
    <n v="10642.878854999999"/>
    <n v="183.49791129310344"/>
    <n v="0"/>
    <n v="183.49791129310344"/>
    <m/>
    <n v="8991.397653362068"/>
    <m/>
    <m/>
    <n v="0"/>
    <m/>
    <m/>
    <n v="0"/>
    <m/>
    <n v="10642.878854999999"/>
    <n v="10642.878854999999"/>
    <n v="0"/>
    <s v="SFA"/>
    <d v="2022-11-22T00:00:00"/>
    <m/>
    <m/>
    <s v="AVIATION HULL ALL RISK"/>
    <m/>
    <m/>
    <m/>
  </r>
  <r>
    <x v="2"/>
    <s v="Yes"/>
    <d v="2022-11-08T00:00:00"/>
    <d v="2022-10-15T00:00:00"/>
    <d v="2022-10-16T00:00:00"/>
    <d v="2023-01-15T00:00:00"/>
    <s v="000-686/AIB RDC/2022"/>
    <n v="0"/>
    <s v="SOUSCRIPTION"/>
    <n v="31000003"/>
    <s v="DESCAMPE NICOLAS DENIS "/>
    <s v="Person"/>
    <s v="SYNTYCHE"/>
    <s v="Syntyche"/>
    <s v="MOTOR TPL"/>
    <s v="MOTOR TPL"/>
    <x v="4"/>
    <s v="RAWSUR"/>
    <n v="0"/>
    <n v="105.25"/>
    <n v="0"/>
    <n v="0"/>
    <n v="10"/>
    <n v="79.2"/>
    <n v="14.27"/>
    <e v="#DIV/0!"/>
    <n v="0.125"/>
    <n v="9.9"/>
    <n v="0"/>
    <n v="0"/>
    <n v="9.9"/>
    <n v="1.5840000000000001"/>
    <n v="11.484"/>
    <n v="0.19800000000000001"/>
    <m/>
    <n v="0.19800000000000001"/>
    <m/>
    <n v="9.702"/>
    <m/>
    <m/>
    <n v="0"/>
    <m/>
    <m/>
    <n v="0"/>
    <m/>
    <n v="11.484"/>
    <n v="11.484"/>
    <n v="0"/>
    <s v="RAWSUR"/>
    <d v="2022-12-06T00:00:00"/>
    <m/>
    <s v="ONCE OFF"/>
    <s v="MOTOR TPL"/>
    <m/>
    <m/>
    <m/>
  </r>
  <r>
    <x v="0"/>
    <s v="Yes"/>
    <d v="2022-11-08T00:00:00"/>
    <d v="2022-10-10T00:00:00"/>
    <d v="2022-01-13T00:00:00"/>
    <d v="2022-03-12T00:00:00"/>
    <s v="000-687/AIB RDC/2022"/>
    <n v="0"/>
    <s v="SOUSCRIPTION"/>
    <s v="301- 70100005"/>
    <s v="SACIM / Bolloré"/>
    <m/>
    <s v="SYNTYCHE"/>
    <s v="Victor"/>
    <s v="MARINE CARGO / GIT"/>
    <s v="MARINE"/>
    <x v="4"/>
    <s v="RAWSUR"/>
    <n v="185880"/>
    <n v="705.24"/>
    <n v="0"/>
    <n v="0"/>
    <n v="40"/>
    <n v="557.64"/>
    <n v="95.64"/>
    <n v="3.7940606843124597E-3"/>
    <n v="0.15"/>
    <n v="83.646000000000001"/>
    <n v="0"/>
    <n v="0"/>
    <n v="83.646000000000001"/>
    <n v="13.38336"/>
    <n v="97.029359999999997"/>
    <n v="1.67292"/>
    <n v="0"/>
    <n v="1.67292"/>
    <m/>
    <n v="81.973079999999996"/>
    <s v="BOLLORE"/>
    <n v="0.4"/>
    <n v="32.789231999999998"/>
    <n v="32.789231999999998"/>
    <d v="2023-10-30T00:00:00"/>
    <n v="0"/>
    <m/>
    <n v="97.029359999999997"/>
    <n v="97.029359999999997"/>
    <n v="0"/>
    <s v="RAWSUR"/>
    <d v="2022-12-06T00:00:00"/>
    <m/>
    <s v="ONCE OFF"/>
    <s v="MARINE CARGO / GIT"/>
    <m/>
    <m/>
    <m/>
  </r>
  <r>
    <x v="10"/>
    <s v="Yes"/>
    <d v="2022-11-15T00:00:00"/>
    <d v="2022-09-14T00:00:00"/>
    <d v="2022-06-01T00:00:00"/>
    <d v="2022-09-30T00:00:00"/>
    <s v="000-688/AIB RDC/2022"/>
    <n v="0"/>
    <s v="SOUSCRIPTION"/>
    <s v="00017039"/>
    <s v="Glencore / Mutanda Mining"/>
    <s v="MINING"/>
    <s v="ANDY"/>
    <s v="Andy"/>
    <s v="MEDICAL"/>
    <s v="MEDICAL &amp; GPA"/>
    <x v="6"/>
    <s v="SFA"/>
    <n v="0"/>
    <n v="115036.73"/>
    <n v="16917.169999999998"/>
    <n v="0"/>
    <n v="0"/>
    <n v="95863.94"/>
    <n v="0"/>
    <e v="#DIV/0!"/>
    <n v="0"/>
    <n v="0"/>
    <n v="5075.1509999999989"/>
    <n v="0"/>
    <n v="5075.1509999999989"/>
    <n v="812.02415999999982"/>
    <n v="5887.1751599999989"/>
    <n v="101.50301999999998"/>
    <n v="0"/>
    <n v="101.50301999999998"/>
    <m/>
    <n v="4973.6479799999988"/>
    <m/>
    <m/>
    <n v="0"/>
    <m/>
    <m/>
    <n v="0"/>
    <m/>
    <n v="5887.1751599999989"/>
    <n v="5887.1751599999989"/>
    <n v="0"/>
    <s v="SFA"/>
    <d v="2022-11-22T00:00:00"/>
    <m/>
    <s v="RENEWING..."/>
    <s v="MEDICAL"/>
    <m/>
    <m/>
    <m/>
  </r>
  <r>
    <x v="11"/>
    <s v="Yes"/>
    <d v="2022-11-17T00:00:00"/>
    <d v="2022-10-01T00:00:00"/>
    <d v="2022-07-01T00:00:00"/>
    <d v="2023-06-30T00:00:00"/>
    <s v="000-689/AIB RDC/2022"/>
    <n v="2"/>
    <s v="RENOUVELLEMENT"/>
    <n v="45000001"/>
    <s v="Shoprite"/>
    <m/>
    <s v="SYNTYCHE"/>
    <s v="Syntyche"/>
    <s v="PROPERTY DAMAGE &amp; BI"/>
    <s v="PROPERTIES"/>
    <x v="4"/>
    <s v="RAWSUR"/>
    <n v="14635791.119999999"/>
    <n v="32487.81"/>
    <n v="0"/>
    <n v="0"/>
    <n v="100"/>
    <n v="27432.04"/>
    <n v="4405.13"/>
    <n v="2.219750865097069E-3"/>
    <n v="0"/>
    <n v="0"/>
    <n v="1234.44"/>
    <n v="2364.83"/>
    <n v="3599.27"/>
    <n v="575.88319999999999"/>
    <n v="4175.1531999999997"/>
    <n v="71.985399999999998"/>
    <n v="0"/>
    <n v="71.985399999999998"/>
    <m/>
    <n v="3527.2846"/>
    <s v="MARSH"/>
    <n v="0"/>
    <n v="0"/>
    <m/>
    <m/>
    <n v="0"/>
    <m/>
    <n v="4175.1531999999997"/>
    <n v="4175.1531999999997"/>
    <n v="0"/>
    <s v="RAWSUR"/>
    <d v="2022-12-06T00:00:00"/>
    <m/>
    <s v="CANCELLED"/>
    <s v="PROPERTY DAMAGE &amp; BI"/>
    <m/>
    <m/>
    <m/>
  </r>
  <r>
    <x v="11"/>
    <s v="Yes"/>
    <d v="2022-11-17T00:00:00"/>
    <d v="2022-10-05T00:00:00"/>
    <d v="2022-07-01T00:00:00"/>
    <d v="2023-06-30T00:00:00"/>
    <s v="000-690/AIB RDC/2022"/>
    <n v="2"/>
    <s v="RENOUVELLEMENT"/>
    <n v="59000001"/>
    <s v="Shoprite"/>
    <m/>
    <s v="SYNTYCHE"/>
    <s v="Syntyche"/>
    <s v="PVT"/>
    <s v="POLITICAL VIOLENCE"/>
    <x v="4"/>
    <s v="RAWSUR"/>
    <n v="0"/>
    <n v="4132.75"/>
    <n v="0"/>
    <n v="0"/>
    <n v="100"/>
    <n v="3402.33"/>
    <n v="560.37"/>
    <e v="#DIV/0!"/>
    <n v="0"/>
    <n v="0"/>
    <n v="153.11000000000001"/>
    <n v="586.61"/>
    <n v="739.72"/>
    <n v="118.35520000000001"/>
    <n v="858.0752"/>
    <n v="14.794400000000001"/>
    <n v="0"/>
    <n v="14.794400000000001"/>
    <m/>
    <n v="724.92560000000003"/>
    <s v="MARSH"/>
    <n v="0"/>
    <n v="0"/>
    <m/>
    <m/>
    <n v="0"/>
    <m/>
    <n v="858.0752"/>
    <n v="858.0752"/>
    <n v="0"/>
    <s v="RAWSUR"/>
    <d v="2022-12-06T00:00:00"/>
    <m/>
    <s v="CANCELLED"/>
    <s v="PVT"/>
    <m/>
    <m/>
    <m/>
  </r>
  <r>
    <x v="5"/>
    <s v="No"/>
    <d v="2022-11-14T00:00:00"/>
    <m/>
    <d v="2022-11-14T00:00:00"/>
    <d v="2023-01-31T00:00:00"/>
    <s v="000-691/AIB RDC/2022"/>
    <n v="23"/>
    <s v="INCORPORATION"/>
    <s v="12001-33002-0001-104-0001845-2022"/>
    <s v="CFAO RDC / Loxea RDC"/>
    <s v="Distribution"/>
    <s v="ANDY"/>
    <s v="Sabrina"/>
    <s v="COMP MOTOR"/>
    <s v="MOTOR COMP"/>
    <x v="0"/>
    <s v="ACTIVA"/>
    <n v="361805"/>
    <n v="3575.32"/>
    <n v="0"/>
    <n v="0"/>
    <n v="30.52"/>
    <n v="3051.66"/>
    <n v="493.15"/>
    <n v="9.8818977073285331E-3"/>
    <n v="0.14559180372067901"/>
    <n v="444.2966837422473"/>
    <n v="0"/>
    <n v="91.549799999999991"/>
    <n v="535.8464837422473"/>
    <n v="85.735437398759572"/>
    <n v="621.58192114100689"/>
    <n v="10.716929674844947"/>
    <n v="0"/>
    <n v="10.716929674844947"/>
    <m/>
    <n v="525.12955406740241"/>
    <s v="Aucun"/>
    <m/>
    <n v="0"/>
    <m/>
    <m/>
    <n v="0"/>
    <m/>
    <n v="621.58192114100689"/>
    <n v="621.58192114100689"/>
    <n v="0"/>
    <s v="ACTIVA"/>
    <d v="2023-08-14T00:00:00"/>
    <m/>
    <s v="RENEWED"/>
    <s v="COMP MOTOR"/>
    <m/>
    <m/>
    <s v="En attente du paiement de la prime"/>
  </r>
  <r>
    <x v="2"/>
    <s v="Yes"/>
    <d v="2022-10-24T00:00:00"/>
    <d v="2022-12-02T00:00:00"/>
    <d v="2022-10-24T00:00:00"/>
    <d v="2023-10-23T00:00:00"/>
    <s v="000-692/AIB RDC/2022"/>
    <n v="0"/>
    <s v="SOUSCRIPTION"/>
    <s v="33002-0006-112-0004046 / 0001"/>
    <s v="ETS KAMBALE LABORATOIRE PHATKIN"/>
    <m/>
    <s v="ALICE"/>
    <s v="Alice"/>
    <s v="FIRE"/>
    <s v="PROPERTIES"/>
    <x v="2"/>
    <s v="SUNU"/>
    <n v="60000"/>
    <n v="1002.58"/>
    <n v="0"/>
    <n v="0"/>
    <n v="10"/>
    <n v="854.29"/>
    <n v="138.29"/>
    <n v="1.6709666666666668E-2"/>
    <n v="0.1"/>
    <n v="85.429000000000002"/>
    <n v="0"/>
    <n v="0"/>
    <n v="85.429000000000002"/>
    <n v="13.66864"/>
    <n v="99.097639999999998"/>
    <n v="1.70858"/>
    <m/>
    <n v="1.70858"/>
    <m/>
    <n v="83.720420000000004"/>
    <m/>
    <m/>
    <n v="0"/>
    <m/>
    <m/>
    <n v="0"/>
    <m/>
    <n v="99.097639999999998"/>
    <n v="99.097639999999998"/>
    <n v="0"/>
    <s v="SUNU"/>
    <d v="2022-12-23T00:00:00"/>
    <m/>
    <m/>
    <s v="FIRE"/>
    <m/>
    <m/>
    <m/>
  </r>
  <r>
    <x v="5"/>
    <s v="No"/>
    <d v="2022-11-03T00:00:00"/>
    <d v="2022-11-22T00:00:00"/>
    <d v="2022-11-01T00:00:00"/>
    <d v="2022-12-31T00:00:00"/>
    <s v="000-693/AIB RDC/2022"/>
    <n v="5"/>
    <s v="INCORPORATION"/>
    <s v="12001-09008/1005/2300001495"/>
    <s v="OPPORTUNITY INTERNATIONAL"/>
    <m/>
    <s v="ALICE"/>
    <s v="Alice"/>
    <s v="MEDICAL"/>
    <s v="MEDICAL &amp; GPA"/>
    <x v="3"/>
    <s v="ACTIVA/GGA"/>
    <n v="0"/>
    <n v="2295"/>
    <n v="0"/>
    <n v="0"/>
    <n v="0"/>
    <n v="1628.58"/>
    <n v="0"/>
    <e v="#DIV/0!"/>
    <n v="0.05"/>
    <n v="81.429000000000002"/>
    <n v="0"/>
    <n v="0"/>
    <n v="81.429000000000002"/>
    <n v="0"/>
    <n v="81.429000000000002"/>
    <n v="1.6285800000000001"/>
    <n v="0"/>
    <n v="1.6285800000000001"/>
    <m/>
    <n v="79.800420000000003"/>
    <s v="OLEA"/>
    <n v="0.35"/>
    <n v="27.930146999999998"/>
    <m/>
    <m/>
    <n v="27.930146999999998"/>
    <m/>
    <n v="81.429000000000002"/>
    <n v="81.429000000000002"/>
    <n v="0"/>
    <s v="ACTIVA/GGA"/>
    <d v="2023-06-28T00:00:00"/>
    <m/>
    <s v="RENEWED"/>
    <s v="MEDICAL"/>
    <m/>
    <m/>
    <s v="Commision à collecter dans le bordereau de Mai"/>
  </r>
  <r>
    <x v="5"/>
    <s v="Yes"/>
    <d v="2022-11-03T00:00:00"/>
    <d v="2022-11-02T00:00:00"/>
    <d v="2022-11-03T00:00:00"/>
    <d v="2023-11-02T00:00:00"/>
    <s v="000-694/AIB RDC/2022"/>
    <n v="0"/>
    <s v="SOUSCRIPTION"/>
    <s v="12002-33002-0004-103-00017444-2022"/>
    <s v="COSTA COULEUR"/>
    <m/>
    <s v="ALICE"/>
    <s v="Alice"/>
    <s v="MOTOR TPL"/>
    <s v="MOTOR TPL"/>
    <x v="6"/>
    <s v="SFA"/>
    <n v="0"/>
    <n v="453.93"/>
    <n v="0"/>
    <n v="0"/>
    <n v="5.69"/>
    <n v="379"/>
    <n v="61.55"/>
    <e v="#DIV/0!"/>
    <n v="0.1"/>
    <n v="37.9"/>
    <n v="0"/>
    <n v="0"/>
    <n v="37.9"/>
    <n v="6.0640000000000001"/>
    <n v="43.963999999999999"/>
    <n v="0.75800000000000001"/>
    <m/>
    <n v="0.75800000000000001"/>
    <m/>
    <n v="37.141999999999996"/>
    <m/>
    <m/>
    <n v="0"/>
    <m/>
    <m/>
    <n v="0"/>
    <m/>
    <n v="43.963999999999999"/>
    <n v="43.963999999999999"/>
    <n v="0"/>
    <s v="SFA"/>
    <d v="2022-12-16T00:00:00"/>
    <m/>
    <m/>
    <s v="MOTOR TPL"/>
    <m/>
    <m/>
    <m/>
  </r>
  <r>
    <x v="5"/>
    <s v="Yes"/>
    <d v="2022-11-17T00:00:00"/>
    <d v="2022-11-21T00:00:00"/>
    <d v="2022-11-18T00:00:00"/>
    <d v="2023-03-22T00:00:00"/>
    <s v="000-695/AIB RDC/2022"/>
    <n v="3"/>
    <s v="INCORPORATION"/>
    <s v="00016054"/>
    <s v="AFRI MOBILE MONEY"/>
    <s v="TELECOM"/>
    <s v="MICHEE"/>
    <s v="Apphia"/>
    <s v="MOTOR TPL"/>
    <s v="MOTOR TPL"/>
    <x v="6"/>
    <s v="SFA"/>
    <n v="0"/>
    <n v="118.56"/>
    <n v="0"/>
    <n v="0"/>
    <n v="1.49"/>
    <n v="99"/>
    <n v="16.07"/>
    <e v="#DIV/0!"/>
    <n v="0.1"/>
    <n v="9.9"/>
    <n v="0"/>
    <n v="0"/>
    <n v="9.9"/>
    <n v="1.5840000000000001"/>
    <n v="11.484"/>
    <n v="0.19800000000000001"/>
    <m/>
    <n v="0.19800000000000001"/>
    <m/>
    <n v="9.702"/>
    <m/>
    <m/>
    <n v="0"/>
    <m/>
    <m/>
    <n v="0"/>
    <m/>
    <n v="11.484"/>
    <n v="11.484"/>
    <n v="0"/>
    <s v="SFA"/>
    <d v="2022-12-16T00:00:00"/>
    <m/>
    <s v="RENEWED"/>
    <s v="MOTOR TPL"/>
    <m/>
    <m/>
    <m/>
  </r>
  <r>
    <x v="5"/>
    <s v="Yes"/>
    <d v="2022-11-28T00:00:00"/>
    <d v="2022-11-29T00:00:00"/>
    <d v="2022-11-29T00:00:00"/>
    <d v="2023-03-22T00:00:00"/>
    <s v="000-696/AIB RDC/2022"/>
    <n v="4"/>
    <s v="INCORPORATION"/>
    <s v="00016054"/>
    <s v="AFRI MOBILE MONEY"/>
    <s v="TELECOM"/>
    <s v="MICHEE"/>
    <s v="Apphia"/>
    <s v="MOTOR TPL"/>
    <s v="MOTOR TPL"/>
    <x v="6"/>
    <s v="SFA"/>
    <n v="0"/>
    <n v="341.88"/>
    <n v="0"/>
    <n v="0"/>
    <n v="4.18"/>
    <n v="285.56"/>
    <n v="46.35"/>
    <e v="#DIV/0!"/>
    <n v="0.1"/>
    <n v="28.556000000000001"/>
    <n v="0"/>
    <n v="0"/>
    <n v="28.556000000000001"/>
    <n v="4.5689600000000006"/>
    <n v="33.124960000000002"/>
    <n v="0.57112000000000007"/>
    <m/>
    <n v="0.57112000000000007"/>
    <m/>
    <n v="27.98488"/>
    <m/>
    <m/>
    <n v="0"/>
    <m/>
    <m/>
    <n v="0"/>
    <m/>
    <n v="33.124960000000002"/>
    <n v="33.124960000000002"/>
    <n v="0"/>
    <s v="SFA"/>
    <d v="2022-12-16T00:00:00"/>
    <m/>
    <s v="RENEWED"/>
    <s v="MOTOR TPL"/>
    <m/>
    <m/>
    <m/>
  </r>
  <r>
    <x v="5"/>
    <s v="Yes"/>
    <d v="2022-11-16T00:00:00"/>
    <d v="2022-11-18T00:00:00"/>
    <d v="2022-11-15T00:00:00"/>
    <d v="2023-11-14T00:00:00"/>
    <s v="000-697/AIB RDC/2022"/>
    <n v="1"/>
    <s v="RENOUVELLEMENT"/>
    <s v="12005-33002-0017-13001-00004044-2022"/>
    <s v="FABRI METAL CONGO SARL ( FAMECO)"/>
    <s v="CONSTRUCTIONS"/>
    <s v="MICHEE"/>
    <s v="Apphia"/>
    <s v="CIT"/>
    <s v="MARINE"/>
    <x v="1"/>
    <s v="MAYFAIR"/>
    <n v="500000"/>
    <n v="10384"/>
    <n v="0"/>
    <n v="0"/>
    <n v="50"/>
    <n v="8750"/>
    <n v="1408"/>
    <n v="2.0767999999999998E-2"/>
    <n v="0.15"/>
    <n v="1312.5"/>
    <n v="0"/>
    <n v="0"/>
    <n v="1312.5"/>
    <n v="210"/>
    <n v="1522.5"/>
    <n v="26.25"/>
    <m/>
    <n v="26.25"/>
    <m/>
    <n v="1286.25"/>
    <m/>
    <m/>
    <n v="0"/>
    <m/>
    <m/>
    <n v="0"/>
    <m/>
    <n v="1522.5"/>
    <n v="1522.5"/>
    <n v="0"/>
    <s v="MAYFAIR"/>
    <d v="2022-12-19T00:00:00"/>
    <m/>
    <m/>
    <s v="CIT"/>
    <m/>
    <m/>
    <m/>
  </r>
  <r>
    <x v="5"/>
    <s v="Yes"/>
    <d v="2022-11-10T00:00:00"/>
    <d v="2022-11-11T00:00:00"/>
    <d v="2022-11-11T00:00:00"/>
    <d v="2022-12-10T00:00:00"/>
    <s v="000-698/AIB RDC/2022"/>
    <n v="0"/>
    <s v="SOUSCRIPTION"/>
    <s v="33002-0001-101-0003773 / 0001"/>
    <s v="Prince LENGE YANKONDE KAKUBO"/>
    <s v="PERSON"/>
    <s v="MICHEE"/>
    <s v="Apphia"/>
    <s v="GPA"/>
    <s v="MEDICAL &amp; GPA"/>
    <x v="2"/>
    <s v="SUNU"/>
    <n v="0"/>
    <n v="49.88"/>
    <n v="0"/>
    <n v="0"/>
    <n v="10"/>
    <n v="33"/>
    <n v="6.88"/>
    <e v="#DIV/0!"/>
    <n v="0.2"/>
    <n v="6.6000000000000005"/>
    <n v="0"/>
    <n v="0"/>
    <n v="6.6000000000000005"/>
    <n v="1.056"/>
    <n v="7.6560000000000006"/>
    <n v="0.13200000000000001"/>
    <m/>
    <n v="0.13200000000000001"/>
    <m/>
    <n v="6.4680000000000009"/>
    <m/>
    <m/>
    <n v="0"/>
    <m/>
    <m/>
    <n v="0"/>
    <m/>
    <n v="7.6560000000000006"/>
    <n v="7.6560000000000006"/>
    <n v="0"/>
    <s v="SUNU"/>
    <d v="2022-12-23T00:00:00"/>
    <m/>
    <s v="ONCE OFF"/>
    <s v="GPA"/>
    <m/>
    <m/>
    <m/>
  </r>
  <r>
    <x v="5"/>
    <s v="Yes"/>
    <d v="2022-11-10T00:00:00"/>
    <d v="2022-11-11T00:00:00"/>
    <d v="2022-11-11T00:00:00"/>
    <d v="2022-12-10T00:00:00"/>
    <s v="000-699/AIB RDC/2022"/>
    <n v="0"/>
    <s v="SOUSCRIPTION"/>
    <s v="33002-0017-104-0003772 / 0001"/>
    <s v="Prince LENGE YANKONDE KAKUBO"/>
    <s v="PERSON"/>
    <s v="MICHEE"/>
    <s v="Apphia"/>
    <s v="MOTOR TPL"/>
    <s v="MOTOR TPL"/>
    <x v="2"/>
    <s v="SUNU"/>
    <n v="0"/>
    <n v="30.57"/>
    <n v="0"/>
    <n v="0"/>
    <n v="10"/>
    <n v="16.350000000000001"/>
    <n v="4.22"/>
    <e v="#DIV/0!"/>
    <n v="0.125"/>
    <n v="2.0437500000000002"/>
    <n v="0"/>
    <n v="0"/>
    <n v="2.0437500000000002"/>
    <n v="0.32700000000000001"/>
    <n v="2.3707500000000001"/>
    <n v="4.0875000000000002E-2"/>
    <m/>
    <n v="4.0875000000000002E-2"/>
    <m/>
    <n v="2.002875"/>
    <m/>
    <m/>
    <n v="0"/>
    <m/>
    <m/>
    <n v="0"/>
    <m/>
    <n v="2.3707500000000001"/>
    <n v="2.3707500000000001"/>
    <n v="0"/>
    <s v="SUNU"/>
    <d v="2022-12-23T00:00:00"/>
    <m/>
    <s v="ONCE OFF"/>
    <s v="MOTOR TPL"/>
    <m/>
    <m/>
    <m/>
  </r>
  <r>
    <x v="5"/>
    <s v="Yes"/>
    <d v="2022-11-07T00:00:00"/>
    <d v="2022-11-08T00:00:00"/>
    <d v="2022-11-09T00:00:00"/>
    <d v="2023-11-08T00:00:00"/>
    <s v="000-700/AIB RDC/2022"/>
    <n v="0"/>
    <s v="SOUSCRIPTION"/>
    <s v="301-31000004"/>
    <s v="ERIC WILLEMAERS"/>
    <s v="PERSON"/>
    <s v="MICHEE"/>
    <s v="Apphia"/>
    <s v="COMP MOTOR"/>
    <s v="MOTOR COMP"/>
    <x v="4"/>
    <s v="RAWSUR"/>
    <n v="0"/>
    <n v="2129.61"/>
    <n v="0"/>
    <n v="0"/>
    <n v="10"/>
    <n v="2077.85"/>
    <n v="0"/>
    <e v="#DIV/0!"/>
    <n v="0.15"/>
    <n v="311.67749999999995"/>
    <n v="0"/>
    <n v="0"/>
    <n v="311.67749999999995"/>
    <n v="49.868399999999994"/>
    <n v="361.54589999999996"/>
    <n v="6.2335499999999993"/>
    <m/>
    <n v="6.2335499999999993"/>
    <m/>
    <n v="305.44394999999997"/>
    <m/>
    <m/>
    <n v="0"/>
    <m/>
    <m/>
    <n v="0"/>
    <m/>
    <n v="361.54589999999996"/>
    <n v="361.54589999999996"/>
    <n v="0"/>
    <s v="RAWSUR"/>
    <d v="2022-12-21T00:00:00"/>
    <m/>
    <m/>
    <s v="COMP MOTOR"/>
    <m/>
    <m/>
    <m/>
  </r>
  <r>
    <x v="4"/>
    <s v="Yes"/>
    <d v="2022-11-17T00:00:00"/>
    <d v="2022-12-08T00:00:00"/>
    <d v="2022-03-10T00:00:00"/>
    <d v="2023-03-09T00:00:00"/>
    <s v="000-701/AIB RDC/2022"/>
    <n v="2"/>
    <s v="RISTOURNE"/>
    <s v="13001/01/0700/00256/2022"/>
    <s v="NUTRI AFRICA"/>
    <s v="FOOD MANIFACTURERS"/>
    <s v="MICHEE"/>
    <s v="Apphia"/>
    <s v="MOTOR TPL"/>
    <s v="MOTOR TPL"/>
    <x v="1"/>
    <s v="MAYFAIR"/>
    <n v="0"/>
    <n v="-635.6"/>
    <n v="0"/>
    <n v="0"/>
    <n v="-10"/>
    <n v="-538.65"/>
    <n v="-86.18"/>
    <e v="#DIV/0!"/>
    <n v="0.1"/>
    <n v="-53.865000000000002"/>
    <n v="0"/>
    <n v="0"/>
    <n v="-53.865000000000002"/>
    <n v="-8.6184000000000012"/>
    <n v="-62.483400000000003"/>
    <n v="-1.0773000000000001"/>
    <m/>
    <n v="-1.0773000000000001"/>
    <m/>
    <n v="-52.787700000000001"/>
    <m/>
    <m/>
    <n v="0"/>
    <m/>
    <m/>
    <n v="0"/>
    <m/>
    <n v="-62.483400000000003"/>
    <n v="-62.483400000000003"/>
    <n v="0"/>
    <s v="MAYFAIR"/>
    <d v="2023-01-25T00:00:00"/>
    <m/>
    <s v="RENEWED"/>
    <s v="MOTOR TPL"/>
    <m/>
    <m/>
    <m/>
  </r>
  <r>
    <x v="5"/>
    <s v="Yes"/>
    <d v="2022-11-18T00:00:00"/>
    <d v="2022-11-08T00:00:00"/>
    <d v="2022-11-08T00:00:00"/>
    <d v="2023-11-07T00:00:00"/>
    <s v="000-702/AIB RDC/2022"/>
    <n v="0"/>
    <s v="SOUSCRIPTION"/>
    <s v="12005-33002-0003-13001-00003978-2022"/>
    <s v="CEMLED"/>
    <m/>
    <s v="SYNTYCHE"/>
    <s v="Grace"/>
    <s v="MOTOR TPL"/>
    <s v="MOTOR TPL"/>
    <x v="1"/>
    <s v="MAYFAIR"/>
    <n v="0"/>
    <n v="264.32"/>
    <n v="0"/>
    <n v="0"/>
    <n v="10"/>
    <n v="214"/>
    <n v="35.840000000000003"/>
    <e v="#DIV/0!"/>
    <n v="0.125"/>
    <n v="26.75"/>
    <n v="0"/>
    <n v="0"/>
    <n v="26.75"/>
    <n v="4.28"/>
    <n v="31.03"/>
    <n v="0.53500000000000003"/>
    <m/>
    <n v="0.53500000000000003"/>
    <m/>
    <n v="26.215"/>
    <m/>
    <m/>
    <n v="0"/>
    <m/>
    <m/>
    <n v="0"/>
    <m/>
    <n v="31.03"/>
    <n v="31.03"/>
    <n v="0"/>
    <s v="MAYFAIR"/>
    <d v="2022-12-19T00:00:00"/>
    <m/>
    <m/>
    <s v="MOTOR TPL"/>
    <m/>
    <m/>
    <m/>
  </r>
  <r>
    <x v="8"/>
    <s v="Yes"/>
    <d v="2022-04-12T00:00:00"/>
    <d v="2022-04-19T00:00:00"/>
    <d v="2022-04-15T00:00:00"/>
    <d v="2022-04-17T00:00:00"/>
    <s v="000-703/AIB RDC/2022"/>
    <n v="0"/>
    <s v="SOUSCRIPTION"/>
    <s v="12002-33002-0022-111-00016176-2022"/>
    <s v="DEZIWA / Bolloré"/>
    <m/>
    <s v="SYNTYCHE"/>
    <s v="Victor"/>
    <s v="MARINE CARGO / GIT"/>
    <s v="MARINE"/>
    <x v="6"/>
    <s v="SFA"/>
    <n v="136725.23000000001"/>
    <n v="236.57"/>
    <n v="0"/>
    <n v="0"/>
    <m/>
    <n v="180.48"/>
    <m/>
    <n v="1.7302585631049951E-3"/>
    <n v="0.15"/>
    <n v="27.071999999999999"/>
    <m/>
    <m/>
    <n v="27.071999999999999"/>
    <n v="4.3315200000000003"/>
    <n v="31.40352"/>
    <n v="0.54144000000000003"/>
    <m/>
    <n v="0.54144000000000003"/>
    <m/>
    <n v="26.530559999999998"/>
    <s v="BOLLORE"/>
    <n v="0.4"/>
    <n v="10.612223999999999"/>
    <n v="10.612223999999999"/>
    <d v="2022-09-30T00:00:00"/>
    <n v="0"/>
    <s v="PT008/AIB RDC/2022"/>
    <n v="31.40352"/>
    <n v="31.40352"/>
    <n v="0"/>
    <s v="SFA"/>
    <d v="2022-05-18T00:00:00"/>
    <m/>
    <s v="ONCE OFF"/>
    <s v="MARINE CARGO / GIT"/>
    <m/>
    <m/>
    <m/>
  </r>
  <r>
    <x v="5"/>
    <s v="Yes"/>
    <d v="2022-05-12T00:00:00"/>
    <d v="2022-11-21T00:00:00"/>
    <d v="2022-11-21T00:00:00"/>
    <d v="2023-09-24T00:00:00"/>
    <s v="000-704/AIB RDC/2022"/>
    <n v="4"/>
    <s v="INCORPORATION"/>
    <s v="12003-33002-0001-103-00001454-2022 / 30000005"/>
    <s v="LEREXCOM"/>
    <m/>
    <s v="SYNTYCHE"/>
    <s v="Grace"/>
    <s v="MOTOR TPL"/>
    <s v="MOTOR TPL"/>
    <x v="4"/>
    <s v="RAWSUR"/>
    <n v="0"/>
    <n v="2619.21"/>
    <n v="0"/>
    <n v="0"/>
    <n v="50"/>
    <n v="2169.67"/>
    <n v="355.13"/>
    <e v="#DIV/0!"/>
    <n v="0.1"/>
    <n v="216.96700000000001"/>
    <n v="0"/>
    <n v="0"/>
    <n v="216.96700000000001"/>
    <n v="34.71472"/>
    <n v="251.68172000000001"/>
    <n v="4.33934"/>
    <m/>
    <n v="4.33934"/>
    <m/>
    <n v="212.62766000000002"/>
    <m/>
    <m/>
    <n v="0"/>
    <m/>
    <m/>
    <n v="0"/>
    <m/>
    <n v="251.68172000000001"/>
    <n v="251.68172000000001"/>
    <n v="0"/>
    <s v="RAWSUR"/>
    <d v="2022-12-21T00:00:00"/>
    <m/>
    <m/>
    <s v="MOTOR TPL"/>
    <m/>
    <m/>
    <m/>
  </r>
  <r>
    <x v="5"/>
    <s v="Yes"/>
    <d v="2022-12-09T00:00:00"/>
    <d v="2022-11-15T00:00:00"/>
    <d v="2022-11-15T00:00:00"/>
    <d v="2022-12-31T00:00:00"/>
    <s v="000-705/AIB RDC/2022"/>
    <n v="2"/>
    <s v="INCORPORATION"/>
    <s v="000001-0017-003-0000938"/>
    <s v="BOLLORE TRANSPORT &amp; LOGISTICS RDC"/>
    <s v="TRANSPORT"/>
    <s v="SYNTYCHE"/>
    <s v="Grace"/>
    <s v="MOTOR TPL"/>
    <s v="MOTOR TPL"/>
    <x v="2"/>
    <s v="SUNU"/>
    <n v="0"/>
    <n v="2039.26"/>
    <n v="0"/>
    <n v="0"/>
    <n v="17.41"/>
    <n v="1740.58"/>
    <n v="281.27999999999997"/>
    <e v="#DIV/0!"/>
    <n v="0.1"/>
    <n v="174.05799999999999"/>
    <n v="0"/>
    <n v="0"/>
    <n v="174.05799999999999"/>
    <n v="27.84928"/>
    <n v="201.90727999999999"/>
    <n v="3.48116"/>
    <m/>
    <n v="3.48116"/>
    <m/>
    <n v="170.57684"/>
    <m/>
    <m/>
    <n v="0"/>
    <m/>
    <m/>
    <n v="0"/>
    <m/>
    <n v="201.90727999999999"/>
    <n v="201.90727999999999"/>
    <n v="0"/>
    <s v="SUNU"/>
    <d v="2022-12-23T00:00:00"/>
    <m/>
    <s v="RENEWED"/>
    <s v="MOTOR TPL"/>
    <m/>
    <m/>
    <m/>
  </r>
  <r>
    <x v="6"/>
    <s v="Yes"/>
    <d v="2022-05-12T00:00:00"/>
    <d v="2023-01-03T00:00:00"/>
    <d v="2022-12-01T00:00:00"/>
    <d v="2023-11-30T00:00:00"/>
    <s v="000-706/AIB RDC/2022"/>
    <n v="0"/>
    <s v="SOUSCRIPTION"/>
    <s v="00017841"/>
    <s v="GSA"/>
    <s v="SECURITY"/>
    <s v="SERGE"/>
    <s v="Syntyche"/>
    <s v="CIT"/>
    <s v="MARINE"/>
    <x v="6"/>
    <s v="SFA"/>
    <n v="0"/>
    <n v="690373.75"/>
    <n v="76312.5"/>
    <n v="0"/>
    <n v="0"/>
    <n v="508750"/>
    <n v="93610"/>
    <e v="#DIV/0!"/>
    <n v="0.105"/>
    <n v="53418.75"/>
    <n v="11446.875"/>
    <n v="0"/>
    <n v="64865.625"/>
    <n v="10378.5"/>
    <n v="75244.125"/>
    <n v="1297.3125"/>
    <m/>
    <n v="1297.3125"/>
    <m/>
    <n v="63568.3125"/>
    <m/>
    <m/>
    <n v="0"/>
    <m/>
    <m/>
    <n v="0"/>
    <m/>
    <n v="75244.125"/>
    <n v="75244.125"/>
    <n v="0"/>
    <s v="SFA"/>
    <d v="2023-11-06T00:00:00"/>
    <s v="ND0092/AIB RDC/2023"/>
    <m/>
    <s v="CIT"/>
    <n v="12540.674999999996"/>
    <m/>
    <s v="Paiement échelonné de la prime"/>
  </r>
  <r>
    <x v="5"/>
    <s v="Yes"/>
    <d v="2022-10-06T00:00:00"/>
    <d v="2023-02-09T00:00:00"/>
    <d v="2022-11-04T00:00:00"/>
    <d v="2022-12-31T00:00:00"/>
    <s v="000-707/AIB RDC/2022"/>
    <n v="5"/>
    <s v="PROROGATION"/>
    <s v="01-TRC-2020-000015"/>
    <s v="LUANO GRANDES PROPRIETES  S.A.R.L/ Résidences"/>
    <s v="CONSTRUCTION"/>
    <s v="ANDY"/>
    <s v="Andy"/>
    <s v="CAR"/>
    <s v="CONSTRUCTIONS"/>
    <x v="6"/>
    <s v="SFA"/>
    <n v="0"/>
    <n v="4151.91"/>
    <n v="0"/>
    <n v="0"/>
    <n v="27.45"/>
    <n v="3491.11"/>
    <n v="562.97"/>
    <e v="#DIV/0!"/>
    <n v="0.15"/>
    <n v="523.66650000000004"/>
    <n v="0"/>
    <n v="0"/>
    <n v="523.66650000000004"/>
    <n v="83.786640000000006"/>
    <n v="607.45314000000008"/>
    <n v="10.473330000000001"/>
    <m/>
    <n v="10.473330000000001"/>
    <m/>
    <n v="513.19317000000001"/>
    <m/>
    <m/>
    <n v="0"/>
    <m/>
    <m/>
    <n v="0"/>
    <m/>
    <m/>
    <n v="607.45314000000008"/>
    <n v="607.45314000000008"/>
    <s v="SFA"/>
    <m/>
    <m/>
    <s v="EXTENDED"/>
    <s v="CAR"/>
    <m/>
    <m/>
    <s v="En attente du paiemet de la prime"/>
  </r>
  <r>
    <x v="5"/>
    <s v="Yes"/>
    <d v="2022-05-12T00:00:00"/>
    <d v="2022-11-10T00:00:00"/>
    <d v="2022-11-10T00:00:00"/>
    <d v="2022-12-09T00:00:00"/>
    <s v="000-708/AIB RDC/2022"/>
    <n v="0"/>
    <s v="SOUSCRIPTION"/>
    <s v="12002-33002-0022-111-00017485-2022"/>
    <s v="PANACO / Bolloré"/>
    <m/>
    <s v="SYNTYCHE"/>
    <s v="Victor"/>
    <s v="MARINE CARGO / GIT"/>
    <s v="MARINE"/>
    <x v="6"/>
    <s v="SFA"/>
    <n v="47255"/>
    <n v="105.96"/>
    <n v="0"/>
    <n v="0"/>
    <n v="1.33"/>
    <n v="88.46"/>
    <n v="14.37"/>
    <n v="2.2423024018622365E-3"/>
    <n v="0.15"/>
    <n v="13.268999999999998"/>
    <n v="0"/>
    <n v="0"/>
    <n v="13.268999999999998"/>
    <n v="2.1230399999999996"/>
    <n v="15.392039999999998"/>
    <n v="0.26537999999999995"/>
    <m/>
    <n v="0.26537999999999995"/>
    <m/>
    <n v="13.003619999999998"/>
    <s v="BOLLORE"/>
    <n v="0.4"/>
    <n v="5.2014479999999992"/>
    <n v="5.2014479999999992"/>
    <d v="2023-10-30T00:00:00"/>
    <n v="0"/>
    <m/>
    <n v="15.392039999999998"/>
    <n v="15.392039999999998"/>
    <n v="0"/>
    <s v="SFA"/>
    <d v="2023-01-23T00:00:00"/>
    <m/>
    <s v="ONCE OFF"/>
    <s v="MARINE CARGO / GIT"/>
    <m/>
    <m/>
    <m/>
  </r>
  <r>
    <x v="5"/>
    <s v="Yes"/>
    <d v="2022-05-12T00:00:00"/>
    <d v="2022-11-10T00:00:00"/>
    <d v="2022-11-10T00:00:00"/>
    <d v="2022-12-09T00:00:00"/>
    <s v="000-709/AIB RDC/2022"/>
    <n v="0"/>
    <s v="SOUSCRIPTION"/>
    <s v="12002-33002-0022-111-00017484-2022"/>
    <s v="PANACO / Bolloré"/>
    <m/>
    <s v="SYNTYCHE"/>
    <s v="Victor"/>
    <s v="MARINE CARGO / GIT"/>
    <s v="MARINE"/>
    <x v="6"/>
    <s v="SFA"/>
    <n v="240430.03"/>
    <n v="539.05999999999995"/>
    <n v="0"/>
    <n v="0"/>
    <n v="6.75"/>
    <n v="450.08"/>
    <n v="73.09"/>
    <n v="2.2420660181259387E-3"/>
    <n v="0.15"/>
    <n v="67.512"/>
    <n v="0"/>
    <n v="0"/>
    <n v="67.512"/>
    <n v="10.801920000000001"/>
    <n v="78.313919999999996"/>
    <n v="1.3502400000000001"/>
    <m/>
    <n v="1.3502400000000001"/>
    <m/>
    <n v="66.161760000000001"/>
    <s v="BOLLORE"/>
    <n v="0.4"/>
    <n v="26.464704000000001"/>
    <n v="26.464704000000001"/>
    <d v="2023-10-30T00:00:00"/>
    <n v="0"/>
    <m/>
    <n v="78.313919999999996"/>
    <n v="78.313919999999996"/>
    <n v="0"/>
    <s v="SFA"/>
    <d v="2023-01-23T00:00:00"/>
    <m/>
    <s v="ONCE OFF"/>
    <s v="MARINE CARGO / GIT"/>
    <m/>
    <m/>
    <m/>
  </r>
  <r>
    <x v="3"/>
    <s v="No"/>
    <m/>
    <m/>
    <d v="2022-02-04T00:00:00"/>
    <d v="2022-03-05T00:00:00"/>
    <s v="000-710/AIB RDC/2022"/>
    <n v="0"/>
    <s v="SOUSCRIPTION"/>
    <s v="01-PRP-CRG-2022-000028"/>
    <s v="MASHAMBA FOODS / Bolloré"/>
    <s v="DISTRIBUTION"/>
    <s v="SYNTYCHE"/>
    <s v="Apphia"/>
    <s v="MARINE CARGO / GIT"/>
    <s v="MARINE"/>
    <x v="6"/>
    <s v="SFA"/>
    <n v="209061.54"/>
    <n v="584.83000000000004"/>
    <n v="0"/>
    <n v="0"/>
    <m/>
    <n v="475.62"/>
    <m/>
    <n v="2.7974059695532712E-3"/>
    <n v="0.15"/>
    <n v="71.343000000000004"/>
    <n v="0"/>
    <n v="0"/>
    <n v="71.343000000000004"/>
    <n v="11.41488"/>
    <n v="82.75788"/>
    <n v="1.42686"/>
    <n v="0"/>
    <n v="1.42686"/>
    <m/>
    <n v="69.916139999999999"/>
    <s v="BOLLORE"/>
    <n v="0.4"/>
    <n v="27.966456000000001"/>
    <m/>
    <m/>
    <n v="27.966456000000001"/>
    <m/>
    <m/>
    <n v="82.75788"/>
    <n v="82.75788"/>
    <s v="SFA"/>
    <m/>
    <m/>
    <s v="ONCE OFF"/>
    <s v="MARINE CARGO / GIT"/>
    <m/>
    <m/>
    <s v="Prime en cours de paiement "/>
  </r>
  <r>
    <x v="5"/>
    <s v="Yes"/>
    <d v="2022-05-12T00:00:00"/>
    <d v="2022-11-07T00:00:00"/>
    <d v="2022-11-07T00:00:00"/>
    <d v="2022-12-06T00:00:00"/>
    <s v="000-711/AIB RDC/2022"/>
    <n v="0"/>
    <s v="SOUSCRIPTION"/>
    <s v="12002-33002-0022-111-00017465-2022"/>
    <s v="PANACO / Bolloré"/>
    <m/>
    <s v="SYNTYCHE"/>
    <s v="Victor"/>
    <s v="MARINE CARGO / GIT"/>
    <s v="MARINE"/>
    <x v="6"/>
    <s v="SFA"/>
    <n v="301445.84000000003"/>
    <n v="563.23"/>
    <n v="0"/>
    <n v="0"/>
    <n v="7.05"/>
    <n v="470.26"/>
    <n v="76.37"/>
    <n v="1.8684285044371486E-3"/>
    <n v="0.15"/>
    <n v="70.539000000000001"/>
    <n v="0"/>
    <n v="0"/>
    <n v="70.539000000000001"/>
    <n v="11.286240000000001"/>
    <n v="81.825240000000008"/>
    <n v="1.4107800000000001"/>
    <m/>
    <n v="1.4107800000000001"/>
    <m/>
    <n v="69.128219999999999"/>
    <s v="BOLLORE"/>
    <n v="0.4"/>
    <n v="27.651288000000001"/>
    <n v="27.651288000000001"/>
    <d v="2023-10-30T00:00:00"/>
    <n v="0"/>
    <m/>
    <n v="81.825240000000008"/>
    <n v="81.825240000000008"/>
    <n v="0"/>
    <s v="SFA"/>
    <d v="2022-12-16T00:00:00"/>
    <m/>
    <s v="ONCE OFF"/>
    <s v="MARINE CARGO / GIT"/>
    <m/>
    <m/>
    <m/>
  </r>
  <r>
    <x v="5"/>
    <s v="Yes"/>
    <d v="2022-05-12T00:00:00"/>
    <d v="2022-11-07T00:00:00"/>
    <d v="2022-11-04T00:00:00"/>
    <d v="2022-12-03T00:00:00"/>
    <s v="000-712/AIB RDC/2022"/>
    <n v="0"/>
    <s v="SOUSCRIPTION"/>
    <s v="12002-33002-0022-111-00017461-2022"/>
    <s v="PANACO / Bolloré"/>
    <m/>
    <s v="SYNTYCHE"/>
    <s v="Victor"/>
    <s v="MARINE CARGO / GIT"/>
    <s v="MARINE"/>
    <x v="6"/>
    <s v="SFA"/>
    <n v="242896.58"/>
    <n v="560.14"/>
    <n v="0"/>
    <n v="0"/>
    <n v="20"/>
    <n v="454.7"/>
    <n v="75.95"/>
    <n v="2.3060843425625837E-3"/>
    <n v="0.15"/>
    <n v="68.204999999999998"/>
    <n v="0"/>
    <n v="0"/>
    <n v="68.204999999999998"/>
    <n v="10.912800000000001"/>
    <n v="79.117800000000003"/>
    <n v="1.3641000000000001"/>
    <m/>
    <n v="1.3641000000000001"/>
    <m/>
    <n v="66.840900000000005"/>
    <s v="BOLLORE"/>
    <n v="0.4"/>
    <n v="26.736360000000005"/>
    <n v="26.736360000000005"/>
    <d v="2023-10-30T00:00:00"/>
    <n v="0"/>
    <m/>
    <n v="79.117800000000003"/>
    <n v="79.117800000000003"/>
    <n v="0"/>
    <s v="SFA"/>
    <d v="2022-12-16T00:00:00"/>
    <m/>
    <s v="ONCE OFF"/>
    <s v="MARINE CARGO / GIT"/>
    <m/>
    <m/>
    <m/>
  </r>
  <r>
    <x v="3"/>
    <s v="Yes"/>
    <d v="2022-02-10T00:00:00"/>
    <d v="2022-02-10T00:00:00"/>
    <d v="2022-02-10T00:00:00"/>
    <d v="2022-05-09T00:00:00"/>
    <s v="000-713/AIB RDC/2022"/>
    <n v="0"/>
    <s v="SOUSCRIPTION"/>
    <s v="12003-33002-0005-111-00000120-2022 / 70100010"/>
    <s v="MASHAMBA FOODS / Bolloré"/>
    <s v="DISTRIBUTION"/>
    <s v="SYNTYCHE"/>
    <s v="Apphia"/>
    <s v="MARINE CARGO / GIT"/>
    <s v="MARINE"/>
    <x v="4"/>
    <s v="RAWSUR"/>
    <n v="25515"/>
    <n v="149.93"/>
    <n v="0"/>
    <n v="0"/>
    <m/>
    <n v="102.06"/>
    <m/>
    <n v="5.8761512835586909E-3"/>
    <n v="0.15"/>
    <n v="15.308999999999999"/>
    <n v="0"/>
    <n v="0"/>
    <n v="15.308999999999999"/>
    <n v="2.4494400000000001"/>
    <n v="17.75844"/>
    <n v="0.30618000000000001"/>
    <n v="0"/>
    <n v="0.30618000000000001"/>
    <m/>
    <n v="15.00282"/>
    <s v="BOLLORE"/>
    <n v="0.4"/>
    <n v="6.0011280000000005"/>
    <m/>
    <m/>
    <n v="6.0011280000000005"/>
    <m/>
    <m/>
    <n v="17.75844"/>
    <n v="17.75844"/>
    <s v="RAWSUR"/>
    <m/>
    <m/>
    <s v="ONCE OFF"/>
    <s v="MARINE CARGO / GIT"/>
    <m/>
    <m/>
    <s v="Prime en cours de paiement "/>
  </r>
  <r>
    <x v="2"/>
    <s v="Yes"/>
    <d v="2022-10-07T00:00:00"/>
    <d v="2022-10-08T00:00:00"/>
    <d v="2022-10-08T00:00:00"/>
    <d v="2022-10-11T00:00:00"/>
    <s v="000-714/AIB RDC/2022"/>
    <n v="0"/>
    <s v="SOUSCRIPTION"/>
    <s v="12002-33002-0022-111-00017214-2022"/>
    <s v="ORICA / Bolloré"/>
    <m/>
    <s v="SYNTYCHE"/>
    <s v="Victor"/>
    <s v="MARINE CARGO / GIT"/>
    <s v="MARINE"/>
    <x v="6"/>
    <s v="SFA"/>
    <n v="250"/>
    <n v="94.4"/>
    <n v="0"/>
    <n v="0"/>
    <n v="20"/>
    <n v="60"/>
    <n v="12.8"/>
    <n v="0.37760000000000005"/>
    <n v="0.15"/>
    <n v="9"/>
    <n v="0"/>
    <n v="0"/>
    <n v="9"/>
    <n v="1.44"/>
    <n v="10.44"/>
    <n v="0.18"/>
    <m/>
    <n v="0.18"/>
    <m/>
    <n v="8.82"/>
    <s v="BOLLORE"/>
    <n v="0.4"/>
    <n v="3.5280000000000005"/>
    <n v="3.5280000000000005"/>
    <d v="2023-10-30T00:00:00"/>
    <n v="0"/>
    <m/>
    <n v="10.44"/>
    <n v="10.44"/>
    <n v="0"/>
    <s v="SFA"/>
    <d v="2023-02-27T00:00:00"/>
    <m/>
    <s v="ONCE OFF"/>
    <s v="MARINE CARGO / GIT"/>
    <m/>
    <m/>
    <m/>
  </r>
  <r>
    <x v="5"/>
    <s v="Yes"/>
    <d v="2022-11-07T00:00:00"/>
    <d v="2022-11-08T00:00:00"/>
    <d v="2022-11-08T00:00:00"/>
    <d v="2022-11-11T00:00:00"/>
    <s v="000-715/AIB RDC/2022"/>
    <n v="0"/>
    <s v="SOUSCRIPTION"/>
    <s v="12002-33002-0022-111-00017472-2022"/>
    <s v="WUHUANG CONSTRUCTION ET COMMERCE RDC SAS ( WHCC) / Bolloré"/>
    <m/>
    <s v="SYNTYCHE"/>
    <s v="Victor"/>
    <s v="MARINE CARGO / GIT"/>
    <s v="MARINE"/>
    <x v="6"/>
    <s v="SFA"/>
    <n v="67168.039999999994"/>
    <n v="92.68"/>
    <n v="0"/>
    <n v="0"/>
    <n v="1.1599999999999999"/>
    <n v="77.38"/>
    <n v="12.57"/>
    <n v="1.3798229038691618E-3"/>
    <n v="0.15"/>
    <n v="11.606999999999999"/>
    <n v="0"/>
    <n v="0"/>
    <n v="11.606999999999999"/>
    <n v="1.8571199999999999"/>
    <n v="13.464119999999999"/>
    <n v="0.23213999999999999"/>
    <m/>
    <n v="0.23213999999999999"/>
    <m/>
    <n v="11.37486"/>
    <s v="BOLLORE"/>
    <n v="0.4"/>
    <n v="4.549944"/>
    <n v="4.549944"/>
    <d v="2023-10-30T00:00:00"/>
    <n v="0"/>
    <m/>
    <n v="13.464119999999999"/>
    <n v="13.464119999999999"/>
    <n v="0"/>
    <s v="SFA"/>
    <d v="2023-02-27T00:00:00"/>
    <m/>
    <s v="ONCE OFF"/>
    <s v="MARINE CARGO / GIT"/>
    <m/>
    <m/>
    <s v="Prime en cours de paiement par Bolloré"/>
  </r>
  <r>
    <x v="0"/>
    <s v="Yes"/>
    <d v="2022-01-27T00:00:00"/>
    <d v="2022-01-19T00:00:00"/>
    <d v="2022-01-27T00:00:00"/>
    <d v="2022-04-26T00:00:00"/>
    <s v="000-716/AIB RDC/2022"/>
    <n v="0"/>
    <s v="SOUSCRIPTION"/>
    <n v="72000019"/>
    <s v="MASHAMBA FOODS / Bolloré"/>
    <s v="DISTRIBUTION"/>
    <s v="SYNTYCHE"/>
    <s v="Apphia"/>
    <s v="MARINE CARGO / GIT"/>
    <s v="MARINE"/>
    <x v="4"/>
    <s v="RAWSUR"/>
    <n v="3060"/>
    <n v="129.80000000000001"/>
    <n v="0"/>
    <n v="0"/>
    <n v="10"/>
    <n v="100"/>
    <m/>
    <n v="4.2418300653594775E-2"/>
    <n v="0.15"/>
    <n v="15"/>
    <n v="0"/>
    <n v="0"/>
    <n v="15"/>
    <n v="2.4"/>
    <n v="17.399999999999999"/>
    <n v="0.3"/>
    <n v="0"/>
    <n v="0.3"/>
    <m/>
    <n v="14.7"/>
    <s v="BOLLORE"/>
    <n v="0.4"/>
    <n v="5.88"/>
    <m/>
    <m/>
    <n v="5.88"/>
    <m/>
    <m/>
    <n v="17.399999999999999"/>
    <n v="17.399999999999999"/>
    <s v="RAWSUR"/>
    <m/>
    <m/>
    <s v="ONCE OFF"/>
    <s v="MARINE CARGO / GIT"/>
    <m/>
    <m/>
    <s v="Prime en cours de paiement par Bolloré"/>
  </r>
  <r>
    <x v="0"/>
    <s v="Yes"/>
    <d v="2022-12-02T00:00:00"/>
    <d v="2022-12-02T00:00:00"/>
    <d v="2022-01-14T00:00:00"/>
    <d v="2023-01-13T00:00:00"/>
    <s v="000-717/AIB RDC/2022"/>
    <n v="1"/>
    <s v="RISTOURNE"/>
    <s v="01-RCAP-2022-000003"/>
    <s v="KAMOA COPPER SA"/>
    <s v="Mining"/>
    <s v="ANDY"/>
    <s v="Apphia"/>
    <s v="MOTOR TPL"/>
    <s v="MOTOR TPL"/>
    <x v="6"/>
    <s v="SFA"/>
    <n v="0"/>
    <n v="-9430.89"/>
    <n v="0"/>
    <n v="0"/>
    <n v="0"/>
    <n v="-8130.08"/>
    <n v="-1300.81"/>
    <e v="#DIV/0!"/>
    <n v="0.1"/>
    <n v="-813.00800000000004"/>
    <n v="0"/>
    <n v="0"/>
    <n v="-813.00800000000004"/>
    <n v="-130.08128000000002"/>
    <n v="-943.08928000000003"/>
    <n v="-16.260160000000003"/>
    <n v="0"/>
    <n v="-16.260160000000003"/>
    <m/>
    <n v="-796.74784"/>
    <m/>
    <m/>
    <n v="0"/>
    <m/>
    <m/>
    <n v="0"/>
    <m/>
    <n v="-943.08928000000003"/>
    <n v="-943.08928000000003"/>
    <n v="0"/>
    <s v="SFA"/>
    <d v="2023-01-23T00:00:00"/>
    <m/>
    <s v="RENEWED"/>
    <s v="MOTOR TPL"/>
    <m/>
    <m/>
    <m/>
  </r>
  <r>
    <x v="5"/>
    <s v="Yes"/>
    <d v="2022-11-04T00:00:00"/>
    <d v="2022-11-11T00:00:00"/>
    <d v="2022-11-11T00:00:00"/>
    <d v="2023-10-14T00:00:00"/>
    <s v="000-718/AIB RDC/2022"/>
    <n v="4"/>
    <s v="INCORPORATION"/>
    <s v="12002-33002-0004-103-00017222-2022"/>
    <s v="KAMOTO COPPER COMPANY"/>
    <s v="Mining"/>
    <s v="ANDY"/>
    <s v="Andy"/>
    <s v="MOTOR TPL"/>
    <s v="MOTOR TPL"/>
    <x v="6"/>
    <s v="SFA"/>
    <n v="0"/>
    <n v="3309.26"/>
    <n v="0"/>
    <n v="0"/>
    <n v="41.45"/>
    <n v="2763.02"/>
    <n v="448.71"/>
    <e v="#DIV/0!"/>
    <n v="0.1"/>
    <n v="276.30200000000002"/>
    <n v="0"/>
    <n v="0"/>
    <n v="276.30200000000002"/>
    <n v="44.208320000000008"/>
    <n v="320.51032000000004"/>
    <n v="5.526040000000001"/>
    <m/>
    <n v="5.526040000000001"/>
    <m/>
    <n v="270.77596"/>
    <m/>
    <m/>
    <n v="0"/>
    <m/>
    <m/>
    <n v="0"/>
    <m/>
    <n v="320.51032000000004"/>
    <n v="320.51032000000004"/>
    <n v="0"/>
    <s v="SFA"/>
    <d v="2023-03-20T00:00:00"/>
    <m/>
    <m/>
    <s v="MOTOR TPL"/>
    <m/>
    <m/>
    <m/>
  </r>
  <r>
    <x v="10"/>
    <s v="Yes"/>
    <d v="2022-09-07T00:00:00"/>
    <d v="2022-10-03T00:00:00"/>
    <d v="2022-06-01T00:00:00"/>
    <d v="2023-05-31T00:00:00"/>
    <s v="000-719/AIB RDC/2022"/>
    <n v="0"/>
    <s v="SOUSCRIPTION"/>
    <n v="73200022"/>
    <s v="ORANGE COMPUTERS"/>
    <m/>
    <s v="ALICE"/>
    <s v="Alice"/>
    <s v="MARINE CARGO / GIT"/>
    <s v="MARINE"/>
    <x v="4"/>
    <s v="RAWSUR"/>
    <n v="0"/>
    <m/>
    <n v="0"/>
    <n v="0"/>
    <m/>
    <n v="100000"/>
    <m/>
    <e v="#DIV/0!"/>
    <n v="0.15"/>
    <n v="15000"/>
    <m/>
    <m/>
    <n v="15000"/>
    <n v="2400"/>
    <n v="17400"/>
    <n v="300"/>
    <m/>
    <n v="300"/>
    <m/>
    <n v="14700"/>
    <m/>
    <m/>
    <n v="0"/>
    <m/>
    <m/>
    <n v="0"/>
    <m/>
    <n v="16544.59"/>
    <n v="17400"/>
    <n v="855.40999999999985"/>
    <s v="RAWSUR"/>
    <d v="2023-06-22T00:00:00"/>
    <m/>
    <m/>
    <s v="MARINE CARGO / GIT"/>
    <m/>
    <m/>
    <s v="Compte venu via Rawsur"/>
  </r>
  <r>
    <x v="6"/>
    <s v="Yes"/>
    <d v="2022-11-23T00:00:00"/>
    <d v="2022-12-16T00:00:00"/>
    <d v="2022-12-20T00:00:00"/>
    <d v="2023-10-14T00:00:00"/>
    <s v="000-720/AIB RDC/2022"/>
    <n v="6"/>
    <s v="INCORPORATION"/>
    <s v="12002-33002-0004-103-00017222-2022"/>
    <s v="KAMOTO COPPER COMPANY"/>
    <s v="Mining"/>
    <s v="ANDY"/>
    <s v="Andy"/>
    <s v="MOTOR TPL"/>
    <s v="MOTOR TPL"/>
    <x v="6"/>
    <s v="SFA"/>
    <n v="0"/>
    <n v="1214.1099999999999"/>
    <n v="0"/>
    <n v="0"/>
    <n v="15.18"/>
    <n v="1013.74"/>
    <n v="164.62"/>
    <e v="#DIV/0!"/>
    <n v="0.1"/>
    <n v="101.37400000000001"/>
    <n v="0"/>
    <n v="0"/>
    <n v="101.37400000000001"/>
    <n v="16.219840000000001"/>
    <n v="117.59384000000001"/>
    <n v="2.0274800000000002"/>
    <m/>
    <n v="2.0274800000000002"/>
    <m/>
    <n v="99.346520000000012"/>
    <m/>
    <m/>
    <n v="0"/>
    <m/>
    <m/>
    <n v="0"/>
    <m/>
    <n v="117.59384000000001"/>
    <n v="117.59384000000001"/>
    <n v="0"/>
    <s v="SFA"/>
    <d v="2023-01-23T00:00:00"/>
    <m/>
    <m/>
    <s v="MOTOR TPL"/>
    <m/>
    <m/>
    <m/>
  </r>
  <r>
    <x v="5"/>
    <s v="Yes"/>
    <d v="2022-10-15T00:00:00"/>
    <d v="2022-11-02T00:00:00"/>
    <d v="2022-11-03T00:00:00"/>
    <d v="2023-11-02T00:00:00"/>
    <s v="000-721/AIB RDC/2022"/>
    <n v="0"/>
    <s v="SOUSCRIPTION"/>
    <s v="12002-33002-0004-103-00017432-2022"/>
    <s v="Mr Piet Baert"/>
    <s v="Personal"/>
    <s v="ANDY"/>
    <s v="Victor"/>
    <s v="MOTOR TPL"/>
    <s v="MOTOR TPL"/>
    <x v="6"/>
    <s v="SFA"/>
    <n v="0"/>
    <n v="250"/>
    <n v="0"/>
    <n v="0"/>
    <n v="3.13"/>
    <n v="208.73"/>
    <n v="33.9"/>
    <e v="#DIV/0!"/>
    <n v="0.125"/>
    <n v="26.091249999999999"/>
    <n v="0"/>
    <n v="0"/>
    <n v="26.091249999999999"/>
    <n v="4.1745999999999999"/>
    <n v="30.26585"/>
    <n v="0.52182499999999998"/>
    <m/>
    <n v="0.52182499999999998"/>
    <m/>
    <n v="25.569424999999999"/>
    <m/>
    <m/>
    <n v="0"/>
    <m/>
    <m/>
    <n v="0"/>
    <m/>
    <n v="30.26585"/>
    <n v="30.26585"/>
    <n v="0"/>
    <s v="SFA"/>
    <d v="2022-12-16T00:00:00"/>
    <m/>
    <m/>
    <s v="MOTOR TPL"/>
    <m/>
    <m/>
    <m/>
  </r>
  <r>
    <x v="5"/>
    <s v="Yes"/>
    <d v="2022-11-11T00:00:00"/>
    <d v="2022-11-23T00:00:00"/>
    <d v="2022-11-07T00:00:00"/>
    <d v="2023-03-19T00:00:00"/>
    <s v="000-722/AIB RDC/2022"/>
    <n v="3"/>
    <s v="INCORPORATION"/>
    <s v="12002-33002-0007-101-00017076-2022"/>
    <s v="Sandvik Mining &amp; Construction Sarl"/>
    <s v="Mining"/>
    <s v="ANDY"/>
    <s v="Andy"/>
    <s v="GPA"/>
    <s v="MEDICAL &amp; GPA"/>
    <x v="6"/>
    <s v="SFA"/>
    <n v="0"/>
    <n v="613.6"/>
    <n v="0"/>
    <n v="0"/>
    <n v="20"/>
    <n v="500"/>
    <n v="83.2"/>
    <e v="#DIV/0!"/>
    <n v="0.1"/>
    <n v="50"/>
    <n v="0"/>
    <n v="0"/>
    <n v="50"/>
    <n v="8"/>
    <n v="58"/>
    <n v="1"/>
    <m/>
    <n v="1"/>
    <m/>
    <n v="49"/>
    <s v="AFINBRO"/>
    <n v="0.5"/>
    <n v="24.5"/>
    <n v="24.5"/>
    <d v="2023-10-23T00:00:00"/>
    <n v="0"/>
    <m/>
    <n v="58"/>
    <n v="58"/>
    <n v="0"/>
    <s v="SFA"/>
    <d v="2022-12-16T00:00:00"/>
    <m/>
    <s v="CANCELLED"/>
    <s v="GPA"/>
    <m/>
    <m/>
    <m/>
  </r>
  <r>
    <x v="2"/>
    <s v="Yes"/>
    <d v="2022-11-08T00:00:00"/>
    <d v="2022-10-22T00:00:00"/>
    <d v="2022-10-22T00:00:00"/>
    <d v="2023-01-19T00:00:00"/>
    <s v="000-723/AIB RDC/2022"/>
    <n v="19"/>
    <s v="INCORPORATION"/>
    <s v="01-RCAP-2021-000013"/>
    <s v="GSA"/>
    <s v="SECURITY"/>
    <s v="SYNTYCHE"/>
    <s v="Grace"/>
    <s v="MOTOR TPL"/>
    <s v="MOTOR TPL"/>
    <x v="6"/>
    <s v="SFA"/>
    <n v="0"/>
    <n v="166.2"/>
    <n v="0"/>
    <n v="0"/>
    <n v="2.08"/>
    <n v="138.78"/>
    <n v="22.53"/>
    <e v="#DIV/0!"/>
    <n v="0.1"/>
    <n v="13.878"/>
    <n v="0"/>
    <n v="0"/>
    <n v="13.878"/>
    <n v="2.2204800000000002"/>
    <n v="16.098480000000002"/>
    <n v="0.27756000000000003"/>
    <n v="0"/>
    <n v="0.27756000000000003"/>
    <m/>
    <n v="13.600440000000001"/>
    <m/>
    <m/>
    <n v="0"/>
    <m/>
    <m/>
    <n v="0"/>
    <m/>
    <n v="16.098480000000002"/>
    <n v="16.098480000000002"/>
    <n v="0"/>
    <s v="SFA"/>
    <d v="2022-11-22T00:00:00"/>
    <m/>
    <s v="RENEWED"/>
    <s v="MOTOR TPL"/>
    <m/>
    <m/>
    <m/>
  </r>
  <r>
    <x v="5"/>
    <s v="No"/>
    <d v="2022-11-22T00:00:00"/>
    <m/>
    <d v="2022-11-17T00:00:00"/>
    <d v="2023-01-31T00:00:00"/>
    <s v="000-724/AIB RDC/2022"/>
    <n v="24"/>
    <s v="INCORPORATION"/>
    <s v="12001-33002-0001-104-0001845-2022"/>
    <s v="CFAO RDC / Loxea RDC"/>
    <s v="Distribution"/>
    <s v="ANDY"/>
    <s v="Sabrina"/>
    <s v="COMP MOTOR"/>
    <s v="MOTOR COMP"/>
    <x v="0"/>
    <s v="ACTIVA"/>
    <n v="29692"/>
    <n v="306.93"/>
    <n v="0"/>
    <n v="0"/>
    <n v="10"/>
    <n v="261.98"/>
    <n v="42.34"/>
    <n v="1.0337127845884414E-2"/>
    <n v="0.15"/>
    <n v="39.297000000000004"/>
    <n v="0"/>
    <n v="7.8593999999999999"/>
    <n v="47.156400000000005"/>
    <n v="7.5450240000000006"/>
    <n v="54.701424000000003"/>
    <n v="0.94312800000000008"/>
    <n v="0"/>
    <n v="0.94312800000000008"/>
    <m/>
    <n v="46.213272000000003"/>
    <s v="Aucun"/>
    <m/>
    <n v="0"/>
    <m/>
    <m/>
    <n v="0"/>
    <m/>
    <n v="54.699999999999996"/>
    <n v="54.701424000000003"/>
    <n v="1.4240000000071973E-3"/>
    <s v="ACTIVA"/>
    <d v="2023-08-30T00:00:00"/>
    <m/>
    <s v="RENEWED"/>
    <s v="COMP MOTOR"/>
    <m/>
    <m/>
    <s v="En attente du paiement de la prime"/>
  </r>
  <r>
    <x v="5"/>
    <s v="No"/>
    <d v="2022-11-30T00:00:00"/>
    <m/>
    <d v="2022-11-30T00:00:00"/>
    <d v="2023-01-31T00:00:00"/>
    <s v="000-725/AIB RDC/2022"/>
    <n v="25"/>
    <s v="INCORPORATION"/>
    <s v="12001-33002-0001-104-0001845-2022"/>
    <s v="CFAO RDC / Loxea RDC"/>
    <s v="Distribution"/>
    <s v="ANDY"/>
    <s v="Sabrina"/>
    <s v="COMP MOTOR"/>
    <s v="MOTOR COMP"/>
    <x v="0"/>
    <s v="ACTIVA"/>
    <n v="65542"/>
    <n v="558.94000000000005"/>
    <n v="0"/>
    <n v="0"/>
    <n v="10"/>
    <n v="471.84"/>
    <n v="77.09"/>
    <n v="8.5279667999145596E-3"/>
    <n v="0.15"/>
    <n v="70.775999999999996"/>
    <n v="0"/>
    <n v="14.155199999999999"/>
    <n v="84.93119999999999"/>
    <n v="13.588991999999999"/>
    <n v="98.520191999999994"/>
    <n v="1.6986239999999999"/>
    <n v="0"/>
    <n v="1.6986239999999999"/>
    <m/>
    <n v="83.232575999999995"/>
    <s v="Aucun"/>
    <m/>
    <n v="0"/>
    <m/>
    <m/>
    <n v="0"/>
    <m/>
    <n v="98.520191999999994"/>
    <n v="98.520191999999994"/>
    <n v="0"/>
    <s v="ACTIVA"/>
    <d v="2023-08-14T00:00:00"/>
    <m/>
    <s v="RENEWED"/>
    <s v="COMP MOTOR"/>
    <m/>
    <m/>
    <s v="En attente du paiemet de la prime"/>
  </r>
  <r>
    <x v="5"/>
    <s v="No"/>
    <d v="2022-11-17T00:00:00"/>
    <d v="2022-11-17T00:00:00"/>
    <d v="2022-11-15T00:00:00"/>
    <d v="2023-11-14T00:00:00"/>
    <s v="000-726/AIB RDC/2022"/>
    <n v="0"/>
    <s v="SOUSCRIPTION"/>
    <s v="12003-33002-0004-114-00000046-2022 / 51000010"/>
    <s v="KAMOA COPPER SA"/>
    <s v="Mining"/>
    <s v="ANDY"/>
    <s v="Andy"/>
    <s v="CAR"/>
    <s v="CONSTRUCTIONS"/>
    <x v="4"/>
    <s v="AON"/>
    <n v="2933200000"/>
    <n v="3627914.39"/>
    <n v="199967.72"/>
    <n v="0"/>
    <n v="0"/>
    <n v="2299628.7999999998"/>
    <n v="491920.6"/>
    <n v="1.2368452168280376E-3"/>
    <n v="7.4999999999999997E-2"/>
    <n v="43118.04"/>
    <n v="59990.315999999999"/>
    <n v="0"/>
    <n v="103108.356"/>
    <n v="16497.336960000001"/>
    <n v="119605.69296"/>
    <n v="2062.1671200000001"/>
    <m/>
    <n v="2062.1671200000001"/>
    <m/>
    <n v="101046.18888"/>
    <s v="Aucun"/>
    <m/>
    <n v="0"/>
    <m/>
    <m/>
    <n v="0"/>
    <m/>
    <n v="119605.69296"/>
    <n v="119605.69296"/>
    <n v="0"/>
    <s v="RAWSUR"/>
    <d v="2023-01-20T00:00:00"/>
    <m/>
    <m/>
    <s v="CAR"/>
    <m/>
    <m/>
    <s v="Le client a payé la 1re tranche, com à réclamer à l'assureur en décembre"/>
  </r>
  <r>
    <x v="6"/>
    <s v="Yes"/>
    <d v="2022-11-28T00:00:00"/>
    <d v="2022-12-01T00:00:00"/>
    <d v="2022-12-01T00:00:00"/>
    <d v="2023-11-30T00:00:00"/>
    <s v="000-727/AIB RDC/2022"/>
    <n v="0"/>
    <s v="SOUSCRIPTION"/>
    <s v="30000015-301"/>
    <s v="TechnoServe"/>
    <m/>
    <s v="ANDY"/>
    <s v="Victor"/>
    <s v="MOTOR TPL"/>
    <s v="MOTOR TPL"/>
    <x v="4"/>
    <s v="RAWSUR"/>
    <n v="0"/>
    <n v="1624.86"/>
    <n v="0"/>
    <n v="0"/>
    <n v="170"/>
    <n v="1207"/>
    <n v="220.32"/>
    <e v="#DIV/0!"/>
    <n v="0.1"/>
    <n v="120.7"/>
    <n v="0"/>
    <n v="0"/>
    <n v="120.7"/>
    <n v="19.312000000000001"/>
    <n v="140.012"/>
    <n v="2.4140000000000001"/>
    <n v="0"/>
    <n v="2.4140000000000001"/>
    <m/>
    <n v="118.286"/>
    <s v="MARSH"/>
    <n v="0"/>
    <n v="0"/>
    <m/>
    <m/>
    <n v="0"/>
    <m/>
    <n v="140.012"/>
    <n v="140.012"/>
    <n v="0"/>
    <s v="RAWSUR"/>
    <d v="2023-01-20T00:00:00"/>
    <m/>
    <m/>
    <s v="MOTOR TPL"/>
    <m/>
    <m/>
    <m/>
  </r>
  <r>
    <x v="6"/>
    <s v="Yes"/>
    <d v="2022-09-20T00:00:00"/>
    <d v="2022-12-01T00:00:00"/>
    <d v="2022-12-01T00:00:00"/>
    <d v="2023-11-30T00:00:00"/>
    <s v="000-728/AIB RDC/2022"/>
    <n v="0"/>
    <s v="SOUSCRIPTION"/>
    <s v="30000016-301"/>
    <s v="TechnoServe"/>
    <m/>
    <s v="ANDY"/>
    <s v="Victor"/>
    <s v="COMP MOTOR"/>
    <s v="MOTOR COMP"/>
    <x v="4"/>
    <s v="RAWSUR"/>
    <n v="0"/>
    <n v="5572.02"/>
    <n v="0"/>
    <n v="0"/>
    <n v="20"/>
    <n v="4702.08"/>
    <n v="755.52"/>
    <e v="#DIV/0!"/>
    <n v="0.15"/>
    <n v="705.31200000000001"/>
    <n v="0"/>
    <n v="0"/>
    <n v="705.31200000000001"/>
    <n v="112.84992"/>
    <n v="818.16192000000001"/>
    <n v="14.10624"/>
    <n v="0"/>
    <n v="14.10624"/>
    <m/>
    <n v="691.20576000000005"/>
    <s v="MARSH"/>
    <n v="0"/>
    <n v="0"/>
    <m/>
    <m/>
    <n v="0"/>
    <m/>
    <n v="818.16192000000001"/>
    <n v="818.16192000000001"/>
    <n v="0"/>
    <s v="RAWSUR"/>
    <d v="2023-01-20T00:00:00"/>
    <m/>
    <m/>
    <s v="COMP MOTOR"/>
    <m/>
    <m/>
    <m/>
  </r>
  <r>
    <x v="6"/>
    <s v="Yes"/>
    <d v="2023-01-10T00:00:00"/>
    <d v="2022-12-22T00:00:00"/>
    <d v="2022-12-22T00:00:00"/>
    <d v="2023-09-07T00:00:00"/>
    <s v="000-729/AIB RDC/2022"/>
    <n v="3"/>
    <s v="INCORPORATION"/>
    <s v="00016993"/>
    <s v="Teichmann Group / Durban Logistics"/>
    <m/>
    <s v="ANDY"/>
    <s v="Andy"/>
    <s v="MOTOR TPL"/>
    <s v="MOTOR TPL"/>
    <x v="6"/>
    <s v="SFA"/>
    <n v="0"/>
    <n v="488.1"/>
    <n v="0"/>
    <n v="0"/>
    <n v="6.11"/>
    <n v="407.54"/>
    <n v="66.180000000000007"/>
    <e v="#DIV/0!"/>
    <n v="0.1"/>
    <n v="40.754000000000005"/>
    <n v="0"/>
    <n v="0"/>
    <n v="40.754000000000005"/>
    <n v="6.5206400000000011"/>
    <n v="47.274640000000005"/>
    <n v="0.81508000000000014"/>
    <m/>
    <n v="0.81508000000000014"/>
    <m/>
    <n v="39.938920000000003"/>
    <s v="O'NEILS"/>
    <n v="0.5"/>
    <n v="19.969460000000002"/>
    <n v="19.969460000000002"/>
    <d v="2023-06-09T00:00:00"/>
    <n v="0"/>
    <s v="PT015/AIB RDC/2022"/>
    <n v="47.274640000000005"/>
    <n v="47.274640000000005"/>
    <n v="0"/>
    <s v="SFA"/>
    <d v="2023-01-23T00:00:00"/>
    <m/>
    <m/>
    <s v="MOTOR TPL"/>
    <m/>
    <m/>
    <m/>
  </r>
  <r>
    <x v="6"/>
    <s v="Yes"/>
    <d v="2023-01-10T00:00:00"/>
    <d v="2022-12-08T00:00:00"/>
    <d v="2022-12-01T00:00:00"/>
    <d v="2023-11-30T00:00:00"/>
    <s v="000-730/AIB RDC/2022"/>
    <n v="1"/>
    <s v="RENOUVELLEMENT"/>
    <s v="12005-33002-0012-13001-00004151-2022"/>
    <s v="HASMANI"/>
    <m/>
    <s v="SYNTYCHE"/>
    <s v="Grâce"/>
    <s v="FIRE"/>
    <s v="PROPERTIES"/>
    <x v="1"/>
    <s v="MAYFAIR"/>
    <n v="0"/>
    <m/>
    <n v="0"/>
    <n v="0"/>
    <n v="0"/>
    <n v="4938.22"/>
    <m/>
    <e v="#DIV/0!"/>
    <n v="0.15"/>
    <n v="740.73300000000006"/>
    <n v="0"/>
    <n v="0"/>
    <n v="740.73300000000006"/>
    <n v="118.51728000000001"/>
    <n v="859.25028000000009"/>
    <n v="14.814660000000002"/>
    <m/>
    <n v="14.814660000000002"/>
    <m/>
    <n v="725.91834000000006"/>
    <m/>
    <m/>
    <n v="0"/>
    <m/>
    <m/>
    <n v="0"/>
    <m/>
    <n v="859.25028000000009"/>
    <n v="859.25028000000009"/>
    <n v="0"/>
    <s v="MAYFAIR"/>
    <d v="2023-01-25T00:00:00"/>
    <m/>
    <m/>
    <s v="FIRE"/>
    <m/>
    <m/>
    <m/>
  </r>
  <r>
    <x v="5"/>
    <s v="Yes"/>
    <d v="2022-11-14T00:00:00"/>
    <d v="2022-12-13T00:00:00"/>
    <d v="2022-11-09T00:00:00"/>
    <d v="2023-11-08T00:00:00"/>
    <s v="000-731/AIB RDC/2022"/>
    <n v="2"/>
    <s v="RENOUVELLEMENT"/>
    <s v="00017672"/>
    <s v="Ivanhoe Mines Exploration DRC Sarl"/>
    <s v="Mining"/>
    <s v="ANDY"/>
    <s v="Andy"/>
    <s v="MARINE CARGO / GIT"/>
    <s v="MARINE"/>
    <x v="6"/>
    <s v="SFA"/>
    <n v="2000000"/>
    <n v="7945.53"/>
    <n v="0"/>
    <n v="0"/>
    <n v="33.5"/>
    <n v="6700"/>
    <n v="1077.3599999999999"/>
    <n v="3.9727649999999996E-3"/>
    <n v="0.15"/>
    <n v="1005"/>
    <n v="0"/>
    <n v="0"/>
    <n v="1005"/>
    <n v="160.80000000000001"/>
    <n v="1165.8"/>
    <n v="20.100000000000001"/>
    <m/>
    <n v="20.100000000000001"/>
    <m/>
    <n v="984.9"/>
    <m/>
    <m/>
    <n v="0"/>
    <m/>
    <m/>
    <n v="0"/>
    <m/>
    <n v="1165.8"/>
    <n v="1165.8"/>
    <n v="0"/>
    <s v="SFA"/>
    <d v="2023-01-23T00:00:00"/>
    <m/>
    <m/>
    <s v="MARINE CARGO / GIT"/>
    <m/>
    <m/>
    <m/>
  </r>
  <r>
    <x v="5"/>
    <s v="Yes"/>
    <d v="2022-12-09T00:00:00"/>
    <d v="2022-11-03T00:00:00"/>
    <d v="2022-11-03T00:00:00"/>
    <d v="2023-11-02T00:00:00"/>
    <s v="000-732/AIB RDC/2022"/>
    <n v="0"/>
    <s v="SOUSCRIPTION"/>
    <s v="33002-0017-104-0003706 / 0001"/>
    <s v="THEO MBIYE"/>
    <s v="PERSON"/>
    <s v="MICHEE"/>
    <s v="Victor"/>
    <s v="COMP MOTOR"/>
    <s v="MOTOR COMP"/>
    <x v="2"/>
    <s v="SUNU"/>
    <n v="0"/>
    <n v="1851.13"/>
    <n v="0"/>
    <n v="0"/>
    <n v="15.8"/>
    <n v="1580"/>
    <n v="255.33"/>
    <e v="#DIV/0!"/>
    <n v="0.15"/>
    <n v="237"/>
    <n v="0"/>
    <n v="0"/>
    <n v="237"/>
    <n v="37.92"/>
    <n v="274.92"/>
    <n v="4.74"/>
    <m/>
    <n v="4.74"/>
    <m/>
    <n v="232.26"/>
    <m/>
    <m/>
    <n v="0"/>
    <m/>
    <m/>
    <n v="0"/>
    <m/>
    <n v="274.92"/>
    <n v="274.92"/>
    <n v="0"/>
    <s v="SUNU"/>
    <d v="2022-12-23T00:00:00"/>
    <m/>
    <m/>
    <s v="COMP MOTOR"/>
    <m/>
    <m/>
    <m/>
  </r>
  <r>
    <x v="2"/>
    <s v="Yes"/>
    <d v="2022-12-09T00:00:00"/>
    <d v="2022-11-28T00:00:00"/>
    <d v="2022-10-01T00:00:00"/>
    <d v="2023-03-31T00:00:00"/>
    <s v="000-733/AIB RDC/2022"/>
    <n v="0"/>
    <s v="SOUSCRIPTION"/>
    <s v="301-59000004"/>
    <s v="Liberty SPRL"/>
    <m/>
    <s v="ANDY"/>
    <s v="Andy"/>
    <s v="PVT"/>
    <s v="POLITICAL VIOLENCE"/>
    <x v="4"/>
    <s v="RAWSUR"/>
    <n v="0"/>
    <n v="90353.29"/>
    <n v="0"/>
    <n v="0"/>
    <n v="100"/>
    <n v="76470.59"/>
    <n v="12251.29"/>
    <e v="#DIV/0!"/>
    <n v="0.15"/>
    <n v="11470.5885"/>
    <n v="0"/>
    <n v="0"/>
    <n v="11470.5885"/>
    <n v="1835.2941599999999"/>
    <n v="13305.882659999999"/>
    <n v="229.41176999999999"/>
    <m/>
    <n v="229.41176999999999"/>
    <m/>
    <n v="11241.176729999999"/>
    <s v="Aucun"/>
    <m/>
    <n v="0"/>
    <m/>
    <m/>
    <n v="0"/>
    <m/>
    <n v="13305.882659999999"/>
    <n v="13305.882659999999"/>
    <n v="0"/>
    <s v="RAWSUR"/>
    <d v="2022-12-21T00:00:00"/>
    <m/>
    <m/>
    <s v="PVT"/>
    <m/>
    <m/>
    <m/>
  </r>
  <r>
    <x v="7"/>
    <s v="Yes"/>
    <d v="2022-05-13T00:00:00"/>
    <d v="2022-05-12T00:00:00"/>
    <d v="2022-05-13T00:00:00"/>
    <d v="2022-06-12T00:00:00"/>
    <s v="000-734/AIB RDC/2022"/>
    <n v="0"/>
    <s v="SOUSCRIPTION"/>
    <n v="72000046"/>
    <s v="ORICA / Bolloré"/>
    <m/>
    <s v="SYNTYCHE"/>
    <s v="Victor"/>
    <s v="MARINE CARGO / GIT"/>
    <s v="MARINE"/>
    <x v="4"/>
    <s v="RAWSUR"/>
    <n v="11101"/>
    <n v="129.80000000000001"/>
    <n v="0"/>
    <n v="0"/>
    <n v="10"/>
    <n v="100"/>
    <n v="17.600000000000001"/>
    <n v="1.1692640302675436E-2"/>
    <n v="0.15"/>
    <n v="15"/>
    <m/>
    <m/>
    <n v="15"/>
    <n v="2.4"/>
    <n v="17.399999999999999"/>
    <n v="0.3"/>
    <m/>
    <n v="0.3"/>
    <m/>
    <n v="14.7"/>
    <s v="BOLLORE"/>
    <n v="0.4"/>
    <n v="5.88"/>
    <m/>
    <m/>
    <n v="5.88"/>
    <m/>
    <m/>
    <n v="17.399999999999999"/>
    <n v="17.399999999999999"/>
    <s v="RAWSUR"/>
    <m/>
    <m/>
    <s v="ONCE OFF"/>
    <s v="MARINE CARGO / GIT"/>
    <m/>
    <m/>
    <s v="Prime en cours de paiement "/>
  </r>
  <r>
    <x v="2"/>
    <s v="Yes"/>
    <d v="2022-12-15T00:00:00"/>
    <d v="2022-11-16T00:00:00"/>
    <d v="2022-10-13T00:00:00"/>
    <d v="2023-01-10T00:00:00"/>
    <s v="000-735/AIB RDC/2022"/>
    <n v="3"/>
    <s v="RISTOURNE"/>
    <s v="12003-33002-0012-108-00000001-2022 / 75600001"/>
    <s v="MALU AVIATION (9S GPS)"/>
    <s v="Aviation"/>
    <s v="SYNTYCHE"/>
    <s v="Syntyche"/>
    <s v="AVIATION HULL ALL RISK"/>
    <s v="AVIATION"/>
    <x v="4"/>
    <s v="RAWSUR"/>
    <n v="0"/>
    <n v="-17814.46"/>
    <n v="0"/>
    <n v="0"/>
    <n v="-10"/>
    <n v="-15107"/>
    <n v="-2415.52"/>
    <e v="#DIV/0!"/>
    <n v="0.1"/>
    <n v="-1510.7"/>
    <n v="0"/>
    <n v="0"/>
    <n v="-1510.7"/>
    <n v="-241.71200000000002"/>
    <n v="-1752.412"/>
    <n v="-30.214000000000002"/>
    <n v="0"/>
    <n v="-30.214000000000002"/>
    <m/>
    <n v="-1480.4860000000001"/>
    <m/>
    <m/>
    <n v="0"/>
    <m/>
    <m/>
    <n v="0"/>
    <m/>
    <n v="-1752.412"/>
    <n v="-1752.412"/>
    <n v="0"/>
    <s v="RAWSUR"/>
    <d v="2022-12-21T00:00:00"/>
    <m/>
    <s v="CANCELLED"/>
    <s v="AVIATION HULL ALL RISK"/>
    <m/>
    <m/>
    <m/>
  </r>
  <r>
    <x v="6"/>
    <s v="Yes"/>
    <d v="2022-12-15T00:00:00"/>
    <d v="2022-12-16T00:00:00"/>
    <d v="2022-12-16T00:00:00"/>
    <d v="2023-11-02T00:00:00"/>
    <s v="000-736/AIB RDC/2022"/>
    <n v="1"/>
    <s v="INCORPORATION"/>
    <s v="12002-33002-0004-103-00017444-2022"/>
    <s v="COSTA COULEUR"/>
    <m/>
    <s v="ALICE"/>
    <s v="Apphia"/>
    <s v="MOTOR TPL"/>
    <s v="MOTOR TPL"/>
    <x v="6"/>
    <s v="SFA"/>
    <n v="0"/>
    <n v="692.1"/>
    <n v="0"/>
    <n v="0"/>
    <n v="8.67"/>
    <n v="577.86"/>
    <n v="93.84"/>
    <e v="#DIV/0!"/>
    <n v="0.1"/>
    <n v="57.786000000000001"/>
    <n v="0"/>
    <n v="0"/>
    <n v="57.786000000000001"/>
    <n v="9.2457600000000006"/>
    <n v="67.031760000000006"/>
    <n v="1.1557200000000001"/>
    <m/>
    <n v="1.1557200000000001"/>
    <m/>
    <n v="56.630279999999999"/>
    <m/>
    <m/>
    <n v="0"/>
    <m/>
    <m/>
    <n v="0"/>
    <m/>
    <n v="67.031760000000006"/>
    <n v="67.031760000000006"/>
    <n v="0"/>
    <s v="SFA"/>
    <d v="2023-01-23T00:00:00"/>
    <m/>
    <m/>
    <s v="MOTOR TPL"/>
    <m/>
    <m/>
    <m/>
  </r>
  <r>
    <x v="6"/>
    <s v="Yes"/>
    <d v="2022-12-09T00:00:00"/>
    <d v="2022-12-16T00:00:00"/>
    <d v="2022-12-16T00:00:00"/>
    <d v="2023-12-15T00:00:00"/>
    <s v="000-737/AIB RDC/2022"/>
    <n v="0"/>
    <s v="SOUSCRIPTION"/>
    <s v="33002-0017-104-0004313 / 0002"/>
    <s v="GROUPE VIVENDI AFRICA ( GVA)"/>
    <m/>
    <s v="ALICE"/>
    <s v="Apphia"/>
    <s v="COMP MOTOR"/>
    <s v="MOTOR COMP"/>
    <x v="2"/>
    <s v="SUNU"/>
    <n v="0"/>
    <n v="14990.95"/>
    <n v="0"/>
    <n v="0"/>
    <n v="127.95"/>
    <n v="12795.28"/>
    <n v="2067.7199999999998"/>
    <e v="#DIV/0!"/>
    <n v="0.15"/>
    <n v="1919.2919999999999"/>
    <n v="0"/>
    <n v="0"/>
    <n v="1919.2919999999999"/>
    <n v="307.08672000000001"/>
    <n v="2226.3787199999997"/>
    <n v="38.385840000000002"/>
    <m/>
    <n v="38.385840000000002"/>
    <m/>
    <n v="1880.90616"/>
    <m/>
    <m/>
    <n v="0"/>
    <m/>
    <m/>
    <n v="0"/>
    <m/>
    <n v="2226.3787199999997"/>
    <n v="2226.3787199999997"/>
    <n v="0"/>
    <s v="SUNU"/>
    <d v="2023-02-08T00:00:00"/>
    <m/>
    <m/>
    <s v="COMP MOTOR"/>
    <m/>
    <m/>
    <s v="En attente POP Com"/>
  </r>
  <r>
    <x v="6"/>
    <s v="Yes"/>
    <d v="2022-12-21T00:00:00"/>
    <d v="2022-12-23T00:00:00"/>
    <d v="2022-12-23T00:00:00"/>
    <d v="2023-12-22T00:00:00"/>
    <s v="000-738/AIB RDC/2022"/>
    <n v="0"/>
    <s v="SOUSCRIPTION"/>
    <s v="33002-0001-101-0004308 / 0001"/>
    <s v="RESOLVE TO SAVE LIFES"/>
    <m/>
    <s v="ALICE"/>
    <s v="Apphia"/>
    <s v="GPA"/>
    <s v="MEDICAL &amp; GPA"/>
    <x v="2"/>
    <s v="SUNU"/>
    <n v="0"/>
    <n v="626.4"/>
    <n v="0"/>
    <n v="0"/>
    <n v="10"/>
    <n v="530"/>
    <n v="86.4"/>
    <e v="#DIV/0!"/>
    <n v="0.1"/>
    <n v="53"/>
    <n v="0"/>
    <n v="0"/>
    <n v="53"/>
    <n v="8.48"/>
    <n v="61.480000000000004"/>
    <n v="1.06"/>
    <m/>
    <n v="1.06"/>
    <m/>
    <n v="51.94"/>
    <m/>
    <m/>
    <n v="0"/>
    <m/>
    <m/>
    <n v="0"/>
    <m/>
    <n v="61.480000000000004"/>
    <n v="61.480000000000004"/>
    <n v="0"/>
    <s v="SUNU"/>
    <d v="2023-02-08T00:00:00"/>
    <m/>
    <m/>
    <s v="GPA"/>
    <m/>
    <m/>
    <s v="En attente POP Com"/>
  </r>
  <r>
    <x v="6"/>
    <s v="Yes"/>
    <d v="2022-12-15T00:00:00"/>
    <d v="2023-01-24T00:00:00"/>
    <d v="2022-12-08T00:00:00"/>
    <d v="2023-12-07T00:00:00"/>
    <s v="000-739/AIB RDC/2022"/>
    <n v="5"/>
    <s v="RENOUVELLEMENT"/>
    <s v="12001-33002-0002-101-00000801-2020"/>
    <s v="OPPORTUNITY INTERNATIONAL"/>
    <m/>
    <s v="ALICE"/>
    <s v="Apphia"/>
    <s v="GPA"/>
    <s v="MEDICAL &amp; GPA"/>
    <x v="0"/>
    <s v="ACTIVA"/>
    <n v="0"/>
    <n v="2815.68"/>
    <n v="0"/>
    <n v="0"/>
    <n v="24.03"/>
    <n v="2403.2800000000002"/>
    <n v="388.37"/>
    <e v="#DIV/0!"/>
    <n v="0.1"/>
    <n v="240.32800000000003"/>
    <n v="0"/>
    <n v="0"/>
    <n v="240.32800000000003"/>
    <n v="38.452480000000008"/>
    <n v="278.78048000000001"/>
    <n v="4.8065600000000011"/>
    <m/>
    <n v="4.8065600000000011"/>
    <m/>
    <n v="235.52144000000004"/>
    <s v="OLEA"/>
    <n v="0.35"/>
    <n v="82.432504000000009"/>
    <m/>
    <m/>
    <n v="82.432504000000009"/>
    <m/>
    <n v="278.78048000000001"/>
    <n v="278.78048000000001"/>
    <n v="0"/>
    <s v="ACTIVA"/>
    <d v="2023-03-08T00:00:00"/>
    <m/>
    <m/>
    <s v="GPA"/>
    <m/>
    <m/>
    <m/>
  </r>
  <r>
    <x v="6"/>
    <s v="Yes"/>
    <d v="2022-01-20T00:00:00"/>
    <d v="2022-12-31T00:00:00"/>
    <d v="2022-12-31T00:00:00"/>
    <d v="2023-12-30T00:00:00"/>
    <s v="000-740/AIB RDC/2022"/>
    <n v="1"/>
    <s v="RENOUVELLEMENT"/>
    <n v="45000014"/>
    <s v="Chemaf SA"/>
    <s v="MINING"/>
    <s v="ANDY"/>
    <s v="Andy"/>
    <s v="PROPERTY DAMAGE &amp; BI"/>
    <s v="PROPERTIES"/>
    <x v="4"/>
    <s v="RAWSUR"/>
    <n v="100000000"/>
    <n v="2085364.61"/>
    <n v="105233.94"/>
    <n v="0"/>
    <n v="100"/>
    <n v="1661924.21"/>
    <n v="282761.3"/>
    <n v="2.0853646100000001E-2"/>
    <n v="0"/>
    <n v="0"/>
    <n v="53845.182719395649"/>
    <n v="18562.500000000044"/>
    <n v="72407.6827193957"/>
    <n v="11585.229235103312"/>
    <n v="83992.91195449901"/>
    <n v="1448.153654387914"/>
    <m/>
    <n v="1448.153654387914"/>
    <m/>
    <n v="70959.52906500778"/>
    <m/>
    <m/>
    <n v="0"/>
    <m/>
    <m/>
    <n v="0"/>
    <m/>
    <n v="83993.579999999987"/>
    <n v="83993.579999999987"/>
    <n v="0"/>
    <s v="RAWSUR"/>
    <d v="2023-04-27T00:00:00"/>
    <m/>
    <m/>
    <s v="PROPERTY DAMAGE &amp; BI"/>
    <m/>
    <m/>
    <m/>
  </r>
  <r>
    <x v="6"/>
    <s v="Yes"/>
    <d v="2023-02-07T00:00:00"/>
    <d v="2023-01-18T00:00:00"/>
    <d v="2022-12-31T00:00:00"/>
    <d v="2023-02-28T00:00:00"/>
    <s v="000-741/AIB RDC/2022"/>
    <n v="5"/>
    <s v="PROROGATION"/>
    <s v="01-TRC-2020-000013"/>
    <s v="LUANO GRANDES PROPRIETES  S.A.R.L/ Offices"/>
    <s v="CONSTRUCTION"/>
    <s v="ANDY"/>
    <s v="Andy"/>
    <s v="CAR"/>
    <s v="CONSTRUCTIONS"/>
    <x v="6"/>
    <s v="SFA"/>
    <n v="0"/>
    <n v="1715.91"/>
    <n v="0"/>
    <n v="0"/>
    <n v="20"/>
    <n v="1434.16"/>
    <n v="232.67"/>
    <e v="#DIV/0!"/>
    <n v="0.15"/>
    <n v="215.124"/>
    <n v="0"/>
    <n v="0"/>
    <n v="215.124"/>
    <n v="34.419840000000001"/>
    <n v="249.54383999999999"/>
    <n v="4.3024800000000001"/>
    <m/>
    <n v="4.3024800000000001"/>
    <m/>
    <n v="210.82151999999999"/>
    <s v="Aucun"/>
    <m/>
    <n v="0"/>
    <m/>
    <m/>
    <n v="0"/>
    <m/>
    <n v="249.54383999999999"/>
    <n v="249.54383999999999"/>
    <n v="0"/>
    <s v="SFA"/>
    <d v="2023-02-27T00:00:00"/>
    <m/>
    <s v="EXTENDED"/>
    <m/>
    <m/>
    <m/>
    <m/>
  </r>
  <r>
    <x v="6"/>
    <s v="Yes"/>
    <d v="2022-12-29T00:00:00"/>
    <d v="2022-12-08T00:00:00"/>
    <d v="2022-12-02T00:00:00"/>
    <d v="2023-12-01T00:00:00"/>
    <s v="000-742/AIB RDC/2022"/>
    <n v="2"/>
    <s v="RENOUVELLEMENT"/>
    <s v="12002-33002-0023-113-00017658-2022"/>
    <s v="ALLIED INSURANCE BROKERS ( AIB) RDC SA"/>
    <s v="INSURANCE"/>
    <s v="SYNTYCHE"/>
    <s v="Tychique"/>
    <s v="PI"/>
    <s v="LIABILITIES"/>
    <x v="6"/>
    <s v="SFA"/>
    <n v="0"/>
    <n v="4112.21"/>
    <n v="519.03"/>
    <n v="0"/>
    <n v="24.71"/>
    <n v="2941.18"/>
    <n v="557.59"/>
    <e v="#DIV/0!"/>
    <n v="0"/>
    <n v="0"/>
    <n v="155.70899999999997"/>
    <n v="0"/>
    <n v="155.70899999999997"/>
    <n v="24.913439999999998"/>
    <n v="180.62243999999998"/>
    <n v="3.1141799999999997"/>
    <m/>
    <n v="3.1141799999999997"/>
    <m/>
    <n v="152.59481999999997"/>
    <m/>
    <m/>
    <n v="0"/>
    <m/>
    <m/>
    <n v="0"/>
    <m/>
    <n v="180.62243999999998"/>
    <n v="180.62243999999998"/>
    <n v="0"/>
    <s v="SFA"/>
    <d v="2023-01-23T00:00:00"/>
    <m/>
    <m/>
    <s v="PI"/>
    <m/>
    <m/>
    <m/>
  </r>
  <r>
    <x v="6"/>
    <s v="Yes"/>
    <d v="2022-12-29T00:00:00"/>
    <d v="2022-12-17T00:00:00"/>
    <d v="2022-12-16T00:00:00"/>
    <d v="2023-12-15T00:00:00"/>
    <s v="000-743/AIB RDC/2022"/>
    <n v="1"/>
    <s v="RENOUVELLEMENT"/>
    <s v="12002-33002-0023-112-00017712-2022"/>
    <s v="COOPI"/>
    <m/>
    <s v="SYNTYCHE"/>
    <s v="Grâce"/>
    <s v="FIRE"/>
    <s v="PROPERTIES"/>
    <x v="6"/>
    <s v="SFA"/>
    <n v="0"/>
    <n v="334.02"/>
    <n v="0"/>
    <n v="0"/>
    <n v="20"/>
    <n v="263.07"/>
    <n v="45.29"/>
    <e v="#DIV/0!"/>
    <n v="0.1"/>
    <n v="26.307000000000002"/>
    <n v="0"/>
    <n v="0"/>
    <n v="26.307000000000002"/>
    <n v="4.2091200000000004"/>
    <n v="30.516120000000001"/>
    <n v="0.52614000000000005"/>
    <m/>
    <n v="0.52614000000000005"/>
    <m/>
    <n v="25.780860000000001"/>
    <m/>
    <m/>
    <n v="0"/>
    <m/>
    <m/>
    <n v="0"/>
    <m/>
    <n v="30.516120000000001"/>
    <n v="30.516120000000001"/>
    <n v="0"/>
    <s v="SFA"/>
    <d v="2023-01-23T00:00:00"/>
    <m/>
    <m/>
    <s v="FIRE"/>
    <m/>
    <m/>
    <m/>
  </r>
  <r>
    <x v="6"/>
    <s v="Yes"/>
    <d v="2022-12-29T00:00:00"/>
    <d v="2022-12-19T00:00:00"/>
    <d v="2022-12-19T00:00:00"/>
    <d v="2023-12-18T00:00:00"/>
    <s v="000-744/AIB RDC/2022"/>
    <n v="2"/>
    <s v="RENOUVELLEMENT"/>
    <s v="33002-0000001-0017-003-0000024"/>
    <s v="France Média Monde"/>
    <m/>
    <s v="SYNTYCHE"/>
    <s v="Grâce"/>
    <s v="COMP MOTOR"/>
    <s v="MOTOR COMP"/>
    <x v="2"/>
    <s v="SUNU"/>
    <n v="0"/>
    <n v="1302.82"/>
    <n v="0"/>
    <n v="0"/>
    <n v="11.12"/>
    <n v="1112"/>
    <n v="179.7"/>
    <e v="#DIV/0!"/>
    <n v="0.15"/>
    <n v="166.79999999999998"/>
    <n v="0"/>
    <n v="0"/>
    <n v="166.79999999999998"/>
    <n v="26.687999999999999"/>
    <n v="193.48799999999997"/>
    <n v="3.3359999999999999"/>
    <m/>
    <n v="3.3359999999999999"/>
    <m/>
    <n v="163.46399999999997"/>
    <m/>
    <m/>
    <n v="0"/>
    <m/>
    <m/>
    <n v="0"/>
    <m/>
    <n v="193.48799999999997"/>
    <n v="193.48799999999997"/>
    <n v="0"/>
    <s v="SUNU"/>
    <d v="2023-02-08T00:00:00"/>
    <m/>
    <m/>
    <s v="COMP MOTOR"/>
    <m/>
    <m/>
    <s v="En attente POP Com"/>
  </r>
  <r>
    <x v="6"/>
    <s v="Yes"/>
    <d v="2022-12-29T00:00:00"/>
    <d v="2022-12-30T00:00:00"/>
    <d v="2022-12-30T00:00:00"/>
    <d v="2023-12-29T00:00:00"/>
    <s v="000-745/AIB RDC/2022"/>
    <n v="1"/>
    <s v="RENOUVELLEMENT"/>
    <s v="12005-33002-0003-13002-00004334-2022"/>
    <s v="KANU EQUIPMENT"/>
    <m/>
    <s v="SYNTYCHE"/>
    <s v="Grâce"/>
    <s v="MOTOR TPL"/>
    <s v="MOTOR TPL"/>
    <x v="1"/>
    <s v="MAYFAIR"/>
    <n v="0"/>
    <n v="3941.2"/>
    <n v="0"/>
    <n v="0"/>
    <n v="80"/>
    <n v="3260"/>
    <n v="534.4"/>
    <e v="#DIV/0!"/>
    <n v="0.1"/>
    <n v="326"/>
    <n v="0"/>
    <n v="0"/>
    <n v="326"/>
    <n v="52.160000000000004"/>
    <n v="378.16"/>
    <n v="6.5200000000000005"/>
    <m/>
    <n v="6.5200000000000005"/>
    <m/>
    <n v="319.48"/>
    <m/>
    <m/>
    <n v="0"/>
    <m/>
    <m/>
    <n v="0"/>
    <m/>
    <n v="378.16"/>
    <n v="378.16"/>
    <n v="0"/>
    <s v="MAYFAIR"/>
    <d v="2023-01-25T00:00:00"/>
    <m/>
    <m/>
    <s v="MOTOR TPL"/>
    <m/>
    <m/>
    <m/>
  </r>
  <r>
    <x v="7"/>
    <s v="No"/>
    <d v="2022-05-23T00:00:00"/>
    <d v="2022-05-24T00:00:00"/>
    <d v="2022-05-24T00:00:00"/>
    <d v="2022-05-27T00:00:00"/>
    <s v="000-746/AIB RDC/2022"/>
    <n v="0"/>
    <s v="SOUSCRIPTION"/>
    <m/>
    <s v="ORICA / Bolloré"/>
    <m/>
    <s v="SYNTYCHE"/>
    <s v="Victor"/>
    <s v="MARINE CARGO / GIT"/>
    <s v="MARINE"/>
    <x v="6"/>
    <s v="SFA"/>
    <n v="862"/>
    <n v="94.4"/>
    <n v="0"/>
    <n v="0"/>
    <n v="20"/>
    <n v="60"/>
    <n v="12.8"/>
    <n v="0.10951276102088167"/>
    <n v="0.15"/>
    <n v="9"/>
    <m/>
    <m/>
    <n v="9"/>
    <n v="1.44"/>
    <n v="10.44"/>
    <n v="0.18"/>
    <m/>
    <n v="0.18"/>
    <m/>
    <n v="8.82"/>
    <s v="BOLLORE"/>
    <n v="0.4"/>
    <n v="3.5280000000000005"/>
    <m/>
    <m/>
    <n v="3.5280000000000005"/>
    <m/>
    <m/>
    <n v="10.44"/>
    <n v="10.44"/>
    <s v="SFA"/>
    <m/>
    <m/>
    <s v="ONCE OFF"/>
    <s v="MARINE CARGO / GIT"/>
    <m/>
    <m/>
    <s v="Prime en cours de paiement "/>
  </r>
  <r>
    <x v="6"/>
    <s v="No"/>
    <d v="2023-01-02T00:00:00"/>
    <s v="TBA"/>
    <s v="TBA"/>
    <s v="TBA"/>
    <s v="000-747/AIB RDC/2022"/>
    <n v="0"/>
    <s v="SOUSCRIPTION"/>
    <s v="PR005133"/>
    <s v="ORICA / Bolloré"/>
    <m/>
    <s v="SYNTYCHE"/>
    <s v="Victor"/>
    <s v="MARINE CARGO / GIT"/>
    <s v="MARINE"/>
    <x v="6"/>
    <s v="SFA"/>
    <n v="5405.7"/>
    <n v="65"/>
    <n v="0"/>
    <n v="0"/>
    <n v="0.81"/>
    <n v="54.28"/>
    <n v="8.81"/>
    <n v="1.2024344673215311E-2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6"/>
    <s v="No"/>
    <d v="2023-01-02T00:00:00"/>
    <s v="TBA"/>
    <s v="TBA"/>
    <s v="TBA"/>
    <s v="000-748/AIB RDC/2022"/>
    <n v="0"/>
    <s v="SOUSCRIPTION"/>
    <s v="PR004659"/>
    <s v="ORICA / Bolloré"/>
    <m/>
    <s v="SYNTYCHE"/>
    <s v="Victor"/>
    <s v="MARINE CARGO / GIT"/>
    <s v="MARINE"/>
    <x v="6"/>
    <s v="SFA"/>
    <n v="6733.93"/>
    <n v="65"/>
    <n v="0"/>
    <n v="0"/>
    <n v="0.81"/>
    <n v="54.28"/>
    <n v="8.81"/>
    <n v="9.6526099914908525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6"/>
    <s v="Yes"/>
    <d v="2022-12-29T00:00:00"/>
    <d v="2022-12-21T00:00:00"/>
    <d v="2022-12-21T00:00:00"/>
    <d v="2023-12-20T00:00:00"/>
    <s v="000-749/AIB RDC/2022"/>
    <n v="0"/>
    <s v="SOUSCRIPTION"/>
    <s v="12002-33002-0022-111-00017734-2022"/>
    <s v="PANACO / Bolloré"/>
    <m/>
    <s v="SYNTYCHE"/>
    <s v="Victor"/>
    <s v="MARINE CARGO / GIT"/>
    <s v="MARINE"/>
    <x v="6"/>
    <s v="SFA"/>
    <n v="340288"/>
    <n v="762.96"/>
    <n v="0"/>
    <n v="0"/>
    <n v="9.56"/>
    <n v="637.02"/>
    <n v="103.45"/>
    <n v="2.2421008087267257E-3"/>
    <n v="0.15"/>
    <n v="95.552999999999997"/>
    <n v="0"/>
    <n v="0"/>
    <n v="95.552999999999997"/>
    <n v="15.28848"/>
    <n v="110.84147999999999"/>
    <n v="1.91106"/>
    <m/>
    <n v="1.91106"/>
    <m/>
    <n v="93.641939999999991"/>
    <s v="BOLLORE"/>
    <n v="0.4"/>
    <n v="37.456775999999998"/>
    <n v="37.456775999999998"/>
    <d v="2023-10-30T00:00:00"/>
    <n v="0"/>
    <m/>
    <n v="110.84147999999999"/>
    <n v="110.84147999999999"/>
    <n v="0"/>
    <s v="SFA"/>
    <d v="2023-01-23T00:00:00"/>
    <m/>
    <s v="ONCE OFF"/>
    <s v="MARINE CARGO / GIT"/>
    <m/>
    <m/>
    <m/>
  </r>
  <r>
    <x v="6"/>
    <s v="Yes"/>
    <d v="2023-01-10T00:00:00"/>
    <d v="2022-12-09T00:00:00"/>
    <d v="2022-12-10T00:00:00"/>
    <d v="2023-01-08T00:00:00"/>
    <s v="000-750/AIB RDC/2022"/>
    <n v="0"/>
    <s v="SOUSCRIPTION"/>
    <s v="12002-33002-0004-104-00017665-2022"/>
    <s v="T K XPORT LLC"/>
    <m/>
    <s v="MICHEE"/>
    <s v="Tychique"/>
    <s v="COMP MOTOR"/>
    <s v="MOTOR COMP"/>
    <x v="6"/>
    <s v="SFA"/>
    <n v="0"/>
    <n v="7863.68"/>
    <n v="0"/>
    <n v="0"/>
    <n v="98.34"/>
    <n v="6565.8"/>
    <n v="1066.26"/>
    <e v="#DIV/0!"/>
    <n v="0.15"/>
    <n v="984.87"/>
    <n v="0"/>
    <n v="0"/>
    <n v="984.87"/>
    <n v="157.57920000000001"/>
    <n v="1142.4492"/>
    <n v="19.697400000000002"/>
    <m/>
    <n v="19.697400000000002"/>
    <m/>
    <n v="965.17259999999999"/>
    <m/>
    <m/>
    <n v="0"/>
    <m/>
    <m/>
    <n v="0"/>
    <m/>
    <n v="1142.4492"/>
    <n v="1142.4492"/>
    <n v="0"/>
    <s v="SFA"/>
    <d v="2023-01-23T00:00:00"/>
    <m/>
    <s v="EXTENDED"/>
    <s v="COMP MOTOR"/>
    <m/>
    <m/>
    <m/>
  </r>
  <r>
    <x v="5"/>
    <s v="No"/>
    <d v="2022-05-12T00:00:00"/>
    <s v="TBA"/>
    <s v="TBA"/>
    <s v="TBA"/>
    <s v="000-751/AIB RDC/2022"/>
    <n v="0"/>
    <s v="SOUSCRIPTION"/>
    <s v="PR004316"/>
    <s v="PANACO / Bolloré"/>
    <m/>
    <s v="SYNTYCHE"/>
    <s v="Victor"/>
    <s v="MARINE CARGO / GIT"/>
    <s v="MARINE"/>
    <x v="6"/>
    <s v="SFA"/>
    <n v="632636.37"/>
    <n v="1418.48"/>
    <n v="0"/>
    <n v="0"/>
    <n v="17.760000000000002"/>
    <n v="1184.29"/>
    <n v="192.33"/>
    <n v="2.2421727034125467E-3"/>
    <n v="0.15"/>
    <n v="177.64349999999999"/>
    <n v="0"/>
    <n v="0"/>
    <n v="177.64349999999999"/>
    <n v="28.42296"/>
    <n v="206.06645999999998"/>
    <n v="3.55287"/>
    <m/>
    <n v="3.55287"/>
    <m/>
    <n v="174.09062999999998"/>
    <s v="BOLLORE"/>
    <n v="0.4"/>
    <n v="69.636251999999999"/>
    <m/>
    <m/>
    <n v="69.636251999999999"/>
    <m/>
    <m/>
    <n v="206.06645999999998"/>
    <n v="206.06645999999998"/>
    <s v="SFA"/>
    <m/>
    <m/>
    <s v="ONCE OFF"/>
    <s v="MARINE CARGO / GIT"/>
    <m/>
    <m/>
    <s v="Prime en cours de paiement par Bolloré"/>
  </r>
  <r>
    <x v="6"/>
    <s v="Yes"/>
    <d v="2022-12-30T00:00:00"/>
    <d v="2022-12-27T00:00:00"/>
    <d v="2022-12-27T00:00:00"/>
    <d v="2023-12-26T00:00:00"/>
    <s v="000-752/AIB RDC/2022"/>
    <n v="1"/>
    <s v="INCORPORATION"/>
    <s v="33002-0017-103-0004395 / 0002"/>
    <s v="ALLIED INSURANCE BROKERS ( AIB) RDC SA"/>
    <s v="INSURANCE"/>
    <s v="MICHEE"/>
    <s v="Tychique"/>
    <s v="MOTOR TPL"/>
    <s v="MOTOR TPL"/>
    <x v="2"/>
    <s v="SUNU"/>
    <n v="0"/>
    <n v="248.24"/>
    <n v="0"/>
    <n v="0"/>
    <n v="0"/>
    <n v="214"/>
    <n v="34.24"/>
    <e v="#DIV/0!"/>
    <n v="0.1"/>
    <n v="21.400000000000002"/>
    <n v="0"/>
    <n v="0"/>
    <n v="21.400000000000002"/>
    <n v="3.4240000000000004"/>
    <n v="24.824000000000002"/>
    <n v="0.42800000000000005"/>
    <m/>
    <n v="0.42800000000000005"/>
    <m/>
    <n v="20.972000000000001"/>
    <m/>
    <m/>
    <n v="0"/>
    <m/>
    <m/>
    <n v="0"/>
    <m/>
    <n v="24.824000000000002"/>
    <n v="24.824000000000002"/>
    <n v="0"/>
    <s v="SUNU"/>
    <d v="2023-02-08T00:00:00"/>
    <m/>
    <m/>
    <s v="MOTOR TPL"/>
    <m/>
    <m/>
    <s v="En attente POP Com"/>
  </r>
  <r>
    <x v="11"/>
    <s v="Yes"/>
    <d v="2023-01-09T00:00:00"/>
    <d v="2022-12-26T00:00:00"/>
    <d v="2022-07-01T00:00:00"/>
    <d v="2023-06-30T00:00:00"/>
    <s v="000-753/AIB RDC/2022"/>
    <n v="2"/>
    <s v="RENOUVELLEMENT"/>
    <s v="12001-9005/3002/1450000611"/>
    <s v="Shoprite"/>
    <m/>
    <s v="SYNTYCHE"/>
    <s v="Syntyche"/>
    <s v="PUBLIC LIABILITY"/>
    <s v="LIABILITIES"/>
    <x v="0"/>
    <s v="ACTIVA"/>
    <n v="0"/>
    <n v="6270.4"/>
    <n v="0"/>
    <n v="0"/>
    <n v="53.52"/>
    <n v="5352"/>
    <n v="864.8832000000001"/>
    <e v="#DIV/0!"/>
    <n v="0.15"/>
    <n v="802.8"/>
    <n v="0"/>
    <n v="0"/>
    <n v="802.8"/>
    <n v="128.44800000000001"/>
    <n v="931.24799999999993"/>
    <n v="16.056000000000001"/>
    <n v="0"/>
    <n v="16.056000000000001"/>
    <m/>
    <n v="786.74399999999991"/>
    <s v="MARSH"/>
    <n v="0"/>
    <n v="0"/>
    <m/>
    <m/>
    <n v="0"/>
    <m/>
    <n v="931.24799999999993"/>
    <n v="931.24799999999993"/>
    <n v="0"/>
    <s v="ACTIVA"/>
    <d v="2023-01-31T00:00:00"/>
    <m/>
    <s v="CANCELLED"/>
    <s v="PUBLIC LIABILITY"/>
    <m/>
    <m/>
    <s v="En attente POP Com"/>
  </r>
  <r>
    <x v="6"/>
    <s v="Yes"/>
    <d v="2023-01-02T00:00:00"/>
    <d v="2022-12-21T00:00:00"/>
    <d v="2022-12-21T00:00:00"/>
    <d v="2023-12-20T00:00:00"/>
    <s v="000-754/AIB RDC/2022"/>
    <n v="0"/>
    <s v="SOUSCRIPTION"/>
    <s v="12002-33002-0022-111-00017733-2022"/>
    <s v="PANACO / Bolloré"/>
    <m/>
    <s v="SYNTYCHE"/>
    <s v="Victor"/>
    <s v="MARINE CARGO / GIT"/>
    <s v="MARINE"/>
    <x v="6"/>
    <s v="SFA"/>
    <n v="64907.38"/>
    <n v="145.53"/>
    <n v="0"/>
    <n v="0"/>
    <n v="1.82"/>
    <n v="121.51"/>
    <n v="19.73"/>
    <n v="2.2421179224920186E-3"/>
    <n v="0.15"/>
    <n v="18.226500000000001"/>
    <n v="0"/>
    <n v="0"/>
    <n v="18.226500000000001"/>
    <n v="2.9162400000000002"/>
    <n v="21.142740000000003"/>
    <n v="0.36453000000000002"/>
    <m/>
    <n v="0.36453000000000002"/>
    <m/>
    <n v="17.861970000000003"/>
    <s v="BOLLORE"/>
    <n v="0.4"/>
    <n v="7.1447880000000019"/>
    <n v="7.1447880000000019"/>
    <d v="2023-10-30T00:00:00"/>
    <n v="0"/>
    <m/>
    <n v="21.142740000000003"/>
    <n v="21.142740000000003"/>
    <n v="0"/>
    <s v="SFA"/>
    <d v="2023-01-23T00:00:00"/>
    <m/>
    <s v="ONCE OFF"/>
    <s v="MARINE CARGO / GIT"/>
    <m/>
    <m/>
    <m/>
  </r>
  <r>
    <x v="3"/>
    <s v="Yes"/>
    <d v="2022-02-11T00:00:00"/>
    <d v="2022-03-07T00:00:00"/>
    <d v="2022-02-11T00:00:00"/>
    <d v="2022-05-10T00:00:00"/>
    <s v="000-755/AIB RDC/2022"/>
    <n v="0"/>
    <s v="SOUSCRIPTION"/>
    <s v="12003-33002-0005-111-00000188-2022 / 73200019"/>
    <s v="PANACO / Bolloré"/>
    <m/>
    <s v="SYNTYCHE"/>
    <s v="Victor"/>
    <s v="MARINE CARGO / GIT"/>
    <s v="MARINE"/>
    <x v="4"/>
    <s v="RAWSUR"/>
    <n v="115250"/>
    <n v="573.48"/>
    <n v="0"/>
    <m/>
    <m/>
    <n v="461"/>
    <m/>
    <n v="4.9759652928416491E-3"/>
    <n v="0.15"/>
    <n v="69.149999999999991"/>
    <n v="0"/>
    <n v="0"/>
    <n v="69.149999999999991"/>
    <n v="11.063999999999998"/>
    <n v="80.213999999999984"/>
    <n v="1.3829999999999998"/>
    <n v="0"/>
    <n v="1.3829999999999998"/>
    <m/>
    <n v="67.766999999999996"/>
    <s v="BOLLORE"/>
    <n v="0.4"/>
    <n v="27.1068"/>
    <m/>
    <m/>
    <n v="27.1068"/>
    <m/>
    <m/>
    <n v="80.213999999999984"/>
    <n v="80.213999999999984"/>
    <s v="RAWSUR"/>
    <m/>
    <m/>
    <s v="ONCE OFF"/>
    <s v="MARINE CARGO / GIT"/>
    <m/>
    <m/>
    <s v="Prime en cours de paiement "/>
  </r>
  <r>
    <x v="11"/>
    <s v="No"/>
    <d v="2022-07-29T00:00:00"/>
    <d v="2022-07-14T00:00:00"/>
    <d v="2022-07-14T00:00:00"/>
    <d v="2022-08-13T00:00:00"/>
    <s v="000-756/AIB RDC/2022"/>
    <n v="0"/>
    <s v="SOUSCRIPTION"/>
    <s v="PR002536"/>
    <s v="PANACO / Bolloré"/>
    <m/>
    <s v="SYNTYCHE"/>
    <s v="Victor"/>
    <s v="MARINE CARGO / GIT"/>
    <s v="MARINE"/>
    <x v="6"/>
    <s v="SFA"/>
    <n v="239740"/>
    <n v="553.17999999999995"/>
    <n v="0"/>
    <n v="0"/>
    <n v="20"/>
    <n v="448.79"/>
    <n v="75.010000000000005"/>
    <n v="2.3074163677317093E-3"/>
    <n v="0.15"/>
    <n v="67.3185"/>
    <m/>
    <m/>
    <n v="67.3185"/>
    <n v="10.770960000000001"/>
    <n v="78.089460000000003"/>
    <n v="1.3463700000000001"/>
    <m/>
    <n v="1.3463700000000001"/>
    <m/>
    <n v="65.972130000000007"/>
    <s v="BOLLORE"/>
    <n v="0.4"/>
    <n v="26.388852000000004"/>
    <m/>
    <m/>
    <n v="26.388852000000004"/>
    <m/>
    <m/>
    <n v="78.089460000000003"/>
    <n v="78.089460000000003"/>
    <s v="SFA"/>
    <m/>
    <m/>
    <s v="ONCE OFF"/>
    <s v="MARINE CARGO / GIT"/>
    <m/>
    <m/>
    <s v="Prime en cours de paiement "/>
  </r>
  <r>
    <x v="6"/>
    <s v="Yes"/>
    <d v="2022-12-12T00:00:00"/>
    <d v="2023-01-02T00:00:00"/>
    <d v="2022-12-31T00:00:00"/>
    <d v="2023-12-30T00:00:00"/>
    <s v="000-757/AIB RDC/2022"/>
    <n v="0"/>
    <s v="SOUSCRIPTION"/>
    <s v="12002-33002-0023-113-00018348-2023"/>
    <s v="STANDARD BANK"/>
    <s v="Bank"/>
    <s v="ANDY"/>
    <s v="Andy"/>
    <s v="CYBER"/>
    <s v="PROPERTIES"/>
    <x v="6"/>
    <s v="MARSH"/>
    <n v="0"/>
    <n v="15414.55"/>
    <n v="1948.24"/>
    <n v="0"/>
    <n v="65.2"/>
    <n v="11040"/>
    <n v="2088.5500000000002"/>
    <e v="#DIV/0!"/>
    <n v="0"/>
    <n v="0"/>
    <n v="584.47199999999998"/>
    <n v="0"/>
    <n v="584.47199999999998"/>
    <n v="93.515519999999995"/>
    <n v="677.98752000000002"/>
    <n v="11.689439999999999"/>
    <n v="0"/>
    <n v="11.689439999999999"/>
    <m/>
    <n v="572.78255999999999"/>
    <s v="MARSH"/>
    <n v="0"/>
    <n v="0"/>
    <m/>
    <m/>
    <n v="0"/>
    <m/>
    <n v="677.98752000000002"/>
    <n v="677.98752000000002"/>
    <n v="0"/>
    <s v="SFA"/>
    <d v="2023-06-23T00:00:00"/>
    <m/>
    <m/>
    <s v="CYBER"/>
    <m/>
    <m/>
    <s v="Commision à collecter dans le bordereau de Mai"/>
  </r>
  <r>
    <x v="6"/>
    <s v="Yes"/>
    <d v="2022-12-10T00:00:00"/>
    <d v="2022-12-19T00:00:00"/>
    <d v="2022-12-19T00:00:00"/>
    <d v="2023-12-18T00:00:00"/>
    <s v="000-758/AIB RDC/2022"/>
    <n v="0"/>
    <s v="SOUSCRIPTION"/>
    <s v="12001-33002-0001-103-00004709-2022"/>
    <s v="Paragon DRC"/>
    <s v="Transport"/>
    <s v="ANDY"/>
    <s v="Sabrina"/>
    <s v="MOTOR TPL"/>
    <s v="MOTOR TPL"/>
    <x v="0"/>
    <s v="ACTIVA"/>
    <n v="0"/>
    <n v="3944.66"/>
    <n v="0"/>
    <n v="0"/>
    <n v="33.67"/>
    <n v="3366.9"/>
    <n v="544.09"/>
    <e v="#DIV/0!"/>
    <n v="0.1"/>
    <n v="336.69000000000005"/>
    <n v="0"/>
    <n v="0"/>
    <n v="336.69000000000005"/>
    <n v="53.870400000000011"/>
    <n v="390.56040000000007"/>
    <n v="6.7338000000000013"/>
    <m/>
    <n v="6.7338000000000013"/>
    <m/>
    <n v="329.95620000000008"/>
    <m/>
    <m/>
    <n v="0"/>
    <m/>
    <m/>
    <n v="0"/>
    <m/>
    <n v="390.56040000000007"/>
    <n v="390.56040000000007"/>
    <n v="0"/>
    <s v="ACTIVA"/>
    <d v="2023-01-31T00:00:00"/>
    <m/>
    <m/>
    <s v="MOTOR TPL"/>
    <m/>
    <m/>
    <s v="En attente POP Com"/>
  </r>
  <r>
    <x v="6"/>
    <s v="Yes"/>
    <d v="2022-12-10T00:00:00"/>
    <d v="2022-12-19T00:00:00"/>
    <d v="2022-12-19T00:00:00"/>
    <d v="2023-12-18T00:00:00"/>
    <s v="000-759/AIB RDC/2022"/>
    <n v="1"/>
    <s v="PROROGATION"/>
    <s v="12001-33002-0001-103-00004709-2022"/>
    <s v="Paragon DRC"/>
    <s v="Transport"/>
    <s v="ANDY"/>
    <s v="Sabrina"/>
    <s v="MOTOR TPL"/>
    <s v="MOTOR TPL"/>
    <x v="0"/>
    <s v="ACTIVA"/>
    <n v="0"/>
    <n v="1003.4"/>
    <n v="0"/>
    <n v="0"/>
    <n v="10"/>
    <n v="855"/>
    <n v="138.4"/>
    <e v="#DIV/0!"/>
    <n v="0.1"/>
    <n v="85.5"/>
    <n v="0"/>
    <n v="0"/>
    <n v="85.5"/>
    <n v="13.68"/>
    <n v="99.18"/>
    <n v="1.71"/>
    <m/>
    <n v="1.71"/>
    <m/>
    <n v="83.79"/>
    <m/>
    <m/>
    <n v="0"/>
    <m/>
    <m/>
    <n v="0"/>
    <m/>
    <n v="99.18"/>
    <n v="99.18"/>
    <n v="0"/>
    <s v="ACTIVA"/>
    <d v="2023-01-31T00:00:00"/>
    <m/>
    <m/>
    <s v="MOTOR TPL"/>
    <m/>
    <m/>
    <s v="En attente POP Com"/>
  </r>
  <r>
    <x v="2"/>
    <s v="Yes"/>
    <d v="2022-11-04T00:00:00"/>
    <d v="2022-10-18T00:00:00"/>
    <d v="2022-10-17T00:00:00"/>
    <d v="2023-10-16T00:00:00"/>
    <s v="000-760/AIB RDC/2022"/>
    <n v="0"/>
    <s v="SOUSCRIPTION"/>
    <s v="12002-33002-0022-111-00017289-2022"/>
    <s v="DEZIWA / Bolloré"/>
    <m/>
    <s v="SYNTYCHE"/>
    <s v="Victor"/>
    <s v="MARINE CARGO / GIT"/>
    <s v="MARINE"/>
    <x v="6"/>
    <s v="SFA"/>
    <n v="350992.86"/>
    <n v="977.4"/>
    <n v="0"/>
    <n v="0"/>
    <n v="12.24"/>
    <n v="816.06"/>
    <n v="132.53"/>
    <n v="2.7846720300806118E-3"/>
    <n v="0.15"/>
    <n v="122.40899999999999"/>
    <n v="0"/>
    <n v="0"/>
    <n v="122.40899999999999"/>
    <n v="19.585439999999998"/>
    <n v="141.99444"/>
    <n v="2.4481799999999998"/>
    <m/>
    <n v="2.4481799999999998"/>
    <m/>
    <n v="119.96082"/>
    <s v="BOLLORE"/>
    <n v="0.4"/>
    <n v="47.984328000000005"/>
    <n v="47.984328000000005"/>
    <d v="2023-10-30T00:00:00"/>
    <n v="0"/>
    <m/>
    <n v="141.99444"/>
    <n v="141.99444"/>
    <n v="0"/>
    <s v="SFA"/>
    <d v="2023-01-23T00:00:00"/>
    <m/>
    <s v="ONCE OFF"/>
    <s v="MARINE CARGO / GIT"/>
    <m/>
    <m/>
    <m/>
  </r>
  <r>
    <x v="5"/>
    <s v="Yes"/>
    <d v="2022-12-21T00:00:00"/>
    <d v="2023-02-23T00:00:00"/>
    <d v="2022-11-30T00:00:00"/>
    <d v="2023-12-01T00:00:00"/>
    <s v="000-761/AIB RDC/2022"/>
    <n v="0"/>
    <s v="SOUSCRIPTION"/>
    <s v="00018201"/>
    <s v="Glencore / Kamoto Copper Company SA"/>
    <s v="Mining"/>
    <s v="ANDY"/>
    <s v="Andy"/>
    <s v="FIRE"/>
    <s v="PROPERTIES"/>
    <x v="6"/>
    <s v="HARBOUR INSURANCE PTE Ltd"/>
    <n v="0"/>
    <n v="4043315.74"/>
    <n v="391517.72"/>
    <n v="-182708.27"/>
    <n v="0"/>
    <n v="3035021.05"/>
    <n v="548246.19999999995"/>
    <e v="#DIV/0!"/>
    <n v="0"/>
    <n v="0"/>
    <n v="62642.834999999992"/>
    <n v="41428.037332499996"/>
    <n v="104070.87233249999"/>
    <n v="16651.339573199999"/>
    <n v="120722.21190569998"/>
    <n v="2081.4174466499999"/>
    <n v="0"/>
    <n v="2081.4174466499999"/>
    <m/>
    <n v="101989.45488584999"/>
    <m/>
    <m/>
    <n v="0"/>
    <m/>
    <m/>
    <n v="0"/>
    <m/>
    <n v="120722.21190569998"/>
    <n v="120722.21190569998"/>
    <n v="0"/>
    <s v="SFA"/>
    <d v="2023-03-20T00:00:00"/>
    <m/>
    <m/>
    <s v="FIRE"/>
    <m/>
    <m/>
    <m/>
  </r>
  <r>
    <x v="2"/>
    <s v="Yes"/>
    <d v="2022-11-04T00:00:00"/>
    <d v="2022-10-21T00:00:00"/>
    <d v="2022-10-19T00:00:00"/>
    <d v="2023-10-18T00:00:00"/>
    <s v="000-762/AIB RDC/2022"/>
    <n v="0"/>
    <s v="SOUSCRIPTION"/>
    <s v="12002-33002-0022-111-00017314-2022"/>
    <s v="DEZIWA / Bolloré"/>
    <m/>
    <s v="SYNTYCHE"/>
    <s v="Victor"/>
    <s v="MARINE CARGO / GIT"/>
    <s v="MARINE"/>
    <x v="6"/>
    <s v="SFA"/>
    <n v="67626.66"/>
    <n v="188.31"/>
    <n v="0"/>
    <n v="0"/>
    <n v="2.36"/>
    <n v="157.22999999999999"/>
    <n v="25.53"/>
    <n v="2.7845527192973895E-3"/>
    <n v="0.15"/>
    <n v="23.584499999999998"/>
    <n v="0"/>
    <n v="0"/>
    <n v="23.584499999999998"/>
    <n v="3.77352"/>
    <n v="27.35802"/>
    <n v="0.47169"/>
    <m/>
    <n v="0.47169"/>
    <m/>
    <n v="23.11281"/>
    <s v="BOLLORE"/>
    <n v="0.4"/>
    <n v="9.2451240000000006"/>
    <n v="9.25"/>
    <m/>
    <n v="-4.8759999999994363E-3"/>
    <m/>
    <n v="27.35802"/>
    <n v="27.35802"/>
    <n v="0"/>
    <s v="SFA"/>
    <d v="2023-01-23T00:00:00"/>
    <m/>
    <s v="ONCE OFF"/>
    <s v="MARINE CARGO / GIT"/>
    <m/>
    <m/>
    <m/>
  </r>
  <r>
    <x v="5"/>
    <s v="Yes"/>
    <d v="2022-12-09T00:00:00"/>
    <d v="2023-01-15T00:00:00"/>
    <d v="2022-11-30T00:00:00"/>
    <d v="2023-12-01T00:00:00"/>
    <s v="000-763/AIB RDC/2022"/>
    <n v="0"/>
    <s v="SOUSCRIPTION"/>
    <n v="45000016"/>
    <s v="Glencore / Kamoto Copper Company SA"/>
    <s v="Mining"/>
    <s v="ANDY"/>
    <s v="Andy"/>
    <s v="PROPERTY DAMAGE &amp; BI"/>
    <s v="PROPERTIES"/>
    <x v="4"/>
    <s v="HARBOUR INSURANCE PTE Ltd"/>
    <n v="0"/>
    <n v="2180394.83"/>
    <n v="241016.38"/>
    <n v="-112474.31"/>
    <n v="0"/>
    <n v="1606775.85"/>
    <n v="295646.76"/>
    <e v="#DIV/0!"/>
    <n v="0"/>
    <n v="0"/>
    <n v="38562.620999999999"/>
    <n v="0"/>
    <n v="38562.620999999999"/>
    <n v="6170.0193600000002"/>
    <n v="44732.640359999998"/>
    <n v="771.25242000000003"/>
    <n v="0"/>
    <n v="771.25242000000003"/>
    <m/>
    <n v="37791.368580000002"/>
    <m/>
    <m/>
    <n v="0"/>
    <m/>
    <m/>
    <n v="0"/>
    <m/>
    <n v="44732.640359999998"/>
    <n v="44732.640359999998"/>
    <n v="0"/>
    <s v="RAWSUR"/>
    <d v="2023-06-27T00:00:00"/>
    <m/>
    <m/>
    <s v="PROPERTY DAMAGE &amp; BI"/>
    <m/>
    <m/>
    <s v="Commision à collecter dans le bordereau de Mai"/>
  </r>
  <r>
    <x v="5"/>
    <s v="Yes"/>
    <d v="2022-12-09T00:00:00"/>
    <d v="2023-01-15T00:00:00"/>
    <d v="2022-11-30T00:00:00"/>
    <d v="2023-12-01T00:00:00"/>
    <s v="000-764/AIB RDC/2022"/>
    <n v="0"/>
    <s v="SOUSCRIPTION"/>
    <n v="45000016"/>
    <s v="Glencore / Mutanda Mining"/>
    <s v="Mining"/>
    <s v="ANDY"/>
    <s v="Andy"/>
    <s v="PROPERTY DAMAGE &amp; BI"/>
    <s v="PROPERTIES"/>
    <x v="4"/>
    <s v="HARBOUR INSURANCE PTE Ltd"/>
    <n v="0"/>
    <n v="1128723.02"/>
    <n v="124766.73"/>
    <n v="-58224.47"/>
    <n v="0"/>
    <n v="831778.2"/>
    <n v="153047.19"/>
    <e v="#DIV/0!"/>
    <n v="0"/>
    <n v="0"/>
    <n v="19962.677999999996"/>
    <n v="0"/>
    <n v="19962.677999999996"/>
    <n v="3194.0284799999995"/>
    <n v="23156.706479999997"/>
    <n v="399.25355999999994"/>
    <n v="0"/>
    <n v="399.25355999999994"/>
    <m/>
    <n v="19563.424439999995"/>
    <m/>
    <m/>
    <n v="0"/>
    <m/>
    <m/>
    <n v="0"/>
    <m/>
    <n v="23156.706479999997"/>
    <n v="23156.706479999997"/>
    <n v="0"/>
    <s v="RAWSUR"/>
    <d v="2023-06-27T00:00:00"/>
    <m/>
    <m/>
    <s v="PROPERTY DAMAGE &amp; BI"/>
    <m/>
    <m/>
    <s v="Commision à collecter dans le bordereau de Mai"/>
  </r>
  <r>
    <x v="5"/>
    <s v="Yes"/>
    <d v="2022-12-21T00:00:00"/>
    <d v="2023-02-23T00:00:00"/>
    <d v="2022-11-30T00:00:00"/>
    <d v="2023-12-01T00:00:00"/>
    <s v="000-765/AIB RDC/2022"/>
    <n v="0"/>
    <s v="SOUSCRIPTION"/>
    <s v="00018202"/>
    <s v="Glencore / Mutanda Mining"/>
    <s v="Mining"/>
    <s v="ANDY"/>
    <s v="Andy"/>
    <s v="PROPERTY DAMAGE &amp; BI"/>
    <s v="PROPERTIES"/>
    <x v="6"/>
    <s v="HARBOUR INSURANCE PTE Ltd"/>
    <n v="0"/>
    <n v="2093099.6"/>
    <n v="202676.62"/>
    <n v="-94582.42"/>
    <n v="0"/>
    <n v="1571136.6"/>
    <n v="283810.12"/>
    <e v="#DIV/0!"/>
    <n v="0"/>
    <n v="0"/>
    <n v="32428.26"/>
    <n v="21446.014590000002"/>
    <n v="53874.274590000001"/>
    <n v="8619.8839344000007"/>
    <n v="62494.158524400002"/>
    <n v="1077.4854918000001"/>
    <n v="0"/>
    <n v="1077.4854918000001"/>
    <m/>
    <n v="52796.789098200003"/>
    <m/>
    <m/>
    <n v="0"/>
    <m/>
    <m/>
    <n v="0"/>
    <m/>
    <n v="62494.158524400002"/>
    <n v="62494.158524400002"/>
    <n v="0"/>
    <s v="SFA"/>
    <d v="2023-03-20T00:00:00"/>
    <m/>
    <m/>
    <s v="PROPERTY DAMAGE &amp; BI"/>
    <m/>
    <m/>
    <m/>
  </r>
  <r>
    <x v="6"/>
    <s v="Yes"/>
    <d v="2023-01-02T00:00:00"/>
    <d v="2023-03-11T00:00:00"/>
    <d v="2022-12-13T00:00:00"/>
    <d v="2023-12-12T00:00:00"/>
    <s v="000-766/AIB RDC/2022"/>
    <n v="0"/>
    <s v="SOUSCRIPTION"/>
    <s v="12002-33002-0021-111-00018686-2023"/>
    <s v="DEZIWA / Bolloré"/>
    <m/>
    <s v="SYNTYCHE"/>
    <s v="Victor"/>
    <s v="MARINE CARGO / GIT"/>
    <s v="MARINE"/>
    <x v="6"/>
    <s v="SFA"/>
    <n v="524853.67000000004"/>
    <n v="980.64"/>
    <n v="0"/>
    <n v="0"/>
    <n v="12.28"/>
    <n v="818.77"/>
    <n v="132.97"/>
    <n v="1.8684064836585784E-3"/>
    <n v="0.15"/>
    <n v="122.81549999999999"/>
    <n v="0"/>
    <n v="0"/>
    <n v="122.81549999999999"/>
    <n v="19.650479999999998"/>
    <n v="142.46597999999997"/>
    <n v="2.4563099999999998"/>
    <m/>
    <n v="2.4563099999999998"/>
    <m/>
    <n v="120.35918999999998"/>
    <s v="BOLLORE"/>
    <n v="0.4"/>
    <n v="48.143675999999999"/>
    <n v="48.143675999999999"/>
    <d v="2023-10-30T00:00:00"/>
    <n v="0"/>
    <m/>
    <n v="142.46597999999997"/>
    <n v="142.46597999999997"/>
    <n v="0"/>
    <s v="SFA"/>
    <d v="2023-05-24T00:00:00"/>
    <m/>
    <s v="ONCE OFF"/>
    <s v="MARINE CARGO / GIT"/>
    <m/>
    <m/>
    <s v="Prime en cours de paiement par Bolloré"/>
  </r>
  <r>
    <x v="5"/>
    <s v="Yes"/>
    <d v="2022-12-09T00:00:00"/>
    <d v="2023-01-15T00:00:00"/>
    <d v="2022-11-30T00:00:00"/>
    <d v="2023-12-01T00:00:00"/>
    <s v="000-767/AIB RDC/2022"/>
    <n v="0"/>
    <s v="SOUSCRIPTION"/>
    <n v="45000016"/>
    <s v="Glencore / Kamoto Copper Company SA"/>
    <s v="Mining"/>
    <s v="ANDY"/>
    <s v="Andy"/>
    <s v="PROPERTY DAMAGE &amp; BI"/>
    <s v="PROPERTIES"/>
    <x v="4"/>
    <s v="HARBOUR INSURANCE PTE Ltd"/>
    <n v="0"/>
    <n v="3391725.29"/>
    <n v="374914.37"/>
    <n v="-174960.04"/>
    <n v="0"/>
    <n v="2499429.1"/>
    <n v="459984.95"/>
    <e v="#DIV/0!"/>
    <n v="0"/>
    <n v="0"/>
    <n v="59986.298999999992"/>
    <n v="0"/>
    <n v="59986.298999999992"/>
    <n v="9597.8078399999995"/>
    <n v="69584.106839999993"/>
    <n v="1199.7259799999999"/>
    <n v="0"/>
    <n v="1199.7259799999999"/>
    <m/>
    <n v="58786.573019999989"/>
    <m/>
    <m/>
    <n v="0"/>
    <m/>
    <m/>
    <n v="0"/>
    <m/>
    <n v="69584.106839999993"/>
    <n v="69584.106839999993"/>
    <n v="0"/>
    <s v="RAWSUR"/>
    <d v="2023-06-27T00:00:00"/>
    <m/>
    <m/>
    <s v="PROPERTY DAMAGE &amp; BI"/>
    <m/>
    <m/>
    <s v="Commision à collecter dans le bordereau de Mai"/>
  </r>
  <r>
    <x v="5"/>
    <s v="Yes"/>
    <d v="2022-12-09T00:00:00"/>
    <d v="2023-01-15T00:00:00"/>
    <d v="2022-11-30T00:00:00"/>
    <d v="2023-12-01T00:00:00"/>
    <s v="000-768/AIB RDC/2022"/>
    <n v="0"/>
    <s v="SOUSCRIPTION"/>
    <n v="45000016"/>
    <s v="Glencore / Mutanda Mining"/>
    <s v="Mining"/>
    <s v="ANDY"/>
    <s v="Andy"/>
    <s v="PROPERTY DAMAGE &amp; BI"/>
    <s v="PROPERTIES"/>
    <x v="4"/>
    <s v="HARBOUR INSURANCE PTE Ltd"/>
    <n v="0"/>
    <n v="1755791.3600000001"/>
    <n v="194081.58"/>
    <n v="-90571.4"/>
    <n v="0"/>
    <n v="1293877.2"/>
    <n v="238073.4"/>
    <e v="#DIV/0!"/>
    <n v="0"/>
    <n v="0"/>
    <n v="31053.053999999996"/>
    <n v="0"/>
    <n v="31053.053999999996"/>
    <n v="4968.4886399999996"/>
    <n v="36021.54264"/>
    <n v="621.06107999999995"/>
    <n v="0"/>
    <n v="621.06107999999995"/>
    <m/>
    <n v="30431.992919999997"/>
    <m/>
    <m/>
    <n v="0"/>
    <m/>
    <m/>
    <n v="0"/>
    <m/>
    <n v="36021.54264"/>
    <n v="36021.54264"/>
    <n v="0"/>
    <s v="RAWSUR"/>
    <d v="2023-06-27T00:00:00"/>
    <m/>
    <m/>
    <s v="PROPERTY DAMAGE &amp; BI"/>
    <m/>
    <m/>
    <s v="Commision à collecter dans le bordereau de Mai"/>
  </r>
  <r>
    <x v="2"/>
    <s v="Yes"/>
    <d v="2023-01-09T00:00:00"/>
    <d v="2022-12-01T00:00:00"/>
    <d v="2022-10-01T00:00:00"/>
    <d v="2023-09-30T00:00:00"/>
    <s v="000-769/AIB RDC/2022"/>
    <n v="0"/>
    <s v="SOUSCRIPTION"/>
    <n v="45000015"/>
    <s v="Liberty SPRL"/>
    <m/>
    <s v="ANDY"/>
    <s v="Andy"/>
    <s v="FIRE"/>
    <s v="PROPERTIES"/>
    <x v="4"/>
    <s v="RAWSUR"/>
    <n v="0"/>
    <n v="56065.89"/>
    <n v="0"/>
    <n v="0"/>
    <n v="50"/>
    <n v="47463.47"/>
    <n v="7602.15"/>
    <e v="#DIV/0!"/>
    <n v="6.7500332360866153E-2"/>
    <n v="3203.7999999999997"/>
    <n v="0"/>
    <n v="0"/>
    <n v="3203.7999999999997"/>
    <n v="512.60799999999995"/>
    <n v="3716.4079999999994"/>
    <n v="64.075999999999993"/>
    <m/>
    <n v="64.075999999999993"/>
    <m/>
    <n v="3139.7239999999997"/>
    <s v="Aucun"/>
    <m/>
    <n v="0"/>
    <m/>
    <m/>
    <n v="0"/>
    <m/>
    <n v="3716.4079999999994"/>
    <n v="3716.4079999999994"/>
    <n v="0"/>
    <s v="RAWSUR"/>
    <d v="2023-01-20T00:00:00"/>
    <m/>
    <m/>
    <s v="FIRE"/>
    <m/>
    <m/>
    <m/>
  </r>
  <r>
    <x v="2"/>
    <s v="Yes"/>
    <d v="2022-11-04T00:00:00"/>
    <d v="2022-10-18T00:00:00"/>
    <d v="2022-10-18T00:00:00"/>
    <d v="2023-10-17T00:00:00"/>
    <s v="000-770/AIB RDC/2022"/>
    <n v="0"/>
    <s v="SOUSCRIPTION"/>
    <s v="12002-33002-0022-111-00017282-2022"/>
    <s v="DEZIWA / Bolloré"/>
    <m/>
    <s v="SYNTYCHE"/>
    <s v="Victor"/>
    <s v="MARINE CARGO / GIT"/>
    <s v="MARINE"/>
    <x v="6"/>
    <s v="SFA"/>
    <n v="49962.32"/>
    <n v="160.66999999999999"/>
    <n v="0"/>
    <n v="0"/>
    <n v="20"/>
    <n v="116.16"/>
    <n v="21.79"/>
    <n v="3.2158234445478109E-3"/>
    <n v="0.15"/>
    <n v="17.423999999999999"/>
    <n v="0"/>
    <n v="0"/>
    <n v="17.423999999999999"/>
    <n v="2.7878400000000001"/>
    <n v="20.211839999999999"/>
    <n v="0.34848000000000001"/>
    <m/>
    <n v="0.34848000000000001"/>
    <m/>
    <n v="17.075520000000001"/>
    <s v="BOLLORE"/>
    <n v="0.4"/>
    <n v="6.8302080000000007"/>
    <n v="6.8302080000000007"/>
    <d v="2023-10-30T00:00:00"/>
    <n v="0"/>
    <m/>
    <n v="20.211839999999999"/>
    <n v="20.211839999999999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8T00:00:00"/>
    <d v="2023-10-17T00:00:00"/>
    <s v="000-771/AIB RDC/2022"/>
    <n v="0"/>
    <s v="SOUSCRIPTION"/>
    <s v="12002-33002-0022-111-00017283-2022"/>
    <s v="DEZIWA / Bolloré"/>
    <m/>
    <s v="SYNTYCHE"/>
    <s v="Victor"/>
    <s v="MARINE CARGO / GIT"/>
    <s v="MARINE"/>
    <x v="6"/>
    <s v="SFA"/>
    <n v="55988.49"/>
    <n v="155.75"/>
    <n v="0"/>
    <n v="0"/>
    <n v="20"/>
    <n v="111.99"/>
    <n v="21.12"/>
    <n v="2.7818217637232225E-3"/>
    <n v="0.15"/>
    <n v="16.798499999999997"/>
    <n v="0"/>
    <n v="0"/>
    <n v="16.798499999999997"/>
    <n v="2.6877599999999995"/>
    <n v="19.486259999999998"/>
    <n v="0.33596999999999994"/>
    <m/>
    <n v="0.33596999999999994"/>
    <m/>
    <n v="16.462529999999997"/>
    <s v="BOLLORE"/>
    <n v="0.4"/>
    <n v="6.585011999999999"/>
    <n v="6.585011999999999"/>
    <d v="2023-10-30T00:00:00"/>
    <n v="0"/>
    <m/>
    <n v="19.486259999999998"/>
    <n v="19.486259999999998"/>
    <n v="0"/>
    <s v="SFA"/>
    <d v="2023-01-23T00:00:00"/>
    <m/>
    <s v="ONCE OFF"/>
    <s v="MARINE CARGO / GIT"/>
    <m/>
    <m/>
    <m/>
  </r>
  <r>
    <x v="1"/>
    <s v="Yes"/>
    <d v="2023-01-09T00:00:00"/>
    <d v="2022-12-17T00:00:00"/>
    <d v="2022-09-01T00:00:00"/>
    <d v="2022-12-31T00:00:00"/>
    <s v="000-772/AIB RDC/2022"/>
    <n v="1"/>
    <s v="PROROGATION"/>
    <n v="51000007"/>
    <s v="Teichmann Group / T3 Projects"/>
    <s v="MINING"/>
    <s v="ANDY"/>
    <s v="Andy"/>
    <s v="CAR"/>
    <s v="CONSTRUCTIONS"/>
    <x v="4"/>
    <s v="RAWSUR"/>
    <n v="0"/>
    <n v="4699.13"/>
    <n v="589.85"/>
    <n v="0"/>
    <n v="50"/>
    <n v="3342.46"/>
    <n v="637.16999999999996"/>
    <e v="#DIV/0!"/>
    <n v="0.17241379310344801"/>
    <n v="576.28620689655088"/>
    <n v="176.95500000000001"/>
    <n v="0"/>
    <n v="753.24120689655092"/>
    <n v="120.51859310344815"/>
    <n v="873.75979999999913"/>
    <n v="15.064824137931019"/>
    <n v="0"/>
    <n v="15.064824137931019"/>
    <m/>
    <n v="491.34"/>
    <s v="O'NEILS"/>
    <n v="0.5"/>
    <n v="245.67"/>
    <n v="245.67"/>
    <d v="2023-06-09T00:00:00"/>
    <n v="0"/>
    <s v="PT015/AIB RDC/2022"/>
    <n v="873.75979999999913"/>
    <n v="873.75979999999913"/>
    <n v="0"/>
    <s v="RAWSUR"/>
    <d v="2023-01-20T00:00:00"/>
    <m/>
    <m/>
    <s v="CAR"/>
    <m/>
    <m/>
    <m/>
  </r>
  <r>
    <x v="9"/>
    <s v="Yes"/>
    <d v="2023-01-09T00:00:00"/>
    <d v="2022-12-01T00:00:00"/>
    <d v="2022-08-08T00:00:00"/>
    <d v="2023-02-09T00:00:00"/>
    <s v="000-773/AIB RDC/2022"/>
    <n v="1"/>
    <s v="INCORPORATION"/>
    <s v="12003-33002-0012-108-00000017-2022 / 75600003"/>
    <s v="MALU AVIATION"/>
    <s v="Aviation"/>
    <s v="SYNTYCHE"/>
    <s v="Syntyche"/>
    <s v="AVIATION HULL ALL RISK"/>
    <s v="PROPERTIES"/>
    <x v="4"/>
    <s v="JWS"/>
    <n v="0"/>
    <n v="15000.63"/>
    <n v="0"/>
    <n v="0"/>
    <n v="25"/>
    <n v="12687.4"/>
    <n v="2033.98"/>
    <e v="#DIV/0!"/>
    <n v="0.14499976354493399"/>
    <n v="1839.6699999999955"/>
    <n v="0"/>
    <m/>
    <n v="1839.6699999999955"/>
    <n v="294.3471999999993"/>
    <n v="2134.0171999999948"/>
    <n v="36.793399999999913"/>
    <n v="0"/>
    <n v="36.793399999999913"/>
    <m/>
    <n v="1802.8765999999955"/>
    <m/>
    <m/>
    <n v="0"/>
    <m/>
    <m/>
    <n v="0"/>
    <m/>
    <n v="2134.0171999999948"/>
    <n v="2134.0171999999948"/>
    <n v="0"/>
    <s v="RAWSUR"/>
    <d v="2023-01-20T00:00:00"/>
    <m/>
    <s v="CANCELLED"/>
    <s v="AVIATION HULL ALL RISK"/>
    <m/>
    <m/>
    <m/>
  </r>
  <r>
    <x v="0"/>
    <s v="No"/>
    <m/>
    <m/>
    <d v="2022-01-31T00:00:00"/>
    <d v="2022-02-27T00:00:00"/>
    <s v="000-774/AIB RDC/2022"/>
    <n v="0"/>
    <s v="SOUSCRIPTION"/>
    <s v="301 - -36250"/>
    <s v="PANACO / Bolloré"/>
    <m/>
    <s v="SYNTYCHE"/>
    <s v="Victor"/>
    <s v="MARINE CARGO / GIT"/>
    <s v="MARINE"/>
    <x v="4"/>
    <s v="RAWSUR"/>
    <m/>
    <n v="147.5"/>
    <n v="0"/>
    <m/>
    <m/>
    <n v="100"/>
    <n v="20"/>
    <e v="#DIV/0!"/>
    <n v="0.15"/>
    <n v="15"/>
    <n v="0"/>
    <n v="0"/>
    <n v="15"/>
    <n v="2.4"/>
    <n v="17.399999999999999"/>
    <n v="0.3"/>
    <n v="0"/>
    <n v="0.3"/>
    <m/>
    <n v="14.7"/>
    <s v="BOLLORE"/>
    <n v="0.4"/>
    <n v="5.88"/>
    <m/>
    <m/>
    <n v="5.88"/>
    <m/>
    <m/>
    <n v="17.399999999999999"/>
    <n v="17.399999999999999"/>
    <s v="RAWSUR"/>
    <m/>
    <m/>
    <s v="ONCE OFF"/>
    <s v="MARINE CARGO / GIT"/>
    <m/>
    <m/>
    <s v="Prime en cours de paiement "/>
  </r>
  <r>
    <x v="6"/>
    <s v="No"/>
    <d v="2022-12-14T00:00:00"/>
    <d v="2022-12-14T00:00:00"/>
    <d v="2022-12-14T00:00:00"/>
    <d v="2023-12-13T00:00:00"/>
    <s v="000-775/AIB RDC/2022"/>
    <n v="1"/>
    <s v="RENOUVELLEMENT"/>
    <s v="12001-33002-0003-121-00004753-2022"/>
    <s v="BOLLORE TRANSPORT &amp; LOGISTICS RDC"/>
    <s v="Transporter"/>
    <s v="ANDY"/>
    <s v="Andy"/>
    <s v="FIRE/HOME"/>
    <s v="PROPERTIES"/>
    <x v="0"/>
    <s v="ACTIVA"/>
    <n v="1989232"/>
    <n v="3804.41"/>
    <n v="0"/>
    <n v="0"/>
    <n v="32.47"/>
    <n v="3247.19"/>
    <n v="524.75"/>
    <n v="1.9125019102849742E-3"/>
    <n v="0.2"/>
    <n v="649.4380000000001"/>
    <n v="0"/>
    <n v="0"/>
    <n v="649.4380000000001"/>
    <n v="103.91008000000002"/>
    <n v="753.3480800000001"/>
    <n v="12.988760000000003"/>
    <m/>
    <n v="12.988760000000003"/>
    <m/>
    <n v="636.44924000000015"/>
    <m/>
    <m/>
    <n v="0"/>
    <m/>
    <m/>
    <n v="0"/>
    <m/>
    <n v="753.3480800000001"/>
    <n v="753.3480800000001"/>
    <n v="0"/>
    <s v="ACTIVA"/>
    <d v="2023-08-14T00:00:00"/>
    <m/>
    <s v="RENEWED"/>
    <s v="FIRE/HOME"/>
    <m/>
    <m/>
    <s v="Commision à collecter dans le bordereau de Mai"/>
  </r>
  <r>
    <x v="6"/>
    <s v="Yes"/>
    <d v="2022-12-21T00:00:00"/>
    <d v="2022-12-27T00:00:00"/>
    <d v="2022-12-27T00:00:00"/>
    <d v="2023-12-26T00:00:00"/>
    <s v="000-776/AIB RDC/2022"/>
    <n v="0"/>
    <s v="SOUSCRIPTION"/>
    <s v="33002-0017-103-0004395 / 0002"/>
    <s v="ALLIED INSURANCE BROKERS ( AIB) RDC SA"/>
    <s v="INSURANCE"/>
    <s v="SYNTYCHE"/>
    <s v="Tychique"/>
    <s v="MOTOR TPL"/>
    <s v="MOTOR TPL"/>
    <x v="2"/>
    <s v="SUNU"/>
    <n v="0"/>
    <n v="531.74"/>
    <n v="0"/>
    <n v="0"/>
    <n v="10"/>
    <n v="448.4"/>
    <n v="73.34"/>
    <e v="#DIV/0!"/>
    <n v="0.1"/>
    <n v="44.84"/>
    <n v="0"/>
    <n v="0"/>
    <n v="44.84"/>
    <n v="7.1744000000000003"/>
    <n v="52.014400000000002"/>
    <n v="0.89680000000000004"/>
    <m/>
    <n v="0.89680000000000004"/>
    <m/>
    <n v="43.943200000000004"/>
    <m/>
    <m/>
    <n v="0"/>
    <m/>
    <m/>
    <n v="0"/>
    <m/>
    <n v="52.014400000000002"/>
    <n v="52.014400000000002"/>
    <n v="0"/>
    <s v="SUNU"/>
    <d v="2023-02-08T00:00:00"/>
    <m/>
    <m/>
    <s v="MOTOR TPL"/>
    <m/>
    <m/>
    <s v="En attente POP Com"/>
  </r>
  <r>
    <x v="0"/>
    <s v="No"/>
    <m/>
    <m/>
    <d v="2022-01-31T00:00:00"/>
    <d v="2022-02-27T00:00:00"/>
    <s v="000-777/AIB RDC/2022"/>
    <n v="0"/>
    <s v="SOUSCRIPTION"/>
    <n v="72000034"/>
    <s v="PANACO / Bolloré"/>
    <m/>
    <s v="SYNTYCHE"/>
    <s v="Victor"/>
    <s v="MARINE CARGO / GIT"/>
    <s v="MARINE"/>
    <x v="4"/>
    <s v="RAWSUR"/>
    <n v="21021.55"/>
    <n v="147.5"/>
    <n v="0"/>
    <m/>
    <n v="25"/>
    <n v="100"/>
    <n v="20"/>
    <n v="7.0166091463284112E-3"/>
    <n v="0.15"/>
    <n v="15"/>
    <n v="0"/>
    <n v="0"/>
    <n v="15"/>
    <n v="2.4"/>
    <n v="17.399999999999999"/>
    <n v="0.3"/>
    <n v="0"/>
    <n v="0.3"/>
    <m/>
    <n v="14.7"/>
    <s v="BOLLORE"/>
    <n v="0.4"/>
    <n v="5.88"/>
    <m/>
    <m/>
    <n v="5.88"/>
    <m/>
    <m/>
    <n v="17.399999999999999"/>
    <n v="17.399999999999999"/>
    <s v="RAWSUR"/>
    <m/>
    <m/>
    <s v="ONCE OFF"/>
    <s v="MARINE CARGO / GIT"/>
    <m/>
    <m/>
    <s v="Prime en cours de paiement "/>
  </r>
  <r>
    <x v="6"/>
    <s v="Yes"/>
    <d v="2022-12-12T00:00:00"/>
    <d v="2023-01-02T00:00:00"/>
    <d v="2022-12-31T00:00:00"/>
    <d v="2023-12-30T00:00:00"/>
    <s v="000-778/AIB RDC/2022"/>
    <n v="0"/>
    <s v="SOUSCRIPTION"/>
    <s v="12002-33002-0015-113-00018351-2023"/>
    <s v="STANDARD BANK"/>
    <s v="Bank"/>
    <s v="ANDY"/>
    <s v="Andy"/>
    <s v="D&amp;O"/>
    <s v="LIABILITIES"/>
    <x v="6"/>
    <s v="MARSH"/>
    <n v="0"/>
    <n v="4694.7"/>
    <n v="592.76"/>
    <n v="0"/>
    <n v="26.8"/>
    <n v="3359"/>
    <n v="636.57000000000005"/>
    <e v="#DIV/0!"/>
    <n v="0"/>
    <n v="0"/>
    <n v="177.828"/>
    <n v="0"/>
    <n v="177.828"/>
    <n v="28.452480000000001"/>
    <n v="206.28048000000001"/>
    <n v="3.5565600000000002"/>
    <n v="0"/>
    <n v="3.5565600000000002"/>
    <m/>
    <n v="174.27144000000001"/>
    <s v="MARSH"/>
    <n v="0"/>
    <n v="0"/>
    <m/>
    <m/>
    <n v="0"/>
    <m/>
    <n v="206.28048000000001"/>
    <n v="206.28048000000001"/>
    <n v="0"/>
    <s v="SFA"/>
    <d v="2023-06-23T00:00:00"/>
    <m/>
    <m/>
    <s v="D&amp;O"/>
    <m/>
    <m/>
    <s v="Commision à collecter dans le bordereau de Mai"/>
  </r>
  <r>
    <x v="6"/>
    <s v="Yes"/>
    <d v="2022-12-12T00:00:00"/>
    <d v="2023-01-02T00:00:00"/>
    <d v="2022-12-31T00:00:00"/>
    <d v="2023-12-30T00:00:00"/>
    <s v="000-779/AIB RDC/2022"/>
    <n v="0"/>
    <s v="SOUSCRIPTION"/>
    <s v="12002-33002-0023-113-00018349-2023"/>
    <s v="STANDARD BANK"/>
    <s v="Bank"/>
    <s v="ANDY"/>
    <s v="Andy"/>
    <s v="PI"/>
    <s v="LIABILITIES"/>
    <x v="6"/>
    <s v="MARSH"/>
    <n v="0"/>
    <n v="68221.259999999995"/>
    <n v="8634"/>
    <n v="0"/>
    <n v="254.63"/>
    <n v="48926"/>
    <n v="9250.34"/>
    <e v="#DIV/0!"/>
    <n v="0"/>
    <n v="0"/>
    <n v="2590.1999999999998"/>
    <n v="0"/>
    <n v="2590.1999999999998"/>
    <n v="414.43199999999996"/>
    <n v="3004.6319999999996"/>
    <n v="51.803999999999995"/>
    <n v="0"/>
    <n v="51.803999999999995"/>
    <m/>
    <n v="2538.3959999999997"/>
    <s v="MARSH"/>
    <n v="0"/>
    <n v="0"/>
    <m/>
    <m/>
    <n v="0"/>
    <m/>
    <n v="3004.6319999999996"/>
    <n v="3004.6319999999996"/>
    <n v="0"/>
    <s v="SFA"/>
    <d v="2023-06-23T00:00:00"/>
    <m/>
    <m/>
    <s v="PI"/>
    <m/>
    <m/>
    <s v="Commision à collecter dans le bordereau de Mai"/>
  </r>
  <r>
    <x v="6"/>
    <s v="Yes"/>
    <d v="2022-11-23T00:00:00"/>
    <d v="2022-12-28T00:00:00"/>
    <d v="2022-12-22T00:00:00"/>
    <d v="2023-12-21T00:00:00"/>
    <s v="000-780/AIB RDC/2022"/>
    <n v="1"/>
    <s v="RENOUVELLEMENT"/>
    <s v="12002-33002-0002-112-00017775-2022"/>
    <s v="Kat Metal"/>
    <s v="Metalurgie"/>
    <s v="ANDY"/>
    <s v="Andy"/>
    <s v="FIRE"/>
    <s v="PROPERTIES"/>
    <x v="6"/>
    <s v="SFA"/>
    <n v="600000"/>
    <n v="2146.48"/>
    <n v="0"/>
    <n v="0"/>
    <n v="20"/>
    <n v="1799.05"/>
    <n v="291.05"/>
    <n v="3.5774666666666668E-3"/>
    <n v="0.1"/>
    <n v="179.905"/>
    <n v="0"/>
    <n v="0"/>
    <n v="179.905"/>
    <n v="28.784800000000001"/>
    <n v="208.68979999999999"/>
    <n v="3.5981000000000001"/>
    <m/>
    <n v="3.5981000000000001"/>
    <m/>
    <n v="176.30690000000001"/>
    <m/>
    <m/>
    <n v="0"/>
    <m/>
    <m/>
    <n v="0"/>
    <m/>
    <n v="208.68979999999999"/>
    <n v="208.68979999999999"/>
    <n v="0"/>
    <s v="SFA"/>
    <d v="2023-01-23T00:00:00"/>
    <m/>
    <m/>
    <s v="FIRE"/>
    <m/>
    <m/>
    <m/>
  </r>
  <r>
    <x v="2"/>
    <s v="Yes"/>
    <d v="2022-11-04T00:00:00"/>
    <d v="2022-10-18T00:00:00"/>
    <d v="2022-10-17T00:00:00"/>
    <d v="2023-10-16T00:00:00"/>
    <s v="000-781/AIB RDC/2022"/>
    <n v="0"/>
    <s v="SOUSCRIPTION"/>
    <s v="12002-33002-0022-111-00017287-2022"/>
    <s v="DEZIWA / Bolloré"/>
    <m/>
    <s v="SYNTYCHE"/>
    <s v="Victor"/>
    <s v="MARINE CARGO / GIT"/>
    <s v="MARINE"/>
    <x v="6"/>
    <s v="SFA"/>
    <n v="117761.59"/>
    <n v="327.94"/>
    <n v="0"/>
    <n v="0"/>
    <n v="4.1100000000000003"/>
    <n v="273.8"/>
    <n v="44.47"/>
    <n v="2.7847789758952812E-3"/>
    <n v="0.15"/>
    <n v="41.07"/>
    <n v="0"/>
    <n v="0"/>
    <n v="41.07"/>
    <n v="6.5712000000000002"/>
    <n v="47.641199999999998"/>
    <n v="0.82140000000000002"/>
    <m/>
    <n v="0.82140000000000002"/>
    <m/>
    <n v="40.248600000000003"/>
    <s v="BOLLORE"/>
    <n v="0.4"/>
    <n v="16.099440000000001"/>
    <n v="16.099440000000001"/>
    <d v="2023-10-30T00:00:00"/>
    <n v="0"/>
    <m/>
    <n v="47.641199999999998"/>
    <n v="47.641199999999998"/>
    <n v="0"/>
    <s v="SFA"/>
    <d v="2023-01-23T00:00:00"/>
    <m/>
    <s v="ONCE OFF"/>
    <s v="MARINE CARGO / GIT"/>
    <m/>
    <m/>
    <m/>
  </r>
  <r>
    <x v="2"/>
    <s v="Yes"/>
    <d v="2022-11-04T00:00:00"/>
    <d v="2022-10-18T00:00:00"/>
    <d v="2022-10-17T00:00:00"/>
    <d v="2023-10-16T00:00:00"/>
    <s v="000-782/AIB RDC/2022"/>
    <n v="0"/>
    <s v="SOUSCRIPTION"/>
    <s v="12002-33002-0022-111-00017290-2022"/>
    <s v="DEZIWA / Bolloré"/>
    <m/>
    <s v="SYNTYCHE"/>
    <s v="Victor"/>
    <s v="MARINE CARGO / GIT"/>
    <s v="MARINE"/>
    <x v="6"/>
    <s v="SFA"/>
    <n v="159068.85"/>
    <n v="442.96"/>
    <n v="0"/>
    <n v="0"/>
    <n v="5.55"/>
    <n v="369.84"/>
    <n v="60.06"/>
    <n v="2.7847061193942116E-3"/>
    <n v="0.15"/>
    <n v="55.475999999999992"/>
    <n v="0"/>
    <n v="0"/>
    <n v="55.475999999999992"/>
    <n v="8.8761599999999987"/>
    <n v="64.352159999999998"/>
    <n v="1.1095199999999998"/>
    <m/>
    <n v="1.1095199999999998"/>
    <m/>
    <n v="54.366479999999996"/>
    <s v="BOLLORE"/>
    <n v="0.4"/>
    <n v="21.746592"/>
    <n v="21.746592"/>
    <d v="2023-10-30T00:00:00"/>
    <n v="0"/>
    <m/>
    <n v="64.352159999999998"/>
    <n v="64.352159999999998"/>
    <n v="0"/>
    <s v="SFA"/>
    <d v="2023-01-23T00:00:00"/>
    <m/>
    <s v="ONCE OFF"/>
    <s v="MARINE CARGO / GIT"/>
    <m/>
    <m/>
    <m/>
  </r>
  <r>
    <x v="6"/>
    <s v="Yes"/>
    <d v="2023-01-10T00:00:00"/>
    <d v="2022-12-22T00:00:00"/>
    <d v="2022-12-22T00:00:00"/>
    <d v="2023-09-06T00:00:00"/>
    <s v="000-783/AIB RDC/2022"/>
    <n v="2"/>
    <s v="INCORPORATION"/>
    <s v="12002-33002-0004-103-00016990-2022"/>
    <s v="Teichmann Group / Kongo River"/>
    <s v="MINING"/>
    <s v="ANDY"/>
    <s v="Michée"/>
    <s v="MOTOR TPL"/>
    <s v="MOTOR TPL"/>
    <x v="6"/>
    <s v="SFA"/>
    <n v="0"/>
    <n v="278.58999999999997"/>
    <n v="0"/>
    <n v="0"/>
    <n v="3.49"/>
    <n v="232.61"/>
    <n v="37.770000000000003"/>
    <e v="#DIV/0!"/>
    <n v="0.1"/>
    <n v="23.261000000000003"/>
    <m/>
    <m/>
    <n v="23.261000000000003"/>
    <n v="3.7217600000000006"/>
    <n v="26.982760000000003"/>
    <n v="0.46522000000000008"/>
    <m/>
    <n v="0.46522000000000008"/>
    <m/>
    <n v="22.795780000000004"/>
    <s v="O'NEILS"/>
    <n v="0.5"/>
    <n v="11.397890000000002"/>
    <n v="11.397890000000002"/>
    <d v="2023-06-09T00:00:00"/>
    <n v="0"/>
    <s v="PT015/AIB RDC/2022"/>
    <n v="26.982760000000003"/>
    <n v="26.982760000000003"/>
    <n v="0"/>
    <s v="SFA"/>
    <d v="2023-01-23T00:00:00"/>
    <m/>
    <m/>
    <s v="MOTOR TPL"/>
    <m/>
    <m/>
    <m/>
  </r>
  <r>
    <x v="0"/>
    <s v="No"/>
    <m/>
    <m/>
    <d v="2022-01-08T00:00:00"/>
    <d v="2023-01-07T00:00:00"/>
    <s v="000-784/AIB RDC/2022"/>
    <n v="4"/>
    <s v="RISTOURNE"/>
    <s v="12002-33002-0010-108-00016053-2022"/>
    <s v="Compagnie Africaine d'Aviation / CAA"/>
    <s v="Aviation"/>
    <s v="ANDY"/>
    <s v="Andy"/>
    <s v="AVIATION HULL ALL RISK"/>
    <s v="AVIATION"/>
    <x v="6"/>
    <s v="ARTHUR J. GALLAGHERS"/>
    <n v="0"/>
    <n v="-98294.99"/>
    <n v="-4943.09"/>
    <n v="0"/>
    <n v="100"/>
    <n v="-79893.98"/>
    <n v="-13557.93"/>
    <e v="#DIV/0!"/>
    <n v="0"/>
    <n v="0"/>
    <n v="0"/>
    <n v="0"/>
    <n v="0"/>
    <n v="0"/>
    <n v="0"/>
    <n v="0"/>
    <n v="0"/>
    <n v="0"/>
    <m/>
    <n v="0"/>
    <s v="Aucun"/>
    <m/>
    <n v="0"/>
    <m/>
    <m/>
    <n v="0"/>
    <m/>
    <m/>
    <n v="0"/>
    <n v="0"/>
    <s v="SFA"/>
    <m/>
    <m/>
    <s v="RENEWED"/>
    <s v="AVIATION HULL ALL RISK"/>
    <m/>
    <m/>
    <m/>
  </r>
  <r>
    <x v="5"/>
    <s v="Yes"/>
    <d v="2022-05-12T00:00:00"/>
    <d v="2022-11-01T00:00:00"/>
    <d v="2022-11-01T00:00:00"/>
    <d v="2023-01-31T00:00:00"/>
    <s v="000-785/AIB RDC/2022"/>
    <n v="0"/>
    <s v="SOUSCRIPTION"/>
    <n v="70100014"/>
    <s v="PANACO / Bolloré"/>
    <m/>
    <s v="SYNTYCHE"/>
    <s v="Victor"/>
    <s v="MARINE CARGO / GIT"/>
    <s v="MARINE"/>
    <x v="4"/>
    <s v="RAWSUR"/>
    <n v="255274"/>
    <n v="1066.08"/>
    <n v="0"/>
    <n v="0"/>
    <n v="10"/>
    <n v="893.46"/>
    <n v="144.55000000000001"/>
    <n v="4.1762184946371348E-3"/>
    <n v="0.15"/>
    <n v="134.01900000000001"/>
    <n v="0"/>
    <n v="0"/>
    <n v="134.01900000000001"/>
    <n v="21.44304"/>
    <n v="155.46204"/>
    <n v="2.68038"/>
    <m/>
    <n v="2.68038"/>
    <m/>
    <n v="131.33861999999999"/>
    <s v="BOLLORE"/>
    <n v="0.4"/>
    <n v="52.535448000000002"/>
    <m/>
    <m/>
    <n v="52.535448000000002"/>
    <m/>
    <n v="141.02000000000001"/>
    <n v="155.46204"/>
    <n v="14.442039999999992"/>
    <s v="RAWSUR"/>
    <d v="2023-03-09T00:00:00"/>
    <m/>
    <s v="ONCE OFF"/>
    <s v="MARINE CARGO / GIT"/>
    <m/>
    <m/>
    <s v="Prime en cours de paiement par Bolloré"/>
  </r>
  <r>
    <x v="2"/>
    <s v="Yes"/>
    <d v="2022-10-28T00:00:00"/>
    <d v="2022-10-28T00:00:00"/>
    <d v="2022-10-28T00:00:00"/>
    <d v="2022-10-31T00:00:00"/>
    <s v="000-786/AIB RDC/2022"/>
    <n v="0"/>
    <s v="SOUSCRIPTION"/>
    <s v="12002-33002-0022-111-00017397-2022"/>
    <s v="WUHUANG CONSTRUCTION ET COMMERCE RDC SAS ( WHCC) / Bolloré"/>
    <m/>
    <s v="SYNTYCHE"/>
    <s v="Victor"/>
    <s v="MARINE CARGO / GIT"/>
    <s v="MARINE"/>
    <x v="6"/>
    <s v="SFA"/>
    <n v="46525.8"/>
    <n v="77.86"/>
    <n v="0"/>
    <n v="0"/>
    <n v="0.98"/>
    <n v="65"/>
    <n v="10.56"/>
    <n v="1.6734800906163892E-3"/>
    <n v="0.15"/>
    <n v="9.75"/>
    <n v="0"/>
    <n v="0"/>
    <n v="9.75"/>
    <n v="1.56"/>
    <n v="11.31"/>
    <n v="0.19500000000000001"/>
    <m/>
    <n v="0.19500000000000001"/>
    <m/>
    <n v="9.5549999999999997"/>
    <s v="BOLLORE"/>
    <n v="0.4"/>
    <n v="3.8220000000000001"/>
    <n v="3.8220000000000001"/>
    <d v="2023-10-30T00:00:00"/>
    <n v="0"/>
    <m/>
    <n v="11.31"/>
    <n v="11.31"/>
    <n v="0"/>
    <s v="SFA"/>
    <d v="2023-02-27T00:00:00"/>
    <m/>
    <s v="ONCE OFF"/>
    <s v="MARINE CARGO / GIT"/>
    <m/>
    <m/>
    <m/>
  </r>
  <r>
    <x v="11"/>
    <s v="Yes"/>
    <d v="2023-04-20T00:00:00"/>
    <d v="2023-02-10T00:00:00"/>
    <d v="2022-07-06T00:00:00"/>
    <d v="2023-06-30T00:00:00"/>
    <s v="000-787/AIB RDC/2022"/>
    <n v="1"/>
    <s v="INCORPORATION"/>
    <s v="12001-33002-0009-103-00002535-2022"/>
    <s v="ELISABETH GLASER PEDIATRIC AIDS FOUNDATION ( EGPAF)"/>
    <m/>
    <s v="ANDY"/>
    <s v="Andy"/>
    <s v="MOTOR TPL"/>
    <s v="MOTOR TPL"/>
    <x v="0"/>
    <s v="ACTIVA"/>
    <n v="0"/>
    <m/>
    <n v="0"/>
    <n v="0"/>
    <n v="10"/>
    <n v="124.59"/>
    <n v="0"/>
    <e v="#DIV/0!"/>
    <n v="0.1"/>
    <n v="12.459000000000001"/>
    <n v="0"/>
    <n v="0"/>
    <n v="12.459000000000001"/>
    <n v="1.9934400000000003"/>
    <n v="14.452440000000001"/>
    <n v="0.24918000000000004"/>
    <n v="0"/>
    <n v="0.24918000000000004"/>
    <m/>
    <n v="12.209820000000001"/>
    <s v="OLEA"/>
    <n v="0.35"/>
    <n v="4.2734369999999995"/>
    <m/>
    <m/>
    <n v="4.2734369999999995"/>
    <m/>
    <n v="14.452440000000001"/>
    <n v="14.452440000000001"/>
    <n v="0"/>
    <s v="ACTIVA"/>
    <d v="2023-04-19T00:00:00"/>
    <m/>
    <m/>
    <s v="MOTOR TPL"/>
    <m/>
    <m/>
    <m/>
  </r>
  <r>
    <x v="4"/>
    <s v="Yes"/>
    <d v="2023-05-23T00:00:00"/>
    <d v="2022-02-08T00:00:00"/>
    <d v="2022-03-25T00:00:00"/>
    <d v="2023-01-07T00:00:00"/>
    <s v="000-788/AIB RDC/2022"/>
    <n v="2"/>
    <s v="RISTOURNE"/>
    <s v="12002-33002-0010-108-00016053-2022"/>
    <s v="Compagnie Africaine d'Aviation / CAA"/>
    <s v="Aviation"/>
    <s v="ANDY"/>
    <s v="Andy"/>
    <s v="AVIATION HULL ALL RISK"/>
    <s v="AVIATION"/>
    <x v="6"/>
    <s v="Arthur J. Gallagher"/>
    <n v="0"/>
    <n v="-98463.78"/>
    <n v="-4951.57"/>
    <n v="0"/>
    <n v="100"/>
    <n v="-80031"/>
    <n v="-13581.21"/>
    <e v="#DIV/0!"/>
    <n v="0"/>
    <n v="0"/>
    <n v="-1485.4709999999998"/>
    <n v="0"/>
    <n v="-1485.4709999999998"/>
    <n v="-237.67535999999996"/>
    <n v="-1723.1463599999997"/>
    <n v="-29.709419999999994"/>
    <n v="0"/>
    <n v="-29.709419999999994"/>
    <m/>
    <n v="-1455.7615799999999"/>
    <s v="Aucun"/>
    <m/>
    <n v="0"/>
    <m/>
    <m/>
    <n v="0"/>
    <m/>
    <n v="-1723.1463599999997"/>
    <n v="-1723.1463599999997"/>
    <n v="0"/>
    <s v="SFA"/>
    <d v="2023-05-30T00:00:00"/>
    <m/>
    <m/>
    <s v="AVIATION HULL ALL RISK"/>
    <m/>
    <m/>
    <m/>
  </r>
  <r>
    <x v="6"/>
    <s v="Yes"/>
    <d v="2023-05-23T00:00:00"/>
    <d v="2023-04-10T00:00:00"/>
    <d v="2022-12-30T00:00:00"/>
    <d v="2022-12-31T00:00:00"/>
    <s v="000-789/AIB RDC/2022"/>
    <n v="1"/>
    <s v="INCORPORATION"/>
    <s v="01-MCO-2022-000015"/>
    <s v="Group Optorg / Tractafric Equipment"/>
    <s v="Distribution"/>
    <s v="ANDY"/>
    <s v="Andy"/>
    <s v="MARINE CARGO / GIT"/>
    <s v="MARINE"/>
    <x v="6"/>
    <s v="SFA"/>
    <n v="0"/>
    <n v="27514.18"/>
    <n v="2712.23"/>
    <n v="0"/>
    <n v="112.46"/>
    <n v="20492.41"/>
    <n v="3730.74"/>
    <e v="#DIV/0!"/>
    <n v="0.15"/>
    <n v="3073.8615"/>
    <n v="0"/>
    <n v="0"/>
    <n v="3073.8615"/>
    <n v="491.81783999999999"/>
    <n v="3565.6793400000001"/>
    <n v="61.477229999999999"/>
    <n v="0"/>
    <n v="61.477229999999999"/>
    <m/>
    <n v="3012.38427"/>
    <s v="OLEA"/>
    <n v="0.35"/>
    <n v="1054.3344944999999"/>
    <m/>
    <m/>
    <n v="1054.3344944999999"/>
    <m/>
    <n v="3565.6793400000001"/>
    <n v="3565.6793400000001"/>
    <n v="0"/>
    <s v="SFA"/>
    <d v="2023-05-30T00:00:00"/>
    <m/>
    <m/>
    <s v="MARINE CARGO / GIT"/>
    <m/>
    <m/>
    <m/>
  </r>
  <r>
    <x v="1"/>
    <s v="Yes"/>
    <d v="2022-09-15T00:00:00"/>
    <d v="2022-09-28T00:00:00"/>
    <d v="2022-09-28T00:00:00"/>
    <d v="2023-09-27T00:00:00"/>
    <s v="000-790/AIB RDC/2022"/>
    <n v="0"/>
    <s v="SOUSCRIPTION"/>
    <s v="12002-33002-0022-111-00017145-2022"/>
    <s v="PANACO / Bolloré"/>
    <m/>
    <s v="SYNTYCHE"/>
    <s v="Victor"/>
    <s v="MARINE CARGO / GIT"/>
    <s v="MARINE"/>
    <x v="6"/>
    <s v="SFA"/>
    <n v="34868.639999999999"/>
    <n v="119.89"/>
    <n v="0"/>
    <n v="0"/>
    <n v="20"/>
    <n v="81.599999999999994"/>
    <n v="16.260000000000002"/>
    <n v="3.4383331268440639E-3"/>
    <n v="0.15"/>
    <n v="12.239999999999998"/>
    <n v="0"/>
    <n v="0"/>
    <n v="12.239999999999998"/>
    <n v="1.9583999999999997"/>
    <n v="14.198399999999998"/>
    <n v="0.24479999999999996"/>
    <m/>
    <n v="0.24479999999999996"/>
    <m/>
    <n v="11.995199999999999"/>
    <s v="BOLLORE"/>
    <n v="0.4"/>
    <n v="4.7980799999999997"/>
    <n v="4.7980799999999997"/>
    <d v="2023-10-30T00:00:00"/>
    <n v="0"/>
    <m/>
    <n v="14.198399999999998"/>
    <n v="14.198399999999998"/>
    <n v="0"/>
    <s v="SFA"/>
    <d v="2023-05-30T00:00:00"/>
    <m/>
    <s v="ONCE OFF"/>
    <s v="MARINE CARGO / GIT"/>
    <m/>
    <m/>
    <m/>
  </r>
  <r>
    <x v="2"/>
    <s v="Yes"/>
    <d v="2023-05-23T00:00:00"/>
    <d v="2022-11-28T00:00:00"/>
    <d v="2022-10-11T00:00:00"/>
    <d v="2023-10-10T00:00:00"/>
    <s v="000-791/AIB RDC/2022"/>
    <n v="0"/>
    <s v="SOUSCRIPTION"/>
    <s v="12002-33002-0022-111-00017584-2022"/>
    <s v="La CARRIERE DE LUALABA SAS"/>
    <m/>
    <s v="ALICE"/>
    <s v="Apphia"/>
    <s v="MARINE CARGO / GIT"/>
    <s v="MARINE"/>
    <x v="6"/>
    <s v="SFA"/>
    <n v="0"/>
    <n v="38665.08"/>
    <n v="0"/>
    <n v="0"/>
    <n v="163.02000000000001"/>
    <n v="32604"/>
    <n v="5242.72"/>
    <e v="#DIV/0!"/>
    <n v="0.15"/>
    <n v="4890.5999999999995"/>
    <n v="0"/>
    <n v="0"/>
    <n v="4890.5999999999995"/>
    <n v="782.49599999999998"/>
    <n v="5673.0959999999995"/>
    <n v="97.811999999999998"/>
    <m/>
    <n v="97.811999999999998"/>
    <m/>
    <n v="4792.7879999999996"/>
    <s v="Aucun"/>
    <m/>
    <n v="0"/>
    <m/>
    <m/>
    <n v="0"/>
    <m/>
    <n v="5673.0959999999995"/>
    <n v="5673.0959999999995"/>
    <n v="0"/>
    <s v="SFA"/>
    <d v="2023-05-30T00:00:00"/>
    <m/>
    <m/>
    <s v="MARINE CARGO / GIT"/>
    <m/>
    <m/>
    <m/>
  </r>
  <r>
    <x v="6"/>
    <s v="Yes"/>
    <d v="2023-05-23T00:00:00"/>
    <d v="2023-02-28T00:00:00"/>
    <d v="2022-12-31T00:00:00"/>
    <d v="2023-12-31T00:00:00"/>
    <s v="000-792/AIB RDC/2022"/>
    <n v="0"/>
    <s v="SOUSCRIPTION"/>
    <s v="12002-33002-0002-112-00018248-2023"/>
    <s v="Cilu Heidelberg"/>
    <m/>
    <s v="ANDY"/>
    <s v="Andy"/>
    <s v="PROPERTY DAMAGE &amp; BI"/>
    <s v="PROPERTIES"/>
    <x v="6"/>
    <s v="SFA"/>
    <n v="0"/>
    <n v="257800.85"/>
    <n v="28496.78"/>
    <n v="0"/>
    <n v="0"/>
    <n v="189978.51"/>
    <n v="34956.050000000003"/>
    <e v="#DIV/0!"/>
    <n v="0"/>
    <n v="0"/>
    <n v="8549.0339999999997"/>
    <n v="3167.04"/>
    <n v="11716.074000000001"/>
    <n v="1874.5718400000001"/>
    <n v="13590.645840000001"/>
    <n v="234.32148000000001"/>
    <n v="0"/>
    <n v="234.32148000000001"/>
    <m/>
    <n v="11481.75252"/>
    <s v="Aucun"/>
    <n v="0"/>
    <n v="0"/>
    <m/>
    <m/>
    <n v="0"/>
    <m/>
    <n v="13590.645840000001"/>
    <n v="13590.645840000001"/>
    <n v="0"/>
    <s v="CILU"/>
    <d v="2023-11-07T00:00:00"/>
    <m/>
    <m/>
    <s v="PROPERTY DAMAGE &amp; BI"/>
    <m/>
    <m/>
    <m/>
  </r>
  <r>
    <x v="6"/>
    <s v="No"/>
    <m/>
    <m/>
    <m/>
    <m/>
    <s v="000-793/AIB RDC/2022"/>
    <m/>
    <m/>
    <m/>
    <s v="HELIOS INFRACO DRC SARL"/>
    <m/>
    <m/>
    <m/>
    <m/>
    <m/>
    <x v="10"/>
    <m/>
    <m/>
    <m/>
    <m/>
    <m/>
    <m/>
    <m/>
    <m/>
    <e v="#DIV/0!"/>
    <m/>
    <n v="0"/>
    <n v="0"/>
    <n v="0"/>
    <n v="0"/>
    <n v="0"/>
    <n v="0"/>
    <n v="0"/>
    <m/>
    <n v="0"/>
    <m/>
    <n v="0"/>
    <s v="OLEA"/>
    <m/>
    <n v="0"/>
    <n v="39952.080000000002"/>
    <d v="2023-05-24T00:00:00"/>
    <m/>
    <m/>
    <m/>
    <n v="0"/>
    <n v="0"/>
    <n v="0"/>
    <m/>
    <m/>
    <m/>
    <d v="1899-12-30T00:00:00"/>
    <m/>
    <m/>
    <m/>
  </r>
  <r>
    <x v="6"/>
    <s v="No"/>
    <d v="2022-12-29T00:00:00"/>
    <s v="TBA"/>
    <s v="TBA"/>
    <s v="TBA"/>
    <s v="000-794/AIB RDC/2022"/>
    <n v="0"/>
    <s v="SOUSCRIPTION"/>
    <s v="PR005055"/>
    <s v="PANACO / Bolloré"/>
    <m/>
    <s v="SYNTYCHE"/>
    <s v="Victor"/>
    <s v="MARINE CARGO / GIT"/>
    <s v="MARINE"/>
    <x v="6"/>
    <s v="SFA"/>
    <n v="22300.48"/>
    <n v="65"/>
    <n v="0"/>
    <n v="0"/>
    <n v="0.81"/>
    <n v="54.28"/>
    <n v="8.81"/>
    <n v="2.9147354675773795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6"/>
    <s v="No"/>
    <d v="2022-12-16T00:00:00"/>
    <m/>
    <d v="2022-12-13T00:00:00"/>
    <d v="2022-12-31T00:00:00"/>
    <s v="000-795/AIB RDC/2023"/>
    <n v="2"/>
    <s v="INCORPORATION"/>
    <s v="11001-33002-0001-207-00000030-2022 / 301-219000007"/>
    <s v="MAERSK CONGO RDC SA"/>
    <m/>
    <s v="ALICE"/>
    <s v="Apphia"/>
    <s v="LIFE"/>
    <s v="LIFE"/>
    <x v="5"/>
    <s v="RAWSUR - LIFE"/>
    <m/>
    <n v="12.57"/>
    <m/>
    <m/>
    <n v="0"/>
    <n v="12.45"/>
    <n v="0"/>
    <e v="#DIV/0!"/>
    <n v="0.1"/>
    <n v="1.2450000000000001"/>
    <m/>
    <m/>
    <n v="1.2450000000000001"/>
    <n v="0.19920000000000002"/>
    <n v="1.4442000000000002"/>
    <n v="1.2450000000000001E-2"/>
    <m/>
    <n v="1.2450000000000001E-2"/>
    <m/>
    <n v="1.23255"/>
    <s v="MERCER"/>
    <n v="0.7"/>
    <n v="0.86278500000000002"/>
    <m/>
    <m/>
    <n v="0.86278500000000002"/>
    <m/>
    <n v="1.4442000000000002"/>
    <n v="1.4442000000000002"/>
    <n v="0"/>
    <s v="RAWSUR - LIFE"/>
    <d v="2023-07-17T00:00:00"/>
    <m/>
    <m/>
    <s v="LIFE"/>
    <m/>
    <m/>
    <s v="Commission à collecter dans le bordereau de Mai"/>
  </r>
  <r>
    <x v="6"/>
    <s v="No"/>
    <d v="2022-12-20T00:00:00"/>
    <m/>
    <d v="2022-12-01T00:00:00"/>
    <d v="2022-12-31T00:00:00"/>
    <s v="000-796/AIB RDC/2023"/>
    <n v="1"/>
    <s v="INCORPORATION"/>
    <s v="11001-33002-0001-207-00000030-2022 / 301-219000007"/>
    <s v="MAERSK CONGO RDC SA"/>
    <m/>
    <s v="ALICE"/>
    <s v="Apphia"/>
    <s v="LIFE"/>
    <s v="LIFE"/>
    <x v="5"/>
    <s v="RAWSUR - LIFE"/>
    <m/>
    <n v="10.039999999999999"/>
    <m/>
    <m/>
    <n v="0"/>
    <n v="9.94"/>
    <n v="0"/>
    <e v="#DIV/0!"/>
    <n v="0.1"/>
    <n v="0.99399999999999999"/>
    <m/>
    <m/>
    <n v="0.99399999999999999"/>
    <n v="0.15904000000000001"/>
    <n v="1.1530400000000001"/>
    <n v="9.9400000000000009E-3"/>
    <m/>
    <n v="9.9400000000000009E-3"/>
    <m/>
    <n v="0.98406000000000005"/>
    <s v="MERCER"/>
    <n v="0.7"/>
    <n v="0.68884199999999995"/>
    <m/>
    <m/>
    <n v="0.68884199999999995"/>
    <m/>
    <n v="1.1530400000000001"/>
    <n v="1.1530400000000001"/>
    <n v="0"/>
    <s v="RAWSUR - LIFE"/>
    <d v="2023-07-17T00:00:00"/>
    <m/>
    <m/>
    <s v="LIFE"/>
    <m/>
    <m/>
    <s v="Commission à collecter dans le bordereau de Mai"/>
  </r>
  <r>
    <x v="1"/>
    <s v="Yes"/>
    <d v="2023-06-16T00:00:00"/>
    <d v="2022-09-28T00:00:00"/>
    <d v="2022-09-28T00:00:00"/>
    <d v="2023-09-27T00:00:00"/>
    <s v="000-797/AIB RDC/2022"/>
    <n v="0"/>
    <s v="SOUSCRIPTION"/>
    <s v="00017144"/>
    <s v="PANACO / Bolloré"/>
    <m/>
    <s v="SYNTYCHE"/>
    <s v="Victor"/>
    <s v="MARINE CARGO / GIT"/>
    <s v="MARINE"/>
    <x v="6"/>
    <s v="SFA"/>
    <n v="247948.36"/>
    <n v="653.46"/>
    <n v="0"/>
    <n v="0"/>
    <n v="20"/>
    <n v="533.78"/>
    <n v="88.6"/>
    <n v="2.6354681273148975E-3"/>
    <n v="0.15"/>
    <n v="80.066999999999993"/>
    <n v="0"/>
    <n v="0"/>
    <n v="80.066999999999993"/>
    <n v="12.81072"/>
    <n v="92.877719999999997"/>
    <n v="1.60134"/>
    <m/>
    <n v="1.60134"/>
    <m/>
    <n v="78.46566"/>
    <s v="BOLLORE"/>
    <n v="0.4"/>
    <n v="31.386264000000001"/>
    <n v="31.386264000000001"/>
    <d v="2023-10-30T00:00:00"/>
    <n v="0"/>
    <m/>
    <n v="92.877719999999997"/>
    <n v="92.877719999999997"/>
    <n v="0"/>
    <s v="SFA"/>
    <d v="2023-06-23T00:00:00"/>
    <m/>
    <s v="ONCE OFF"/>
    <s v="MARINE CARGO / GIT"/>
    <m/>
    <m/>
    <m/>
  </r>
  <r>
    <x v="7"/>
    <s v="Yes"/>
    <d v="2023-06-16T00:00:00"/>
    <d v="2023-05-19T00:00:00"/>
    <d v="2022-05-01T00:00:00"/>
    <d v="2023-04-30T00:00:00"/>
    <s v="000-798/AIB RDC/2022"/>
    <n v="0"/>
    <s v="SOUSCRIPTION"/>
    <s v="00020272"/>
    <s v="CMA CGM"/>
    <m/>
    <s v="SYNTYCHE"/>
    <s v="Syntyche"/>
    <s v="MARINE CARGO / GIT"/>
    <s v="MARINE"/>
    <x v="6"/>
    <s v="SFA"/>
    <n v="0"/>
    <n v="2950"/>
    <n v="375"/>
    <n v="0"/>
    <n v="0"/>
    <n v="2125"/>
    <n v="400"/>
    <e v="#DIV/0!"/>
    <n v="0"/>
    <n v="0"/>
    <n v="112.5"/>
    <n v="0"/>
    <n v="112.5"/>
    <n v="18"/>
    <n v="130.5"/>
    <n v="2.25"/>
    <n v="0"/>
    <n v="2.25"/>
    <m/>
    <n v="110.25"/>
    <m/>
    <m/>
    <n v="0"/>
    <m/>
    <m/>
    <n v="0"/>
    <m/>
    <n v="130.5"/>
    <n v="130.5"/>
    <n v="0"/>
    <s v="SFA"/>
    <d v="2023-06-23T00:00:00"/>
    <m/>
    <m/>
    <s v="MARINE CARGO / GIT"/>
    <m/>
    <m/>
    <m/>
  </r>
  <r>
    <x v="10"/>
    <s v="Yes"/>
    <d v="2023-06-16T00:00:00"/>
    <d v="2023-05-05T00:00:00"/>
    <d v="2022-06-22T00:00:00"/>
    <d v="2023-02-28T00:00:00"/>
    <s v="000-799/AIB RDC/2022"/>
    <n v="1"/>
    <s v="INCORPORATION"/>
    <s v="00017416"/>
    <s v="Barrick Gold Corporation/Kibali Gold"/>
    <s v="MINING"/>
    <s v="ANDY"/>
    <s v="Andy"/>
    <s v="MARINE CARGO / GIT"/>
    <s v="MARINE"/>
    <x v="6"/>
    <s v="AIG"/>
    <n v="0"/>
    <n v="13953.15"/>
    <n v="1764.71"/>
    <n v="-764.71"/>
    <n v="60"/>
    <n v="10000"/>
    <n v="1891.95"/>
    <e v="#DIV/0!"/>
    <n v="0"/>
    <n v="0"/>
    <n v="300"/>
    <n v="0"/>
    <n v="300"/>
    <n v="48"/>
    <n v="348"/>
    <n v="6"/>
    <n v="0"/>
    <n v="6"/>
    <m/>
    <n v="294"/>
    <m/>
    <m/>
    <n v="0"/>
    <m/>
    <m/>
    <n v="0"/>
    <m/>
    <n v="348"/>
    <n v="348"/>
    <n v="0"/>
    <s v="SFA"/>
    <d v="2023-06-23T00:00:00"/>
    <m/>
    <m/>
    <m/>
    <m/>
    <m/>
    <m/>
  </r>
  <r>
    <x v="2"/>
    <s v="Yes"/>
    <d v="2023-06-26T00:00:00"/>
    <d v="2023-10-18T00:00:00"/>
    <d v="2022-10-11T00:00:00"/>
    <d v="2023-10-10T00:00:00"/>
    <s v="000-800/AIB RDC/2022"/>
    <n v="4"/>
    <s v="INCORPORATION"/>
    <s v="00017295"/>
    <s v="Confiance DRC Sarl"/>
    <m/>
    <s v="ANDY"/>
    <s v="Sabrina"/>
    <s v="MARINE CARGO / GIT"/>
    <s v="MARINE"/>
    <x v="6"/>
    <s v="SFA"/>
    <n v="0"/>
    <n v="91808.62"/>
    <n v="0"/>
    <n v="0"/>
    <n v="5595.17"/>
    <n v="53313.120000000003"/>
    <n v="9425.33"/>
    <e v="#DIV/0!"/>
    <n v="0.15"/>
    <n v="7996.9679999999998"/>
    <n v="0"/>
    <n v="0"/>
    <n v="7996.9679999999998"/>
    <n v="1279.5148799999999"/>
    <n v="9276.4828799999996"/>
    <n v="159.93935999999999"/>
    <m/>
    <n v="159.93935999999999"/>
    <m/>
    <n v="7837.0286399999995"/>
    <s v="Aucun"/>
    <m/>
    <n v="0"/>
    <m/>
    <m/>
    <n v="0"/>
    <m/>
    <n v="9276.4828799999996"/>
    <n v="9276.4828799999996"/>
    <n v="0"/>
    <s v="SFA"/>
    <d v="2023-11-07T00:00:00"/>
    <m/>
    <m/>
    <m/>
    <m/>
    <m/>
    <m/>
  </r>
  <r>
    <x v="3"/>
    <s v="No"/>
    <m/>
    <m/>
    <d v="2022-02-17T00:00:00"/>
    <d v="2022-02-19T00:00:00"/>
    <s v="000-801/AIB RDC/2022"/>
    <n v="0"/>
    <s v="SOUSCRIPTION"/>
    <s v="01-PRP-CRG-2022-000041"/>
    <s v="SACIM / Bolloré"/>
    <m/>
    <s v="SYNTYCHE"/>
    <s v="Victor"/>
    <s v="MARINE CARGO / GIT"/>
    <s v="MARINE"/>
    <x v="6"/>
    <s v="SFA"/>
    <n v="206790.85"/>
    <n v="737.34"/>
    <m/>
    <m/>
    <m/>
    <n v="604.86"/>
    <m/>
    <n v="3.5656316514971528E-3"/>
    <n v="0.15"/>
    <n v="90.728999999999999"/>
    <n v="0"/>
    <n v="0"/>
    <n v="90.728999999999999"/>
    <n v="14.516640000000001"/>
    <n v="105.24563999999999"/>
    <n v="1.8145800000000001"/>
    <n v="0"/>
    <n v="1.8145800000000001"/>
    <m/>
    <n v="88.914419999999993"/>
    <s v="BOLLORE"/>
    <n v="0.4"/>
    <n v="35.565767999999998"/>
    <m/>
    <m/>
    <n v="35.565767999999998"/>
    <m/>
    <m/>
    <n v="105.24563999999999"/>
    <n v="105.24563999999999"/>
    <s v="SFA"/>
    <m/>
    <m/>
    <s v="ONCE OFF"/>
    <s v="MARINE CARGO / GIT"/>
    <m/>
    <m/>
    <s v="Prime en cours de paiement "/>
  </r>
  <r>
    <x v="10"/>
    <s v="Yes"/>
    <d v="2022-06-27T00:00:00"/>
    <d v="2022-06-27T00:00:00"/>
    <d v="2022-06-18T00:00:00"/>
    <d v="2023-06-17T00:00:00"/>
    <s v="000-802/AIB RDC/2022"/>
    <n v="0"/>
    <s v="SOUSCRIPTION"/>
    <s v="12002-33002-0010-108-00016563-2022"/>
    <s v="TRANS AIR CARGO"/>
    <s v="Aviation"/>
    <s v="SYNTYCHE"/>
    <s v="Syntyche"/>
    <s v="AVIATION HULL ALL RISK"/>
    <s v="AVIATION"/>
    <x v="6"/>
    <s v="SFA"/>
    <n v="0"/>
    <n v="217900.04"/>
    <n v="17289.660000000003"/>
    <n v="-11891.08"/>
    <n v="200"/>
    <n v="165357.5"/>
    <n v="31158.12"/>
    <e v="#DIV/0!"/>
    <n v="9.0909090909090898E-2"/>
    <m/>
    <n v="5186.898000000001"/>
    <n v="25918.103448275862"/>
    <n v="31105.001448275863"/>
    <n v="4976.800231724138"/>
    <n v="36081.801680000004"/>
    <n v="622.10002896551725"/>
    <m/>
    <n v="622.10002896551725"/>
    <m/>
    <n v="30482.901419310347"/>
    <m/>
    <m/>
    <n v="0"/>
    <m/>
    <m/>
    <n v="0"/>
    <m/>
    <n v="30068.14"/>
    <n v="36081.801680000004"/>
    <n v="6013.6616800000047"/>
    <s v="SFA"/>
    <d v="2023-02-27T00:00:00"/>
    <m/>
    <s v="RENEWING..."/>
    <s v="AVIATION HULL ALL RISK"/>
    <m/>
    <m/>
    <s v="Paiement échelonné"/>
  </r>
  <r>
    <x v="10"/>
    <s v="No"/>
    <d v="2023-06-08T00:00:00"/>
    <d v="2022-06-27T00:00:00"/>
    <d v="2022-06-18T00:00:00"/>
    <d v="2023-06-17T00:00:00"/>
    <s v="000-803/AIB RDC/2022"/>
    <n v="1"/>
    <s v="RISTOURNE"/>
    <s v="12002-33002-0010-108-00016563-2022"/>
    <s v="TRANS AIR CARGO"/>
    <s v="Aviation"/>
    <s v="SYNTYCHE"/>
    <s v="Syntyche"/>
    <s v="AVIATION HULL ALL RISK"/>
    <s v="AVIATION"/>
    <x v="6"/>
    <s v="SFA"/>
    <n v="0"/>
    <n v="0"/>
    <n v="0"/>
    <n v="0"/>
    <n v="0"/>
    <n v="0"/>
    <n v="0"/>
    <e v="#DIV/0!"/>
    <n v="0"/>
    <n v="0"/>
    <n v="-864.48275862079004"/>
    <n v="-4319.68103448279"/>
    <n v="-5184.1637931035802"/>
    <n v="-829.46620689657288"/>
    <n v="-6013.6300000001529"/>
    <n v="-103.68327586207161"/>
    <m/>
    <n v="-103.68327586207161"/>
    <m/>
    <n v="-5080.480517241509"/>
    <m/>
    <m/>
    <n v="0"/>
    <m/>
    <m/>
    <n v="0"/>
    <m/>
    <m/>
    <n v="-6013.6300000001529"/>
    <n v="-6013.6300000001529"/>
    <s v="SFA"/>
    <m/>
    <m/>
    <s v="RENEWING..."/>
    <s v="AVIATION HULL ALL RISK"/>
    <m/>
    <m/>
    <m/>
  </r>
  <r>
    <x v="5"/>
    <s v="No"/>
    <d v="2022-05-12T00:00:00"/>
    <s v="TBA"/>
    <s v="TBA"/>
    <s v="TBA"/>
    <s v="000-804/AIB RDC/2022"/>
    <n v="0"/>
    <s v="SOUSCRIPTION"/>
    <s v="PR004151"/>
    <s v="T-THREE DRILLING / Bolloré"/>
    <m/>
    <s v="SYNTYCHE"/>
    <s v="Victor"/>
    <s v="MARINE CARGO / GIT"/>
    <s v="MARINE"/>
    <x v="6"/>
    <s v="SFA"/>
    <n v="175365.87"/>
    <n v="393.17"/>
    <n v="0"/>
    <n v="0"/>
    <n v="4.92"/>
    <n v="328.28"/>
    <n v="53.31"/>
    <n v="2.241998400258842E-3"/>
    <n v="0.15"/>
    <n v="49.241999999999997"/>
    <n v="0"/>
    <n v="0"/>
    <n v="49.241999999999997"/>
    <n v="7.8787199999999995"/>
    <n v="57.120719999999999"/>
    <n v="0.98483999999999994"/>
    <m/>
    <n v="0.98483999999999994"/>
    <m/>
    <n v="48.257159999999999"/>
    <s v="BOLLORE"/>
    <n v="0.4"/>
    <n v="19.302864"/>
    <m/>
    <m/>
    <n v="19.302864"/>
    <m/>
    <m/>
    <n v="57.120719999999999"/>
    <n v="57.120719999999999"/>
    <s v="SFA"/>
    <m/>
    <m/>
    <s v="ONCE OFF"/>
    <s v="MARINE CARGO / GIT"/>
    <m/>
    <m/>
    <s v="Prime en cours de paiement par Bolloré"/>
  </r>
  <r>
    <x v="11"/>
    <s v="No"/>
    <d v="2022-07-29T00:00:00"/>
    <d v="2022-07-15T00:00:00"/>
    <d v="2022-07-15T00:00:00"/>
    <d v="2022-08-14T00:00:00"/>
    <s v="000-805/AIB RDC/2022"/>
    <n v="0"/>
    <s v="SOUSCRIPTION"/>
    <s v="PR002686"/>
    <s v="T-THREE DRILLING / Bolloré"/>
    <m/>
    <s v="SYNTYCHE"/>
    <s v="Victor"/>
    <s v="MARINE CARGO / GIT"/>
    <s v="MARINE"/>
    <x v="6"/>
    <s v="SFA"/>
    <n v="73032.14"/>
    <n v="184.93"/>
    <n v="0"/>
    <n v="0"/>
    <n v="20"/>
    <n v="136.72"/>
    <n v="25.08"/>
    <n v="2.5321728214454625E-3"/>
    <n v="0.15"/>
    <n v="20.507999999999999"/>
    <m/>
    <m/>
    <n v="20.507999999999999"/>
    <n v="3.2812799999999998"/>
    <n v="23.789279999999998"/>
    <n v="0.41015999999999997"/>
    <m/>
    <n v="0.41015999999999997"/>
    <m/>
    <n v="20.097839999999998"/>
    <s v="BOLLORE"/>
    <n v="0.4"/>
    <n v="8.0391359999999992"/>
    <m/>
    <m/>
    <n v="8.0391359999999992"/>
    <m/>
    <m/>
    <n v="23.789279999999998"/>
    <n v="23.789279999999998"/>
    <s v="SFA"/>
    <m/>
    <m/>
    <s v="ONCE OFF"/>
    <s v="MARINE CARGO / GIT"/>
    <m/>
    <m/>
    <s v="Prime en cours de paiement "/>
  </r>
  <r>
    <x v="5"/>
    <s v="No"/>
    <d v="2022-05-12T00:00:00"/>
    <s v="TBA"/>
    <s v="TBA"/>
    <s v="TBA"/>
    <s v="000-806/AIB RDC/2022"/>
    <n v="0"/>
    <s v="SOUSCRIPTION"/>
    <s v="PR004717"/>
    <s v="UNITED TRILLION / Bolloré"/>
    <m/>
    <s v="SYNTYCHE"/>
    <s v="Victor"/>
    <s v="MARINE CARGO / GIT"/>
    <s v="MARINE"/>
    <x v="6"/>
    <s v="SFA"/>
    <n v="14224"/>
    <n v="65"/>
    <n v="0"/>
    <n v="0"/>
    <n v="0.81"/>
    <n v="54.28"/>
    <n v="8.81"/>
    <n v="4.5697412823397076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1"/>
    <s v="No"/>
    <d v="2022-09-30T00:00:00"/>
    <s v="TBA"/>
    <s v="TBA"/>
    <s v="TBA"/>
    <s v="000-807/AIB RDC/2022"/>
    <n v="0"/>
    <s v="SOUSCRIPTION"/>
    <s v="PR003273"/>
    <s v="WCC  DRC/ Bolloré"/>
    <m/>
    <s v="SYNTYCHE"/>
    <s v="Victor"/>
    <s v="MARINE CARGO / GIT"/>
    <s v="MARINE"/>
    <x v="6"/>
    <s v="SFA"/>
    <n v="4822.84"/>
    <n v="94.4"/>
    <n v="0"/>
    <n v="0"/>
    <n v="20"/>
    <n v="60"/>
    <n v="12.8"/>
    <n v="1.9573529289796054E-2"/>
    <n v="0.15"/>
    <n v="9"/>
    <n v="0"/>
    <n v="0"/>
    <n v="9"/>
    <n v="1.44"/>
    <n v="10.44"/>
    <n v="0.18"/>
    <m/>
    <n v="0.18"/>
    <m/>
    <n v="8.82"/>
    <s v="BOLLORE"/>
    <n v="0.4"/>
    <n v="3.5280000000000005"/>
    <m/>
    <m/>
    <n v="3.5280000000000005"/>
    <m/>
    <m/>
    <n v="10.44"/>
    <n v="10.44"/>
    <s v="SFA"/>
    <m/>
    <m/>
    <s v="ONCE OFF"/>
    <s v="MARINE CARGO / GIT"/>
    <m/>
    <m/>
    <s v="Prime en cours de paiement par Bolloré"/>
  </r>
  <r>
    <x v="9"/>
    <s v="No"/>
    <d v="2023-08-18T00:00:00"/>
    <d v="2022-08-01T00:00:00"/>
    <d v="2022-08-01T00:00:00"/>
    <d v="2023-07-31T00:00:00"/>
    <s v="000-808/AIB RDC/2022"/>
    <n v="1"/>
    <s v="INCORPORATION"/>
    <s v="301-12200004"/>
    <s v="Glencore / Mutanda Mining"/>
    <s v="Mining"/>
    <s v="ANDY"/>
    <s v="Andy"/>
    <s v="GPA"/>
    <s v="MEDICAL &amp; GPA"/>
    <x v="4"/>
    <s v="HARBOUR INSURANCE PTE Ltd"/>
    <n v="0"/>
    <n v="21873.119999999999"/>
    <n v="2780.48"/>
    <n v="-1297.56"/>
    <n v="0"/>
    <n v="15756.06"/>
    <n v="2965.85"/>
    <e v="#DIV/0!"/>
    <n v="0"/>
    <n v="0"/>
    <n v="444.87600000000003"/>
    <n v="0"/>
    <n v="444.87600000000003"/>
    <n v="71.180160000000001"/>
    <n v="516.05616000000009"/>
    <n v="8.8975200000000001"/>
    <m/>
    <n v="8.8975200000000001"/>
    <m/>
    <n v="435.97848000000005"/>
    <m/>
    <m/>
    <n v="0"/>
    <m/>
    <m/>
    <n v="0"/>
    <m/>
    <n v="516.05616000000009"/>
    <n v="516.05616000000009"/>
    <n v="0"/>
    <s v="RAWSUR"/>
    <d v="2023-10-20T00:00:00"/>
    <m/>
    <m/>
    <m/>
    <m/>
    <m/>
    <m/>
  </r>
  <r>
    <x v="6"/>
    <s v="No"/>
    <d v="2022-12-29T00:00:00"/>
    <s v="TBA"/>
    <s v="TBA"/>
    <s v="TBA"/>
    <s v="000-809/AIB RDC/2022"/>
    <n v="0"/>
    <s v="SOUSCRIPTION"/>
    <s v="PR005071"/>
    <s v="WCC  DRC/ Bolloré"/>
    <m/>
    <s v="SYNTYCHE"/>
    <s v="Victor"/>
    <s v="MARINE CARGO / GIT"/>
    <s v="MARINE"/>
    <x v="6"/>
    <s v="SFA"/>
    <n v="7053.04"/>
    <n v="65"/>
    <n v="0"/>
    <n v="0"/>
    <n v="0.81"/>
    <n v="54.28"/>
    <n v="8.81"/>
    <n v="9.2158842144663862E-3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9"/>
    <s v="Yes"/>
    <d v="2022-08-23T00:00:00"/>
    <d v="2022-08-29T00:00:00"/>
    <d v="2022-08-19T00:00:00"/>
    <d v="2023-08-18T00:00:00"/>
    <s v="000-810/AIB RDC/2022"/>
    <n v="0"/>
    <s v="SOUSCRIPTION"/>
    <s v="12001-33002-0005-113-00002774-2022"/>
    <s v="FBN BANK"/>
    <s v="Banking"/>
    <s v="ALICE"/>
    <s v="Alice"/>
    <s v="D&amp;O"/>
    <s v="LIABILITIES"/>
    <x v="0"/>
    <s v="MENA RE"/>
    <n v="5000000"/>
    <n v="40258.82"/>
    <n v="5117.6499999999996"/>
    <n v="0"/>
    <n v="682.35"/>
    <n v="34117.65"/>
    <n v="5458.82"/>
    <n v="8.0517639999999994E-3"/>
    <n v="0.126337833936394"/>
    <n v="4310.3500000000131"/>
    <n v="1535.2949999999998"/>
    <n v="1034.48"/>
    <n v="6880.1250000000127"/>
    <n v="1100.820000000002"/>
    <n v="7980.9450000000143"/>
    <n v="137.60250000000025"/>
    <m/>
    <n v="137.60250000000025"/>
    <m/>
    <n v="6742.5225000000128"/>
    <m/>
    <m/>
    <n v="0"/>
    <m/>
    <m/>
    <n v="0"/>
    <m/>
    <n v="7980.9450000000143"/>
    <n v="7980.9450000000143"/>
    <n v="0"/>
    <s v="ACTIVA"/>
    <d v="2022-09-27T00:00:00"/>
    <m/>
    <m/>
    <s v="D&amp;O"/>
    <m/>
    <m/>
    <m/>
  </r>
  <r>
    <x v="6"/>
    <s v="No"/>
    <d v="2022-12-29T00:00:00"/>
    <s v="TBA"/>
    <s v="TBA"/>
    <s v="TBA"/>
    <s v="000-811/AIB RDC/2022"/>
    <n v="0"/>
    <s v="SOUSCRIPTION"/>
    <s v="PR005069"/>
    <s v="WCC  DRC/ Bolloré"/>
    <m/>
    <s v="SYNTYCHE"/>
    <s v="Victor"/>
    <s v="MARINE CARGO / GIT"/>
    <s v="MARINE"/>
    <x v="6"/>
    <s v="SFA"/>
    <n v="134942.28"/>
    <n v="65"/>
    <n v="0"/>
    <n v="0"/>
    <n v="0.81"/>
    <n v="54.28"/>
    <n v="8.81"/>
    <n v="4.8168742961805599E-4"/>
    <n v="0.15"/>
    <n v="8.1419999999999995"/>
    <n v="0"/>
    <n v="0"/>
    <n v="8.1419999999999995"/>
    <n v="1.3027199999999999"/>
    <n v="9.4447200000000002"/>
    <n v="0.16283999999999998"/>
    <m/>
    <n v="0.16283999999999998"/>
    <m/>
    <n v="7.9791599999999994"/>
    <s v="BOLLORE"/>
    <n v="0.4"/>
    <n v="3.1916639999999998"/>
    <m/>
    <m/>
    <n v="3.1916639999999998"/>
    <m/>
    <m/>
    <n v="9.4447200000000002"/>
    <n v="9.4447200000000002"/>
    <s v="SFA"/>
    <m/>
    <m/>
    <s v="ONCE OFF"/>
    <s v="MARINE CARGO / GIT"/>
    <m/>
    <m/>
    <s v="Prime en cours de paiement par Bolloré"/>
  </r>
  <r>
    <x v="6"/>
    <s v="Yes"/>
    <d v="2023-09-08T00:00:00"/>
    <d v="2023-06-28T00:00:00"/>
    <d v="2022-12-31T00:00:00"/>
    <d v="2022-12-31T00:00:00"/>
    <s v="000-812/AIB RDC/2022"/>
    <n v="2"/>
    <s v="RESILIATION"/>
    <s v="00017022"/>
    <s v="Shoprite"/>
    <m/>
    <s v="SYNTYCHE"/>
    <s v="Syntyche"/>
    <s v="GPA"/>
    <s v="MEDICAL &amp; GPA"/>
    <x v="6"/>
    <s v="SFA"/>
    <n v="0"/>
    <n v="-764.24"/>
    <n v="0"/>
    <n v="0"/>
    <n v="-6.67"/>
    <n v="-665.5"/>
    <n v="-105.41"/>
    <e v="#DIV/0!"/>
    <n v="0.1"/>
    <n v="-66.55"/>
    <n v="0"/>
    <n v="0"/>
    <n v="-66.55"/>
    <n v="-10.648"/>
    <n v="-77.197999999999993"/>
    <n v="-1.331"/>
    <n v="0"/>
    <n v="-1.331"/>
    <m/>
    <n v="-65.218999999999994"/>
    <s v="MARSH"/>
    <n v="0"/>
    <n v="0"/>
    <m/>
    <m/>
    <n v="0"/>
    <m/>
    <n v="-77.197999999999993"/>
    <n v="-77.197999999999993"/>
    <n v="0"/>
    <s v="SFA"/>
    <d v="2023-09-28T00:00:00"/>
    <s v="ND0092/AIB RDC/2023"/>
    <m/>
    <m/>
    <m/>
    <m/>
    <m/>
  </r>
  <r>
    <x v="10"/>
    <s v="Yes"/>
    <d v="2023-09-08T00:00:00"/>
    <d v="2023-08-16T00:00:00"/>
    <d v="2022-06-01T00:00:00"/>
    <d v="2023-05-31T00:00:00"/>
    <s v="000-813/AIB RDC/2022"/>
    <n v="1"/>
    <s v="INCORPORATION"/>
    <s v="50100001 - 301"/>
    <s v="KATANGA CONTRACTING SERVICES SAS"/>
    <m/>
    <s v="ALICE"/>
    <s v="Alice"/>
    <s v="TRC"/>
    <s v="CONSTRUCTIONS"/>
    <x v="4"/>
    <s v="RAWSUR"/>
    <n v="0"/>
    <n v="3512.86"/>
    <n v="0"/>
    <n v="0"/>
    <n v="535.86"/>
    <n v="2977"/>
    <n v="476.32"/>
    <e v="#DIV/0!"/>
    <n v="0.15"/>
    <n v="446.55"/>
    <n v="0"/>
    <n v="0"/>
    <n v="446.55"/>
    <n v="71.448000000000008"/>
    <n v="517.99800000000005"/>
    <n v="8.9310000000000009"/>
    <m/>
    <n v="8.9310000000000009"/>
    <m/>
    <n v="437.61900000000003"/>
    <m/>
    <m/>
    <n v="0"/>
    <m/>
    <m/>
    <n v="0"/>
    <m/>
    <n v="517.99800000000005"/>
    <n v="517.99800000000005"/>
    <n v="0"/>
    <s v="RAWSUR"/>
    <d v="2023-10-20T00:00:00"/>
    <m/>
    <m/>
    <m/>
    <m/>
    <m/>
    <m/>
  </r>
  <r>
    <x v="6"/>
    <s v="Yes"/>
    <d v="2022-12-04T00:00:00"/>
    <d v="2022-12-01T00:00:00"/>
    <d v="2022-12-01T00:00:00"/>
    <d v="2023-02-28T00:00:00"/>
    <s v="000-814/AIB RDC/2022"/>
    <n v="0"/>
    <s v="SOUSCRIPTION"/>
    <s v="101-10200012"/>
    <s v="PATH"/>
    <m/>
    <s v="ALICE"/>
    <s v="Alice"/>
    <s v="MEDICAL"/>
    <s v="MEDICAL &amp; GPA"/>
    <x v="4"/>
    <s v="AEB"/>
    <n v="0"/>
    <n v="179937.74"/>
    <n v="0"/>
    <n v="0"/>
    <n v="0"/>
    <n v="176409.55"/>
    <n v="0"/>
    <e v="#DIV/0!"/>
    <n v="0.1"/>
    <n v="17640.954999999998"/>
    <n v="0"/>
    <n v="0"/>
    <n v="17640.954999999998"/>
    <n v="0"/>
    <n v="17640.954999999998"/>
    <n v="352.81909999999999"/>
    <m/>
    <n v="352.81909999999999"/>
    <m/>
    <n v="17288.135899999997"/>
    <s v="MERCER"/>
    <n v="0.7"/>
    <n v="12101.695129999998"/>
    <m/>
    <m/>
    <n v="12101.695129999998"/>
    <m/>
    <n v="17640.954999999998"/>
    <n v="17640.954999999998"/>
    <n v="0"/>
    <s v="RAWSUR"/>
    <d v="2023-03-29T00:00:00"/>
    <s v="ND0016-B/AIB RDC/20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16E5B-2A6C-453C-A1B8-C4E02B45D562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H73" firstHeaderRow="0" firstDataRow="1" firstDataCol="1"/>
  <pivotFields count="56">
    <pivotField axis="axisRow" showAll="0">
      <items count="14">
        <item x="0"/>
        <item x="3"/>
        <item x="4"/>
        <item x="8"/>
        <item x="7"/>
        <item x="10"/>
        <item x="11"/>
        <item x="9"/>
        <item x="1"/>
        <item x="2"/>
        <item h="1" x="5"/>
        <item h="1" x="6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9"/>
        <item x="3"/>
        <item x="1"/>
        <item x="4"/>
        <item x="5"/>
        <item x="6"/>
        <item x="8"/>
        <item x="7"/>
        <item x="2"/>
        <item h="1"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dataField="1" numFmtId="166" showAll="0"/>
    <pivotField dataField="1" numFmtId="166" showAll="0"/>
    <pivotField numFmtId="166" showAll="0"/>
    <pivotField showAll="0"/>
    <pivotField numFmtId="166" showAll="0"/>
    <pivotField showAll="0"/>
    <pivotField dataField="1" numFmtId="166" showAll="0"/>
    <pivotField showAll="0"/>
    <pivotField showAll="0"/>
    <pivotField numFmtId="166" showAll="0"/>
    <pivotField showAll="0"/>
    <pivotField showAll="0"/>
    <pivotField showAll="0"/>
    <pivotField showAll="0"/>
    <pivotField dataField="1" showAll="0"/>
    <pivotField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6"/>
  </rowFields>
  <rowItems count="72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"/>
    </i>
    <i r="1">
      <x/>
    </i>
    <i r="1">
      <x v="2"/>
    </i>
    <i r="1">
      <x v="3"/>
    </i>
    <i r="1">
      <x v="4"/>
    </i>
    <i r="1">
      <x v="6"/>
    </i>
    <i r="1">
      <x v="9"/>
    </i>
    <i>
      <x v="2"/>
    </i>
    <i r="1">
      <x/>
    </i>
    <i r="1">
      <x v="3"/>
    </i>
    <i r="1">
      <x v="4"/>
    </i>
    <i r="1">
      <x v="6"/>
    </i>
    <i r="1">
      <x v="9"/>
    </i>
    <i>
      <x v="3"/>
    </i>
    <i r="1">
      <x/>
    </i>
    <i r="1">
      <x v="1"/>
    </i>
    <i r="1">
      <x v="3"/>
    </i>
    <i r="1">
      <x v="4"/>
    </i>
    <i r="1">
      <x v="6"/>
    </i>
    <i r="1">
      <x v="9"/>
    </i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9"/>
    </i>
    <i>
      <x v="5"/>
    </i>
    <i r="1">
      <x/>
    </i>
    <i r="1">
      <x v="3"/>
    </i>
    <i r="1">
      <x v="4"/>
    </i>
    <i r="1">
      <x v="6"/>
    </i>
    <i r="1">
      <x v="9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>
      <x v="7"/>
    </i>
    <i r="1">
      <x/>
    </i>
    <i r="1">
      <x v="3"/>
    </i>
    <i r="1">
      <x v="4"/>
    </i>
    <i r="1">
      <x v="6"/>
    </i>
    <i r="1">
      <x v="9"/>
    </i>
    <i>
      <x v="8"/>
    </i>
    <i r="1">
      <x/>
    </i>
    <i r="1">
      <x v="3"/>
    </i>
    <i r="1">
      <x v="4"/>
    </i>
    <i r="1">
      <x v="5"/>
    </i>
    <i r="1">
      <x v="6"/>
    </i>
    <i r="1">
      <x v="9"/>
    </i>
    <i>
      <x v="9"/>
    </i>
    <i r="1">
      <x/>
    </i>
    <i r="1">
      <x v="3"/>
    </i>
    <i r="1">
      <x v="4"/>
    </i>
    <i r="1">
      <x v="6"/>
    </i>
    <i r="1"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Gross Premium" fld="19" baseField="0" baseItem="0"/>
    <dataField name="Net Com(+Arca)" fld="30" baseField="0" baseItem="0"/>
    <dataField name="Vat@16%" fld="31" baseField="0" baseItem="0"/>
    <dataField name="Net Com(-Arca-Vat)" fld="37" baseField="0" baseItem="0"/>
    <dataField name="Total com" fld="32" baseField="0" baseItem="0"/>
    <dataField name="Total Received" fld="45" baseField="0" baseItem="0"/>
    <dataField name="Balance Due" fld="47" baseField="0" baseItem="0"/>
  </dataFields>
  <formats count="23">
    <format dxfId="69">
      <pivotArea type="all" dataOnly="0" outline="0" fieldPosition="0"/>
    </format>
    <format dxfId="68">
      <pivotArea dataOnly="0" labelOnly="1" fieldPosition="0">
        <references count="2">
          <reference field="0" count="1" selected="0">
            <x v="11"/>
          </reference>
          <reference field="16" count="7">
            <x v="0"/>
            <x v="3"/>
            <x v="4"/>
            <x v="5"/>
            <x v="6"/>
            <x v="9"/>
            <x v="10"/>
          </reference>
        </references>
      </pivotArea>
    </format>
    <format dxfId="67">
      <pivotArea dataOnly="0" labelOnly="1" fieldPosition="0">
        <references count="2">
          <reference field="0" count="1" selected="0">
            <x v="12"/>
          </reference>
          <reference field="16" count="1">
            <x v="6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0" count="1" selected="0">
            <x v="0"/>
          </reference>
          <reference field="16" count="8">
            <x v="0"/>
            <x v="2"/>
            <x v="3"/>
            <x v="4"/>
            <x v="5"/>
            <x v="6"/>
            <x v="8"/>
            <x v="9"/>
          </reference>
        </references>
      </pivotArea>
    </format>
    <format dxfId="58">
      <pivotArea dataOnly="0" labelOnly="1" fieldPosition="0">
        <references count="2">
          <reference field="0" count="1" selected="0">
            <x v="1"/>
          </reference>
          <reference field="16" count="6">
            <x v="0"/>
            <x v="2"/>
            <x v="3"/>
            <x v="4"/>
            <x v="6"/>
            <x v="9"/>
          </reference>
        </references>
      </pivotArea>
    </format>
    <format dxfId="57">
      <pivotArea dataOnly="0" labelOnly="1" fieldPosition="0">
        <references count="2">
          <reference field="0" count="1" selected="0">
            <x v="2"/>
          </reference>
          <reference field="16" count="5">
            <x v="0"/>
            <x v="3"/>
            <x v="4"/>
            <x v="6"/>
            <x v="9"/>
          </reference>
        </references>
      </pivotArea>
    </format>
    <format dxfId="56">
      <pivotArea dataOnly="0" labelOnly="1" fieldPosition="0">
        <references count="2">
          <reference field="0" count="1" selected="0">
            <x v="3"/>
          </reference>
          <reference field="16" count="6">
            <x v="0"/>
            <x v="1"/>
            <x v="3"/>
            <x v="4"/>
            <x v="6"/>
            <x v="9"/>
          </reference>
        </references>
      </pivotArea>
    </format>
    <format dxfId="55">
      <pivotArea dataOnly="0" labelOnly="1" fieldPosition="0">
        <references count="2">
          <reference field="0" count="1" selected="0">
            <x v="4"/>
          </reference>
          <reference field="16" count="7">
            <x v="0"/>
            <x v="2"/>
            <x v="3"/>
            <x v="4"/>
            <x v="5"/>
            <x v="6"/>
            <x v="9"/>
          </reference>
        </references>
      </pivotArea>
    </format>
    <format dxfId="54">
      <pivotArea dataOnly="0" labelOnly="1" fieldPosition="0">
        <references count="2">
          <reference field="0" count="1" selected="0">
            <x v="5"/>
          </reference>
          <reference field="16" count="5">
            <x v="0"/>
            <x v="3"/>
            <x v="4"/>
            <x v="6"/>
            <x v="9"/>
          </reference>
        </references>
      </pivotArea>
    </format>
    <format dxfId="53">
      <pivotArea dataOnly="0" labelOnly="1" fieldPosition="0">
        <references count="2">
          <reference field="0" count="1" selected="0">
            <x v="6"/>
          </reference>
          <reference field="16" count="8">
            <x v="0"/>
            <x v="1"/>
            <x v="3"/>
            <x v="4"/>
            <x v="5"/>
            <x v="6"/>
            <x v="7"/>
            <x v="9"/>
          </reference>
        </references>
      </pivotArea>
    </format>
    <format dxfId="52">
      <pivotArea dataOnly="0" labelOnly="1" fieldPosition="0">
        <references count="2">
          <reference field="0" count="1" selected="0">
            <x v="7"/>
          </reference>
          <reference field="16" count="5">
            <x v="0"/>
            <x v="3"/>
            <x v="4"/>
            <x v="6"/>
            <x v="9"/>
          </reference>
        </references>
      </pivotArea>
    </format>
    <format dxfId="51">
      <pivotArea dataOnly="0" labelOnly="1" fieldPosition="0">
        <references count="2">
          <reference field="0" count="1" selected="0">
            <x v="8"/>
          </reference>
          <reference field="16" count="6">
            <x v="0"/>
            <x v="3"/>
            <x v="4"/>
            <x v="5"/>
            <x v="6"/>
            <x v="9"/>
          </reference>
        </references>
      </pivotArea>
    </format>
    <format dxfId="50">
      <pivotArea dataOnly="0" labelOnly="1" fieldPosition="0">
        <references count="2">
          <reference field="0" count="1" selected="0">
            <x v="9"/>
          </reference>
          <reference field="16" count="5">
            <x v="0"/>
            <x v="3"/>
            <x v="4"/>
            <x v="6"/>
            <x v="9"/>
          </reference>
        </references>
      </pivotArea>
    </format>
    <format dxfId="49">
      <pivotArea dataOnly="0" labelOnly="1" fieldPosition="0">
        <references count="2">
          <reference field="0" count="1" selected="0">
            <x v="10"/>
          </reference>
          <reference field="16" count="6">
            <x v="0"/>
            <x v="2"/>
            <x v="3"/>
            <x v="4"/>
            <x v="6"/>
            <x v="9"/>
          </reference>
        </references>
      </pivotArea>
    </format>
    <format dxfId="48">
      <pivotArea dataOnly="0" labelOnly="1" fieldPosition="0">
        <references count="2">
          <reference field="0" count="1" selected="0">
            <x v="11"/>
          </reference>
          <reference field="16" count="6">
            <x v="0"/>
            <x v="3"/>
            <x v="4"/>
            <x v="5"/>
            <x v="6"/>
            <x v="9"/>
          </reference>
        </references>
      </pivotArea>
    </format>
    <format dxfId="4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3EFA3-9FC6-46D6-A944-6F71A051989F}" name="Tableau1" displayName="Tableau1" ref="A1:BD816" totalsRowCount="1" headerRowDxfId="182" dataDxfId="181">
  <autoFilter ref="A1:BD815" xr:uid="{1113EFA3-9FC6-46D6-A944-6F71A051989F}"/>
  <sortState xmlns:xlrd2="http://schemas.microsoft.com/office/spreadsheetml/2017/richdata2" ref="A12:BD812">
    <sortCondition ref="K1:K815"/>
  </sortState>
  <tableColumns count="56">
    <tableColumn id="1" xr3:uid="{1321ECF1-8292-4936-BB47-B68987C60D31}" name="MONTH" totalsRowLabel="Total" dataDxfId="180" totalsRowDxfId="179"/>
    <tableColumn id="2" xr3:uid="{1398EC4E-7E88-4D91-B81B-B9D4E01B736F}" name="DECLARED TO ARCA" dataDxfId="178" totalsRowDxfId="177"/>
    <tableColumn id="3" xr3:uid="{44BFCE59-C421-4649-B75E-1BB9AA5D934F}" name="OPERATION DATE" dataDxfId="176" totalsRowDxfId="175"/>
    <tableColumn id="4" xr3:uid="{E14266D6-274D-421C-9E6A-BAE3F1D9E6E3}" name="ISSUE DATE" dataDxfId="174" totalsRowDxfId="173"/>
    <tableColumn id="5" xr3:uid="{199DB3D4-5F8F-4F54-AD6A-87C233D92412}" name="EFFECT DATE" dataDxfId="172" totalsRowDxfId="171"/>
    <tableColumn id="6" xr3:uid="{CAAE603C-807E-4B57-A3DB-3D663A4C6A23}" name="EXPIRY DATE" dataDxfId="170" totalsRowDxfId="169"/>
    <tableColumn id="7" xr3:uid="{63BC85A5-99B4-458A-B37D-E7B8C94AD724}" name="AIB REF." dataDxfId="168" totalsRowDxfId="167">
      <calculatedColumnFormula>TEXT(ROW(G2)-1,"000-000") &amp; "/AIB RDC/2022"</calculatedColumnFormula>
    </tableColumn>
    <tableColumn id="8" xr3:uid="{5D22A226-D35D-457D-BB6E-3740A2B62446}" name="N° D'AVENANT" dataDxfId="166" totalsRowDxfId="165"/>
    <tableColumn id="9" xr3:uid="{22075C03-5C90-4CEC-A443-F87860FF9B56}" name="TYPE D'AVENANT" dataDxfId="164" totalsRowDxfId="163"/>
    <tableColumn id="10" xr3:uid="{3B289574-A909-49AA-BD30-4C89ADCC564A}" name="POLICY REF" dataDxfId="162" totalsRowDxfId="161"/>
    <tableColumn id="11" xr3:uid="{F4D26BC6-245E-4D80-8CB3-8FB31C198E62}" name="CLIENT" dataDxfId="160" totalsRowDxfId="159"/>
    <tableColumn id="12" xr3:uid="{687AF8FA-C97D-4D10-8540-C5347B4E04D9}" name="INDUSTRY" dataDxfId="158" totalsRowDxfId="157"/>
    <tableColumn id="13" xr3:uid="{D739D803-DB9F-40A0-AA76-E85BE42D45B1}" name="ACC. MANAGER" dataDxfId="156" totalsRowDxfId="155"/>
    <tableColumn id="14" xr3:uid="{594514FE-7BA0-4772-B040-EE65D6C67087}" name="ASSISTED BY" dataDxfId="154" totalsRowDxfId="153"/>
    <tableColumn id="15" xr3:uid="{86E0393D-AA69-41AA-B4C3-95CFEFBF2C3A}" name="PRODUCT NAME" dataDxfId="152" totalsRowDxfId="151"/>
    <tableColumn id="16" xr3:uid="{B700A3C5-824B-48D7-8CF7-C4DB7A513149}" name="CATEGORY" dataDxfId="150" totalsRowDxfId="149"/>
    <tableColumn id="17" xr3:uid="{EFA26767-D2DE-4C38-89A5-A543F2B05C63}" name="INSURER" dataDxfId="148" totalsRowDxfId="147"/>
    <tableColumn id="18" xr3:uid="{1825461F-30CB-44DE-8A42-2C7B3F59C673}" name="REINSURER" dataDxfId="146" totalsRowDxfId="145"/>
    <tableColumn id="19" xr3:uid="{5D8D708C-B933-4882-BAB6-941DA7F0F24A}" name="SUM INSURED" dataDxfId="144" totalsRowDxfId="143"/>
    <tableColumn id="20" xr3:uid="{42C14943-4862-4810-A0BD-FC93751121EB}" name="GROSS PREMIUMS" dataDxfId="142" totalsRowDxfId="141"/>
    <tableColumn id="21" xr3:uid="{9E0042FD-A83F-444D-9D5E-DD67E753A945}" name="FRONTING" dataDxfId="140" totalsRowDxfId="139"/>
    <tableColumn id="22" xr3:uid="{DE3A2B9A-0C7C-4DD5-899F-CC0A9F3A401C}" name="FRONTING DISCOUNT" dataDxfId="138" totalsRowDxfId="137"/>
    <tableColumn id="23" xr3:uid="{D904F79E-8A63-491A-BBF1-D0428455243A}" name="ACCESSOIRES" dataDxfId="136" totalsRowDxfId="135"/>
    <tableColumn id="24" xr3:uid="{1E53EBF8-BE27-4264-945F-4003B92E08F3}" name="NET PREMIUM" dataDxfId="134" totalsRowDxfId="133"/>
    <tableColumn id="25" xr3:uid="{5B0BD96B-11C1-4A60-9879-A9BE7ECB6FEF}" name="VAT" dataDxfId="132" totalsRowDxfId="131"/>
    <tableColumn id="26" xr3:uid="{42EACC52-1785-4DB2-AEE2-7E24EF42CEAD}" name="RI RATE" dataDxfId="130" totalsRowDxfId="129">
      <calculatedColumnFormula>T2/S2</calculatedColumnFormula>
    </tableColumn>
    <tableColumn id="27" xr3:uid="{B3F3547D-B894-491A-BA31-8808D3E5FFAC}" name="AIB Com %" dataDxfId="128" totalsRowDxfId="127"/>
    <tableColumn id="28" xr3:uid="{005DDF80-5797-4629-ABBC-EF3575DF25DE}" name="LOCAL COM." dataDxfId="126" totalsRowDxfId="125">
      <calculatedColumnFormula>(AA2*X2)</calculatedColumnFormula>
    </tableColumn>
    <tableColumn id="29" xr3:uid="{6192ED3B-2E74-4B1C-9DF1-04E82F3AEBD1}" name="FRONTING COM." dataDxfId="124" totalsRowDxfId="123"/>
    <tableColumn id="30" xr3:uid="{A37100FA-B782-4258-8AD2-0D9223F9AD84}" name="RI COM." dataDxfId="122" totalsRowDxfId="121"/>
    <tableColumn id="31" xr3:uid="{4748E95D-57DC-4F15-B3CF-AA5CEEDDE603}" name="TOTAL NET / REVENUE (+ Arca)" dataDxfId="120" totalsRowDxfId="119">
      <calculatedColumnFormula>SUM(AB2:AD2)</calculatedColumnFormula>
    </tableColumn>
    <tableColumn id="32" xr3:uid="{F53EADCD-AA49-4BEB-89E6-B79C4378C43E}" name="TOTAL VAT / REVENUE" dataDxfId="118" totalsRowDxfId="117"/>
    <tableColumn id="33" xr3:uid="{583D7B5D-4E66-44A7-BC82-3034B6C6505A}" name="GROSS REVENUE" dataDxfId="116" totalsRowDxfId="115">
      <calculatedColumnFormula>AF2+AE2</calculatedColumnFormula>
    </tableColumn>
    <tableColumn id="34" xr3:uid="{C9870F86-B89C-4484-BEA5-CFD4491F7FE3}" name="ARCA fees (2%)" dataDxfId="114" totalsRowDxfId="113">
      <calculatedColumnFormula>2%*AE2</calculatedColumnFormula>
    </tableColumn>
    <tableColumn id="35" xr3:uid="{428B9494-C4E7-4EEC-8AA1-F2460EB97B1E}" name="A. PAID TO ARCA" dataDxfId="112" totalsRowDxfId="111"/>
    <tableColumn id="36" xr3:uid="{57AA4E7C-4E35-4460-9881-C10FFEB6F087}" name="BALANCE DUE TO ARCA" dataDxfId="110" totalsRowDxfId="109">
      <calculatedColumnFormula>AH2-AI2</calculatedColumnFormula>
    </tableColumn>
    <tableColumn id="37" xr3:uid="{91496DE4-0511-412A-B5B3-6D0D9E9D4949}" name="Date of Pymt to ARCA" dataDxfId="108" totalsRowDxfId="107"/>
    <tableColumn id="38" xr3:uid="{EA74C8B1-E6E1-4673-862D-2CDA7C6E8412}" name="NET COM (Excl all taxes)" totalsRowFunction="sum" dataDxfId="106" totalsRowDxfId="46">
      <calculatedColumnFormula>AE2-AH2</calculatedColumnFormula>
    </tableColumn>
    <tableColumn id="39" xr3:uid="{5C131317-C6D3-477C-B48D-97CC03F038F6}" name="PARTNER" dataDxfId="105" totalsRowDxfId="104"/>
    <tableColumn id="40" xr3:uid="{85AD39D1-C5BC-4E86-B843-9CCF07572AE0}" name="% RATE TO PARTNER" dataDxfId="103" totalsRowDxfId="102"/>
    <tableColumn id="41" xr3:uid="{F1E607AB-A981-4B87-88FD-BE318B89F0B6}" name="A. DUE TO PARTNER" dataDxfId="101" totalsRowDxfId="100">
      <calculatedColumnFormula>AL2*AN2</calculatedColumnFormula>
    </tableColumn>
    <tableColumn id="42" xr3:uid="{5E31C6CC-204F-4B76-B7B9-13C538251D61}" name="A. PAID TO PARTNER" dataDxfId="99" totalsRowDxfId="98"/>
    <tableColumn id="43" xr3:uid="{1B3E4125-2BB9-4476-8F82-ACB9A56F7CF8}" name="DATE OF PAYMT TO PARTNER" dataDxfId="97" totalsRowDxfId="96"/>
    <tableColumn id="44" xr3:uid="{00F0632C-6A68-4116-A840-22883DB8478A}" name="BALANCE DUE TO PARTNER" dataDxfId="95" totalsRowDxfId="94">
      <calculatedColumnFormula>AO2-AP2</calculatedColumnFormula>
    </tableColumn>
    <tableColumn id="45" xr3:uid="{B15E40FE-1619-49E9-B4CE-D2241378BEA8}" name="REF PYMNT TO PARTNER" dataDxfId="93" totalsRowDxfId="92"/>
    <tableColumn id="46" xr3:uid="{47572BFF-5A9C-4C71-8036-44155E94AAE0}" name="COM RECEIVED" dataDxfId="91" totalsRowDxfId="90"/>
    <tableColumn id="47" xr3:uid="{6E8283A2-113A-4D2A-83EF-BBE475A6C837}" name="COM INVOICED" dataDxfId="89" totalsRowDxfId="88">
      <calculatedColumnFormula>AG2</calculatedColumnFormula>
    </tableColumn>
    <tableColumn id="48" xr3:uid="{29C92D0D-12AE-4846-9002-AC5B24DE5891}" name="BALANCE DUE TO AIB" totalsRowFunction="sum" dataDxfId="87" totalsRowDxfId="86">
      <calculatedColumnFormula>AU2-AT2</calculatedColumnFormula>
    </tableColumn>
    <tableColumn id="49" xr3:uid="{213DA042-1DAD-4072-BC41-722E15885454}" name="DUE BY" dataDxfId="85" totalsRowDxfId="84">
      <calculatedColumnFormula>Q2</calculatedColumnFormula>
    </tableColumn>
    <tableColumn id="50" xr3:uid="{23DC32E1-33D7-4A26-B5FB-99DFA372995E}" name="DATE OF RECEIPT" dataDxfId="83" totalsRowDxfId="82"/>
    <tableColumn id="51" xr3:uid="{5A767B00-4AEE-4638-BAD4-FECA2013FE08}" name="DEBIT NOTE REF." dataDxfId="81" totalsRowDxfId="80"/>
    <tableColumn id="52" xr3:uid="{6220BE7F-4254-4EF1-B78D-E2DA10C7C90B}" name="RENEWAL STATUS" dataDxfId="79" totalsRowDxfId="78"/>
    <tableColumn id="53" xr3:uid="{72366C3E-6B09-4666-B759-8C823726D99E}" name="COVER TO RENEW" dataDxfId="77" totalsRowDxfId="76"/>
    <tableColumn id="54" xr3:uid="{4D5D18E7-F4A7-4FFB-A8EE-1D4ECAA3C6AC}" name="RENEWAL PREMIUM" dataDxfId="75" totalsRowDxfId="74"/>
    <tableColumn id="55" xr3:uid="{E9D75416-2AD0-4B76-BF87-5DF4F2B47CA5}" name="RENEWAL INSURER" dataDxfId="73" totalsRowDxfId="72"/>
    <tableColumn id="56" xr3:uid="{291C0E9A-2A57-4DAF-B1D0-49D7BC951DB1}" name="COMMENTS" totalsRowFunction="count" dataDxfId="71" totalsRow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16"/>
  <sheetViews>
    <sheetView topLeftCell="AH786" zoomScale="80" zoomScaleNormal="80" workbookViewId="0">
      <selection activeCell="AL806" sqref="AL806"/>
    </sheetView>
  </sheetViews>
  <sheetFormatPr baseColWidth="10" defaultColWidth="14.42578125" defaultRowHeight="15.75" customHeight="1" x14ac:dyDescent="0.2"/>
  <cols>
    <col min="1" max="1" width="11.28515625" customWidth="1"/>
    <col min="2" max="2" width="19.28515625" customWidth="1"/>
    <col min="3" max="3" width="17.28515625" customWidth="1"/>
    <col min="4" max="4" width="12.28515625" customWidth="1"/>
    <col min="5" max="5" width="13.42578125" customWidth="1"/>
    <col min="6" max="6" width="13.5703125" customWidth="1"/>
    <col min="7" max="7" width="19" customWidth="1"/>
    <col min="8" max="8" width="15.42578125" customWidth="1"/>
    <col min="9" max="9" width="17.28515625" customWidth="1"/>
    <col min="10" max="10" width="34" customWidth="1"/>
    <col min="11" max="11" width="38.85546875" customWidth="1"/>
    <col min="12" max="12" width="21.140625" customWidth="1"/>
    <col min="13" max="13" width="16.42578125" customWidth="1"/>
    <col min="14" max="14" width="14" customWidth="1"/>
    <col min="15" max="15" width="20.5703125" customWidth="1"/>
    <col min="16" max="16" width="16.28515625" customWidth="1"/>
    <col min="17" max="17" width="18.42578125" customWidth="1"/>
    <col min="18" max="18" width="18.28515625" customWidth="1"/>
    <col min="19" max="19" width="17.85546875" bestFit="1" customWidth="1"/>
    <col min="20" max="20" width="22.28515625" customWidth="1"/>
    <col min="21" max="21" width="16.7109375" customWidth="1"/>
    <col min="22" max="22" width="22" customWidth="1"/>
    <col min="23" max="24" width="20.140625" customWidth="1"/>
    <col min="25" max="25" width="12.5703125" customWidth="1"/>
    <col min="26" max="26" width="9.28515625" customWidth="1"/>
    <col min="27" max="27" width="16.140625" customWidth="1"/>
    <col min="28" max="28" width="19" customWidth="1"/>
    <col min="29" max="29" width="26.7109375" customWidth="1"/>
    <col min="30" max="30" width="19.7109375" customWidth="1"/>
    <col min="31" max="31" width="29" customWidth="1"/>
    <col min="32" max="33" width="22.140625" customWidth="1"/>
    <col min="34" max="34" width="20.7109375" customWidth="1"/>
    <col min="35" max="35" width="22.140625" customWidth="1"/>
    <col min="36" max="36" width="23" customWidth="1"/>
    <col min="37" max="37" width="35.42578125" customWidth="1"/>
    <col min="38" max="38" width="28.5703125" customWidth="1"/>
    <col min="39" max="39" width="15.5703125" customWidth="1"/>
    <col min="40" max="40" width="20.140625" customWidth="1"/>
    <col min="41" max="41" width="20.7109375" customWidth="1"/>
    <col min="42" max="42" width="21" customWidth="1"/>
    <col min="43" max="43" width="26.85546875" customWidth="1"/>
    <col min="44" max="44" width="25.85546875" customWidth="1"/>
    <col min="45" max="45" width="24.28515625" customWidth="1"/>
    <col min="46" max="46" width="16.85546875" customWidth="1"/>
    <col min="47" max="47" width="17" customWidth="1"/>
    <col min="48" max="48" width="21.85546875" customWidth="1"/>
    <col min="49" max="49" width="13.42578125" customWidth="1"/>
    <col min="50" max="50" width="17.42578125" customWidth="1"/>
    <col min="51" max="51" width="19" customWidth="1"/>
    <col min="52" max="52" width="18.140625" customWidth="1"/>
    <col min="53" max="55" width="21" customWidth="1"/>
    <col min="56" max="56" width="43.140625" customWidth="1"/>
  </cols>
  <sheetData>
    <row r="1" spans="1:56" ht="14.25" customHeight="1" x14ac:dyDescent="0.2">
      <c r="A1" s="12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" t="s">
        <v>7</v>
      </c>
      <c r="I1" s="1" t="s">
        <v>8</v>
      </c>
      <c r="J1" s="15" t="s">
        <v>9</v>
      </c>
      <c r="K1" s="1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8" t="s">
        <v>25</v>
      </c>
      <c r="AA1" s="19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20" t="s">
        <v>36</v>
      </c>
      <c r="AL1" s="17" t="s">
        <v>37</v>
      </c>
      <c r="AM1" s="17" t="s">
        <v>38</v>
      </c>
      <c r="AN1" s="21" t="s">
        <v>39</v>
      </c>
      <c r="AO1" s="17" t="s">
        <v>40</v>
      </c>
      <c r="AP1" s="17" t="s">
        <v>41</v>
      </c>
      <c r="AQ1" s="16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84" t="s">
        <v>47</v>
      </c>
      <c r="AW1" s="16" t="s">
        <v>48</v>
      </c>
      <c r="AX1" s="2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4.25" customHeight="1" x14ac:dyDescent="0.2">
      <c r="A2" s="12" t="s">
        <v>56</v>
      </c>
      <c r="B2" s="1" t="s">
        <v>57</v>
      </c>
      <c r="C2" s="13">
        <v>44562</v>
      </c>
      <c r="D2" s="13">
        <v>44580</v>
      </c>
      <c r="E2" s="13">
        <v>44562</v>
      </c>
      <c r="F2" s="13">
        <v>44926</v>
      </c>
      <c r="G2" s="14" t="str">
        <f t="shared" ref="G2:G11" si="0">TEXT(ROW(G2)-1,"000-000") &amp; "/AIB RDC/2022"</f>
        <v>000-001/AIB RDC/2022</v>
      </c>
      <c r="H2" s="1">
        <v>2</v>
      </c>
      <c r="I2" s="1" t="s">
        <v>58</v>
      </c>
      <c r="J2" s="1" t="s">
        <v>59</v>
      </c>
      <c r="K2" s="1" t="s">
        <v>60</v>
      </c>
      <c r="L2" s="16" t="s">
        <v>61</v>
      </c>
      <c r="M2" s="16" t="s">
        <v>62</v>
      </c>
      <c r="N2" s="16" t="s">
        <v>63</v>
      </c>
      <c r="O2" s="16" t="s">
        <v>64</v>
      </c>
      <c r="P2" s="16" t="s">
        <v>65</v>
      </c>
      <c r="Q2" s="16" t="s">
        <v>66</v>
      </c>
      <c r="R2" s="16" t="s">
        <v>66</v>
      </c>
      <c r="S2" s="17">
        <v>6000000</v>
      </c>
      <c r="T2" s="17">
        <v>39213.589999999997</v>
      </c>
      <c r="U2" s="17">
        <v>4973.63</v>
      </c>
      <c r="V2" s="17"/>
      <c r="W2" s="17">
        <v>1082.46</v>
      </c>
      <c r="X2" s="17">
        <v>33157.5</v>
      </c>
      <c r="Y2" s="17">
        <v>0</v>
      </c>
      <c r="Z2" s="18">
        <f t="shared" ref="Z2:Z11" si="1">T2/S2</f>
        <v>6.5355983333333324E-3</v>
      </c>
      <c r="AA2" s="19">
        <v>3.5196437067600561E-2</v>
      </c>
      <c r="AB2" s="17">
        <f t="shared" ref="AB2:AB11" si="2">(AA2*X2)</f>
        <v>1167.0258620689656</v>
      </c>
      <c r="AC2" s="17">
        <f t="shared" ref="AC2:AC3" si="3">30%*U2</f>
        <v>1492.0889999999999</v>
      </c>
      <c r="AD2" s="17">
        <v>13023.706896551725</v>
      </c>
      <c r="AE2" s="17">
        <f t="shared" ref="AE2:AE11" si="4">SUM(AB2:AD2)</f>
        <v>15682.82175862069</v>
      </c>
      <c r="AF2" s="17">
        <f t="shared" ref="AF2:AF7" si="5">16%*AE2</f>
        <v>2509.2514813793105</v>
      </c>
      <c r="AG2" s="17">
        <f t="shared" ref="AG2:AG11" si="6">AF2+AE2</f>
        <v>18192.073240000002</v>
      </c>
      <c r="AH2" s="17">
        <f t="shared" ref="AH2:AH10" si="7">2%*AE2</f>
        <v>313.65643517241381</v>
      </c>
      <c r="AI2" s="17">
        <v>0</v>
      </c>
      <c r="AJ2" s="17">
        <f t="shared" ref="AJ2:AJ11" si="8">AH2-AI2</f>
        <v>313.65643517241381</v>
      </c>
      <c r="AK2" s="20" t="s">
        <v>67</v>
      </c>
      <c r="AL2" s="17">
        <f t="shared" ref="AL2:AL11" si="9">AE2-AH2</f>
        <v>15369.165323448276</v>
      </c>
      <c r="AM2" s="17"/>
      <c r="AN2" s="21"/>
      <c r="AO2" s="17">
        <f t="shared" ref="AO2:AO11" si="10">AL2*AN2</f>
        <v>0</v>
      </c>
      <c r="AP2" s="17"/>
      <c r="AQ2" s="16"/>
      <c r="AR2" s="17">
        <f t="shared" ref="AR2:AR11" si="11">AO2-AP2</f>
        <v>0</v>
      </c>
      <c r="AS2" s="17"/>
      <c r="AT2" s="17">
        <v>18192.073240000002</v>
      </c>
      <c r="AU2" s="17">
        <f t="shared" ref="AU2:AU11" si="12">AG2</f>
        <v>18192.073240000002</v>
      </c>
      <c r="AV2" s="17">
        <f t="shared" ref="AV2:AV11" si="13">AU2-AT2</f>
        <v>0</v>
      </c>
      <c r="AW2" s="17" t="str">
        <f t="shared" ref="AW2:AW11" si="14">Q2</f>
        <v>ACTIVA</v>
      </c>
      <c r="AX2" s="22">
        <v>44643</v>
      </c>
      <c r="AY2" s="22"/>
      <c r="AZ2" s="1" t="s">
        <v>68</v>
      </c>
      <c r="BA2" s="22" t="str">
        <f t="shared" ref="BA2:BA11" si="15">O2</f>
        <v>MARINE CARGO / GIT</v>
      </c>
      <c r="BB2" s="22"/>
      <c r="BC2" s="22"/>
      <c r="BD2" s="22"/>
    </row>
    <row r="3" spans="1:56" ht="14.25" customHeight="1" x14ac:dyDescent="0.2">
      <c r="A3" s="12" t="s">
        <v>56</v>
      </c>
      <c r="B3" s="1" t="s">
        <v>57</v>
      </c>
      <c r="C3" s="13">
        <v>44562</v>
      </c>
      <c r="D3" s="13">
        <v>44580</v>
      </c>
      <c r="E3" s="13">
        <v>44562</v>
      </c>
      <c r="F3" s="13">
        <v>44926</v>
      </c>
      <c r="G3" s="14" t="str">
        <f t="shared" si="0"/>
        <v>000-002/AIB RDC/2022</v>
      </c>
      <c r="H3" s="1">
        <v>2</v>
      </c>
      <c r="I3" s="1" t="s">
        <v>58</v>
      </c>
      <c r="J3" s="1" t="s">
        <v>69</v>
      </c>
      <c r="K3" s="1" t="s">
        <v>60</v>
      </c>
      <c r="L3" s="16" t="s">
        <v>61</v>
      </c>
      <c r="M3" s="16" t="s">
        <v>62</v>
      </c>
      <c r="N3" s="16" t="s">
        <v>63</v>
      </c>
      <c r="O3" s="16" t="s">
        <v>70</v>
      </c>
      <c r="P3" s="16" t="s">
        <v>71</v>
      </c>
      <c r="Q3" s="16" t="s">
        <v>66</v>
      </c>
      <c r="R3" s="16" t="s">
        <v>66</v>
      </c>
      <c r="S3" s="17">
        <v>53720798</v>
      </c>
      <c r="T3" s="17">
        <v>76800.61</v>
      </c>
      <c r="U3" s="17">
        <v>9721.8700000000008</v>
      </c>
      <c r="V3" s="17"/>
      <c r="W3" s="17">
        <v>2266.29</v>
      </c>
      <c r="X3" s="17">
        <v>64812.45</v>
      </c>
      <c r="Y3" s="17">
        <v>0</v>
      </c>
      <c r="Z3" s="18">
        <f t="shared" si="1"/>
        <v>1.4296252635711034E-3</v>
      </c>
      <c r="AA3" s="19">
        <v>6.2847184452987051E-2</v>
      </c>
      <c r="AB3" s="17">
        <f t="shared" si="2"/>
        <v>4073.28</v>
      </c>
      <c r="AC3" s="17">
        <f t="shared" si="3"/>
        <v>2916.5610000000001</v>
      </c>
      <c r="AD3" s="17">
        <v>1562.45</v>
      </c>
      <c r="AE3" s="17">
        <f t="shared" si="4"/>
        <v>8552.2910000000011</v>
      </c>
      <c r="AF3" s="17">
        <f t="shared" si="5"/>
        <v>1368.3665600000002</v>
      </c>
      <c r="AG3" s="17">
        <f t="shared" si="6"/>
        <v>9920.6575600000015</v>
      </c>
      <c r="AH3" s="17">
        <f t="shared" si="7"/>
        <v>171.04582000000002</v>
      </c>
      <c r="AI3" s="17">
        <v>0</v>
      </c>
      <c r="AJ3" s="17">
        <f t="shared" si="8"/>
        <v>171.04582000000002</v>
      </c>
      <c r="AK3" s="20" t="s">
        <v>67</v>
      </c>
      <c r="AL3" s="17">
        <f t="shared" si="9"/>
        <v>8381.2451800000017</v>
      </c>
      <c r="AM3" s="17"/>
      <c r="AN3" s="21"/>
      <c r="AO3" s="17">
        <f t="shared" si="10"/>
        <v>0</v>
      </c>
      <c r="AP3" s="17"/>
      <c r="AQ3" s="16"/>
      <c r="AR3" s="17">
        <f t="shared" si="11"/>
        <v>0</v>
      </c>
      <c r="AS3" s="17"/>
      <c r="AT3" s="17">
        <v>9920.6575600000015</v>
      </c>
      <c r="AU3" s="17">
        <f t="shared" si="12"/>
        <v>9920.6575600000015</v>
      </c>
      <c r="AV3" s="17">
        <f t="shared" si="13"/>
        <v>0</v>
      </c>
      <c r="AW3" s="17" t="str">
        <f t="shared" si="14"/>
        <v>ACTIVA</v>
      </c>
      <c r="AX3" s="22">
        <v>44643</v>
      </c>
      <c r="AY3" s="22"/>
      <c r="AZ3" s="1" t="s">
        <v>68</v>
      </c>
      <c r="BA3" s="22" t="str">
        <f t="shared" si="15"/>
        <v>FIRE</v>
      </c>
      <c r="BB3" s="22"/>
      <c r="BC3" s="22"/>
      <c r="BD3" s="22"/>
    </row>
    <row r="4" spans="1:56" ht="14.25" customHeight="1" x14ac:dyDescent="0.2">
      <c r="A4" s="12" t="s">
        <v>56</v>
      </c>
      <c r="B4" s="1" t="s">
        <v>57</v>
      </c>
      <c r="C4" s="13">
        <v>44562</v>
      </c>
      <c r="D4" s="13">
        <v>44580</v>
      </c>
      <c r="E4" s="13">
        <v>44562</v>
      </c>
      <c r="F4" s="13">
        <v>44926</v>
      </c>
      <c r="G4" s="14" t="str">
        <f t="shared" si="0"/>
        <v>000-003/AIB RDC/2022</v>
      </c>
      <c r="H4" s="1">
        <v>3</v>
      </c>
      <c r="I4" s="1" t="s">
        <v>58</v>
      </c>
      <c r="J4" s="1" t="s">
        <v>72</v>
      </c>
      <c r="K4" s="1" t="s">
        <v>60</v>
      </c>
      <c r="L4" s="16" t="s">
        <v>61</v>
      </c>
      <c r="M4" s="16" t="s">
        <v>62</v>
      </c>
      <c r="N4" s="16" t="s">
        <v>63</v>
      </c>
      <c r="O4" s="16" t="s">
        <v>73</v>
      </c>
      <c r="P4" s="16" t="s">
        <v>73</v>
      </c>
      <c r="Q4" s="16" t="s">
        <v>66</v>
      </c>
      <c r="R4" s="16" t="s">
        <v>66</v>
      </c>
      <c r="S4" s="17">
        <v>1000000</v>
      </c>
      <c r="T4" s="17">
        <v>46170.13</v>
      </c>
      <c r="U4" s="17">
        <v>0</v>
      </c>
      <c r="V4" s="17"/>
      <c r="W4" s="17">
        <v>457.13</v>
      </c>
      <c r="X4" s="17">
        <v>44816.66</v>
      </c>
      <c r="Y4" s="17">
        <v>0</v>
      </c>
      <c r="Z4" s="18">
        <f t="shared" si="1"/>
        <v>4.6170129999999997E-2</v>
      </c>
      <c r="AA4" s="19">
        <v>0.1</v>
      </c>
      <c r="AB4" s="17">
        <f t="shared" si="2"/>
        <v>4481.6660000000002</v>
      </c>
      <c r="AC4" s="17">
        <v>0</v>
      </c>
      <c r="AD4" s="17">
        <v>0</v>
      </c>
      <c r="AE4" s="17">
        <f t="shared" si="4"/>
        <v>4481.6660000000002</v>
      </c>
      <c r="AF4" s="17">
        <f t="shared" si="5"/>
        <v>717.06656000000009</v>
      </c>
      <c r="AG4" s="17">
        <f t="shared" si="6"/>
        <v>5198.7325600000004</v>
      </c>
      <c r="AH4" s="17">
        <f t="shared" si="7"/>
        <v>89.633320000000012</v>
      </c>
      <c r="AI4" s="17">
        <v>0</v>
      </c>
      <c r="AJ4" s="17">
        <f t="shared" si="8"/>
        <v>89.633320000000012</v>
      </c>
      <c r="AK4" s="20" t="s">
        <v>67</v>
      </c>
      <c r="AL4" s="17">
        <f t="shared" si="9"/>
        <v>4392.0326800000003</v>
      </c>
      <c r="AM4" s="17"/>
      <c r="AN4" s="21"/>
      <c r="AO4" s="17">
        <f t="shared" si="10"/>
        <v>0</v>
      </c>
      <c r="AP4" s="17"/>
      <c r="AQ4" s="16"/>
      <c r="AR4" s="17">
        <f t="shared" si="11"/>
        <v>0</v>
      </c>
      <c r="AS4" s="17"/>
      <c r="AT4" s="17">
        <v>5198.7325600000004</v>
      </c>
      <c r="AU4" s="17">
        <f t="shared" si="12"/>
        <v>5198.7325600000004</v>
      </c>
      <c r="AV4" s="17">
        <f t="shared" si="13"/>
        <v>0</v>
      </c>
      <c r="AW4" s="17" t="str">
        <f t="shared" si="14"/>
        <v>ACTIVA</v>
      </c>
      <c r="AX4" s="22">
        <v>44643</v>
      </c>
      <c r="AY4" s="22"/>
      <c r="AZ4" s="1" t="s">
        <v>68</v>
      </c>
      <c r="BA4" s="22" t="str">
        <f t="shared" si="15"/>
        <v>MOTOR TPL</v>
      </c>
      <c r="BB4" s="22"/>
      <c r="BC4" s="22"/>
      <c r="BD4" s="22"/>
    </row>
    <row r="5" spans="1:56" ht="14.25" customHeight="1" x14ac:dyDescent="0.2">
      <c r="A5" s="12" t="s">
        <v>56</v>
      </c>
      <c r="B5" s="1" t="s">
        <v>57</v>
      </c>
      <c r="C5" s="13">
        <v>44562</v>
      </c>
      <c r="D5" s="13">
        <v>44567</v>
      </c>
      <c r="E5" s="13">
        <v>44562</v>
      </c>
      <c r="F5" s="13">
        <v>44926</v>
      </c>
      <c r="G5" s="14" t="str">
        <f t="shared" si="0"/>
        <v>000-004/AIB RDC/2022</v>
      </c>
      <c r="H5" s="1">
        <v>0</v>
      </c>
      <c r="I5" s="1" t="s">
        <v>74</v>
      </c>
      <c r="J5" s="1" t="s">
        <v>75</v>
      </c>
      <c r="K5" s="16" t="s">
        <v>76</v>
      </c>
      <c r="L5" s="1" t="s">
        <v>77</v>
      </c>
      <c r="M5" s="16" t="s">
        <v>62</v>
      </c>
      <c r="N5" s="16" t="s">
        <v>78</v>
      </c>
      <c r="O5" s="16" t="s">
        <v>70</v>
      </c>
      <c r="P5" s="16" t="s">
        <v>71</v>
      </c>
      <c r="Q5" s="16" t="s">
        <v>79</v>
      </c>
      <c r="R5" s="16" t="s">
        <v>79</v>
      </c>
      <c r="S5" s="17">
        <v>18584057</v>
      </c>
      <c r="T5" s="17">
        <v>22047.19</v>
      </c>
      <c r="U5" s="17">
        <v>0</v>
      </c>
      <c r="V5" s="17">
        <v>0</v>
      </c>
      <c r="W5" s="17">
        <v>100</v>
      </c>
      <c r="X5" s="17">
        <v>18584.060000000001</v>
      </c>
      <c r="Y5" s="17"/>
      <c r="Z5" s="18">
        <f t="shared" si="1"/>
        <v>1.1863496759614975E-3</v>
      </c>
      <c r="AA5" s="19">
        <v>0.15</v>
      </c>
      <c r="AB5" s="17">
        <f t="shared" si="2"/>
        <v>2787.6089999999999</v>
      </c>
      <c r="AC5" s="17">
        <v>0</v>
      </c>
      <c r="AD5" s="17">
        <v>0</v>
      </c>
      <c r="AE5" s="17">
        <f t="shared" si="4"/>
        <v>2787.6089999999999</v>
      </c>
      <c r="AF5" s="17">
        <f t="shared" si="5"/>
        <v>446.01744000000002</v>
      </c>
      <c r="AG5" s="17">
        <f t="shared" si="6"/>
        <v>3233.62644</v>
      </c>
      <c r="AH5" s="17">
        <f t="shared" si="7"/>
        <v>55.752180000000003</v>
      </c>
      <c r="AI5" s="17">
        <v>0</v>
      </c>
      <c r="AJ5" s="17">
        <f t="shared" si="8"/>
        <v>55.752180000000003</v>
      </c>
      <c r="AK5" s="20" t="s">
        <v>67</v>
      </c>
      <c r="AL5" s="17">
        <f t="shared" si="9"/>
        <v>2731.85682</v>
      </c>
      <c r="AM5" s="17" t="s">
        <v>80</v>
      </c>
      <c r="AN5" s="21">
        <v>0.3</v>
      </c>
      <c r="AO5" s="23">
        <f t="shared" si="10"/>
        <v>819.55704600000001</v>
      </c>
      <c r="AP5" s="17">
        <v>819.55704600000001</v>
      </c>
      <c r="AQ5" s="16">
        <v>45188</v>
      </c>
      <c r="AR5" s="17">
        <f t="shared" si="11"/>
        <v>0</v>
      </c>
      <c r="AS5" s="17"/>
      <c r="AT5" s="17">
        <v>3233.62644</v>
      </c>
      <c r="AU5" s="17">
        <f t="shared" si="12"/>
        <v>3233.62644</v>
      </c>
      <c r="AV5" s="17">
        <f t="shared" si="13"/>
        <v>0</v>
      </c>
      <c r="AW5" s="17" t="str">
        <f t="shared" si="14"/>
        <v>MAYFAIR</v>
      </c>
      <c r="AX5" s="22">
        <v>44623</v>
      </c>
      <c r="AY5" s="22"/>
      <c r="AZ5" s="1" t="s">
        <v>68</v>
      </c>
      <c r="BA5" s="22" t="str">
        <f t="shared" si="15"/>
        <v>FIRE</v>
      </c>
      <c r="BB5" s="22"/>
      <c r="BC5" s="22"/>
      <c r="BD5" s="22"/>
    </row>
    <row r="6" spans="1:56" ht="14.25" customHeight="1" x14ac:dyDescent="0.2">
      <c r="A6" s="12" t="s">
        <v>56</v>
      </c>
      <c r="B6" s="1" t="s">
        <v>57</v>
      </c>
      <c r="C6" s="13">
        <v>44562</v>
      </c>
      <c r="D6" s="13">
        <v>44558</v>
      </c>
      <c r="E6" s="13">
        <v>44562</v>
      </c>
      <c r="F6" s="13">
        <v>44926</v>
      </c>
      <c r="G6" s="14" t="str">
        <f t="shared" si="0"/>
        <v>000-005/AIB RDC/2022</v>
      </c>
      <c r="H6" s="1">
        <v>0</v>
      </c>
      <c r="I6" s="1" t="s">
        <v>74</v>
      </c>
      <c r="J6" s="1" t="s">
        <v>81</v>
      </c>
      <c r="K6" s="16" t="s">
        <v>82</v>
      </c>
      <c r="L6" s="16" t="s">
        <v>83</v>
      </c>
      <c r="M6" s="16" t="s">
        <v>84</v>
      </c>
      <c r="N6" s="16" t="s">
        <v>85</v>
      </c>
      <c r="O6" s="16" t="s">
        <v>64</v>
      </c>
      <c r="P6" s="16" t="s">
        <v>65</v>
      </c>
      <c r="Q6" s="1" t="s">
        <v>86</v>
      </c>
      <c r="R6" s="1" t="s">
        <v>86</v>
      </c>
      <c r="S6" s="17">
        <v>0</v>
      </c>
      <c r="T6" s="17">
        <v>19257.310000000001</v>
      </c>
      <c r="U6" s="17">
        <v>0</v>
      </c>
      <c r="V6" s="17"/>
      <c r="W6" s="17">
        <v>164.36</v>
      </c>
      <c r="X6" s="17">
        <v>16436.759999999998</v>
      </c>
      <c r="Y6" s="17"/>
      <c r="Z6" s="18" t="e">
        <f t="shared" si="1"/>
        <v>#DIV/0!</v>
      </c>
      <c r="AA6" s="19">
        <v>0.15</v>
      </c>
      <c r="AB6" s="17">
        <f t="shared" si="2"/>
        <v>2465.5139999999997</v>
      </c>
      <c r="AC6" s="17">
        <v>0</v>
      </c>
      <c r="AD6" s="17">
        <v>0</v>
      </c>
      <c r="AE6" s="17">
        <f t="shared" si="4"/>
        <v>2465.5139999999997</v>
      </c>
      <c r="AF6" s="17">
        <f t="shared" si="5"/>
        <v>394.48223999999993</v>
      </c>
      <c r="AG6" s="17">
        <f t="shared" si="6"/>
        <v>2859.9962399999995</v>
      </c>
      <c r="AH6" s="17">
        <f t="shared" si="7"/>
        <v>49.310279999999992</v>
      </c>
      <c r="AI6" s="17">
        <v>0</v>
      </c>
      <c r="AJ6" s="17">
        <f t="shared" si="8"/>
        <v>49.310279999999992</v>
      </c>
      <c r="AK6" s="20" t="s">
        <v>67</v>
      </c>
      <c r="AL6" s="17">
        <f t="shared" si="9"/>
        <v>2416.2037199999995</v>
      </c>
      <c r="AM6" s="17" t="s">
        <v>87</v>
      </c>
      <c r="AN6" s="21">
        <v>0.35</v>
      </c>
      <c r="AO6" s="17">
        <f t="shared" si="10"/>
        <v>845.67130199999974</v>
      </c>
      <c r="AP6" s="17"/>
      <c r="AQ6" s="16"/>
      <c r="AR6" s="17">
        <f t="shared" si="11"/>
        <v>845.67130199999974</v>
      </c>
      <c r="AS6" s="17"/>
      <c r="AT6" s="17">
        <v>2859.9962399999995</v>
      </c>
      <c r="AU6" s="17">
        <f t="shared" si="12"/>
        <v>2859.9962399999995</v>
      </c>
      <c r="AV6" s="17">
        <f t="shared" si="13"/>
        <v>0</v>
      </c>
      <c r="AW6" s="17" t="str">
        <f t="shared" si="14"/>
        <v>SUNU</v>
      </c>
      <c r="AX6" s="22">
        <v>44629</v>
      </c>
      <c r="AY6" s="22"/>
      <c r="AZ6" s="1" t="s">
        <v>68</v>
      </c>
      <c r="BA6" s="22" t="str">
        <f t="shared" si="15"/>
        <v>MARINE CARGO / GIT</v>
      </c>
      <c r="BB6" s="22"/>
      <c r="BC6" s="22"/>
      <c r="BD6" s="22"/>
    </row>
    <row r="7" spans="1:56" ht="14.25" customHeight="1" x14ac:dyDescent="0.2">
      <c r="A7" s="12" t="s">
        <v>56</v>
      </c>
      <c r="B7" s="1" t="s">
        <v>57</v>
      </c>
      <c r="C7" s="13">
        <v>44562</v>
      </c>
      <c r="D7" s="13">
        <v>44580</v>
      </c>
      <c r="E7" s="13">
        <v>44562</v>
      </c>
      <c r="F7" s="13">
        <v>44926</v>
      </c>
      <c r="G7" s="14" t="str">
        <f t="shared" si="0"/>
        <v>000-006/AIB RDC/2022</v>
      </c>
      <c r="H7" s="1">
        <v>2</v>
      </c>
      <c r="I7" s="1" t="s">
        <v>58</v>
      </c>
      <c r="J7" s="1" t="s">
        <v>88</v>
      </c>
      <c r="K7" s="1" t="s">
        <v>60</v>
      </c>
      <c r="L7" s="16" t="s">
        <v>61</v>
      </c>
      <c r="M7" s="16" t="s">
        <v>62</v>
      </c>
      <c r="N7" s="16" t="s">
        <v>63</v>
      </c>
      <c r="O7" s="16" t="s">
        <v>89</v>
      </c>
      <c r="P7" s="16" t="s">
        <v>90</v>
      </c>
      <c r="Q7" s="16" t="s">
        <v>66</v>
      </c>
      <c r="R7" s="16" t="s">
        <v>66</v>
      </c>
      <c r="S7" s="17">
        <v>1000000</v>
      </c>
      <c r="T7" s="17">
        <v>9200.86</v>
      </c>
      <c r="U7" s="17">
        <v>0</v>
      </c>
      <c r="V7" s="17"/>
      <c r="W7" s="17">
        <v>235.41</v>
      </c>
      <c r="X7" s="17">
        <v>8965.4500000000007</v>
      </c>
      <c r="Y7" s="17">
        <v>0</v>
      </c>
      <c r="Z7" s="18">
        <f t="shared" si="1"/>
        <v>9.2008599999999999E-3</v>
      </c>
      <c r="AA7" s="19">
        <v>0.1</v>
      </c>
      <c r="AB7" s="17">
        <f t="shared" si="2"/>
        <v>896.54500000000007</v>
      </c>
      <c r="AC7" s="17">
        <v>0</v>
      </c>
      <c r="AD7" s="17">
        <v>0</v>
      </c>
      <c r="AE7" s="17">
        <f t="shared" si="4"/>
        <v>896.54500000000007</v>
      </c>
      <c r="AF7" s="17">
        <f t="shared" si="5"/>
        <v>143.44720000000001</v>
      </c>
      <c r="AG7" s="17">
        <f t="shared" si="6"/>
        <v>1039.9922000000001</v>
      </c>
      <c r="AH7" s="17">
        <f t="shared" si="7"/>
        <v>17.930900000000001</v>
      </c>
      <c r="AI7" s="17">
        <v>0</v>
      </c>
      <c r="AJ7" s="17">
        <f t="shared" si="8"/>
        <v>17.930900000000001</v>
      </c>
      <c r="AK7" s="20" t="s">
        <v>67</v>
      </c>
      <c r="AL7" s="17">
        <f t="shared" si="9"/>
        <v>878.61410000000012</v>
      </c>
      <c r="AM7" s="17"/>
      <c r="AN7" s="21"/>
      <c r="AO7" s="17">
        <f t="shared" si="10"/>
        <v>0</v>
      </c>
      <c r="AP7" s="17"/>
      <c r="AQ7" s="16"/>
      <c r="AR7" s="17">
        <f t="shared" si="11"/>
        <v>0</v>
      </c>
      <c r="AS7" s="17"/>
      <c r="AT7" s="17">
        <v>1039.9922000000001</v>
      </c>
      <c r="AU7" s="17">
        <f t="shared" si="12"/>
        <v>1039.9922000000001</v>
      </c>
      <c r="AV7" s="17">
        <f t="shared" si="13"/>
        <v>0</v>
      </c>
      <c r="AW7" s="17" t="str">
        <f t="shared" si="14"/>
        <v>ACTIVA</v>
      </c>
      <c r="AX7" s="22">
        <v>44643</v>
      </c>
      <c r="AY7" s="22"/>
      <c r="AZ7" s="1" t="s">
        <v>68</v>
      </c>
      <c r="BA7" s="22" t="str">
        <f t="shared" si="15"/>
        <v>GENERAL LIABILITY</v>
      </c>
      <c r="BB7" s="22"/>
      <c r="BC7" s="22"/>
      <c r="BD7" s="22"/>
    </row>
    <row r="8" spans="1:56" ht="14.25" customHeight="1" x14ac:dyDescent="0.2">
      <c r="A8" s="12" t="s">
        <v>56</v>
      </c>
      <c r="B8" s="1" t="s">
        <v>57</v>
      </c>
      <c r="C8" s="13">
        <v>44749</v>
      </c>
      <c r="D8" s="13">
        <v>44562</v>
      </c>
      <c r="E8" s="13">
        <v>44562</v>
      </c>
      <c r="F8" s="13">
        <v>44926</v>
      </c>
      <c r="G8" s="14" t="str">
        <f t="shared" si="0"/>
        <v>000-007/AIB RDC/2022</v>
      </c>
      <c r="H8" s="1">
        <v>2</v>
      </c>
      <c r="I8" s="1" t="s">
        <v>91</v>
      </c>
      <c r="J8" s="1" t="s">
        <v>92</v>
      </c>
      <c r="K8" s="16" t="s">
        <v>93</v>
      </c>
      <c r="L8" s="16" t="s">
        <v>94</v>
      </c>
      <c r="M8" s="16" t="s">
        <v>95</v>
      </c>
      <c r="N8" s="16" t="s">
        <v>96</v>
      </c>
      <c r="O8" s="16" t="s">
        <v>97</v>
      </c>
      <c r="P8" s="16" t="s">
        <v>98</v>
      </c>
      <c r="Q8" s="1" t="s">
        <v>99</v>
      </c>
      <c r="R8" s="1" t="s">
        <v>99</v>
      </c>
      <c r="S8" s="17"/>
      <c r="T8" s="17">
        <v>2755</v>
      </c>
      <c r="U8" s="17">
        <v>0</v>
      </c>
      <c r="V8" s="17"/>
      <c r="W8" s="17"/>
      <c r="X8" s="17">
        <v>1948.84</v>
      </c>
      <c r="Y8" s="17"/>
      <c r="Z8" s="18" t="e">
        <f t="shared" si="1"/>
        <v>#DIV/0!</v>
      </c>
      <c r="AA8" s="19">
        <v>0.05</v>
      </c>
      <c r="AB8" s="17">
        <f t="shared" si="2"/>
        <v>97.442000000000007</v>
      </c>
      <c r="AC8" s="17">
        <v>0</v>
      </c>
      <c r="AD8" s="17">
        <v>0</v>
      </c>
      <c r="AE8" s="17">
        <f t="shared" si="4"/>
        <v>97.442000000000007</v>
      </c>
      <c r="AF8" s="17">
        <v>0</v>
      </c>
      <c r="AG8" s="17">
        <f t="shared" si="6"/>
        <v>97.442000000000007</v>
      </c>
      <c r="AH8" s="17">
        <f t="shared" si="7"/>
        <v>1.9488400000000001</v>
      </c>
      <c r="AI8" s="17">
        <v>0</v>
      </c>
      <c r="AJ8" s="17">
        <f t="shared" si="8"/>
        <v>1.9488400000000001</v>
      </c>
      <c r="AK8" s="20"/>
      <c r="AL8" s="17">
        <f t="shared" si="9"/>
        <v>95.493160000000003</v>
      </c>
      <c r="AM8" s="17"/>
      <c r="AN8" s="21"/>
      <c r="AO8" s="17">
        <f t="shared" si="10"/>
        <v>0</v>
      </c>
      <c r="AP8" s="17"/>
      <c r="AQ8" s="16"/>
      <c r="AR8" s="17">
        <f t="shared" si="11"/>
        <v>0</v>
      </c>
      <c r="AS8" s="17"/>
      <c r="AT8" s="17">
        <v>97.442000000000007</v>
      </c>
      <c r="AU8" s="17">
        <f t="shared" si="12"/>
        <v>97.442000000000007</v>
      </c>
      <c r="AV8" s="17">
        <f t="shared" si="13"/>
        <v>0</v>
      </c>
      <c r="AW8" s="17" t="str">
        <f t="shared" si="14"/>
        <v>ACTIVA/GGA</v>
      </c>
      <c r="AX8" s="22">
        <v>44714</v>
      </c>
      <c r="AY8" s="22"/>
      <c r="AZ8" s="1" t="s">
        <v>100</v>
      </c>
      <c r="BA8" s="22" t="str">
        <f t="shared" si="15"/>
        <v>MEDICAL</v>
      </c>
      <c r="BB8" s="22"/>
      <c r="BC8" s="22"/>
      <c r="BD8" s="22"/>
    </row>
    <row r="9" spans="1:56" ht="14.25" customHeight="1" x14ac:dyDescent="0.2">
      <c r="A9" s="12" t="s">
        <v>56</v>
      </c>
      <c r="B9" s="1" t="s">
        <v>57</v>
      </c>
      <c r="C9" s="13">
        <v>44562</v>
      </c>
      <c r="D9" s="13">
        <v>44574</v>
      </c>
      <c r="E9" s="13">
        <v>44562</v>
      </c>
      <c r="F9" s="13">
        <v>44926</v>
      </c>
      <c r="G9" s="14" t="str">
        <f t="shared" si="0"/>
        <v>000-008/AIB RDC/2022</v>
      </c>
      <c r="H9" s="1">
        <v>1</v>
      </c>
      <c r="I9" s="1" t="s">
        <v>91</v>
      </c>
      <c r="J9" s="1" t="s">
        <v>92</v>
      </c>
      <c r="K9" s="16" t="s">
        <v>101</v>
      </c>
      <c r="L9" s="16" t="s">
        <v>94</v>
      </c>
      <c r="M9" s="16" t="s">
        <v>95</v>
      </c>
      <c r="N9" s="16" t="s">
        <v>102</v>
      </c>
      <c r="O9" s="16" t="s">
        <v>97</v>
      </c>
      <c r="P9" s="16" t="s">
        <v>98</v>
      </c>
      <c r="Q9" s="1" t="s">
        <v>99</v>
      </c>
      <c r="R9" s="1" t="s">
        <v>99</v>
      </c>
      <c r="S9" s="17">
        <v>20000</v>
      </c>
      <c r="T9" s="17">
        <v>1730</v>
      </c>
      <c r="U9" s="17"/>
      <c r="V9" s="17"/>
      <c r="W9" s="17"/>
      <c r="X9" s="17">
        <v>1223.1600000000001</v>
      </c>
      <c r="Y9" s="17"/>
      <c r="Z9" s="18">
        <f t="shared" si="1"/>
        <v>8.6499999999999994E-2</v>
      </c>
      <c r="AA9" s="19">
        <v>0.05</v>
      </c>
      <c r="AB9" s="17">
        <f t="shared" si="2"/>
        <v>61.158000000000008</v>
      </c>
      <c r="AC9" s="17">
        <v>0</v>
      </c>
      <c r="AD9" s="17">
        <v>0</v>
      </c>
      <c r="AE9" s="17">
        <f t="shared" si="4"/>
        <v>61.158000000000008</v>
      </c>
      <c r="AF9" s="17">
        <v>0</v>
      </c>
      <c r="AG9" s="17">
        <f t="shared" si="6"/>
        <v>61.158000000000008</v>
      </c>
      <c r="AH9" s="17">
        <f t="shared" si="7"/>
        <v>1.2231600000000002</v>
      </c>
      <c r="AI9" s="17">
        <v>0</v>
      </c>
      <c r="AJ9" s="17">
        <f t="shared" si="8"/>
        <v>1.2231600000000002</v>
      </c>
      <c r="AK9" s="20"/>
      <c r="AL9" s="17">
        <f t="shared" si="9"/>
        <v>59.934840000000008</v>
      </c>
      <c r="AM9" s="17"/>
      <c r="AN9" s="21"/>
      <c r="AO9" s="17">
        <f t="shared" si="10"/>
        <v>0</v>
      </c>
      <c r="AP9" s="17"/>
      <c r="AQ9" s="16"/>
      <c r="AR9" s="17">
        <f t="shared" si="11"/>
        <v>0</v>
      </c>
      <c r="AS9" s="17"/>
      <c r="AT9" s="17">
        <v>61.158000000000008</v>
      </c>
      <c r="AU9" s="17">
        <f t="shared" si="12"/>
        <v>61.158000000000008</v>
      </c>
      <c r="AV9" s="17">
        <f t="shared" si="13"/>
        <v>0</v>
      </c>
      <c r="AW9" s="17" t="str">
        <f t="shared" si="14"/>
        <v>ACTIVA/GGA</v>
      </c>
      <c r="AX9" s="22">
        <v>44714</v>
      </c>
      <c r="AY9" s="22"/>
      <c r="AZ9" s="1" t="s">
        <v>100</v>
      </c>
      <c r="BA9" s="22" t="str">
        <f t="shared" si="15"/>
        <v>MEDICAL</v>
      </c>
      <c r="BB9" s="22"/>
      <c r="BC9" s="22"/>
      <c r="BD9" s="22"/>
    </row>
    <row r="10" spans="1:56" ht="14.25" customHeight="1" x14ac:dyDescent="0.2">
      <c r="A10" s="12" t="s">
        <v>56</v>
      </c>
      <c r="B10" s="1" t="s">
        <v>57</v>
      </c>
      <c r="C10" s="13">
        <v>44562</v>
      </c>
      <c r="D10" s="13">
        <v>44562</v>
      </c>
      <c r="E10" s="13">
        <v>44562</v>
      </c>
      <c r="F10" s="13">
        <v>44592</v>
      </c>
      <c r="G10" s="14" t="str">
        <f t="shared" si="0"/>
        <v>000-009/AIB RDC/2022</v>
      </c>
      <c r="H10" s="1">
        <v>0</v>
      </c>
      <c r="I10" s="1" t="s">
        <v>74</v>
      </c>
      <c r="J10" s="1" t="s">
        <v>103</v>
      </c>
      <c r="K10" s="16" t="s">
        <v>104</v>
      </c>
      <c r="L10" s="16"/>
      <c r="M10" s="16" t="s">
        <v>105</v>
      </c>
      <c r="N10" s="16" t="s">
        <v>106</v>
      </c>
      <c r="O10" s="16" t="s">
        <v>64</v>
      </c>
      <c r="P10" s="16" t="s">
        <v>65</v>
      </c>
      <c r="Q10" s="16" t="s">
        <v>107</v>
      </c>
      <c r="R10" s="16" t="s">
        <v>107</v>
      </c>
      <c r="S10" s="17">
        <v>1050</v>
      </c>
      <c r="T10" s="17">
        <v>129.80000000000001</v>
      </c>
      <c r="U10" s="17">
        <v>0</v>
      </c>
      <c r="V10" s="17"/>
      <c r="W10" s="17">
        <v>10</v>
      </c>
      <c r="X10" s="17">
        <v>100</v>
      </c>
      <c r="Y10" s="17"/>
      <c r="Z10" s="18">
        <f t="shared" si="1"/>
        <v>0.12361904761904763</v>
      </c>
      <c r="AA10" s="19">
        <v>0.15</v>
      </c>
      <c r="AB10" s="17">
        <f t="shared" si="2"/>
        <v>15</v>
      </c>
      <c r="AC10" s="17">
        <v>0</v>
      </c>
      <c r="AD10" s="17">
        <v>0</v>
      </c>
      <c r="AE10" s="17">
        <f t="shared" si="4"/>
        <v>15</v>
      </c>
      <c r="AF10" s="17">
        <f>16%*AE10</f>
        <v>2.4</v>
      </c>
      <c r="AG10" s="17">
        <f t="shared" si="6"/>
        <v>17.399999999999999</v>
      </c>
      <c r="AH10" s="17">
        <f t="shared" si="7"/>
        <v>0.3</v>
      </c>
      <c r="AI10" s="17">
        <v>0</v>
      </c>
      <c r="AJ10" s="17">
        <f t="shared" si="8"/>
        <v>0.3</v>
      </c>
      <c r="AK10" s="20" t="s">
        <v>67</v>
      </c>
      <c r="AL10" s="17">
        <f t="shared" si="9"/>
        <v>14.7</v>
      </c>
      <c r="AM10" s="17" t="s">
        <v>108</v>
      </c>
      <c r="AN10" s="21">
        <v>0.4</v>
      </c>
      <c r="AO10" s="17">
        <f t="shared" si="10"/>
        <v>5.88</v>
      </c>
      <c r="AP10" s="17">
        <v>5.88</v>
      </c>
      <c r="AQ10" s="16">
        <v>44834</v>
      </c>
      <c r="AR10" s="17">
        <f t="shared" si="11"/>
        <v>0</v>
      </c>
      <c r="AS10" s="17" t="s">
        <v>109</v>
      </c>
      <c r="AT10" s="17">
        <v>17.399999999999999</v>
      </c>
      <c r="AU10" s="17">
        <f t="shared" si="12"/>
        <v>17.399999999999999</v>
      </c>
      <c r="AV10" s="17">
        <f t="shared" si="13"/>
        <v>0</v>
      </c>
      <c r="AW10" s="17" t="str">
        <f t="shared" si="14"/>
        <v>RAWSUR</v>
      </c>
      <c r="AX10" s="22">
        <v>44635</v>
      </c>
      <c r="AY10" s="22"/>
      <c r="AZ10" s="1" t="s">
        <v>110</v>
      </c>
      <c r="BA10" s="22" t="str">
        <f t="shared" si="15"/>
        <v>MARINE CARGO / GIT</v>
      </c>
      <c r="BB10" s="22"/>
      <c r="BC10" s="22"/>
      <c r="BD10" s="22"/>
    </row>
    <row r="11" spans="1:56" ht="14.25" customHeight="1" x14ac:dyDescent="0.2">
      <c r="A11" s="12" t="s">
        <v>56</v>
      </c>
      <c r="B11" s="1" t="s">
        <v>57</v>
      </c>
      <c r="C11" s="13">
        <v>44749</v>
      </c>
      <c r="D11" s="13">
        <v>44575</v>
      </c>
      <c r="E11" s="13">
        <v>44562</v>
      </c>
      <c r="F11" s="13">
        <v>45658</v>
      </c>
      <c r="G11" s="14" t="str">
        <f t="shared" si="0"/>
        <v>000-010/AIB RDC/2022</v>
      </c>
      <c r="H11" s="1">
        <v>0</v>
      </c>
      <c r="I11" s="1" t="s">
        <v>74</v>
      </c>
      <c r="J11" s="1" t="s">
        <v>111</v>
      </c>
      <c r="K11" s="16" t="s">
        <v>112</v>
      </c>
      <c r="L11" s="16" t="s">
        <v>94</v>
      </c>
      <c r="M11" s="16" t="s">
        <v>95</v>
      </c>
      <c r="N11" s="16" t="s">
        <v>102</v>
      </c>
      <c r="O11" s="16" t="s">
        <v>113</v>
      </c>
      <c r="P11" s="16" t="s">
        <v>113</v>
      </c>
      <c r="Q11" s="16" t="s">
        <v>114</v>
      </c>
      <c r="R11" s="1" t="s">
        <v>114</v>
      </c>
      <c r="S11" s="17">
        <v>17500</v>
      </c>
      <c r="T11" s="17">
        <v>250</v>
      </c>
      <c r="U11" s="17">
        <v>0</v>
      </c>
      <c r="V11" s="17"/>
      <c r="W11" s="17"/>
      <c r="X11" s="17">
        <v>247.52</v>
      </c>
      <c r="Y11" s="17"/>
      <c r="Z11" s="18">
        <f t="shared" si="1"/>
        <v>1.4285714285714285E-2</v>
      </c>
      <c r="AA11" s="19">
        <v>0.1</v>
      </c>
      <c r="AB11" s="17">
        <f t="shared" si="2"/>
        <v>24.752000000000002</v>
      </c>
      <c r="AC11" s="17">
        <v>0</v>
      </c>
      <c r="AD11" s="17">
        <v>0</v>
      </c>
      <c r="AE11" s="17">
        <f t="shared" si="4"/>
        <v>24.752000000000002</v>
      </c>
      <c r="AF11" s="17">
        <v>0</v>
      </c>
      <c r="AG11" s="17">
        <f t="shared" si="6"/>
        <v>24.752000000000002</v>
      </c>
      <c r="AH11" s="17">
        <f>1%*AE11</f>
        <v>0.24752000000000002</v>
      </c>
      <c r="AI11" s="17">
        <v>0</v>
      </c>
      <c r="AJ11" s="17">
        <f t="shared" si="8"/>
        <v>0.24752000000000002</v>
      </c>
      <c r="AK11" s="20"/>
      <c r="AL11" s="17">
        <f t="shared" si="9"/>
        <v>24.504480000000001</v>
      </c>
      <c r="AM11" s="17"/>
      <c r="AN11" s="21"/>
      <c r="AO11" s="17">
        <f t="shared" si="10"/>
        <v>0</v>
      </c>
      <c r="AP11" s="17"/>
      <c r="AQ11" s="16"/>
      <c r="AR11" s="17">
        <f t="shared" si="11"/>
        <v>0</v>
      </c>
      <c r="AS11" s="17"/>
      <c r="AT11" s="17">
        <v>24.752000000000002</v>
      </c>
      <c r="AU11" s="17">
        <f t="shared" si="12"/>
        <v>24.752000000000002</v>
      </c>
      <c r="AV11" s="17">
        <f t="shared" si="13"/>
        <v>0</v>
      </c>
      <c r="AW11" s="17" t="str">
        <f t="shared" si="14"/>
        <v>RAWSUR - LIFE</v>
      </c>
      <c r="AX11" s="22">
        <v>44747</v>
      </c>
      <c r="AY11" s="22"/>
      <c r="AZ11" s="22"/>
      <c r="BA11" s="22" t="str">
        <f t="shared" si="15"/>
        <v>LIFE</v>
      </c>
      <c r="BB11" s="22"/>
      <c r="BC11" s="22"/>
      <c r="BD11" s="22"/>
    </row>
    <row r="12" spans="1:56" ht="14.25" customHeight="1" x14ac:dyDescent="0.2">
      <c r="A12" s="1" t="s">
        <v>773</v>
      </c>
      <c r="B12" s="1" t="s">
        <v>57</v>
      </c>
      <c r="C12" s="13">
        <v>44799</v>
      </c>
      <c r="D12" s="13">
        <v>44813</v>
      </c>
      <c r="E12" s="13">
        <v>44805</v>
      </c>
      <c r="F12" s="13">
        <v>45169</v>
      </c>
      <c r="G12" s="14" t="str">
        <f t="shared" ref="G12:G75" si="16">TEXT(ROW(G12)-1,"000-000") &amp; "/AIB RDC/2022"</f>
        <v>000-011/AIB RDC/2022</v>
      </c>
      <c r="H12" s="1">
        <v>0</v>
      </c>
      <c r="I12" s="1" t="s">
        <v>74</v>
      </c>
      <c r="J12" s="1" t="s">
        <v>904</v>
      </c>
      <c r="K12" s="1" t="s">
        <v>905</v>
      </c>
      <c r="L12" s="1"/>
      <c r="M12" s="16" t="s">
        <v>84</v>
      </c>
      <c r="N12" s="1" t="s">
        <v>102</v>
      </c>
      <c r="O12" s="1" t="s">
        <v>172</v>
      </c>
      <c r="P12" s="1" t="s">
        <v>90</v>
      </c>
      <c r="Q12" s="1" t="s">
        <v>107</v>
      </c>
      <c r="R12" s="1" t="s">
        <v>107</v>
      </c>
      <c r="S12" s="17">
        <v>0</v>
      </c>
      <c r="T12" s="17">
        <v>4130</v>
      </c>
      <c r="U12" s="17">
        <v>0</v>
      </c>
      <c r="V12" s="17">
        <v>0</v>
      </c>
      <c r="W12" s="17">
        <v>100</v>
      </c>
      <c r="X12" s="17">
        <v>3400</v>
      </c>
      <c r="Y12" s="17">
        <v>560</v>
      </c>
      <c r="Z12" s="18" t="e">
        <f t="shared" ref="Z12:Z75" si="17">T12/S12</f>
        <v>#DIV/0!</v>
      </c>
      <c r="AA12" s="19">
        <v>0.15</v>
      </c>
      <c r="AB12" s="17">
        <f>(AA12*X12)</f>
        <v>510</v>
      </c>
      <c r="AC12" s="34"/>
      <c r="AD12" s="34"/>
      <c r="AE12" s="17">
        <f t="shared" ref="AE12:AE75" si="18">SUM(AB12:AD12)</f>
        <v>510</v>
      </c>
      <c r="AF12" s="17">
        <f>16%*AE12</f>
        <v>81.600000000000009</v>
      </c>
      <c r="AG12" s="17">
        <f t="shared" ref="AG12:AG75" si="19">AF12+AE12</f>
        <v>591.6</v>
      </c>
      <c r="AH12" s="17">
        <f t="shared" ref="AH12:AH35" si="20">2%*AE12</f>
        <v>10.200000000000001</v>
      </c>
      <c r="AI12" s="27"/>
      <c r="AJ12" s="17">
        <f t="shared" ref="AJ12:AJ75" si="21">AH12-AI12</f>
        <v>10.200000000000001</v>
      </c>
      <c r="AK12" s="20"/>
      <c r="AL12" s="17">
        <f t="shared" ref="AL12:AL75" si="22">AE12-AH12</f>
        <v>499.8</v>
      </c>
      <c r="AM12" s="17"/>
      <c r="AN12" s="21"/>
      <c r="AO12" s="17">
        <f t="shared" ref="AO12:AO75" si="23">AL12*AN12</f>
        <v>0</v>
      </c>
      <c r="AP12" s="27"/>
      <c r="AQ12" s="16"/>
      <c r="AR12" s="17">
        <f t="shared" ref="AR12:AR58" si="24">AO12-AP12</f>
        <v>0</v>
      </c>
      <c r="AS12" s="17"/>
      <c r="AT12" s="17">
        <v>295.8</v>
      </c>
      <c r="AU12" s="17">
        <f t="shared" ref="AU12:AU75" si="25">AG12</f>
        <v>591.6</v>
      </c>
      <c r="AV12" s="84">
        <f t="shared" ref="AV12:AV75" si="26">AU12-AT12</f>
        <v>295.8</v>
      </c>
      <c r="AW12" s="17" t="str">
        <f t="shared" ref="AW12:AW43" si="27">Q12</f>
        <v>RAWSUR</v>
      </c>
      <c r="AX12" s="22">
        <v>44869</v>
      </c>
      <c r="AY12" s="22"/>
      <c r="AZ12" s="1"/>
      <c r="BA12" s="22" t="str">
        <f t="shared" ref="BA12:BA75" si="28">O12</f>
        <v>PUBLIC LIABILITY</v>
      </c>
      <c r="BB12" s="54"/>
      <c r="BC12" s="22"/>
      <c r="BD12" s="1" t="s">
        <v>549</v>
      </c>
    </row>
    <row r="13" spans="1:56" ht="14.25" customHeight="1" x14ac:dyDescent="0.2">
      <c r="A13" s="12" t="s">
        <v>56</v>
      </c>
      <c r="B13" s="1" t="s">
        <v>57</v>
      </c>
      <c r="C13" s="13">
        <v>44562</v>
      </c>
      <c r="D13" s="13">
        <v>44575</v>
      </c>
      <c r="E13" s="13">
        <v>44562</v>
      </c>
      <c r="F13" s="13">
        <v>44926</v>
      </c>
      <c r="G13" s="14" t="str">
        <f t="shared" si="16"/>
        <v>000-012/AIB RDC/2022</v>
      </c>
      <c r="H13" s="1">
        <v>0</v>
      </c>
      <c r="I13" s="1" t="s">
        <v>74</v>
      </c>
      <c r="J13" s="1" t="s">
        <v>92</v>
      </c>
      <c r="K13" s="16" t="s">
        <v>120</v>
      </c>
      <c r="L13" s="16"/>
      <c r="M13" s="16" t="s">
        <v>95</v>
      </c>
      <c r="N13" s="16" t="s">
        <v>102</v>
      </c>
      <c r="O13" s="1" t="s">
        <v>97</v>
      </c>
      <c r="P13" s="1" t="s">
        <v>98</v>
      </c>
      <c r="Q13" s="1" t="s">
        <v>99</v>
      </c>
      <c r="R13" s="1" t="s">
        <v>99</v>
      </c>
      <c r="S13" s="17">
        <v>460000</v>
      </c>
      <c r="T13" s="17">
        <v>14265</v>
      </c>
      <c r="U13" s="17">
        <v>0</v>
      </c>
      <c r="V13" s="17">
        <v>0</v>
      </c>
      <c r="W13" s="17">
        <v>0</v>
      </c>
      <c r="X13" s="17">
        <v>10119.94</v>
      </c>
      <c r="Y13" s="17">
        <v>0</v>
      </c>
      <c r="Z13" s="18">
        <f t="shared" si="17"/>
        <v>3.101086956521739E-2</v>
      </c>
      <c r="AA13" s="19">
        <v>0.05</v>
      </c>
      <c r="AB13" s="17">
        <f>AA13*X13</f>
        <v>505.99700000000007</v>
      </c>
      <c r="AC13" s="17">
        <v>0</v>
      </c>
      <c r="AD13" s="17">
        <v>0</v>
      </c>
      <c r="AE13" s="17">
        <f t="shared" si="18"/>
        <v>505.99700000000007</v>
      </c>
      <c r="AF13" s="17">
        <v>0</v>
      </c>
      <c r="AG13" s="17">
        <f t="shared" si="19"/>
        <v>505.99700000000007</v>
      </c>
      <c r="AH13" s="17">
        <f t="shared" si="20"/>
        <v>10.119940000000001</v>
      </c>
      <c r="AI13" s="17">
        <v>0</v>
      </c>
      <c r="AJ13" s="17">
        <f t="shared" si="21"/>
        <v>10.119940000000001</v>
      </c>
      <c r="AK13" s="20"/>
      <c r="AL13" s="17">
        <f t="shared" si="22"/>
        <v>495.87706000000009</v>
      </c>
      <c r="AM13" s="17" t="s">
        <v>87</v>
      </c>
      <c r="AN13" s="21">
        <v>0.35</v>
      </c>
      <c r="AO13" s="17">
        <f t="shared" si="23"/>
        <v>173.55697100000003</v>
      </c>
      <c r="AP13" s="17"/>
      <c r="AQ13" s="16"/>
      <c r="AR13" s="17">
        <f t="shared" si="24"/>
        <v>173.55697100000003</v>
      </c>
      <c r="AS13" s="17"/>
      <c r="AT13" s="17">
        <v>505.99700000000007</v>
      </c>
      <c r="AU13" s="17">
        <f t="shared" si="25"/>
        <v>505.99700000000007</v>
      </c>
      <c r="AV13" s="17">
        <f t="shared" si="26"/>
        <v>0</v>
      </c>
      <c r="AW13" s="17" t="str">
        <f t="shared" si="27"/>
        <v>ACTIVA/GGA</v>
      </c>
      <c r="AX13" s="22">
        <v>44714</v>
      </c>
      <c r="AY13" s="22"/>
      <c r="AZ13" s="1" t="s">
        <v>68</v>
      </c>
      <c r="BA13" s="22" t="str">
        <f t="shared" si="28"/>
        <v>MEDICAL</v>
      </c>
      <c r="BB13" s="22"/>
      <c r="BC13" s="22"/>
      <c r="BD13" s="22"/>
    </row>
    <row r="14" spans="1:56" ht="14.25" customHeight="1" x14ac:dyDescent="0.2">
      <c r="A14" s="12" t="s">
        <v>56</v>
      </c>
      <c r="B14" s="1" t="s">
        <v>57</v>
      </c>
      <c r="C14" s="13">
        <v>44562</v>
      </c>
      <c r="D14" s="13">
        <v>44558</v>
      </c>
      <c r="E14" s="13">
        <v>44562</v>
      </c>
      <c r="F14" s="13">
        <v>44926</v>
      </c>
      <c r="G14" s="14" t="str">
        <f t="shared" si="16"/>
        <v>000-013/AIB RDC/2022</v>
      </c>
      <c r="H14" s="1">
        <v>9</v>
      </c>
      <c r="I14" s="1" t="s">
        <v>58</v>
      </c>
      <c r="J14" s="1" t="s">
        <v>121</v>
      </c>
      <c r="K14" s="1" t="s">
        <v>122</v>
      </c>
      <c r="L14" s="16" t="s">
        <v>123</v>
      </c>
      <c r="M14" s="16" t="s">
        <v>95</v>
      </c>
      <c r="N14" s="16" t="s">
        <v>102</v>
      </c>
      <c r="O14" s="16" t="s">
        <v>73</v>
      </c>
      <c r="P14" s="16" t="s">
        <v>73</v>
      </c>
      <c r="Q14" s="16" t="s">
        <v>66</v>
      </c>
      <c r="R14" s="16" t="s">
        <v>66</v>
      </c>
      <c r="S14" s="17"/>
      <c r="T14" s="17">
        <v>6999.11</v>
      </c>
      <c r="U14" s="17">
        <v>0</v>
      </c>
      <c r="V14" s="17"/>
      <c r="W14" s="17">
        <v>59.74</v>
      </c>
      <c r="X14" s="17">
        <v>5974.04</v>
      </c>
      <c r="Y14" s="17"/>
      <c r="Z14" s="18" t="e">
        <f t="shared" si="17"/>
        <v>#DIV/0!</v>
      </c>
      <c r="AA14" s="19">
        <v>0.11114086949534989</v>
      </c>
      <c r="AB14" s="17">
        <f>AA14*X14</f>
        <v>663.96</v>
      </c>
      <c r="AC14" s="17">
        <v>0</v>
      </c>
      <c r="AD14" s="17">
        <v>0</v>
      </c>
      <c r="AE14" s="17">
        <f t="shared" si="18"/>
        <v>663.96</v>
      </c>
      <c r="AF14" s="17">
        <f t="shared" ref="AF14:AF35" si="29">16%*AE14</f>
        <v>106.23360000000001</v>
      </c>
      <c r="AG14" s="17">
        <f t="shared" si="19"/>
        <v>770.19360000000006</v>
      </c>
      <c r="AH14" s="17">
        <f t="shared" si="20"/>
        <v>13.279200000000001</v>
      </c>
      <c r="AI14" s="17">
        <v>0</v>
      </c>
      <c r="AJ14" s="17">
        <f t="shared" si="21"/>
        <v>13.279200000000001</v>
      </c>
      <c r="AK14" s="20" t="s">
        <v>124</v>
      </c>
      <c r="AL14" s="17">
        <f t="shared" si="22"/>
        <v>650.68080000000009</v>
      </c>
      <c r="AM14" s="17" t="s">
        <v>87</v>
      </c>
      <c r="AN14" s="21">
        <v>0.35</v>
      </c>
      <c r="AO14" s="17">
        <f t="shared" si="23"/>
        <v>227.73828</v>
      </c>
      <c r="AP14" s="17">
        <v>227.73828</v>
      </c>
      <c r="AQ14" s="16">
        <v>44643</v>
      </c>
      <c r="AR14" s="17">
        <f t="shared" si="24"/>
        <v>0</v>
      </c>
      <c r="AS14" s="17" t="s">
        <v>125</v>
      </c>
      <c r="AT14" s="17">
        <v>770.19360000000006</v>
      </c>
      <c r="AU14" s="17">
        <f t="shared" si="25"/>
        <v>770.19360000000006</v>
      </c>
      <c r="AV14" s="17">
        <f t="shared" si="26"/>
        <v>0</v>
      </c>
      <c r="AW14" s="17" t="str">
        <f t="shared" si="27"/>
        <v>ACTIVA</v>
      </c>
      <c r="AX14" s="22">
        <v>44601</v>
      </c>
      <c r="AY14" s="22"/>
      <c r="AZ14" s="1" t="s">
        <v>68</v>
      </c>
      <c r="BA14" s="22" t="str">
        <f t="shared" si="28"/>
        <v>MOTOR TPL</v>
      </c>
      <c r="BB14" s="22"/>
      <c r="BC14" s="22"/>
      <c r="BD14" s="22"/>
    </row>
    <row r="15" spans="1:56" ht="14.25" customHeight="1" x14ac:dyDescent="0.2">
      <c r="A15" s="12" t="s">
        <v>56</v>
      </c>
      <c r="B15" s="1" t="s">
        <v>57</v>
      </c>
      <c r="C15" s="13">
        <v>44562</v>
      </c>
      <c r="D15" s="13">
        <v>44560</v>
      </c>
      <c r="E15" s="13">
        <v>44562</v>
      </c>
      <c r="F15" s="13">
        <v>44926</v>
      </c>
      <c r="G15" s="14" t="str">
        <f t="shared" si="16"/>
        <v>000-014/AIB RDC/2022</v>
      </c>
      <c r="H15" s="1">
        <v>1</v>
      </c>
      <c r="I15" s="1" t="s">
        <v>58</v>
      </c>
      <c r="J15" s="1" t="s">
        <v>126</v>
      </c>
      <c r="K15" s="16" t="s">
        <v>127</v>
      </c>
      <c r="L15" s="16" t="s">
        <v>128</v>
      </c>
      <c r="M15" s="16" t="s">
        <v>84</v>
      </c>
      <c r="N15" s="16" t="s">
        <v>85</v>
      </c>
      <c r="O15" s="16" t="s">
        <v>129</v>
      </c>
      <c r="P15" s="16" t="s">
        <v>90</v>
      </c>
      <c r="Q15" s="16" t="s">
        <v>130</v>
      </c>
      <c r="R15" s="16" t="s">
        <v>80</v>
      </c>
      <c r="S15" s="17">
        <v>168918919</v>
      </c>
      <c r="T15" s="17">
        <v>3974.52</v>
      </c>
      <c r="U15" s="17">
        <v>505.24</v>
      </c>
      <c r="V15" s="17"/>
      <c r="W15" s="17">
        <v>0</v>
      </c>
      <c r="X15" s="17">
        <v>2863</v>
      </c>
      <c r="Y15" s="17"/>
      <c r="Z15" s="18">
        <f t="shared" si="17"/>
        <v>2.3529158388706005E-5</v>
      </c>
      <c r="AA15" s="19">
        <v>0</v>
      </c>
      <c r="AB15" s="17">
        <v>0</v>
      </c>
      <c r="AC15" s="17">
        <v>139.11000278</v>
      </c>
      <c r="AD15" s="17">
        <v>0</v>
      </c>
      <c r="AE15" s="17">
        <f t="shared" si="18"/>
        <v>139.11000278</v>
      </c>
      <c r="AF15" s="17">
        <f t="shared" si="29"/>
        <v>22.257600444800001</v>
      </c>
      <c r="AG15" s="17">
        <f t="shared" si="19"/>
        <v>161.36760322480001</v>
      </c>
      <c r="AH15" s="17">
        <f t="shared" si="20"/>
        <v>2.7822000556000002</v>
      </c>
      <c r="AI15" s="17">
        <v>0</v>
      </c>
      <c r="AJ15" s="17">
        <f t="shared" si="21"/>
        <v>2.7822000556000002</v>
      </c>
      <c r="AK15" s="20" t="s">
        <v>124</v>
      </c>
      <c r="AL15" s="17">
        <f t="shared" si="22"/>
        <v>136.32780272440002</v>
      </c>
      <c r="AM15" s="17" t="s">
        <v>80</v>
      </c>
      <c r="AN15" s="21">
        <v>0</v>
      </c>
      <c r="AO15" s="23">
        <f t="shared" si="23"/>
        <v>0</v>
      </c>
      <c r="AP15" s="17"/>
      <c r="AQ15" s="16"/>
      <c r="AR15" s="17">
        <f t="shared" si="24"/>
        <v>0</v>
      </c>
      <c r="AS15" s="17"/>
      <c r="AT15" s="17">
        <v>161.36760322480001</v>
      </c>
      <c r="AU15" s="17">
        <f t="shared" si="25"/>
        <v>161.36760322480001</v>
      </c>
      <c r="AV15" s="17">
        <f t="shared" si="26"/>
        <v>0</v>
      </c>
      <c r="AW15" s="17" t="str">
        <f t="shared" si="27"/>
        <v>SFA</v>
      </c>
      <c r="AX15" s="22">
        <v>44608</v>
      </c>
      <c r="AY15" s="22"/>
      <c r="AZ15" s="1" t="s">
        <v>68</v>
      </c>
      <c r="BA15" s="22" t="str">
        <f t="shared" si="28"/>
        <v>D&amp;O</v>
      </c>
      <c r="BB15" s="22"/>
      <c r="BC15" s="22"/>
      <c r="BD15" s="22"/>
    </row>
    <row r="16" spans="1:56" ht="14.25" customHeight="1" x14ac:dyDescent="0.2">
      <c r="A16" s="12" t="s">
        <v>56</v>
      </c>
      <c r="B16" s="1" t="s">
        <v>57</v>
      </c>
      <c r="C16" s="13">
        <v>44562</v>
      </c>
      <c r="D16" s="13">
        <v>44561</v>
      </c>
      <c r="E16" s="13">
        <v>44562</v>
      </c>
      <c r="F16" s="13">
        <v>44926</v>
      </c>
      <c r="G16" s="14" t="str">
        <f t="shared" si="16"/>
        <v>000-015/AIB RDC/2022</v>
      </c>
      <c r="H16" s="1">
        <v>1</v>
      </c>
      <c r="I16" s="1" t="s">
        <v>58</v>
      </c>
      <c r="J16" s="1" t="s">
        <v>131</v>
      </c>
      <c r="K16" s="16" t="s">
        <v>127</v>
      </c>
      <c r="L16" s="16" t="s">
        <v>128</v>
      </c>
      <c r="M16" s="16" t="s">
        <v>84</v>
      </c>
      <c r="N16" s="16" t="s">
        <v>85</v>
      </c>
      <c r="O16" s="16" t="s">
        <v>132</v>
      </c>
      <c r="P16" s="16" t="s">
        <v>90</v>
      </c>
      <c r="Q16" s="16" t="s">
        <v>130</v>
      </c>
      <c r="R16" s="16" t="s">
        <v>80</v>
      </c>
      <c r="S16" s="17">
        <v>162162162</v>
      </c>
      <c r="T16" s="17">
        <v>67713.95</v>
      </c>
      <c r="U16" s="17">
        <v>8607.7099999999991</v>
      </c>
      <c r="V16" s="17"/>
      <c r="W16" s="17">
        <v>0</v>
      </c>
      <c r="X16" s="17">
        <v>48777</v>
      </c>
      <c r="Y16" s="17"/>
      <c r="Z16" s="18">
        <f t="shared" si="17"/>
        <v>4.175693587509027E-4</v>
      </c>
      <c r="AA16" s="19">
        <v>0</v>
      </c>
      <c r="AB16" s="17">
        <v>0</v>
      </c>
      <c r="AC16" s="17">
        <v>2366.58</v>
      </c>
      <c r="AD16" s="17">
        <v>0</v>
      </c>
      <c r="AE16" s="17">
        <f t="shared" si="18"/>
        <v>2366.58</v>
      </c>
      <c r="AF16" s="17">
        <f t="shared" si="29"/>
        <v>378.65280000000001</v>
      </c>
      <c r="AG16" s="17">
        <f t="shared" si="19"/>
        <v>2745.2327999999998</v>
      </c>
      <c r="AH16" s="17">
        <f t="shared" si="20"/>
        <v>47.331600000000002</v>
      </c>
      <c r="AI16" s="17">
        <v>0</v>
      </c>
      <c r="AJ16" s="17">
        <f t="shared" si="21"/>
        <v>47.331600000000002</v>
      </c>
      <c r="AK16" s="20" t="s">
        <v>124</v>
      </c>
      <c r="AL16" s="17">
        <f t="shared" si="22"/>
        <v>2319.2483999999999</v>
      </c>
      <c r="AM16" s="17" t="s">
        <v>80</v>
      </c>
      <c r="AN16" s="21">
        <v>0</v>
      </c>
      <c r="AO16" s="23">
        <f t="shared" si="23"/>
        <v>0</v>
      </c>
      <c r="AP16" s="17"/>
      <c r="AQ16" s="16"/>
      <c r="AR16" s="17">
        <f t="shared" si="24"/>
        <v>0</v>
      </c>
      <c r="AS16" s="17"/>
      <c r="AT16" s="17">
        <v>2745.2327999999998</v>
      </c>
      <c r="AU16" s="17">
        <f t="shared" si="25"/>
        <v>2745.2327999999998</v>
      </c>
      <c r="AV16" s="17">
        <f t="shared" si="26"/>
        <v>0</v>
      </c>
      <c r="AW16" s="17" t="str">
        <f t="shared" si="27"/>
        <v>SFA</v>
      </c>
      <c r="AX16" s="22">
        <v>44608</v>
      </c>
      <c r="AY16" s="22"/>
      <c r="AZ16" s="1" t="s">
        <v>68</v>
      </c>
      <c r="BA16" s="22" t="str">
        <f t="shared" si="28"/>
        <v>PI</v>
      </c>
      <c r="BB16" s="22"/>
      <c r="BC16" s="22"/>
      <c r="BD16" s="22"/>
    </row>
    <row r="17" spans="1:56" ht="14.25" customHeight="1" x14ac:dyDescent="0.2">
      <c r="A17" s="12" t="s">
        <v>56</v>
      </c>
      <c r="B17" s="1" t="s">
        <v>57</v>
      </c>
      <c r="C17" s="13">
        <v>44562</v>
      </c>
      <c r="D17" s="13">
        <v>44561</v>
      </c>
      <c r="E17" s="13">
        <v>44562</v>
      </c>
      <c r="F17" s="13">
        <v>44926</v>
      </c>
      <c r="G17" s="14" t="str">
        <f t="shared" si="16"/>
        <v>000-016/AIB RDC/2022</v>
      </c>
      <c r="H17" s="1">
        <v>1</v>
      </c>
      <c r="I17" s="1" t="s">
        <v>58</v>
      </c>
      <c r="J17" s="1" t="s">
        <v>133</v>
      </c>
      <c r="K17" s="16" t="s">
        <v>127</v>
      </c>
      <c r="L17" s="16" t="s">
        <v>128</v>
      </c>
      <c r="M17" s="16" t="s">
        <v>84</v>
      </c>
      <c r="N17" s="16" t="s">
        <v>85</v>
      </c>
      <c r="O17" s="16" t="s">
        <v>134</v>
      </c>
      <c r="P17" s="16" t="s">
        <v>71</v>
      </c>
      <c r="Q17" s="16" t="s">
        <v>130</v>
      </c>
      <c r="R17" s="16" t="s">
        <v>80</v>
      </c>
      <c r="S17" s="17">
        <v>94594595</v>
      </c>
      <c r="T17" s="17">
        <v>17359.88</v>
      </c>
      <c r="U17" s="17">
        <v>2206.7600000000002</v>
      </c>
      <c r="V17" s="17"/>
      <c r="W17" s="17">
        <v>0</v>
      </c>
      <c r="X17" s="17">
        <v>12505</v>
      </c>
      <c r="Y17" s="17"/>
      <c r="Z17" s="18">
        <f t="shared" si="17"/>
        <v>1.8351873064206259E-4</v>
      </c>
      <c r="AA17" s="19">
        <v>0</v>
      </c>
      <c r="AB17" s="17">
        <v>0</v>
      </c>
      <c r="AC17" s="17">
        <v>606.72000000000082</v>
      </c>
      <c r="AD17" s="17">
        <v>0</v>
      </c>
      <c r="AE17" s="17">
        <f t="shared" si="18"/>
        <v>606.72000000000082</v>
      </c>
      <c r="AF17" s="17">
        <f t="shared" si="29"/>
        <v>97.075200000000137</v>
      </c>
      <c r="AG17" s="17">
        <f t="shared" si="19"/>
        <v>703.79520000000093</v>
      </c>
      <c r="AH17" s="17">
        <f t="shared" si="20"/>
        <v>12.134400000000017</v>
      </c>
      <c r="AI17" s="17">
        <v>0</v>
      </c>
      <c r="AJ17" s="17">
        <f t="shared" si="21"/>
        <v>12.134400000000017</v>
      </c>
      <c r="AK17" s="20" t="s">
        <v>124</v>
      </c>
      <c r="AL17" s="17">
        <f t="shared" si="22"/>
        <v>594.5856000000008</v>
      </c>
      <c r="AM17" s="17" t="s">
        <v>80</v>
      </c>
      <c r="AN17" s="21">
        <v>0</v>
      </c>
      <c r="AO17" s="23">
        <f t="shared" si="23"/>
        <v>0</v>
      </c>
      <c r="AP17" s="17"/>
      <c r="AQ17" s="16"/>
      <c r="AR17" s="17">
        <f t="shared" si="24"/>
        <v>0</v>
      </c>
      <c r="AS17" s="17"/>
      <c r="AT17" s="17">
        <v>703.79520000000093</v>
      </c>
      <c r="AU17" s="17">
        <f t="shared" si="25"/>
        <v>703.79520000000093</v>
      </c>
      <c r="AV17" s="17">
        <f t="shared" si="26"/>
        <v>0</v>
      </c>
      <c r="AW17" s="17" t="str">
        <f t="shared" si="27"/>
        <v>SFA</v>
      </c>
      <c r="AX17" s="22">
        <v>44608</v>
      </c>
      <c r="AY17" s="22"/>
      <c r="AZ17" s="1" t="s">
        <v>68</v>
      </c>
      <c r="BA17" s="22" t="str">
        <f t="shared" si="28"/>
        <v>CYBER</v>
      </c>
      <c r="BB17" s="22"/>
      <c r="BC17" s="22"/>
      <c r="BD17" s="22"/>
    </row>
    <row r="18" spans="1:56" ht="14.25" customHeight="1" x14ac:dyDescent="0.2">
      <c r="A18" s="12" t="s">
        <v>56</v>
      </c>
      <c r="B18" s="1" t="s">
        <v>57</v>
      </c>
      <c r="C18" s="13">
        <v>44562</v>
      </c>
      <c r="D18" s="13">
        <v>44680</v>
      </c>
      <c r="E18" s="13">
        <v>44562</v>
      </c>
      <c r="F18" s="13">
        <v>44926</v>
      </c>
      <c r="G18" s="14" t="str">
        <f t="shared" si="16"/>
        <v>000-017/AIB RDC/2022</v>
      </c>
      <c r="H18" s="1">
        <v>0</v>
      </c>
      <c r="I18" s="1" t="s">
        <v>74</v>
      </c>
      <c r="J18" s="24" t="s">
        <v>135</v>
      </c>
      <c r="K18" s="16" t="s">
        <v>136</v>
      </c>
      <c r="L18" s="16" t="s">
        <v>137</v>
      </c>
      <c r="M18" s="16" t="s">
        <v>84</v>
      </c>
      <c r="N18" s="16" t="s">
        <v>85</v>
      </c>
      <c r="O18" s="16" t="s">
        <v>138</v>
      </c>
      <c r="P18" s="16" t="s">
        <v>71</v>
      </c>
      <c r="Q18" s="16" t="s">
        <v>130</v>
      </c>
      <c r="R18" s="16" t="s">
        <v>139</v>
      </c>
      <c r="S18" s="17">
        <v>10000000</v>
      </c>
      <c r="T18" s="17">
        <f>617188.1-33866.14</f>
        <v>583321.96</v>
      </c>
      <c r="U18" s="17">
        <f>78122.63-33866.14</f>
        <v>44256.490000000005</v>
      </c>
      <c r="V18" s="17">
        <v>-33866.14</v>
      </c>
      <c r="W18" s="17">
        <v>2223.4699999999998</v>
      </c>
      <c r="X18" s="17">
        <v>442694.7</v>
      </c>
      <c r="Y18" s="17"/>
      <c r="Z18" s="18">
        <f t="shared" si="17"/>
        <v>5.8332195999999996E-2</v>
      </c>
      <c r="AA18" s="19">
        <v>0</v>
      </c>
      <c r="AB18" s="17">
        <v>0</v>
      </c>
      <c r="AC18" s="17">
        <f>30%*U18</f>
        <v>13276.947000000002</v>
      </c>
      <c r="AD18" s="17">
        <v>0</v>
      </c>
      <c r="AE18" s="17">
        <f t="shared" si="18"/>
        <v>13276.947000000002</v>
      </c>
      <c r="AF18" s="17">
        <f t="shared" si="29"/>
        <v>2124.3115200000002</v>
      </c>
      <c r="AG18" s="17">
        <f t="shared" si="19"/>
        <v>15401.258520000003</v>
      </c>
      <c r="AH18" s="17">
        <f t="shared" si="20"/>
        <v>265.53894000000003</v>
      </c>
      <c r="AI18" s="17">
        <v>0</v>
      </c>
      <c r="AJ18" s="17">
        <f t="shared" si="21"/>
        <v>265.53894000000003</v>
      </c>
      <c r="AK18" s="20"/>
      <c r="AL18" s="17">
        <f t="shared" si="22"/>
        <v>13011.408060000002</v>
      </c>
      <c r="AM18" s="17"/>
      <c r="AN18" s="21"/>
      <c r="AO18" s="17">
        <f t="shared" si="23"/>
        <v>0</v>
      </c>
      <c r="AP18" s="17"/>
      <c r="AQ18" s="16"/>
      <c r="AR18" s="17">
        <f t="shared" si="24"/>
        <v>0</v>
      </c>
      <c r="AS18" s="17"/>
      <c r="AT18" s="17">
        <v>15401.258520000003</v>
      </c>
      <c r="AU18" s="17">
        <f t="shared" si="25"/>
        <v>15401.258520000003</v>
      </c>
      <c r="AV18" s="17">
        <f t="shared" si="26"/>
        <v>0</v>
      </c>
      <c r="AW18" s="17" t="str">
        <f t="shared" si="27"/>
        <v>SFA</v>
      </c>
      <c r="AX18" s="22">
        <v>44699</v>
      </c>
      <c r="AY18" s="22"/>
      <c r="AZ18" s="1" t="s">
        <v>68</v>
      </c>
      <c r="BA18" s="22" t="str">
        <f t="shared" si="28"/>
        <v>MACHINARY BREAKDOWN</v>
      </c>
      <c r="BB18" s="22"/>
      <c r="BC18" s="22"/>
      <c r="BD18" s="22"/>
    </row>
    <row r="19" spans="1:56" ht="14.25" customHeight="1" x14ac:dyDescent="0.2">
      <c r="A19" s="12" t="s">
        <v>56</v>
      </c>
      <c r="B19" s="1" t="s">
        <v>57</v>
      </c>
      <c r="C19" s="13">
        <v>44562</v>
      </c>
      <c r="D19" s="13">
        <v>44594</v>
      </c>
      <c r="E19" s="13">
        <v>44562</v>
      </c>
      <c r="F19" s="13">
        <v>44926</v>
      </c>
      <c r="G19" s="14" t="str">
        <f t="shared" si="16"/>
        <v>000-018/AIB RDC/2022</v>
      </c>
      <c r="H19" s="1">
        <v>0</v>
      </c>
      <c r="I19" s="1" t="s">
        <v>74</v>
      </c>
      <c r="J19" s="1" t="s">
        <v>140</v>
      </c>
      <c r="K19" s="1" t="s">
        <v>141</v>
      </c>
      <c r="L19" s="16" t="s">
        <v>118</v>
      </c>
      <c r="M19" s="16" t="s">
        <v>84</v>
      </c>
      <c r="N19" s="16" t="s">
        <v>85</v>
      </c>
      <c r="O19" s="16" t="s">
        <v>89</v>
      </c>
      <c r="P19" s="16" t="s">
        <v>90</v>
      </c>
      <c r="Q19" s="16" t="s">
        <v>66</v>
      </c>
      <c r="R19" s="16" t="s">
        <v>66</v>
      </c>
      <c r="S19" s="17"/>
      <c r="T19" s="17">
        <v>5315.94</v>
      </c>
      <c r="U19" s="17">
        <v>0</v>
      </c>
      <c r="V19" s="17">
        <v>0</v>
      </c>
      <c r="W19" s="17">
        <v>45.37</v>
      </c>
      <c r="X19" s="17">
        <v>4537.34</v>
      </c>
      <c r="Y19" s="17"/>
      <c r="Z19" s="18" t="e">
        <f t="shared" si="17"/>
        <v>#DIV/0!</v>
      </c>
      <c r="AA19" s="19">
        <v>0.15</v>
      </c>
      <c r="AB19" s="17">
        <f t="shared" ref="AB19:AB34" si="30">AA19*X19</f>
        <v>680.601</v>
      </c>
      <c r="AC19" s="17">
        <v>0</v>
      </c>
      <c r="AD19" s="17">
        <v>0</v>
      </c>
      <c r="AE19" s="17">
        <f t="shared" si="18"/>
        <v>680.601</v>
      </c>
      <c r="AF19" s="17">
        <f t="shared" si="29"/>
        <v>108.89616000000001</v>
      </c>
      <c r="AG19" s="17">
        <f t="shared" si="19"/>
        <v>789.49716000000001</v>
      </c>
      <c r="AH19" s="17">
        <f t="shared" si="20"/>
        <v>13.612020000000001</v>
      </c>
      <c r="AI19" s="17">
        <v>0</v>
      </c>
      <c r="AJ19" s="17">
        <f t="shared" si="21"/>
        <v>13.612020000000001</v>
      </c>
      <c r="AK19" s="20" t="s">
        <v>142</v>
      </c>
      <c r="AL19" s="17">
        <f t="shared" si="22"/>
        <v>666.98897999999997</v>
      </c>
      <c r="AM19" s="17" t="s">
        <v>87</v>
      </c>
      <c r="AN19" s="21">
        <v>0.35</v>
      </c>
      <c r="AO19" s="17">
        <f t="shared" si="23"/>
        <v>233.44614299999998</v>
      </c>
      <c r="AP19" s="17"/>
      <c r="AQ19" s="16"/>
      <c r="AR19" s="17">
        <f t="shared" si="24"/>
        <v>233.44614299999998</v>
      </c>
      <c r="AS19" s="17"/>
      <c r="AT19" s="17">
        <v>789.49716000000001</v>
      </c>
      <c r="AU19" s="17">
        <f t="shared" si="25"/>
        <v>789.49716000000001</v>
      </c>
      <c r="AV19" s="17">
        <f t="shared" si="26"/>
        <v>0</v>
      </c>
      <c r="AW19" s="17" t="str">
        <f t="shared" si="27"/>
        <v>ACTIVA</v>
      </c>
      <c r="AX19" s="22">
        <v>44650</v>
      </c>
      <c r="AY19" s="22"/>
      <c r="AZ19" s="1" t="s">
        <v>100</v>
      </c>
      <c r="BA19" s="22" t="str">
        <f t="shared" si="28"/>
        <v>GENERAL LIABILITY</v>
      </c>
      <c r="BB19" s="22"/>
      <c r="BC19" s="22"/>
      <c r="BD19" s="22"/>
    </row>
    <row r="20" spans="1:56" ht="14.25" customHeight="1" x14ac:dyDescent="0.2">
      <c r="A20" s="12" t="s">
        <v>56</v>
      </c>
      <c r="B20" s="1" t="s">
        <v>57</v>
      </c>
      <c r="C20" s="13">
        <v>44562</v>
      </c>
      <c r="D20" s="13">
        <v>44573</v>
      </c>
      <c r="E20" s="13">
        <v>44562</v>
      </c>
      <c r="F20" s="13">
        <v>44926</v>
      </c>
      <c r="G20" s="14" t="str">
        <f t="shared" si="16"/>
        <v>000-019/AIB RDC/2022</v>
      </c>
      <c r="H20" s="1">
        <v>0</v>
      </c>
      <c r="I20" s="1" t="s">
        <v>74</v>
      </c>
      <c r="J20" s="1" t="s">
        <v>143</v>
      </c>
      <c r="K20" s="1" t="s">
        <v>144</v>
      </c>
      <c r="L20" s="16" t="s">
        <v>118</v>
      </c>
      <c r="M20" s="16" t="s">
        <v>84</v>
      </c>
      <c r="N20" s="16" t="s">
        <v>85</v>
      </c>
      <c r="O20" s="16" t="s">
        <v>64</v>
      </c>
      <c r="P20" s="16" t="s">
        <v>65</v>
      </c>
      <c r="Q20" s="16" t="s">
        <v>130</v>
      </c>
      <c r="R20" s="16" t="s">
        <v>130</v>
      </c>
      <c r="S20" s="17"/>
      <c r="T20" s="17">
        <v>1539.28</v>
      </c>
      <c r="U20" s="17">
        <v>150.13</v>
      </c>
      <c r="V20" s="17"/>
      <c r="W20" s="17">
        <v>20</v>
      </c>
      <c r="X20" s="17">
        <v>1134.3399999999999</v>
      </c>
      <c r="Y20" s="17">
        <v>208.72</v>
      </c>
      <c r="Z20" s="18" t="e">
        <f t="shared" si="17"/>
        <v>#DIV/0!</v>
      </c>
      <c r="AA20" s="19">
        <v>0.15</v>
      </c>
      <c r="AB20" s="17">
        <f t="shared" si="30"/>
        <v>170.15099999999998</v>
      </c>
      <c r="AC20" s="17">
        <v>0</v>
      </c>
      <c r="AD20" s="17">
        <v>0</v>
      </c>
      <c r="AE20" s="17">
        <f t="shared" si="18"/>
        <v>170.15099999999998</v>
      </c>
      <c r="AF20" s="17">
        <f t="shared" si="29"/>
        <v>27.224159999999998</v>
      </c>
      <c r="AG20" s="17">
        <f t="shared" si="19"/>
        <v>197.37515999999999</v>
      </c>
      <c r="AH20" s="17">
        <f t="shared" si="20"/>
        <v>3.4030199999999997</v>
      </c>
      <c r="AI20" s="17">
        <v>0</v>
      </c>
      <c r="AJ20" s="17">
        <f t="shared" si="21"/>
        <v>3.4030199999999997</v>
      </c>
      <c r="AK20" s="20" t="s">
        <v>67</v>
      </c>
      <c r="AL20" s="17">
        <f t="shared" si="22"/>
        <v>166.74797999999998</v>
      </c>
      <c r="AM20" s="17" t="s">
        <v>87</v>
      </c>
      <c r="AN20" s="21">
        <v>0.35</v>
      </c>
      <c r="AO20" s="17">
        <f t="shared" si="23"/>
        <v>58.361792999999992</v>
      </c>
      <c r="AP20" s="17"/>
      <c r="AQ20" s="16"/>
      <c r="AR20" s="17">
        <f t="shared" si="24"/>
        <v>58.361792999999992</v>
      </c>
      <c r="AS20" s="17"/>
      <c r="AT20" s="17">
        <v>197.37515999999999</v>
      </c>
      <c r="AU20" s="17">
        <f t="shared" si="25"/>
        <v>197.37515999999999</v>
      </c>
      <c r="AV20" s="17">
        <f t="shared" si="26"/>
        <v>0</v>
      </c>
      <c r="AW20" s="17" t="str">
        <f t="shared" si="27"/>
        <v>SFA</v>
      </c>
      <c r="AX20" s="22">
        <v>44635</v>
      </c>
      <c r="AY20" s="22"/>
      <c r="AZ20" s="1" t="s">
        <v>145</v>
      </c>
      <c r="BA20" s="22" t="str">
        <f t="shared" si="28"/>
        <v>MARINE CARGO / GIT</v>
      </c>
      <c r="BB20" s="22"/>
      <c r="BC20" s="22"/>
      <c r="BD20" s="22"/>
    </row>
    <row r="21" spans="1:56" ht="14.25" customHeight="1" x14ac:dyDescent="0.2">
      <c r="A21" s="12" t="s">
        <v>56</v>
      </c>
      <c r="B21" s="1" t="s">
        <v>57</v>
      </c>
      <c r="C21" s="13">
        <v>44562</v>
      </c>
      <c r="D21" s="13">
        <v>44607</v>
      </c>
      <c r="E21" s="13">
        <v>44562</v>
      </c>
      <c r="F21" s="13">
        <v>44926</v>
      </c>
      <c r="G21" s="14" t="str">
        <f t="shared" si="16"/>
        <v>000-020/AIB RDC/2022</v>
      </c>
      <c r="H21" s="1">
        <v>0</v>
      </c>
      <c r="I21" s="1" t="s">
        <v>74</v>
      </c>
      <c r="J21" s="1" t="s">
        <v>146</v>
      </c>
      <c r="K21" s="1" t="s">
        <v>141</v>
      </c>
      <c r="L21" s="16" t="s">
        <v>118</v>
      </c>
      <c r="M21" s="16" t="s">
        <v>84</v>
      </c>
      <c r="N21" s="16" t="s">
        <v>85</v>
      </c>
      <c r="O21" s="16" t="s">
        <v>64</v>
      </c>
      <c r="P21" s="16" t="s">
        <v>65</v>
      </c>
      <c r="Q21" s="16" t="s">
        <v>130</v>
      </c>
      <c r="R21" s="16" t="s">
        <v>130</v>
      </c>
      <c r="S21" s="17"/>
      <c r="T21" s="17">
        <v>5473.3</v>
      </c>
      <c r="U21" s="17">
        <v>538.6</v>
      </c>
      <c r="V21" s="17">
        <v>0</v>
      </c>
      <c r="W21" s="17">
        <v>30.35</v>
      </c>
      <c r="X21" s="17">
        <v>4069.44</v>
      </c>
      <c r="Y21" s="17"/>
      <c r="Z21" s="18" t="e">
        <f t="shared" si="17"/>
        <v>#DIV/0!</v>
      </c>
      <c r="AA21" s="19">
        <v>0.15</v>
      </c>
      <c r="AB21" s="17">
        <f t="shared" si="30"/>
        <v>610.41599999999994</v>
      </c>
      <c r="AC21" s="17">
        <v>0</v>
      </c>
      <c r="AD21" s="17">
        <v>0</v>
      </c>
      <c r="AE21" s="17">
        <f t="shared" si="18"/>
        <v>610.41599999999994</v>
      </c>
      <c r="AF21" s="17">
        <f t="shared" si="29"/>
        <v>97.66655999999999</v>
      </c>
      <c r="AG21" s="17">
        <f t="shared" si="19"/>
        <v>708.08255999999994</v>
      </c>
      <c r="AH21" s="17">
        <f t="shared" si="20"/>
        <v>12.208319999999999</v>
      </c>
      <c r="AI21" s="17">
        <v>0</v>
      </c>
      <c r="AJ21" s="17">
        <f t="shared" si="21"/>
        <v>12.208319999999999</v>
      </c>
      <c r="AK21" s="20" t="s">
        <v>142</v>
      </c>
      <c r="AL21" s="17">
        <f t="shared" si="22"/>
        <v>598.20767999999998</v>
      </c>
      <c r="AM21" s="17" t="s">
        <v>87</v>
      </c>
      <c r="AN21" s="21">
        <v>0.35</v>
      </c>
      <c r="AO21" s="17">
        <f t="shared" si="23"/>
        <v>209.37268799999998</v>
      </c>
      <c r="AP21" s="17"/>
      <c r="AQ21" s="16"/>
      <c r="AR21" s="17">
        <f t="shared" si="24"/>
        <v>209.37268799999998</v>
      </c>
      <c r="AS21" s="17"/>
      <c r="AT21" s="17">
        <v>708.08255999999994</v>
      </c>
      <c r="AU21" s="17">
        <f t="shared" si="25"/>
        <v>708.08255999999994</v>
      </c>
      <c r="AV21" s="17">
        <f t="shared" si="26"/>
        <v>0</v>
      </c>
      <c r="AW21" s="17" t="str">
        <f t="shared" si="27"/>
        <v>SFA</v>
      </c>
      <c r="AX21" s="22">
        <v>44649</v>
      </c>
      <c r="AY21" s="22"/>
      <c r="AZ21" s="1" t="s">
        <v>68</v>
      </c>
      <c r="BA21" s="22" t="str">
        <f t="shared" si="28"/>
        <v>MARINE CARGO / GIT</v>
      </c>
      <c r="BB21" s="22"/>
      <c r="BC21" s="22"/>
      <c r="BD21" s="22"/>
    </row>
    <row r="22" spans="1:56" ht="14.25" customHeight="1" x14ac:dyDescent="0.2">
      <c r="A22" s="12" t="s">
        <v>56</v>
      </c>
      <c r="B22" s="1" t="s">
        <v>57</v>
      </c>
      <c r="C22" s="13">
        <v>44562</v>
      </c>
      <c r="D22" s="13">
        <v>44575</v>
      </c>
      <c r="E22" s="13">
        <v>44562</v>
      </c>
      <c r="F22" s="13">
        <v>44926</v>
      </c>
      <c r="G22" s="14" t="str">
        <f t="shared" si="16"/>
        <v>000-021/AIB RDC/2022</v>
      </c>
      <c r="H22" s="1">
        <v>2</v>
      </c>
      <c r="I22" s="1" t="s">
        <v>58</v>
      </c>
      <c r="J22" s="1" t="s">
        <v>147</v>
      </c>
      <c r="K22" s="1" t="s">
        <v>122</v>
      </c>
      <c r="L22" s="16" t="s">
        <v>123</v>
      </c>
      <c r="M22" s="16" t="s">
        <v>84</v>
      </c>
      <c r="N22" s="16" t="s">
        <v>85</v>
      </c>
      <c r="O22" s="16" t="s">
        <v>89</v>
      </c>
      <c r="P22" s="16" t="s">
        <v>90</v>
      </c>
      <c r="Q22" s="16" t="s">
        <v>66</v>
      </c>
      <c r="R22" s="16" t="s">
        <v>66</v>
      </c>
      <c r="S22" s="17"/>
      <c r="T22" s="17">
        <v>3964.69</v>
      </c>
      <c r="U22" s="17">
        <v>0</v>
      </c>
      <c r="V22" s="17"/>
      <c r="W22" s="17">
        <v>33.840000000000003</v>
      </c>
      <c r="X22" s="17">
        <v>3384</v>
      </c>
      <c r="Y22" s="17"/>
      <c r="Z22" s="18" t="e">
        <f t="shared" si="17"/>
        <v>#DIV/0!</v>
      </c>
      <c r="AA22" s="19">
        <v>0.15</v>
      </c>
      <c r="AB22" s="17">
        <f t="shared" si="30"/>
        <v>507.59999999999997</v>
      </c>
      <c r="AC22" s="17">
        <v>0</v>
      </c>
      <c r="AD22" s="17">
        <v>0</v>
      </c>
      <c r="AE22" s="17">
        <f t="shared" si="18"/>
        <v>507.59999999999997</v>
      </c>
      <c r="AF22" s="17">
        <f t="shared" si="29"/>
        <v>81.215999999999994</v>
      </c>
      <c r="AG22" s="17">
        <f t="shared" si="19"/>
        <v>588.81599999999992</v>
      </c>
      <c r="AH22" s="17">
        <f t="shared" si="20"/>
        <v>10.151999999999999</v>
      </c>
      <c r="AI22" s="17">
        <v>0</v>
      </c>
      <c r="AJ22" s="17">
        <f t="shared" si="21"/>
        <v>10.151999999999999</v>
      </c>
      <c r="AK22" s="20" t="s">
        <v>67</v>
      </c>
      <c r="AL22" s="17">
        <f t="shared" si="22"/>
        <v>497.44799999999998</v>
      </c>
      <c r="AM22" s="17" t="s">
        <v>87</v>
      </c>
      <c r="AN22" s="21">
        <v>0.35</v>
      </c>
      <c r="AO22" s="17">
        <f t="shared" si="23"/>
        <v>174.10679999999999</v>
      </c>
      <c r="AP22" s="17"/>
      <c r="AQ22" s="16"/>
      <c r="AR22" s="17">
        <f t="shared" si="24"/>
        <v>174.10679999999999</v>
      </c>
      <c r="AS22" s="17"/>
      <c r="AT22" s="17">
        <v>588.81599999999992</v>
      </c>
      <c r="AU22" s="17">
        <f t="shared" si="25"/>
        <v>588.81599999999992</v>
      </c>
      <c r="AV22" s="17">
        <f t="shared" si="26"/>
        <v>0</v>
      </c>
      <c r="AW22" s="17" t="str">
        <f t="shared" si="27"/>
        <v>ACTIVA</v>
      </c>
      <c r="AX22" s="22">
        <v>44643</v>
      </c>
      <c r="AY22" s="22"/>
      <c r="AZ22" s="1" t="s">
        <v>68</v>
      </c>
      <c r="BA22" s="22" t="str">
        <f t="shared" si="28"/>
        <v>GENERAL LIABILITY</v>
      </c>
      <c r="BB22" s="22"/>
      <c r="BC22" s="22"/>
      <c r="BD22" s="22"/>
    </row>
    <row r="23" spans="1:56" ht="14.25" customHeight="1" x14ac:dyDescent="0.2">
      <c r="A23" s="12" t="s">
        <v>56</v>
      </c>
      <c r="B23" s="1" t="s">
        <v>57</v>
      </c>
      <c r="C23" s="13">
        <v>44562</v>
      </c>
      <c r="D23" s="13">
        <v>44579</v>
      </c>
      <c r="E23" s="13">
        <v>44562</v>
      </c>
      <c r="F23" s="13">
        <v>44926</v>
      </c>
      <c r="G23" s="14" t="str">
        <f t="shared" si="16"/>
        <v>000-022/AIB RDC/2022</v>
      </c>
      <c r="H23" s="1">
        <v>0</v>
      </c>
      <c r="I23" s="1" t="s">
        <v>74</v>
      </c>
      <c r="J23" s="1" t="s">
        <v>148</v>
      </c>
      <c r="K23" s="1" t="s">
        <v>141</v>
      </c>
      <c r="L23" s="16" t="s">
        <v>118</v>
      </c>
      <c r="M23" s="16" t="s">
        <v>84</v>
      </c>
      <c r="N23" s="16" t="s">
        <v>85</v>
      </c>
      <c r="O23" s="16" t="s">
        <v>70</v>
      </c>
      <c r="P23" s="16" t="s">
        <v>71</v>
      </c>
      <c r="Q23" s="16" t="s">
        <v>130</v>
      </c>
      <c r="R23" s="16" t="s">
        <v>130</v>
      </c>
      <c r="S23" s="17">
        <v>18414146</v>
      </c>
      <c r="T23" s="17">
        <v>31973.74</v>
      </c>
      <c r="U23" s="17">
        <v>4045.76</v>
      </c>
      <c r="V23" s="17">
        <v>0</v>
      </c>
      <c r="W23" s="17">
        <v>124.63</v>
      </c>
      <c r="X23" s="17">
        <v>22926</v>
      </c>
      <c r="Y23" s="17"/>
      <c r="Z23" s="18">
        <f t="shared" si="17"/>
        <v>1.7363683333454618E-3</v>
      </c>
      <c r="AA23" s="19">
        <v>0.1</v>
      </c>
      <c r="AB23" s="17">
        <f t="shared" si="30"/>
        <v>2292.6</v>
      </c>
      <c r="AC23" s="17">
        <v>0</v>
      </c>
      <c r="AD23" s="17">
        <v>0</v>
      </c>
      <c r="AE23" s="17">
        <f t="shared" si="18"/>
        <v>2292.6</v>
      </c>
      <c r="AF23" s="17">
        <f t="shared" si="29"/>
        <v>366.81599999999997</v>
      </c>
      <c r="AG23" s="17">
        <f t="shared" si="19"/>
        <v>2659.4159999999997</v>
      </c>
      <c r="AH23" s="17">
        <f t="shared" si="20"/>
        <v>45.851999999999997</v>
      </c>
      <c r="AI23" s="17">
        <v>0</v>
      </c>
      <c r="AJ23" s="17">
        <f t="shared" si="21"/>
        <v>45.851999999999997</v>
      </c>
      <c r="AK23" s="20" t="s">
        <v>142</v>
      </c>
      <c r="AL23" s="17">
        <f t="shared" si="22"/>
        <v>2246.748</v>
      </c>
      <c r="AM23" s="17" t="s">
        <v>87</v>
      </c>
      <c r="AN23" s="21">
        <v>0.35</v>
      </c>
      <c r="AO23" s="17">
        <f t="shared" si="23"/>
        <v>786.36180000000002</v>
      </c>
      <c r="AP23" s="17"/>
      <c r="AQ23" s="16"/>
      <c r="AR23" s="17">
        <f t="shared" si="24"/>
        <v>786.36180000000002</v>
      </c>
      <c r="AS23" s="17"/>
      <c r="AT23" s="17">
        <v>2659.4159999999997</v>
      </c>
      <c r="AU23" s="17">
        <f t="shared" si="25"/>
        <v>2659.4159999999997</v>
      </c>
      <c r="AV23" s="17">
        <f t="shared" si="26"/>
        <v>0</v>
      </c>
      <c r="AW23" s="17" t="str">
        <f t="shared" si="27"/>
        <v>SFA</v>
      </c>
      <c r="AX23" s="22">
        <v>44649</v>
      </c>
      <c r="AY23" s="22"/>
      <c r="AZ23" s="1" t="s">
        <v>100</v>
      </c>
      <c r="BA23" s="22" t="str">
        <f t="shared" si="28"/>
        <v>FIRE</v>
      </c>
      <c r="BB23" s="22"/>
      <c r="BC23" s="22"/>
      <c r="BD23" s="22"/>
    </row>
    <row r="24" spans="1:56" ht="14.25" customHeight="1" x14ac:dyDescent="0.2">
      <c r="A24" s="12" t="s">
        <v>56</v>
      </c>
      <c r="B24" s="1" t="s">
        <v>57</v>
      </c>
      <c r="C24" s="13">
        <v>44562</v>
      </c>
      <c r="D24" s="13">
        <v>44564</v>
      </c>
      <c r="E24" s="13">
        <v>44562</v>
      </c>
      <c r="F24" s="13">
        <v>44926</v>
      </c>
      <c r="G24" s="14" t="str">
        <f t="shared" si="16"/>
        <v>000-023/AIB RDC/2022</v>
      </c>
      <c r="H24" s="1">
        <v>0</v>
      </c>
      <c r="I24" s="1" t="s">
        <v>74</v>
      </c>
      <c r="J24" s="1" t="s">
        <v>149</v>
      </c>
      <c r="K24" s="1" t="s">
        <v>150</v>
      </c>
      <c r="L24" s="16" t="s">
        <v>151</v>
      </c>
      <c r="M24" s="16" t="s">
        <v>84</v>
      </c>
      <c r="N24" s="16" t="s">
        <v>63</v>
      </c>
      <c r="O24" s="16" t="s">
        <v>152</v>
      </c>
      <c r="P24" s="16" t="s">
        <v>153</v>
      </c>
      <c r="Q24" s="16" t="s">
        <v>79</v>
      </c>
      <c r="R24" s="16" t="s">
        <v>79</v>
      </c>
      <c r="S24" s="17">
        <v>136876.9</v>
      </c>
      <c r="T24" s="17">
        <v>6922.82</v>
      </c>
      <c r="U24" s="17">
        <v>0</v>
      </c>
      <c r="V24" s="17"/>
      <c r="W24" s="17">
        <v>40</v>
      </c>
      <c r="X24" s="17">
        <v>6747.08</v>
      </c>
      <c r="Y24" s="17"/>
      <c r="Z24" s="18">
        <f t="shared" si="17"/>
        <v>5.0576978292173481E-2</v>
      </c>
      <c r="AA24" s="19">
        <v>0.15</v>
      </c>
      <c r="AB24" s="17">
        <f t="shared" si="30"/>
        <v>1012.0619999999999</v>
      </c>
      <c r="AC24" s="17">
        <v>0</v>
      </c>
      <c r="AD24" s="17">
        <v>0</v>
      </c>
      <c r="AE24" s="17">
        <f t="shared" si="18"/>
        <v>1012.0619999999999</v>
      </c>
      <c r="AF24" s="17">
        <f t="shared" si="29"/>
        <v>161.92991999999998</v>
      </c>
      <c r="AG24" s="17">
        <f t="shared" si="19"/>
        <v>1173.9919199999999</v>
      </c>
      <c r="AH24" s="17">
        <f t="shared" si="20"/>
        <v>20.241239999999998</v>
      </c>
      <c r="AI24" s="17">
        <v>0</v>
      </c>
      <c r="AJ24" s="17">
        <f t="shared" si="21"/>
        <v>20.241239999999998</v>
      </c>
      <c r="AK24" s="20" t="s">
        <v>67</v>
      </c>
      <c r="AL24" s="17">
        <f t="shared" si="22"/>
        <v>991.82075999999995</v>
      </c>
      <c r="AM24" s="17" t="s">
        <v>87</v>
      </c>
      <c r="AN24" s="21">
        <v>0.35</v>
      </c>
      <c r="AO24" s="17">
        <f t="shared" si="23"/>
        <v>347.13726599999995</v>
      </c>
      <c r="AP24" s="17"/>
      <c r="AQ24" s="16"/>
      <c r="AR24" s="17">
        <f t="shared" si="24"/>
        <v>347.13726599999995</v>
      </c>
      <c r="AS24" s="17"/>
      <c r="AT24" s="17">
        <v>1173.9919199999999</v>
      </c>
      <c r="AU24" s="17">
        <f t="shared" si="25"/>
        <v>1173.9919199999999</v>
      </c>
      <c r="AV24" s="17">
        <f t="shared" si="26"/>
        <v>0</v>
      </c>
      <c r="AW24" s="17" t="str">
        <f t="shared" si="27"/>
        <v>MAYFAIR</v>
      </c>
      <c r="AX24" s="22">
        <v>44623</v>
      </c>
      <c r="AY24" s="22"/>
      <c r="AZ24" s="1" t="s">
        <v>68</v>
      </c>
      <c r="BA24" s="22" t="str">
        <f t="shared" si="28"/>
        <v>COMP MOTOR</v>
      </c>
      <c r="BB24" s="22"/>
      <c r="BC24" s="22"/>
      <c r="BD24" s="22"/>
    </row>
    <row r="25" spans="1:56" ht="14.25" customHeight="1" x14ac:dyDescent="0.2">
      <c r="A25" s="12" t="s">
        <v>56</v>
      </c>
      <c r="B25" s="1" t="s">
        <v>57</v>
      </c>
      <c r="C25" s="13">
        <v>44562</v>
      </c>
      <c r="D25" s="13">
        <v>44566</v>
      </c>
      <c r="E25" s="13">
        <v>44562</v>
      </c>
      <c r="F25" s="13">
        <v>44926</v>
      </c>
      <c r="G25" s="14" t="str">
        <f t="shared" si="16"/>
        <v>000-024/AIB RDC/2022</v>
      </c>
      <c r="H25" s="1">
        <v>0</v>
      </c>
      <c r="I25" s="1" t="s">
        <v>74</v>
      </c>
      <c r="J25" s="1" t="s">
        <v>154</v>
      </c>
      <c r="K25" s="1" t="s">
        <v>150</v>
      </c>
      <c r="L25" s="16" t="s">
        <v>151</v>
      </c>
      <c r="M25" s="16" t="s">
        <v>84</v>
      </c>
      <c r="N25" s="16" t="s">
        <v>63</v>
      </c>
      <c r="O25" s="16" t="s">
        <v>70</v>
      </c>
      <c r="P25" s="16" t="s">
        <v>71</v>
      </c>
      <c r="Q25" s="16" t="s">
        <v>79</v>
      </c>
      <c r="R25" s="16" t="s">
        <v>79</v>
      </c>
      <c r="S25" s="17"/>
      <c r="T25" s="17">
        <v>2041</v>
      </c>
      <c r="U25" s="17">
        <v>0</v>
      </c>
      <c r="V25" s="17"/>
      <c r="W25" s="17">
        <v>50</v>
      </c>
      <c r="X25" s="17">
        <v>1951</v>
      </c>
      <c r="Y25" s="17"/>
      <c r="Z25" s="18" t="e">
        <f t="shared" si="17"/>
        <v>#DIV/0!</v>
      </c>
      <c r="AA25" s="19">
        <v>0.2</v>
      </c>
      <c r="AB25" s="17">
        <f t="shared" si="30"/>
        <v>390.20000000000005</v>
      </c>
      <c r="AC25" s="17">
        <v>0</v>
      </c>
      <c r="AD25" s="17">
        <v>0</v>
      </c>
      <c r="AE25" s="17">
        <f t="shared" si="18"/>
        <v>390.20000000000005</v>
      </c>
      <c r="AF25" s="17">
        <f t="shared" si="29"/>
        <v>62.432000000000009</v>
      </c>
      <c r="AG25" s="17">
        <f t="shared" si="19"/>
        <v>452.63200000000006</v>
      </c>
      <c r="AH25" s="17">
        <f t="shared" si="20"/>
        <v>7.8040000000000012</v>
      </c>
      <c r="AI25" s="17">
        <v>0</v>
      </c>
      <c r="AJ25" s="17">
        <f t="shared" si="21"/>
        <v>7.8040000000000012</v>
      </c>
      <c r="AK25" s="20" t="s">
        <v>67</v>
      </c>
      <c r="AL25" s="17">
        <f t="shared" si="22"/>
        <v>382.39600000000007</v>
      </c>
      <c r="AM25" s="17" t="s">
        <v>87</v>
      </c>
      <c r="AN25" s="21">
        <v>0.35</v>
      </c>
      <c r="AO25" s="17">
        <f t="shared" si="23"/>
        <v>133.83860000000001</v>
      </c>
      <c r="AP25" s="17"/>
      <c r="AQ25" s="16"/>
      <c r="AR25" s="17">
        <f t="shared" si="24"/>
        <v>133.83860000000001</v>
      </c>
      <c r="AS25" s="17"/>
      <c r="AT25" s="17">
        <v>452.63200000000006</v>
      </c>
      <c r="AU25" s="17">
        <f t="shared" si="25"/>
        <v>452.63200000000006</v>
      </c>
      <c r="AV25" s="17">
        <f t="shared" si="26"/>
        <v>0</v>
      </c>
      <c r="AW25" s="17" t="str">
        <f t="shared" si="27"/>
        <v>MAYFAIR</v>
      </c>
      <c r="AX25" s="22">
        <v>44623</v>
      </c>
      <c r="AY25" s="22"/>
      <c r="AZ25" s="1" t="s">
        <v>68</v>
      </c>
      <c r="BA25" s="22" t="str">
        <f t="shared" si="28"/>
        <v>FIRE</v>
      </c>
      <c r="BB25" s="22"/>
      <c r="BC25" s="22"/>
      <c r="BD25" s="22"/>
    </row>
    <row r="26" spans="1:56" ht="14.25" customHeight="1" x14ac:dyDescent="0.2">
      <c r="A26" s="12" t="s">
        <v>56</v>
      </c>
      <c r="B26" s="1" t="s">
        <v>57</v>
      </c>
      <c r="C26" s="13">
        <v>44562</v>
      </c>
      <c r="D26" s="13">
        <v>44564</v>
      </c>
      <c r="E26" s="13">
        <v>44562</v>
      </c>
      <c r="F26" s="13">
        <v>44926</v>
      </c>
      <c r="G26" s="14" t="str">
        <f t="shared" si="16"/>
        <v>000-025/AIB RDC/2022</v>
      </c>
      <c r="H26" s="1">
        <v>0</v>
      </c>
      <c r="I26" s="1" t="s">
        <v>74</v>
      </c>
      <c r="J26" s="1" t="s">
        <v>155</v>
      </c>
      <c r="K26" s="1" t="s">
        <v>150</v>
      </c>
      <c r="L26" s="16" t="s">
        <v>151</v>
      </c>
      <c r="M26" s="16" t="s">
        <v>84</v>
      </c>
      <c r="N26" s="16" t="s">
        <v>63</v>
      </c>
      <c r="O26" s="16" t="s">
        <v>70</v>
      </c>
      <c r="P26" s="16" t="s">
        <v>71</v>
      </c>
      <c r="Q26" s="16" t="s">
        <v>79</v>
      </c>
      <c r="R26" s="16" t="s">
        <v>79</v>
      </c>
      <c r="S26" s="17"/>
      <c r="T26" s="17">
        <v>2219</v>
      </c>
      <c r="U26" s="17">
        <v>0</v>
      </c>
      <c r="V26" s="17"/>
      <c r="W26" s="17">
        <v>50</v>
      </c>
      <c r="X26" s="17">
        <v>2125</v>
      </c>
      <c r="Y26" s="17"/>
      <c r="Z26" s="18" t="e">
        <f t="shared" si="17"/>
        <v>#DIV/0!</v>
      </c>
      <c r="AA26" s="19">
        <v>0.15</v>
      </c>
      <c r="AB26" s="17">
        <f t="shared" si="30"/>
        <v>318.75</v>
      </c>
      <c r="AC26" s="17">
        <v>0</v>
      </c>
      <c r="AD26" s="17">
        <v>0</v>
      </c>
      <c r="AE26" s="17">
        <f t="shared" si="18"/>
        <v>318.75</v>
      </c>
      <c r="AF26" s="17">
        <f t="shared" si="29"/>
        <v>51</v>
      </c>
      <c r="AG26" s="17">
        <f t="shared" si="19"/>
        <v>369.75</v>
      </c>
      <c r="AH26" s="17">
        <f t="shared" si="20"/>
        <v>6.375</v>
      </c>
      <c r="AI26" s="17">
        <v>0</v>
      </c>
      <c r="AJ26" s="17">
        <f t="shared" si="21"/>
        <v>6.375</v>
      </c>
      <c r="AK26" s="20" t="s">
        <v>67</v>
      </c>
      <c r="AL26" s="17">
        <f t="shared" si="22"/>
        <v>312.375</v>
      </c>
      <c r="AM26" s="17" t="s">
        <v>87</v>
      </c>
      <c r="AN26" s="21">
        <v>0.35</v>
      </c>
      <c r="AO26" s="17">
        <f t="shared" si="23"/>
        <v>109.33125</v>
      </c>
      <c r="AP26" s="17"/>
      <c r="AQ26" s="16"/>
      <c r="AR26" s="17">
        <f t="shared" si="24"/>
        <v>109.33125</v>
      </c>
      <c r="AS26" s="17"/>
      <c r="AT26" s="17">
        <v>369.75</v>
      </c>
      <c r="AU26" s="17">
        <f t="shared" si="25"/>
        <v>369.75</v>
      </c>
      <c r="AV26" s="17">
        <f t="shared" si="26"/>
        <v>0</v>
      </c>
      <c r="AW26" s="17" t="str">
        <f t="shared" si="27"/>
        <v>MAYFAIR</v>
      </c>
      <c r="AX26" s="22">
        <v>44623</v>
      </c>
      <c r="AY26" s="22"/>
      <c r="AZ26" s="1" t="s">
        <v>68</v>
      </c>
      <c r="BA26" s="22" t="str">
        <f t="shared" si="28"/>
        <v>FIRE</v>
      </c>
      <c r="BB26" s="22"/>
      <c r="BC26" s="22"/>
      <c r="BD26" s="22"/>
    </row>
    <row r="27" spans="1:56" ht="14.25" customHeight="1" x14ac:dyDescent="0.2">
      <c r="A27" s="12" t="s">
        <v>56</v>
      </c>
      <c r="B27" s="1" t="s">
        <v>57</v>
      </c>
      <c r="C27" s="13">
        <v>44562</v>
      </c>
      <c r="D27" s="13">
        <v>44567</v>
      </c>
      <c r="E27" s="13">
        <v>44562</v>
      </c>
      <c r="F27" s="13">
        <v>44926</v>
      </c>
      <c r="G27" s="14" t="str">
        <f t="shared" si="16"/>
        <v>000-026/AIB RDC/2022</v>
      </c>
      <c r="H27" s="1">
        <v>0</v>
      </c>
      <c r="I27" s="1" t="s">
        <v>74</v>
      </c>
      <c r="J27" s="1" t="s">
        <v>156</v>
      </c>
      <c r="K27" s="1" t="s">
        <v>150</v>
      </c>
      <c r="L27" s="16" t="s">
        <v>151</v>
      </c>
      <c r="M27" s="16" t="s">
        <v>84</v>
      </c>
      <c r="N27" s="16" t="s">
        <v>63</v>
      </c>
      <c r="O27" s="16" t="s">
        <v>89</v>
      </c>
      <c r="P27" s="16" t="s">
        <v>90</v>
      </c>
      <c r="Q27" s="16" t="s">
        <v>79</v>
      </c>
      <c r="R27" s="16" t="s">
        <v>79</v>
      </c>
      <c r="S27" s="17"/>
      <c r="T27" s="17">
        <v>530</v>
      </c>
      <c r="U27" s="17">
        <v>0</v>
      </c>
      <c r="V27" s="17"/>
      <c r="W27" s="17">
        <v>20</v>
      </c>
      <c r="X27" s="17">
        <v>500</v>
      </c>
      <c r="Y27" s="17"/>
      <c r="Z27" s="18" t="e">
        <f t="shared" si="17"/>
        <v>#DIV/0!</v>
      </c>
      <c r="AA27" s="19">
        <v>0.15</v>
      </c>
      <c r="AB27" s="17">
        <f t="shared" si="30"/>
        <v>75</v>
      </c>
      <c r="AC27" s="17">
        <v>0</v>
      </c>
      <c r="AD27" s="17">
        <v>0</v>
      </c>
      <c r="AE27" s="17">
        <f t="shared" si="18"/>
        <v>75</v>
      </c>
      <c r="AF27" s="17">
        <f t="shared" si="29"/>
        <v>12</v>
      </c>
      <c r="AG27" s="17">
        <f t="shared" si="19"/>
        <v>87</v>
      </c>
      <c r="AH27" s="17">
        <f t="shared" si="20"/>
        <v>1.5</v>
      </c>
      <c r="AI27" s="17">
        <v>0</v>
      </c>
      <c r="AJ27" s="17">
        <f t="shared" si="21"/>
        <v>1.5</v>
      </c>
      <c r="AK27" s="20" t="s">
        <v>67</v>
      </c>
      <c r="AL27" s="17">
        <f t="shared" si="22"/>
        <v>73.5</v>
      </c>
      <c r="AM27" s="17" t="s">
        <v>87</v>
      </c>
      <c r="AN27" s="21">
        <v>0.35</v>
      </c>
      <c r="AO27" s="17">
        <f t="shared" si="23"/>
        <v>25.724999999999998</v>
      </c>
      <c r="AP27" s="17"/>
      <c r="AQ27" s="16"/>
      <c r="AR27" s="17">
        <f t="shared" si="24"/>
        <v>25.724999999999998</v>
      </c>
      <c r="AS27" s="17"/>
      <c r="AT27" s="17">
        <v>87</v>
      </c>
      <c r="AU27" s="17">
        <f t="shared" si="25"/>
        <v>87</v>
      </c>
      <c r="AV27" s="17">
        <f t="shared" si="26"/>
        <v>0</v>
      </c>
      <c r="AW27" s="17" t="str">
        <f t="shared" si="27"/>
        <v>MAYFAIR</v>
      </c>
      <c r="AX27" s="22">
        <v>44623</v>
      </c>
      <c r="AY27" s="22"/>
      <c r="AZ27" s="1" t="s">
        <v>68</v>
      </c>
      <c r="BA27" s="22" t="str">
        <f t="shared" si="28"/>
        <v>GENERAL LIABILITY</v>
      </c>
      <c r="BB27" s="22"/>
      <c r="BC27" s="22"/>
      <c r="BD27" s="22"/>
    </row>
    <row r="28" spans="1:56" ht="14.25" customHeight="1" x14ac:dyDescent="0.2">
      <c r="A28" s="12" t="s">
        <v>56</v>
      </c>
      <c r="B28" s="1" t="s">
        <v>57</v>
      </c>
      <c r="C28" s="13">
        <v>44562</v>
      </c>
      <c r="D28" s="13">
        <v>44566</v>
      </c>
      <c r="E28" s="13">
        <v>44562</v>
      </c>
      <c r="F28" s="13">
        <v>44926</v>
      </c>
      <c r="G28" s="14" t="str">
        <f t="shared" si="16"/>
        <v>000-027/AIB RDC/2022</v>
      </c>
      <c r="H28" s="1">
        <v>0</v>
      </c>
      <c r="I28" s="1" t="s">
        <v>74</v>
      </c>
      <c r="J28" s="1" t="s">
        <v>157</v>
      </c>
      <c r="K28" s="1" t="s">
        <v>150</v>
      </c>
      <c r="L28" s="16" t="s">
        <v>151</v>
      </c>
      <c r="M28" s="16" t="s">
        <v>84</v>
      </c>
      <c r="N28" s="16" t="s">
        <v>63</v>
      </c>
      <c r="O28" s="16" t="s">
        <v>89</v>
      </c>
      <c r="P28" s="16" t="s">
        <v>90</v>
      </c>
      <c r="Q28" s="16" t="s">
        <v>79</v>
      </c>
      <c r="R28" s="16" t="s">
        <v>79</v>
      </c>
      <c r="S28" s="17">
        <v>100000</v>
      </c>
      <c r="T28" s="17">
        <v>888</v>
      </c>
      <c r="U28" s="17">
        <v>0</v>
      </c>
      <c r="V28" s="17"/>
      <c r="W28" s="17">
        <v>20</v>
      </c>
      <c r="X28" s="17">
        <v>850</v>
      </c>
      <c r="Y28" s="17"/>
      <c r="Z28" s="18">
        <f t="shared" si="17"/>
        <v>8.8800000000000007E-3</v>
      </c>
      <c r="AA28" s="19">
        <v>0.15</v>
      </c>
      <c r="AB28" s="17">
        <f t="shared" si="30"/>
        <v>127.5</v>
      </c>
      <c r="AC28" s="17">
        <v>0</v>
      </c>
      <c r="AD28" s="17">
        <v>0</v>
      </c>
      <c r="AE28" s="17">
        <f t="shared" si="18"/>
        <v>127.5</v>
      </c>
      <c r="AF28" s="17">
        <f t="shared" si="29"/>
        <v>20.400000000000002</v>
      </c>
      <c r="AG28" s="17">
        <f t="shared" si="19"/>
        <v>147.9</v>
      </c>
      <c r="AH28" s="17">
        <f t="shared" si="20"/>
        <v>2.5500000000000003</v>
      </c>
      <c r="AI28" s="17">
        <v>0</v>
      </c>
      <c r="AJ28" s="17">
        <f t="shared" si="21"/>
        <v>2.5500000000000003</v>
      </c>
      <c r="AK28" s="20" t="s">
        <v>67</v>
      </c>
      <c r="AL28" s="17">
        <f t="shared" si="22"/>
        <v>124.95</v>
      </c>
      <c r="AM28" s="17" t="s">
        <v>87</v>
      </c>
      <c r="AN28" s="21">
        <v>0.35</v>
      </c>
      <c r="AO28" s="17">
        <f t="shared" si="23"/>
        <v>43.732500000000002</v>
      </c>
      <c r="AP28" s="17"/>
      <c r="AQ28" s="16"/>
      <c r="AR28" s="17">
        <f t="shared" si="24"/>
        <v>43.732500000000002</v>
      </c>
      <c r="AS28" s="17"/>
      <c r="AT28" s="17">
        <v>147.9</v>
      </c>
      <c r="AU28" s="17">
        <f t="shared" si="25"/>
        <v>147.9</v>
      </c>
      <c r="AV28" s="17">
        <f t="shared" si="26"/>
        <v>0</v>
      </c>
      <c r="AW28" s="17" t="str">
        <f t="shared" si="27"/>
        <v>MAYFAIR</v>
      </c>
      <c r="AX28" s="22">
        <v>44623</v>
      </c>
      <c r="AY28" s="22"/>
      <c r="AZ28" s="1" t="s">
        <v>68</v>
      </c>
      <c r="BA28" s="22" t="str">
        <f t="shared" si="28"/>
        <v>GENERAL LIABILITY</v>
      </c>
      <c r="BB28" s="22"/>
      <c r="BC28" s="22"/>
      <c r="BD28" s="22"/>
    </row>
    <row r="29" spans="1:56" ht="14.25" customHeight="1" x14ac:dyDescent="0.2">
      <c r="A29" s="12" t="s">
        <v>56</v>
      </c>
      <c r="B29" s="1" t="s">
        <v>57</v>
      </c>
      <c r="C29" s="13">
        <v>44562</v>
      </c>
      <c r="D29" s="13">
        <v>44561</v>
      </c>
      <c r="E29" s="13">
        <v>44562</v>
      </c>
      <c r="F29" s="13">
        <v>44926</v>
      </c>
      <c r="G29" s="14" t="str">
        <f t="shared" si="16"/>
        <v>000-028/AIB RDC/2022</v>
      </c>
      <c r="H29" s="1">
        <v>1</v>
      </c>
      <c r="I29" s="1" t="s">
        <v>58</v>
      </c>
      <c r="J29" s="1" t="s">
        <v>158</v>
      </c>
      <c r="K29" s="16" t="s">
        <v>159</v>
      </c>
      <c r="L29" s="16" t="s">
        <v>160</v>
      </c>
      <c r="M29" s="16" t="s">
        <v>84</v>
      </c>
      <c r="N29" s="16" t="s">
        <v>63</v>
      </c>
      <c r="O29" s="16" t="s">
        <v>70</v>
      </c>
      <c r="P29" s="16" t="s">
        <v>71</v>
      </c>
      <c r="Q29" s="16" t="s">
        <v>161</v>
      </c>
      <c r="R29" s="16" t="s">
        <v>161</v>
      </c>
      <c r="S29" s="17"/>
      <c r="T29" s="17">
        <v>11541</v>
      </c>
      <c r="U29" s="17">
        <v>0</v>
      </c>
      <c r="V29" s="17"/>
      <c r="W29" s="17">
        <v>0</v>
      </c>
      <c r="X29" s="17">
        <v>9949.14</v>
      </c>
      <c r="Y29" s="17"/>
      <c r="Z29" s="18" t="e">
        <f t="shared" si="17"/>
        <v>#DIV/0!</v>
      </c>
      <c r="AA29" s="19">
        <v>0.1</v>
      </c>
      <c r="AB29" s="17">
        <f t="shared" si="30"/>
        <v>994.91399999999999</v>
      </c>
      <c r="AC29" s="17">
        <v>0</v>
      </c>
      <c r="AD29" s="17">
        <v>0</v>
      </c>
      <c r="AE29" s="17">
        <f t="shared" si="18"/>
        <v>994.91399999999999</v>
      </c>
      <c r="AF29" s="17">
        <f t="shared" si="29"/>
        <v>159.18624</v>
      </c>
      <c r="AG29" s="17">
        <f t="shared" si="19"/>
        <v>1154.10024</v>
      </c>
      <c r="AH29" s="17">
        <f t="shared" si="20"/>
        <v>19.89828</v>
      </c>
      <c r="AI29" s="17">
        <v>0</v>
      </c>
      <c r="AJ29" s="17">
        <f t="shared" si="21"/>
        <v>19.89828</v>
      </c>
      <c r="AK29" s="20" t="s">
        <v>124</v>
      </c>
      <c r="AL29" s="17">
        <f t="shared" si="22"/>
        <v>975.01571999999999</v>
      </c>
      <c r="AM29" s="17"/>
      <c r="AN29" s="21"/>
      <c r="AO29" s="17">
        <f t="shared" si="23"/>
        <v>0</v>
      </c>
      <c r="AP29" s="17"/>
      <c r="AQ29" s="16"/>
      <c r="AR29" s="17">
        <f t="shared" si="24"/>
        <v>0</v>
      </c>
      <c r="AS29" s="17"/>
      <c r="AT29" s="17">
        <v>1154.10024</v>
      </c>
      <c r="AU29" s="17">
        <f t="shared" si="25"/>
        <v>1154.10024</v>
      </c>
      <c r="AV29" s="17">
        <f t="shared" si="26"/>
        <v>0</v>
      </c>
      <c r="AW29" s="17" t="str">
        <f t="shared" si="27"/>
        <v>SONAS / Agence Commerce</v>
      </c>
      <c r="AX29" s="22">
        <v>44587</v>
      </c>
      <c r="AY29" s="22"/>
      <c r="AZ29" s="1" t="s">
        <v>162</v>
      </c>
      <c r="BA29" s="22" t="str">
        <f t="shared" si="28"/>
        <v>FIRE</v>
      </c>
      <c r="BB29" s="22"/>
      <c r="BC29" s="22"/>
      <c r="BD29" s="22"/>
    </row>
    <row r="30" spans="1:56" ht="14.25" customHeight="1" x14ac:dyDescent="0.2">
      <c r="A30" s="12" t="s">
        <v>56</v>
      </c>
      <c r="B30" s="1" t="s">
        <v>57</v>
      </c>
      <c r="C30" s="13">
        <v>44562</v>
      </c>
      <c r="D30" s="13">
        <v>44561</v>
      </c>
      <c r="E30" s="13">
        <v>44562</v>
      </c>
      <c r="F30" s="13">
        <v>44926</v>
      </c>
      <c r="G30" s="14" t="str">
        <f t="shared" si="16"/>
        <v>000-029/AIB RDC/2022</v>
      </c>
      <c r="H30" s="1">
        <v>1</v>
      </c>
      <c r="I30" s="1" t="s">
        <v>58</v>
      </c>
      <c r="J30" s="1" t="s">
        <v>163</v>
      </c>
      <c r="K30" s="16" t="s">
        <v>159</v>
      </c>
      <c r="L30" s="16" t="s">
        <v>160</v>
      </c>
      <c r="M30" s="16" t="s">
        <v>84</v>
      </c>
      <c r="N30" s="16" t="s">
        <v>63</v>
      </c>
      <c r="O30" s="16" t="s">
        <v>73</v>
      </c>
      <c r="P30" s="16" t="s">
        <v>73</v>
      </c>
      <c r="Q30" s="16" t="s">
        <v>161</v>
      </c>
      <c r="R30" s="16" t="s">
        <v>161</v>
      </c>
      <c r="S30" s="17"/>
      <c r="T30" s="17">
        <v>29185</v>
      </c>
      <c r="U30" s="17">
        <v>0</v>
      </c>
      <c r="V30" s="17"/>
      <c r="W30" s="17">
        <v>0</v>
      </c>
      <c r="X30" s="17">
        <v>25159.48</v>
      </c>
      <c r="Y30" s="17"/>
      <c r="Z30" s="18" t="e">
        <f t="shared" si="17"/>
        <v>#DIV/0!</v>
      </c>
      <c r="AA30" s="19">
        <v>0.1</v>
      </c>
      <c r="AB30" s="17">
        <f t="shared" si="30"/>
        <v>2515.9480000000003</v>
      </c>
      <c r="AC30" s="17">
        <v>0</v>
      </c>
      <c r="AD30" s="17">
        <v>0</v>
      </c>
      <c r="AE30" s="17">
        <f t="shared" si="18"/>
        <v>2515.9480000000003</v>
      </c>
      <c r="AF30" s="17">
        <f t="shared" si="29"/>
        <v>402.55168000000003</v>
      </c>
      <c r="AG30" s="17">
        <f t="shared" si="19"/>
        <v>2918.4996800000004</v>
      </c>
      <c r="AH30" s="17">
        <f t="shared" si="20"/>
        <v>50.318960000000004</v>
      </c>
      <c r="AI30" s="17">
        <v>0</v>
      </c>
      <c r="AJ30" s="17">
        <f t="shared" si="21"/>
        <v>50.318960000000004</v>
      </c>
      <c r="AK30" s="20" t="s">
        <v>124</v>
      </c>
      <c r="AL30" s="17">
        <f t="shared" si="22"/>
        <v>2465.6290400000003</v>
      </c>
      <c r="AM30" s="17"/>
      <c r="AN30" s="21"/>
      <c r="AO30" s="17">
        <f t="shared" si="23"/>
        <v>0</v>
      </c>
      <c r="AP30" s="17"/>
      <c r="AQ30" s="16"/>
      <c r="AR30" s="17">
        <f t="shared" si="24"/>
        <v>0</v>
      </c>
      <c r="AS30" s="17"/>
      <c r="AT30" s="17">
        <v>2918.4996800000004</v>
      </c>
      <c r="AU30" s="17">
        <f t="shared" si="25"/>
        <v>2918.4996800000004</v>
      </c>
      <c r="AV30" s="17">
        <f t="shared" si="26"/>
        <v>0</v>
      </c>
      <c r="AW30" s="17" t="str">
        <f t="shared" si="27"/>
        <v>SONAS / Agence Commerce</v>
      </c>
      <c r="AX30" s="22">
        <v>44587</v>
      </c>
      <c r="AY30" s="22"/>
      <c r="AZ30" s="1" t="s">
        <v>162</v>
      </c>
      <c r="BA30" s="22" t="str">
        <f t="shared" si="28"/>
        <v>MOTOR TPL</v>
      </c>
      <c r="BB30" s="22"/>
      <c r="BC30" s="22"/>
      <c r="BD30" s="22"/>
    </row>
    <row r="31" spans="1:56" ht="14.25" customHeight="1" x14ac:dyDescent="0.2">
      <c r="A31" s="12" t="s">
        <v>56</v>
      </c>
      <c r="B31" s="1" t="s">
        <v>57</v>
      </c>
      <c r="C31" s="13">
        <v>44562</v>
      </c>
      <c r="D31" s="13">
        <v>44588</v>
      </c>
      <c r="E31" s="13">
        <v>44562</v>
      </c>
      <c r="F31" s="13">
        <v>44926</v>
      </c>
      <c r="G31" s="14" t="str">
        <f t="shared" si="16"/>
        <v>000-030/AIB RDC/2022</v>
      </c>
      <c r="H31" s="1">
        <v>1</v>
      </c>
      <c r="I31" s="1" t="s">
        <v>58</v>
      </c>
      <c r="J31" s="1" t="s">
        <v>164</v>
      </c>
      <c r="K31" s="1" t="s">
        <v>122</v>
      </c>
      <c r="L31" s="16" t="s">
        <v>123</v>
      </c>
      <c r="M31" s="16" t="s">
        <v>84</v>
      </c>
      <c r="N31" s="16" t="s">
        <v>85</v>
      </c>
      <c r="O31" s="16" t="s">
        <v>165</v>
      </c>
      <c r="P31" s="16" t="s">
        <v>166</v>
      </c>
      <c r="Q31" s="16" t="s">
        <v>107</v>
      </c>
      <c r="R31" s="16" t="s">
        <v>107</v>
      </c>
      <c r="S31" s="17">
        <v>2293523.98</v>
      </c>
      <c r="T31" s="17">
        <v>6795.45</v>
      </c>
      <c r="U31" s="17">
        <v>0</v>
      </c>
      <c r="V31" s="17"/>
      <c r="W31" s="17">
        <v>100</v>
      </c>
      <c r="X31" s="17">
        <v>5658.85</v>
      </c>
      <c r="Y31" s="17"/>
      <c r="Z31" s="18">
        <f t="shared" si="17"/>
        <v>2.9628859603203278E-3</v>
      </c>
      <c r="AA31" s="19">
        <v>0.15</v>
      </c>
      <c r="AB31" s="17">
        <f t="shared" si="30"/>
        <v>848.82749999999999</v>
      </c>
      <c r="AC31" s="17">
        <v>0</v>
      </c>
      <c r="AD31" s="17">
        <v>0</v>
      </c>
      <c r="AE31" s="17">
        <f t="shared" si="18"/>
        <v>848.82749999999999</v>
      </c>
      <c r="AF31" s="17">
        <f t="shared" si="29"/>
        <v>135.8124</v>
      </c>
      <c r="AG31" s="17">
        <f t="shared" si="19"/>
        <v>984.63990000000001</v>
      </c>
      <c r="AH31" s="17">
        <f t="shared" si="20"/>
        <v>16.97655</v>
      </c>
      <c r="AI31" s="17">
        <v>0</v>
      </c>
      <c r="AJ31" s="17">
        <f t="shared" si="21"/>
        <v>16.97655</v>
      </c>
      <c r="AK31" s="20" t="s">
        <v>67</v>
      </c>
      <c r="AL31" s="17">
        <f t="shared" si="22"/>
        <v>831.85095000000001</v>
      </c>
      <c r="AM31" s="17" t="s">
        <v>87</v>
      </c>
      <c r="AN31" s="21">
        <v>0.35</v>
      </c>
      <c r="AO31" s="17">
        <f t="shared" si="23"/>
        <v>291.14783249999999</v>
      </c>
      <c r="AP31" s="17"/>
      <c r="AQ31" s="16"/>
      <c r="AR31" s="17">
        <f t="shared" si="24"/>
        <v>291.14783249999999</v>
      </c>
      <c r="AS31" s="17"/>
      <c r="AT31" s="17">
        <v>984.63990000000001</v>
      </c>
      <c r="AU31" s="17">
        <f t="shared" si="25"/>
        <v>984.63990000000001</v>
      </c>
      <c r="AV31" s="17">
        <f t="shared" si="26"/>
        <v>0</v>
      </c>
      <c r="AW31" s="17" t="str">
        <f t="shared" si="27"/>
        <v>RAWSUR</v>
      </c>
      <c r="AX31" s="22">
        <v>44635</v>
      </c>
      <c r="AY31" s="22"/>
      <c r="AZ31" s="1" t="s">
        <v>100</v>
      </c>
      <c r="BA31" s="22" t="str">
        <f t="shared" si="28"/>
        <v>CAR</v>
      </c>
      <c r="BB31" s="22"/>
      <c r="BC31" s="22"/>
      <c r="BD31" s="22"/>
    </row>
    <row r="32" spans="1:56" ht="14.25" customHeight="1" x14ac:dyDescent="0.2">
      <c r="A32" s="12" t="s">
        <v>56</v>
      </c>
      <c r="B32" s="1" t="s">
        <v>57</v>
      </c>
      <c r="C32" s="13">
        <v>44562</v>
      </c>
      <c r="D32" s="13">
        <v>44559</v>
      </c>
      <c r="E32" s="13">
        <v>44562</v>
      </c>
      <c r="F32" s="13">
        <v>44926</v>
      </c>
      <c r="G32" s="14" t="str">
        <f t="shared" si="16"/>
        <v>000-031/AIB RDC/2022</v>
      </c>
      <c r="H32" s="1">
        <v>1</v>
      </c>
      <c r="I32" s="1" t="s">
        <v>58</v>
      </c>
      <c r="J32" s="1" t="s">
        <v>167</v>
      </c>
      <c r="K32" s="16" t="s">
        <v>168</v>
      </c>
      <c r="L32" s="16" t="s">
        <v>169</v>
      </c>
      <c r="M32" s="16" t="s">
        <v>84</v>
      </c>
      <c r="N32" s="16" t="s">
        <v>85</v>
      </c>
      <c r="O32" s="16" t="s">
        <v>73</v>
      </c>
      <c r="P32" s="16" t="s">
        <v>73</v>
      </c>
      <c r="Q32" s="16" t="s">
        <v>86</v>
      </c>
      <c r="R32" s="16" t="s">
        <v>86</v>
      </c>
      <c r="S32" s="17"/>
      <c r="T32" s="17">
        <v>2405.34</v>
      </c>
      <c r="U32" s="17">
        <v>0</v>
      </c>
      <c r="V32" s="17"/>
      <c r="W32" s="17">
        <v>20.53</v>
      </c>
      <c r="X32" s="17">
        <v>2053.04</v>
      </c>
      <c r="Y32" s="17">
        <v>331.77</v>
      </c>
      <c r="Z32" s="18" t="e">
        <f t="shared" si="17"/>
        <v>#DIV/0!</v>
      </c>
      <c r="AA32" s="19">
        <v>0.1</v>
      </c>
      <c r="AB32" s="17">
        <f t="shared" si="30"/>
        <v>205.304</v>
      </c>
      <c r="AC32" s="17">
        <v>0</v>
      </c>
      <c r="AD32" s="17">
        <v>0</v>
      </c>
      <c r="AE32" s="17">
        <f t="shared" si="18"/>
        <v>205.304</v>
      </c>
      <c r="AF32" s="17">
        <f t="shared" si="29"/>
        <v>32.848640000000003</v>
      </c>
      <c r="AG32" s="17">
        <f t="shared" si="19"/>
        <v>238.15264000000002</v>
      </c>
      <c r="AH32" s="17">
        <f t="shared" si="20"/>
        <v>4.1060800000000004</v>
      </c>
      <c r="AI32" s="17">
        <v>0</v>
      </c>
      <c r="AJ32" s="17">
        <f t="shared" si="21"/>
        <v>4.1060800000000004</v>
      </c>
      <c r="AK32" s="20" t="s">
        <v>124</v>
      </c>
      <c r="AL32" s="17">
        <f t="shared" si="22"/>
        <v>201.19792000000001</v>
      </c>
      <c r="AM32" s="17"/>
      <c r="AN32" s="21"/>
      <c r="AO32" s="17">
        <f t="shared" si="23"/>
        <v>0</v>
      </c>
      <c r="AP32" s="17"/>
      <c r="AQ32" s="16"/>
      <c r="AR32" s="17">
        <f t="shared" si="24"/>
        <v>0</v>
      </c>
      <c r="AS32" s="17"/>
      <c r="AT32" s="17">
        <v>238.15264000000002</v>
      </c>
      <c r="AU32" s="17">
        <f t="shared" si="25"/>
        <v>238.15264000000002</v>
      </c>
      <c r="AV32" s="17">
        <f t="shared" si="26"/>
        <v>0</v>
      </c>
      <c r="AW32" s="17" t="str">
        <f t="shared" si="27"/>
        <v>SUNU</v>
      </c>
      <c r="AX32" s="22">
        <v>44603</v>
      </c>
      <c r="AY32" s="22"/>
      <c r="AZ32" s="1" t="s">
        <v>68</v>
      </c>
      <c r="BA32" s="22" t="str">
        <f t="shared" si="28"/>
        <v>MOTOR TPL</v>
      </c>
      <c r="BB32" s="22"/>
      <c r="BC32" s="22"/>
      <c r="BD32" s="22"/>
    </row>
    <row r="33" spans="1:56" ht="14.25" customHeight="1" x14ac:dyDescent="0.2">
      <c r="A33" s="12" t="s">
        <v>56</v>
      </c>
      <c r="B33" s="1" t="s">
        <v>57</v>
      </c>
      <c r="C33" s="13">
        <v>44562</v>
      </c>
      <c r="D33" s="13">
        <v>44561</v>
      </c>
      <c r="E33" s="13">
        <v>44562</v>
      </c>
      <c r="F33" s="13">
        <v>44926</v>
      </c>
      <c r="G33" s="14" t="str">
        <f t="shared" si="16"/>
        <v>000-032/AIB RDC/2022</v>
      </c>
      <c r="H33" s="1">
        <v>0</v>
      </c>
      <c r="I33" s="1" t="s">
        <v>74</v>
      </c>
      <c r="J33" s="1" t="s">
        <v>116</v>
      </c>
      <c r="K33" s="1" t="s">
        <v>117</v>
      </c>
      <c r="L33" s="16" t="s">
        <v>118</v>
      </c>
      <c r="M33" s="16" t="s">
        <v>105</v>
      </c>
      <c r="N33" s="16" t="s">
        <v>119</v>
      </c>
      <c r="O33" s="16" t="s">
        <v>73</v>
      </c>
      <c r="P33" s="16" t="s">
        <v>73</v>
      </c>
      <c r="Q33" s="16" t="s">
        <v>86</v>
      </c>
      <c r="R33" s="16" t="s">
        <v>86</v>
      </c>
      <c r="S33" s="17">
        <v>0</v>
      </c>
      <c r="T33" s="17">
        <v>46932.07</v>
      </c>
      <c r="U33" s="17">
        <v>0</v>
      </c>
      <c r="V33" s="17"/>
      <c r="W33" s="17">
        <v>400.58</v>
      </c>
      <c r="X33" s="17">
        <v>40058.1</v>
      </c>
      <c r="Y33" s="17">
        <v>6473.39</v>
      </c>
      <c r="Z33" s="18" t="e">
        <f t="shared" si="17"/>
        <v>#DIV/0!</v>
      </c>
      <c r="AA33" s="19">
        <v>0.1</v>
      </c>
      <c r="AB33" s="17">
        <f t="shared" si="30"/>
        <v>4005.81</v>
      </c>
      <c r="AC33" s="17">
        <v>0</v>
      </c>
      <c r="AD33" s="17">
        <v>0</v>
      </c>
      <c r="AE33" s="17">
        <f t="shared" si="18"/>
        <v>4005.81</v>
      </c>
      <c r="AF33" s="17">
        <f t="shared" si="29"/>
        <v>640.92960000000005</v>
      </c>
      <c r="AG33" s="17">
        <f t="shared" si="19"/>
        <v>4646.7395999999999</v>
      </c>
      <c r="AH33" s="17">
        <f t="shared" si="20"/>
        <v>80.116200000000006</v>
      </c>
      <c r="AI33" s="17">
        <v>0</v>
      </c>
      <c r="AJ33" s="17">
        <f t="shared" si="21"/>
        <v>80.116200000000006</v>
      </c>
      <c r="AK33" s="20" t="s">
        <v>124</v>
      </c>
      <c r="AL33" s="17">
        <f t="shared" si="22"/>
        <v>3925.6938</v>
      </c>
      <c r="AM33" s="17"/>
      <c r="AN33" s="21">
        <v>0.35</v>
      </c>
      <c r="AO33" s="17">
        <f t="shared" si="23"/>
        <v>1373.9928299999999</v>
      </c>
      <c r="AP33" s="17">
        <v>1373.9928299999999</v>
      </c>
      <c r="AQ33" s="16">
        <v>44643</v>
      </c>
      <c r="AR33" s="17">
        <f t="shared" si="24"/>
        <v>0</v>
      </c>
      <c r="AS33" s="17" t="s">
        <v>125</v>
      </c>
      <c r="AT33" s="17">
        <v>4646.7395999999999</v>
      </c>
      <c r="AU33" s="17">
        <f t="shared" si="25"/>
        <v>4646.7395999999999</v>
      </c>
      <c r="AV33" s="17">
        <f t="shared" si="26"/>
        <v>0</v>
      </c>
      <c r="AW33" s="17" t="str">
        <f t="shared" si="27"/>
        <v>SUNU</v>
      </c>
      <c r="AX33" s="22">
        <v>44603</v>
      </c>
      <c r="AY33" s="22"/>
      <c r="AZ33" s="1" t="s">
        <v>68</v>
      </c>
      <c r="BA33" s="22" t="str">
        <f t="shared" si="28"/>
        <v>MOTOR TPL</v>
      </c>
      <c r="BB33" s="22"/>
      <c r="BC33" s="22"/>
      <c r="BD33" s="22"/>
    </row>
    <row r="34" spans="1:56" ht="14.25" customHeight="1" x14ac:dyDescent="0.2">
      <c r="A34" s="12" t="s">
        <v>56</v>
      </c>
      <c r="B34" s="1" t="s">
        <v>57</v>
      </c>
      <c r="C34" s="13">
        <v>44562</v>
      </c>
      <c r="D34" s="13">
        <v>44586</v>
      </c>
      <c r="E34" s="13">
        <v>44562</v>
      </c>
      <c r="F34" s="13">
        <v>44926</v>
      </c>
      <c r="G34" s="14" t="str">
        <f t="shared" si="16"/>
        <v>000-033/AIB RDC/2022</v>
      </c>
      <c r="H34" s="1">
        <v>2</v>
      </c>
      <c r="I34" s="1" t="s">
        <v>58</v>
      </c>
      <c r="J34" s="1" t="s">
        <v>170</v>
      </c>
      <c r="K34" s="1" t="s">
        <v>117</v>
      </c>
      <c r="L34" s="16" t="s">
        <v>118</v>
      </c>
      <c r="M34" s="16" t="s">
        <v>84</v>
      </c>
      <c r="N34" s="16" t="s">
        <v>85</v>
      </c>
      <c r="O34" s="16" t="s">
        <v>70</v>
      </c>
      <c r="P34" s="16" t="s">
        <v>71</v>
      </c>
      <c r="Q34" s="16" t="s">
        <v>66</v>
      </c>
      <c r="R34" s="1" t="s">
        <v>66</v>
      </c>
      <c r="S34" s="17">
        <v>0</v>
      </c>
      <c r="T34" s="17">
        <v>196779.59</v>
      </c>
      <c r="U34" s="17">
        <v>0</v>
      </c>
      <c r="V34" s="17">
        <v>0</v>
      </c>
      <c r="W34" s="17">
        <v>1679.58</v>
      </c>
      <c r="X34" s="17">
        <v>167958</v>
      </c>
      <c r="Y34" s="17">
        <v>27142.012799999997</v>
      </c>
      <c r="Z34" s="18" t="e">
        <f t="shared" si="17"/>
        <v>#DIV/0!</v>
      </c>
      <c r="AA34" s="19">
        <v>0.05</v>
      </c>
      <c r="AB34" s="17">
        <f t="shared" si="30"/>
        <v>8397.9</v>
      </c>
      <c r="AC34" s="17">
        <v>0</v>
      </c>
      <c r="AD34" s="17">
        <v>0</v>
      </c>
      <c r="AE34" s="17">
        <f t="shared" si="18"/>
        <v>8397.9</v>
      </c>
      <c r="AF34" s="17">
        <f t="shared" si="29"/>
        <v>1343.664</v>
      </c>
      <c r="AG34" s="17">
        <f t="shared" si="19"/>
        <v>9741.5640000000003</v>
      </c>
      <c r="AH34" s="17">
        <f t="shared" si="20"/>
        <v>167.958</v>
      </c>
      <c r="AI34" s="17">
        <v>0</v>
      </c>
      <c r="AJ34" s="17">
        <f t="shared" si="21"/>
        <v>167.958</v>
      </c>
      <c r="AK34" s="20" t="s">
        <v>67</v>
      </c>
      <c r="AL34" s="17">
        <f t="shared" si="22"/>
        <v>8229.9419999999991</v>
      </c>
      <c r="AM34" s="17"/>
      <c r="AN34" s="21"/>
      <c r="AO34" s="17">
        <f t="shared" si="23"/>
        <v>0</v>
      </c>
      <c r="AP34" s="17"/>
      <c r="AQ34" s="16"/>
      <c r="AR34" s="17">
        <f t="shared" si="24"/>
        <v>0</v>
      </c>
      <c r="AS34" s="17"/>
      <c r="AT34" s="17">
        <v>9741.5640000000003</v>
      </c>
      <c r="AU34" s="17">
        <f t="shared" si="25"/>
        <v>9741.5640000000003</v>
      </c>
      <c r="AV34" s="17">
        <f t="shared" si="26"/>
        <v>0</v>
      </c>
      <c r="AW34" s="17" t="str">
        <f t="shared" si="27"/>
        <v>ACTIVA</v>
      </c>
      <c r="AX34" s="22">
        <v>44643</v>
      </c>
      <c r="AY34" s="22"/>
      <c r="AZ34" s="1" t="s">
        <v>68</v>
      </c>
      <c r="BA34" s="22" t="str">
        <f t="shared" si="28"/>
        <v>FIRE</v>
      </c>
      <c r="BB34" s="22"/>
      <c r="BC34" s="22"/>
      <c r="BD34" s="22"/>
    </row>
    <row r="35" spans="1:56" ht="14.25" customHeight="1" x14ac:dyDescent="0.2">
      <c r="A35" s="12" t="s">
        <v>56</v>
      </c>
      <c r="B35" s="1" t="s">
        <v>57</v>
      </c>
      <c r="C35" s="13">
        <v>44562</v>
      </c>
      <c r="D35" s="13">
        <v>44586</v>
      </c>
      <c r="E35" s="13">
        <v>44562</v>
      </c>
      <c r="F35" s="13">
        <v>44926</v>
      </c>
      <c r="G35" s="14" t="str">
        <f t="shared" si="16"/>
        <v>000-034/AIB RDC/2022</v>
      </c>
      <c r="H35" s="1">
        <v>3</v>
      </c>
      <c r="I35" s="1" t="s">
        <v>58</v>
      </c>
      <c r="J35" s="1" t="s">
        <v>171</v>
      </c>
      <c r="K35" s="1" t="s">
        <v>117</v>
      </c>
      <c r="L35" s="16" t="s">
        <v>118</v>
      </c>
      <c r="M35" s="16" t="s">
        <v>84</v>
      </c>
      <c r="N35" s="16" t="s">
        <v>85</v>
      </c>
      <c r="O35" s="16" t="s">
        <v>172</v>
      </c>
      <c r="P35" s="16" t="s">
        <v>90</v>
      </c>
      <c r="Q35" s="16" t="s">
        <v>66</v>
      </c>
      <c r="R35" s="16" t="s">
        <v>173</v>
      </c>
      <c r="S35" s="17">
        <v>0</v>
      </c>
      <c r="T35" s="17">
        <v>260968.94</v>
      </c>
      <c r="U35" s="17">
        <v>0</v>
      </c>
      <c r="V35" s="17"/>
      <c r="W35" s="17">
        <v>2227.46</v>
      </c>
      <c r="X35" s="17">
        <v>222745.77</v>
      </c>
      <c r="Y35" s="17">
        <v>35995.716799999995</v>
      </c>
      <c r="Z35" s="18" t="e">
        <f t="shared" si="17"/>
        <v>#DIV/0!</v>
      </c>
      <c r="AA35" s="19">
        <v>0.05</v>
      </c>
      <c r="AB35" s="17"/>
      <c r="AC35" s="17">
        <v>0</v>
      </c>
      <c r="AD35" s="17">
        <v>11137.288500000001</v>
      </c>
      <c r="AE35" s="17">
        <f t="shared" si="18"/>
        <v>11137.288500000001</v>
      </c>
      <c r="AF35" s="17">
        <f t="shared" si="29"/>
        <v>1781.9661600000002</v>
      </c>
      <c r="AG35" s="17">
        <f t="shared" si="19"/>
        <v>12919.254660000001</v>
      </c>
      <c r="AH35" s="17">
        <f t="shared" si="20"/>
        <v>222.74577000000002</v>
      </c>
      <c r="AI35" s="17">
        <v>0</v>
      </c>
      <c r="AJ35" s="17">
        <f t="shared" si="21"/>
        <v>222.74577000000002</v>
      </c>
      <c r="AK35" s="20" t="s">
        <v>67</v>
      </c>
      <c r="AL35" s="17">
        <f t="shared" si="22"/>
        <v>10914.542730000001</v>
      </c>
      <c r="AM35" s="17"/>
      <c r="AN35" s="21"/>
      <c r="AO35" s="17">
        <f t="shared" si="23"/>
        <v>0</v>
      </c>
      <c r="AP35" s="17"/>
      <c r="AQ35" s="16"/>
      <c r="AR35" s="17">
        <f t="shared" si="24"/>
        <v>0</v>
      </c>
      <c r="AS35" s="17"/>
      <c r="AT35" s="17">
        <v>12919.254660000001</v>
      </c>
      <c r="AU35" s="17">
        <f t="shared" si="25"/>
        <v>12919.254660000001</v>
      </c>
      <c r="AV35" s="17">
        <f t="shared" si="26"/>
        <v>0</v>
      </c>
      <c r="AW35" s="17" t="str">
        <f t="shared" si="27"/>
        <v>ACTIVA</v>
      </c>
      <c r="AX35" s="22">
        <v>44643</v>
      </c>
      <c r="AY35" s="22"/>
      <c r="AZ35" s="1" t="s">
        <v>100</v>
      </c>
      <c r="BA35" s="22" t="str">
        <f t="shared" si="28"/>
        <v>PUBLIC LIABILITY</v>
      </c>
      <c r="BB35" s="22"/>
      <c r="BC35" s="22"/>
      <c r="BD35" s="22"/>
    </row>
    <row r="36" spans="1:56" ht="14.25" customHeight="1" x14ac:dyDescent="0.2">
      <c r="A36" s="12" t="s">
        <v>56</v>
      </c>
      <c r="B36" s="1" t="s">
        <v>57</v>
      </c>
      <c r="C36" s="13">
        <v>44749</v>
      </c>
      <c r="D36" s="13">
        <v>44648</v>
      </c>
      <c r="E36" s="13">
        <v>44562</v>
      </c>
      <c r="F36" s="13">
        <v>44926</v>
      </c>
      <c r="G36" s="14" t="str">
        <f t="shared" si="16"/>
        <v>000-035/AIB RDC/2022</v>
      </c>
      <c r="H36" s="1">
        <v>1</v>
      </c>
      <c r="I36" s="1" t="s">
        <v>58</v>
      </c>
      <c r="J36" s="1" t="s">
        <v>174</v>
      </c>
      <c r="K36" s="1" t="s">
        <v>175</v>
      </c>
      <c r="L36" s="16" t="s">
        <v>77</v>
      </c>
      <c r="M36" s="16" t="s">
        <v>95</v>
      </c>
      <c r="N36" s="16" t="s">
        <v>102</v>
      </c>
      <c r="O36" s="16" t="s">
        <v>113</v>
      </c>
      <c r="P36" s="16" t="s">
        <v>113</v>
      </c>
      <c r="Q36" s="16" t="s">
        <v>114</v>
      </c>
      <c r="R36" s="1" t="s">
        <v>176</v>
      </c>
      <c r="S36" s="17"/>
      <c r="T36" s="17">
        <v>112976</v>
      </c>
      <c r="U36" s="17">
        <v>10179.02</v>
      </c>
      <c r="V36" s="17"/>
      <c r="W36" s="1">
        <v>0</v>
      </c>
      <c r="X36" s="17">
        <v>101678.39999999999</v>
      </c>
      <c r="Y36" s="17">
        <v>0</v>
      </c>
      <c r="Z36" s="18" t="e">
        <f t="shared" si="17"/>
        <v>#DIV/0!</v>
      </c>
      <c r="AA36" s="19">
        <v>0</v>
      </c>
      <c r="AB36" s="17"/>
      <c r="AC36" s="17">
        <f>30%*U36</f>
        <v>3053.7060000000001</v>
      </c>
      <c r="AD36" s="17">
        <v>0</v>
      </c>
      <c r="AE36" s="17">
        <f t="shared" si="18"/>
        <v>3053.7060000000001</v>
      </c>
      <c r="AF36" s="17">
        <v>0</v>
      </c>
      <c r="AG36" s="17">
        <f t="shared" si="19"/>
        <v>3053.7060000000001</v>
      </c>
      <c r="AH36" s="17">
        <f>1%*AE36</f>
        <v>30.53706</v>
      </c>
      <c r="AI36" s="17">
        <v>0</v>
      </c>
      <c r="AJ36" s="17">
        <f t="shared" si="21"/>
        <v>30.53706</v>
      </c>
      <c r="AK36" s="20"/>
      <c r="AL36" s="17">
        <f t="shared" si="22"/>
        <v>3023.16894</v>
      </c>
      <c r="AM36" s="17"/>
      <c r="AN36" s="21"/>
      <c r="AO36" s="17">
        <f t="shared" si="23"/>
        <v>0</v>
      </c>
      <c r="AP36" s="17"/>
      <c r="AQ36" s="16"/>
      <c r="AR36" s="17">
        <f t="shared" si="24"/>
        <v>0</v>
      </c>
      <c r="AS36" s="17"/>
      <c r="AT36" s="17">
        <v>3053.7060000000001</v>
      </c>
      <c r="AU36" s="17">
        <f t="shared" si="25"/>
        <v>3053.7060000000001</v>
      </c>
      <c r="AV36" s="17">
        <f t="shared" si="26"/>
        <v>0</v>
      </c>
      <c r="AW36" s="17" t="str">
        <f t="shared" si="27"/>
        <v>RAWSUR - LIFE</v>
      </c>
      <c r="AX36" s="22">
        <v>44747</v>
      </c>
      <c r="AY36" s="22"/>
      <c r="AZ36" s="1" t="s">
        <v>68</v>
      </c>
      <c r="BA36" s="22" t="str">
        <f t="shared" si="28"/>
        <v>LIFE</v>
      </c>
      <c r="BB36" s="22"/>
      <c r="BC36" s="22"/>
      <c r="BD36" s="22"/>
    </row>
    <row r="37" spans="1:56" ht="14.25" customHeight="1" x14ac:dyDescent="0.2">
      <c r="A37" s="12" t="s">
        <v>56</v>
      </c>
      <c r="B37" s="1" t="s">
        <v>57</v>
      </c>
      <c r="C37" s="13">
        <v>44562</v>
      </c>
      <c r="D37" s="13">
        <v>44651</v>
      </c>
      <c r="E37" s="13">
        <v>44562</v>
      </c>
      <c r="F37" s="13">
        <v>44926</v>
      </c>
      <c r="G37" s="14" t="str">
        <f t="shared" si="16"/>
        <v>000-036/AIB RDC/2022</v>
      </c>
      <c r="H37" s="1">
        <v>0</v>
      </c>
      <c r="I37" s="1" t="s">
        <v>74</v>
      </c>
      <c r="J37" s="1" t="s">
        <v>177</v>
      </c>
      <c r="K37" s="1" t="s">
        <v>122</v>
      </c>
      <c r="L37" s="16" t="s">
        <v>123</v>
      </c>
      <c r="M37" s="16" t="s">
        <v>84</v>
      </c>
      <c r="N37" s="16" t="s">
        <v>84</v>
      </c>
      <c r="O37" s="16" t="s">
        <v>64</v>
      </c>
      <c r="P37" s="16" t="s">
        <v>65</v>
      </c>
      <c r="Q37" s="16" t="s">
        <v>66</v>
      </c>
      <c r="R37" s="16" t="s">
        <v>66</v>
      </c>
      <c r="S37" s="17">
        <v>900496</v>
      </c>
      <c r="T37" s="17">
        <v>2643.14</v>
      </c>
      <c r="U37" s="17">
        <v>0</v>
      </c>
      <c r="V37" s="17"/>
      <c r="W37" s="17">
        <v>22.56</v>
      </c>
      <c r="X37" s="17">
        <v>2256.0100000000002</v>
      </c>
      <c r="Y37" s="17"/>
      <c r="Z37" s="18">
        <f t="shared" si="17"/>
        <v>2.9352045983546842E-3</v>
      </c>
      <c r="AA37" s="19">
        <v>0.15</v>
      </c>
      <c r="AB37" s="17">
        <f>(AA37*X37)</f>
        <v>338.4015</v>
      </c>
      <c r="AC37" s="17">
        <v>0</v>
      </c>
      <c r="AD37" s="17">
        <v>0</v>
      </c>
      <c r="AE37" s="17">
        <f t="shared" si="18"/>
        <v>338.4015</v>
      </c>
      <c r="AF37" s="17">
        <f t="shared" ref="AF37:AF68" si="31">16%*AE37</f>
        <v>54.144240000000003</v>
      </c>
      <c r="AG37" s="17">
        <f t="shared" si="19"/>
        <v>392.54574000000002</v>
      </c>
      <c r="AH37" s="17">
        <f t="shared" ref="AH37:AH100" si="32">2%*AE37</f>
        <v>6.7680300000000004</v>
      </c>
      <c r="AI37" s="17">
        <v>0</v>
      </c>
      <c r="AJ37" s="17">
        <f t="shared" si="21"/>
        <v>6.7680300000000004</v>
      </c>
      <c r="AK37" s="20"/>
      <c r="AL37" s="17">
        <f t="shared" si="22"/>
        <v>331.63346999999999</v>
      </c>
      <c r="AM37" s="17" t="s">
        <v>87</v>
      </c>
      <c r="AN37" s="21">
        <v>0.35</v>
      </c>
      <c r="AO37" s="17">
        <f t="shared" si="23"/>
        <v>116.07171449999998</v>
      </c>
      <c r="AP37" s="17"/>
      <c r="AQ37" s="16"/>
      <c r="AR37" s="17">
        <f t="shared" si="24"/>
        <v>116.07171449999998</v>
      </c>
      <c r="AS37" s="17"/>
      <c r="AT37" s="17">
        <v>392.54574000000002</v>
      </c>
      <c r="AU37" s="17">
        <f t="shared" si="25"/>
        <v>392.54574000000002</v>
      </c>
      <c r="AV37" s="17">
        <f t="shared" si="26"/>
        <v>0</v>
      </c>
      <c r="AW37" s="17" t="str">
        <f t="shared" si="27"/>
        <v>ACTIVA</v>
      </c>
      <c r="AX37" s="22">
        <v>44699</v>
      </c>
      <c r="AY37" s="22"/>
      <c r="AZ37" s="1" t="s">
        <v>100</v>
      </c>
      <c r="BA37" s="22" t="str">
        <f t="shared" si="28"/>
        <v>MARINE CARGO / GIT</v>
      </c>
      <c r="BB37" s="22"/>
      <c r="BC37" s="22"/>
      <c r="BD37" s="22"/>
    </row>
    <row r="38" spans="1:56" ht="14.25" customHeight="1" x14ac:dyDescent="0.2">
      <c r="A38" s="12" t="s">
        <v>56</v>
      </c>
      <c r="B38" s="1" t="s">
        <v>57</v>
      </c>
      <c r="C38" s="13">
        <v>44566</v>
      </c>
      <c r="D38" s="13">
        <v>44566</v>
      </c>
      <c r="E38" s="13">
        <v>44566</v>
      </c>
      <c r="F38" s="13">
        <v>44596</v>
      </c>
      <c r="G38" s="14" t="str">
        <f t="shared" si="16"/>
        <v>000-037/AIB RDC/2022</v>
      </c>
      <c r="H38" s="1">
        <v>0</v>
      </c>
      <c r="I38" s="1" t="s">
        <v>74</v>
      </c>
      <c r="J38" s="1" t="s">
        <v>178</v>
      </c>
      <c r="K38" s="16" t="s">
        <v>179</v>
      </c>
      <c r="L38" s="16"/>
      <c r="M38" s="16" t="s">
        <v>105</v>
      </c>
      <c r="N38" s="16" t="s">
        <v>106</v>
      </c>
      <c r="O38" s="16" t="s">
        <v>64</v>
      </c>
      <c r="P38" s="16" t="s">
        <v>65</v>
      </c>
      <c r="Q38" s="16" t="s">
        <v>107</v>
      </c>
      <c r="R38" s="16" t="s">
        <v>107</v>
      </c>
      <c r="S38" s="17">
        <v>9641</v>
      </c>
      <c r="T38" s="17">
        <v>129.80000000000001</v>
      </c>
      <c r="U38" s="17">
        <v>0</v>
      </c>
      <c r="V38" s="17"/>
      <c r="W38" s="17">
        <v>10</v>
      </c>
      <c r="X38" s="17">
        <v>100</v>
      </c>
      <c r="Y38" s="17"/>
      <c r="Z38" s="18">
        <f t="shared" si="17"/>
        <v>1.3463333679078935E-2</v>
      </c>
      <c r="AA38" s="19">
        <v>0.15</v>
      </c>
      <c r="AB38" s="17">
        <f>(AA38*X38)</f>
        <v>15</v>
      </c>
      <c r="AC38" s="17">
        <v>0</v>
      </c>
      <c r="AD38" s="17">
        <v>0</v>
      </c>
      <c r="AE38" s="17">
        <f t="shared" si="18"/>
        <v>15</v>
      </c>
      <c r="AF38" s="17">
        <f t="shared" si="31"/>
        <v>2.4</v>
      </c>
      <c r="AG38" s="17">
        <f t="shared" si="19"/>
        <v>17.399999999999999</v>
      </c>
      <c r="AH38" s="17">
        <f t="shared" si="32"/>
        <v>0.3</v>
      </c>
      <c r="AI38" s="17">
        <v>0</v>
      </c>
      <c r="AJ38" s="17">
        <f t="shared" si="21"/>
        <v>0.3</v>
      </c>
      <c r="AK38" s="20" t="s">
        <v>67</v>
      </c>
      <c r="AL38" s="17">
        <f t="shared" si="22"/>
        <v>14.7</v>
      </c>
      <c r="AM38" s="17" t="s">
        <v>108</v>
      </c>
      <c r="AN38" s="21">
        <v>0.4</v>
      </c>
      <c r="AO38" s="17">
        <f t="shared" si="23"/>
        <v>5.88</v>
      </c>
      <c r="AP38" s="17">
        <v>5.88</v>
      </c>
      <c r="AQ38" s="16">
        <v>44834</v>
      </c>
      <c r="AR38" s="17">
        <f t="shared" si="24"/>
        <v>0</v>
      </c>
      <c r="AS38" s="17" t="s">
        <v>109</v>
      </c>
      <c r="AT38" s="17">
        <v>17.399999999999999</v>
      </c>
      <c r="AU38" s="17">
        <f t="shared" si="25"/>
        <v>17.399999999999999</v>
      </c>
      <c r="AV38" s="17">
        <f t="shared" si="26"/>
        <v>0</v>
      </c>
      <c r="AW38" s="17" t="str">
        <f t="shared" si="27"/>
        <v>RAWSUR</v>
      </c>
      <c r="AX38" s="22">
        <v>44635</v>
      </c>
      <c r="AY38" s="22"/>
      <c r="AZ38" s="1" t="s">
        <v>110</v>
      </c>
      <c r="BA38" s="22" t="str">
        <f t="shared" si="28"/>
        <v>MARINE CARGO / GIT</v>
      </c>
      <c r="BB38" s="22"/>
      <c r="BC38" s="22"/>
      <c r="BD38" s="22"/>
    </row>
    <row r="39" spans="1:56" ht="14.25" customHeight="1" x14ac:dyDescent="0.2">
      <c r="A39" s="12" t="s">
        <v>56</v>
      </c>
      <c r="B39" s="1" t="s">
        <v>57</v>
      </c>
      <c r="C39" s="13">
        <v>44567</v>
      </c>
      <c r="D39" s="13">
        <v>44562</v>
      </c>
      <c r="E39" s="13">
        <v>44567</v>
      </c>
      <c r="F39" s="13">
        <v>44597</v>
      </c>
      <c r="G39" s="14" t="str">
        <f t="shared" si="16"/>
        <v>000-038/AIB RDC/2022</v>
      </c>
      <c r="H39" s="1">
        <v>0</v>
      </c>
      <c r="I39" s="1" t="s">
        <v>74</v>
      </c>
      <c r="J39" s="1" t="s">
        <v>180</v>
      </c>
      <c r="K39" s="16" t="s">
        <v>181</v>
      </c>
      <c r="L39" s="16"/>
      <c r="M39" s="16" t="s">
        <v>105</v>
      </c>
      <c r="N39" s="16" t="s">
        <v>106</v>
      </c>
      <c r="O39" s="16" t="s">
        <v>64</v>
      </c>
      <c r="P39" s="16" t="s">
        <v>65</v>
      </c>
      <c r="Q39" s="16" t="s">
        <v>107</v>
      </c>
      <c r="R39" s="16" t="s">
        <v>107</v>
      </c>
      <c r="S39" s="17">
        <v>5466</v>
      </c>
      <c r="T39" s="17">
        <v>129.80000000000001</v>
      </c>
      <c r="U39" s="17">
        <v>0</v>
      </c>
      <c r="V39" s="17">
        <v>0</v>
      </c>
      <c r="W39" s="17">
        <v>10</v>
      </c>
      <c r="X39" s="17">
        <v>100</v>
      </c>
      <c r="Y39" s="17">
        <v>17.600000000000001</v>
      </c>
      <c r="Z39" s="18">
        <f t="shared" si="17"/>
        <v>2.374679839004757E-2</v>
      </c>
      <c r="AA39" s="19">
        <v>0.15</v>
      </c>
      <c r="AB39" s="17">
        <f>(AA39*X39)</f>
        <v>15</v>
      </c>
      <c r="AC39" s="17">
        <v>0</v>
      </c>
      <c r="AD39" s="17">
        <v>0</v>
      </c>
      <c r="AE39" s="17">
        <f t="shared" si="18"/>
        <v>15</v>
      </c>
      <c r="AF39" s="17">
        <f t="shared" si="31"/>
        <v>2.4</v>
      </c>
      <c r="AG39" s="17">
        <f t="shared" si="19"/>
        <v>17.399999999999999</v>
      </c>
      <c r="AH39" s="17">
        <f t="shared" si="32"/>
        <v>0.3</v>
      </c>
      <c r="AI39" s="17">
        <v>0</v>
      </c>
      <c r="AJ39" s="17">
        <f t="shared" si="21"/>
        <v>0.3</v>
      </c>
      <c r="AK39" s="20" t="s">
        <v>67</v>
      </c>
      <c r="AL39" s="17">
        <f t="shared" si="22"/>
        <v>14.7</v>
      </c>
      <c r="AM39" s="17" t="s">
        <v>108</v>
      </c>
      <c r="AN39" s="21">
        <v>0.4</v>
      </c>
      <c r="AO39" s="17">
        <f t="shared" si="23"/>
        <v>5.88</v>
      </c>
      <c r="AP39" s="17">
        <v>5.88</v>
      </c>
      <c r="AQ39" s="16">
        <v>44834</v>
      </c>
      <c r="AR39" s="17">
        <f t="shared" si="24"/>
        <v>0</v>
      </c>
      <c r="AS39" s="17" t="s">
        <v>109</v>
      </c>
      <c r="AT39" s="17">
        <v>17.399999999999999</v>
      </c>
      <c r="AU39" s="17">
        <f t="shared" si="25"/>
        <v>17.399999999999999</v>
      </c>
      <c r="AV39" s="17">
        <f t="shared" si="26"/>
        <v>0</v>
      </c>
      <c r="AW39" s="17" t="str">
        <f t="shared" si="27"/>
        <v>RAWSUR</v>
      </c>
      <c r="AX39" s="22">
        <v>44635</v>
      </c>
      <c r="AY39" s="22"/>
      <c r="AZ39" s="1" t="s">
        <v>110</v>
      </c>
      <c r="BA39" s="22" t="str">
        <f t="shared" si="28"/>
        <v>MARINE CARGO / GIT</v>
      </c>
      <c r="BB39" s="22"/>
      <c r="BC39" s="22"/>
      <c r="BD39" s="22"/>
    </row>
    <row r="40" spans="1:56" ht="14.25" customHeight="1" x14ac:dyDescent="0.2">
      <c r="A40" s="12" t="s">
        <v>56</v>
      </c>
      <c r="B40" s="1" t="s">
        <v>57</v>
      </c>
      <c r="C40" s="13">
        <v>44568</v>
      </c>
      <c r="D40" s="13">
        <v>44580</v>
      </c>
      <c r="E40" s="13">
        <v>44568</v>
      </c>
      <c r="F40" s="13">
        <v>44749</v>
      </c>
      <c r="G40" s="14" t="str">
        <f t="shared" si="16"/>
        <v>000-039/AIB RDC/2022</v>
      </c>
      <c r="H40" s="1">
        <v>2</v>
      </c>
      <c r="I40" s="1" t="s">
        <v>91</v>
      </c>
      <c r="J40" s="15" t="s">
        <v>182</v>
      </c>
      <c r="K40" s="16" t="s">
        <v>183</v>
      </c>
      <c r="L40" s="16" t="s">
        <v>169</v>
      </c>
      <c r="M40" s="16" t="s">
        <v>105</v>
      </c>
      <c r="N40" s="16" t="s">
        <v>184</v>
      </c>
      <c r="O40" s="16" t="s">
        <v>185</v>
      </c>
      <c r="P40" s="16" t="s">
        <v>186</v>
      </c>
      <c r="Q40" s="16" t="s">
        <v>107</v>
      </c>
      <c r="R40" s="16" t="s">
        <v>187</v>
      </c>
      <c r="S40" s="17">
        <v>0</v>
      </c>
      <c r="T40" s="17">
        <v>61952.63</v>
      </c>
      <c r="U40" s="17">
        <v>0</v>
      </c>
      <c r="V40" s="17"/>
      <c r="W40" s="17">
        <v>25</v>
      </c>
      <c r="X40" s="17">
        <v>52477.23</v>
      </c>
      <c r="Y40" s="17"/>
      <c r="Z40" s="18" t="e">
        <f t="shared" si="17"/>
        <v>#DIV/0!</v>
      </c>
      <c r="AA40" s="19">
        <v>0.04</v>
      </c>
      <c r="AB40" s="17"/>
      <c r="AC40" s="17">
        <f>(AA40*X40)</f>
        <v>2099.0892000000003</v>
      </c>
      <c r="AD40" s="17">
        <v>0</v>
      </c>
      <c r="AE40" s="17">
        <f t="shared" si="18"/>
        <v>2099.0892000000003</v>
      </c>
      <c r="AF40" s="17">
        <f t="shared" si="31"/>
        <v>335.85427200000004</v>
      </c>
      <c r="AG40" s="17">
        <f t="shared" si="19"/>
        <v>2434.9434720000004</v>
      </c>
      <c r="AH40" s="17">
        <f t="shared" si="32"/>
        <v>41.981784000000005</v>
      </c>
      <c r="AI40" s="17">
        <v>0</v>
      </c>
      <c r="AJ40" s="17">
        <f t="shared" si="21"/>
        <v>41.981784000000005</v>
      </c>
      <c r="AK40" s="20" t="s">
        <v>67</v>
      </c>
      <c r="AL40" s="17">
        <f t="shared" si="22"/>
        <v>2057.1074160000003</v>
      </c>
      <c r="AM40" s="17"/>
      <c r="AN40" s="21"/>
      <c r="AO40" s="17">
        <f t="shared" si="23"/>
        <v>0</v>
      </c>
      <c r="AP40" s="17"/>
      <c r="AQ40" s="16"/>
      <c r="AR40" s="17">
        <f t="shared" si="24"/>
        <v>0</v>
      </c>
      <c r="AS40" s="17"/>
      <c r="AT40" s="17">
        <v>2434.9434720000004</v>
      </c>
      <c r="AU40" s="17">
        <f t="shared" si="25"/>
        <v>2434.9434720000004</v>
      </c>
      <c r="AV40" s="17">
        <f t="shared" si="26"/>
        <v>0</v>
      </c>
      <c r="AW40" s="17" t="str">
        <f t="shared" si="27"/>
        <v>RAWSUR</v>
      </c>
      <c r="AX40" s="22">
        <v>44635</v>
      </c>
      <c r="AY40" s="22"/>
      <c r="AZ40" s="1" t="s">
        <v>162</v>
      </c>
      <c r="BA40" s="22" t="str">
        <f t="shared" si="28"/>
        <v>AVIATION HULL ALL RISK</v>
      </c>
      <c r="BB40" s="22"/>
      <c r="BC40" s="22"/>
      <c r="BD40" s="22"/>
    </row>
    <row r="41" spans="1:56" ht="14.25" customHeight="1" x14ac:dyDescent="0.2">
      <c r="A41" s="12" t="s">
        <v>56</v>
      </c>
      <c r="B41" s="1" t="s">
        <v>57</v>
      </c>
      <c r="C41" s="13">
        <v>44568</v>
      </c>
      <c r="D41" s="13">
        <v>44566</v>
      </c>
      <c r="E41" s="13">
        <v>44568</v>
      </c>
      <c r="F41" s="13">
        <v>44932</v>
      </c>
      <c r="G41" s="14" t="str">
        <f t="shared" si="16"/>
        <v>000-040/AIB RDC/2022</v>
      </c>
      <c r="H41" s="1">
        <v>1</v>
      </c>
      <c r="I41" s="1" t="s">
        <v>58</v>
      </c>
      <c r="J41" s="1" t="s">
        <v>188</v>
      </c>
      <c r="K41" s="1" t="s">
        <v>189</v>
      </c>
      <c r="L41" s="16" t="s">
        <v>61</v>
      </c>
      <c r="M41" s="16" t="s">
        <v>62</v>
      </c>
      <c r="N41" s="16" t="s">
        <v>78</v>
      </c>
      <c r="O41" s="16" t="s">
        <v>89</v>
      </c>
      <c r="P41" s="16" t="s">
        <v>90</v>
      </c>
      <c r="Q41" s="16" t="s">
        <v>130</v>
      </c>
      <c r="R41" s="16" t="s">
        <v>130</v>
      </c>
      <c r="S41" s="17">
        <v>500000</v>
      </c>
      <c r="T41" s="17">
        <v>2621.0100000000002</v>
      </c>
      <c r="U41" s="17">
        <v>0</v>
      </c>
      <c r="V41" s="17"/>
      <c r="W41" s="17">
        <v>21</v>
      </c>
      <c r="X41" s="17">
        <v>2200.19</v>
      </c>
      <c r="Y41" s="17"/>
      <c r="Z41" s="18">
        <f t="shared" si="17"/>
        <v>5.24202E-3</v>
      </c>
      <c r="AA41" s="19">
        <v>0.1</v>
      </c>
      <c r="AB41" s="17">
        <f t="shared" ref="AB41:AB53" si="33">(AA41*X41)</f>
        <v>220.01900000000001</v>
      </c>
      <c r="AC41" s="17">
        <v>0</v>
      </c>
      <c r="AD41" s="17">
        <v>0</v>
      </c>
      <c r="AE41" s="17">
        <f t="shared" si="18"/>
        <v>220.01900000000001</v>
      </c>
      <c r="AF41" s="17">
        <f t="shared" si="31"/>
        <v>35.203040000000001</v>
      </c>
      <c r="AG41" s="17">
        <f t="shared" si="19"/>
        <v>255.22203999999999</v>
      </c>
      <c r="AH41" s="17">
        <f t="shared" si="32"/>
        <v>4.4003800000000002</v>
      </c>
      <c r="AI41" s="17">
        <v>0</v>
      </c>
      <c r="AJ41" s="17">
        <f t="shared" si="21"/>
        <v>4.4003800000000002</v>
      </c>
      <c r="AK41" s="20" t="s">
        <v>67</v>
      </c>
      <c r="AL41" s="17">
        <f t="shared" si="22"/>
        <v>215.61861999999999</v>
      </c>
      <c r="AM41" s="17"/>
      <c r="AN41" s="21"/>
      <c r="AO41" s="17">
        <f t="shared" si="23"/>
        <v>0</v>
      </c>
      <c r="AP41" s="17"/>
      <c r="AQ41" s="16"/>
      <c r="AR41" s="17">
        <f t="shared" si="24"/>
        <v>0</v>
      </c>
      <c r="AS41" s="17"/>
      <c r="AT41" s="17">
        <v>255.22203999999999</v>
      </c>
      <c r="AU41" s="17">
        <f t="shared" si="25"/>
        <v>255.22203999999999</v>
      </c>
      <c r="AV41" s="17">
        <f t="shared" si="26"/>
        <v>0</v>
      </c>
      <c r="AW41" s="17" t="str">
        <f t="shared" si="27"/>
        <v>SFA</v>
      </c>
      <c r="AX41" s="22">
        <v>44635</v>
      </c>
      <c r="AY41" s="22"/>
      <c r="AZ41" s="1" t="s">
        <v>68</v>
      </c>
      <c r="BA41" s="22" t="str">
        <f t="shared" si="28"/>
        <v>GENERAL LIABILITY</v>
      </c>
      <c r="BB41" s="22"/>
      <c r="BC41" s="22"/>
      <c r="BD41" s="22"/>
    </row>
    <row r="42" spans="1:56" ht="14.25" customHeight="1" x14ac:dyDescent="0.2">
      <c r="A42" s="12" t="s">
        <v>56</v>
      </c>
      <c r="B42" s="1" t="s">
        <v>57</v>
      </c>
      <c r="C42" s="13">
        <v>44568</v>
      </c>
      <c r="D42" s="13">
        <v>44574</v>
      </c>
      <c r="E42" s="13">
        <v>44568</v>
      </c>
      <c r="F42" s="13">
        <v>44931</v>
      </c>
      <c r="G42" s="14" t="str">
        <f t="shared" si="16"/>
        <v>000-041/AIB RDC/2022</v>
      </c>
      <c r="H42" s="1">
        <v>0</v>
      </c>
      <c r="I42" s="1" t="s">
        <v>74</v>
      </c>
      <c r="J42" s="1" t="s">
        <v>190</v>
      </c>
      <c r="K42" s="1" t="s">
        <v>117</v>
      </c>
      <c r="L42" s="16" t="s">
        <v>118</v>
      </c>
      <c r="M42" s="16" t="s">
        <v>105</v>
      </c>
      <c r="N42" s="16" t="s">
        <v>191</v>
      </c>
      <c r="O42" s="16" t="s">
        <v>192</v>
      </c>
      <c r="P42" s="16" t="s">
        <v>98</v>
      </c>
      <c r="Q42" s="16" t="s">
        <v>130</v>
      </c>
      <c r="R42" s="16" t="s">
        <v>130</v>
      </c>
      <c r="S42" s="17">
        <v>0</v>
      </c>
      <c r="T42" s="17">
        <v>1534</v>
      </c>
      <c r="U42" s="17">
        <v>0</v>
      </c>
      <c r="V42" s="17"/>
      <c r="W42" s="17">
        <v>20</v>
      </c>
      <c r="X42" s="17">
        <v>1280</v>
      </c>
      <c r="Y42" s="17">
        <v>208</v>
      </c>
      <c r="Z42" s="18" t="e">
        <f t="shared" si="17"/>
        <v>#DIV/0!</v>
      </c>
      <c r="AA42" s="19">
        <v>0.1</v>
      </c>
      <c r="AB42" s="17">
        <f t="shared" si="33"/>
        <v>128</v>
      </c>
      <c r="AC42" s="17">
        <v>0</v>
      </c>
      <c r="AD42" s="17">
        <v>0</v>
      </c>
      <c r="AE42" s="17">
        <f t="shared" si="18"/>
        <v>128</v>
      </c>
      <c r="AF42" s="17">
        <f t="shared" si="31"/>
        <v>20.48</v>
      </c>
      <c r="AG42" s="17">
        <f t="shared" si="19"/>
        <v>148.47999999999999</v>
      </c>
      <c r="AH42" s="17">
        <f t="shared" si="32"/>
        <v>2.56</v>
      </c>
      <c r="AI42" s="17">
        <v>0</v>
      </c>
      <c r="AJ42" s="17">
        <f t="shared" si="21"/>
        <v>2.56</v>
      </c>
      <c r="AK42" s="20" t="s">
        <v>67</v>
      </c>
      <c r="AL42" s="17">
        <f t="shared" si="22"/>
        <v>125.44</v>
      </c>
      <c r="AM42" s="17"/>
      <c r="AN42" s="21"/>
      <c r="AO42" s="17">
        <f t="shared" si="23"/>
        <v>0</v>
      </c>
      <c r="AP42" s="17"/>
      <c r="AQ42" s="16"/>
      <c r="AR42" s="17">
        <f t="shared" si="24"/>
        <v>0</v>
      </c>
      <c r="AS42" s="17"/>
      <c r="AT42" s="17">
        <v>148.47999999999999</v>
      </c>
      <c r="AU42" s="17">
        <f t="shared" si="25"/>
        <v>148.47999999999999</v>
      </c>
      <c r="AV42" s="17">
        <f t="shared" si="26"/>
        <v>0</v>
      </c>
      <c r="AW42" s="17" t="str">
        <f t="shared" si="27"/>
        <v>SFA</v>
      </c>
      <c r="AX42" s="22">
        <v>44635</v>
      </c>
      <c r="AY42" s="22"/>
      <c r="AZ42" s="1" t="s">
        <v>68</v>
      </c>
      <c r="BA42" s="22" t="str">
        <f t="shared" si="28"/>
        <v>GPA</v>
      </c>
      <c r="BB42" s="22"/>
      <c r="BC42" s="22"/>
      <c r="BD42" s="22"/>
    </row>
    <row r="43" spans="1:56" ht="14.25" customHeight="1" x14ac:dyDescent="0.2">
      <c r="A43" s="12" t="s">
        <v>56</v>
      </c>
      <c r="B43" s="1" t="s">
        <v>57</v>
      </c>
      <c r="C43" s="13">
        <v>44568</v>
      </c>
      <c r="D43" s="13">
        <v>44566</v>
      </c>
      <c r="E43" s="13">
        <v>44568</v>
      </c>
      <c r="F43" s="13">
        <v>44932</v>
      </c>
      <c r="G43" s="14" t="str">
        <f t="shared" si="16"/>
        <v>000-042/AIB RDC/2022</v>
      </c>
      <c r="H43" s="1">
        <v>1</v>
      </c>
      <c r="I43" s="1" t="s">
        <v>58</v>
      </c>
      <c r="J43" s="1" t="s">
        <v>193</v>
      </c>
      <c r="K43" s="1" t="s">
        <v>189</v>
      </c>
      <c r="L43" s="16" t="s">
        <v>61</v>
      </c>
      <c r="M43" s="16" t="s">
        <v>62</v>
      </c>
      <c r="N43" s="16" t="s">
        <v>78</v>
      </c>
      <c r="O43" s="16" t="s">
        <v>192</v>
      </c>
      <c r="P43" s="16" t="s">
        <v>98</v>
      </c>
      <c r="Q43" s="16" t="s">
        <v>130</v>
      </c>
      <c r="R43" s="16" t="s">
        <v>130</v>
      </c>
      <c r="S43" s="17">
        <v>100000</v>
      </c>
      <c r="T43" s="17">
        <v>997.03</v>
      </c>
      <c r="U43" s="17">
        <v>0</v>
      </c>
      <c r="V43" s="17"/>
      <c r="W43" s="17">
        <v>20</v>
      </c>
      <c r="X43" s="17">
        <v>824.94</v>
      </c>
      <c r="Y43" s="17"/>
      <c r="Z43" s="18">
        <f t="shared" si="17"/>
        <v>9.9702999999999996E-3</v>
      </c>
      <c r="AA43" s="19">
        <v>0.1</v>
      </c>
      <c r="AB43" s="17">
        <f t="shared" si="33"/>
        <v>82.494000000000014</v>
      </c>
      <c r="AC43" s="17">
        <v>0</v>
      </c>
      <c r="AD43" s="17">
        <v>0</v>
      </c>
      <c r="AE43" s="17">
        <f t="shared" si="18"/>
        <v>82.494000000000014</v>
      </c>
      <c r="AF43" s="17">
        <f t="shared" si="31"/>
        <v>13.199040000000002</v>
      </c>
      <c r="AG43" s="17">
        <f t="shared" si="19"/>
        <v>95.693040000000011</v>
      </c>
      <c r="AH43" s="17">
        <f t="shared" si="32"/>
        <v>1.6498800000000002</v>
      </c>
      <c r="AI43" s="17">
        <v>0</v>
      </c>
      <c r="AJ43" s="17">
        <f t="shared" si="21"/>
        <v>1.6498800000000002</v>
      </c>
      <c r="AK43" s="20" t="s">
        <v>67</v>
      </c>
      <c r="AL43" s="17">
        <f t="shared" si="22"/>
        <v>80.844120000000018</v>
      </c>
      <c r="AM43" s="17"/>
      <c r="AN43" s="21"/>
      <c r="AO43" s="17">
        <f t="shared" si="23"/>
        <v>0</v>
      </c>
      <c r="AP43" s="17"/>
      <c r="AQ43" s="16"/>
      <c r="AR43" s="17">
        <f t="shared" si="24"/>
        <v>0</v>
      </c>
      <c r="AS43" s="17"/>
      <c r="AT43" s="17">
        <v>95.693040000000011</v>
      </c>
      <c r="AU43" s="17">
        <f t="shared" si="25"/>
        <v>95.693040000000011</v>
      </c>
      <c r="AV43" s="17">
        <f t="shared" si="26"/>
        <v>0</v>
      </c>
      <c r="AW43" s="17" t="str">
        <f t="shared" si="27"/>
        <v>SFA</v>
      </c>
      <c r="AX43" s="22">
        <v>44635</v>
      </c>
      <c r="AY43" s="22"/>
      <c r="AZ43" s="1" t="s">
        <v>68</v>
      </c>
      <c r="BA43" s="22" t="str">
        <f t="shared" si="28"/>
        <v>GPA</v>
      </c>
      <c r="BB43" s="22"/>
      <c r="BC43" s="22"/>
      <c r="BD43" s="22"/>
    </row>
    <row r="44" spans="1:56" ht="14.25" customHeight="1" x14ac:dyDescent="0.2">
      <c r="A44" s="12" t="s">
        <v>56</v>
      </c>
      <c r="B44" s="1" t="s">
        <v>57</v>
      </c>
      <c r="C44" s="13">
        <v>44568</v>
      </c>
      <c r="D44" s="13">
        <v>44571</v>
      </c>
      <c r="E44" s="13">
        <v>44568</v>
      </c>
      <c r="F44" s="13">
        <v>44597</v>
      </c>
      <c r="G44" s="14" t="str">
        <f t="shared" si="16"/>
        <v>000-043/AIB RDC/2022</v>
      </c>
      <c r="H44" s="1">
        <v>0</v>
      </c>
      <c r="I44" s="1" t="s">
        <v>74</v>
      </c>
      <c r="J44" s="1" t="s">
        <v>194</v>
      </c>
      <c r="K44" s="16" t="s">
        <v>195</v>
      </c>
      <c r="L44" s="16"/>
      <c r="M44" s="16" t="s">
        <v>105</v>
      </c>
      <c r="N44" s="16" t="s">
        <v>106</v>
      </c>
      <c r="O44" s="16" t="s">
        <v>64</v>
      </c>
      <c r="P44" s="16" t="s">
        <v>65</v>
      </c>
      <c r="Q44" s="16" t="s">
        <v>130</v>
      </c>
      <c r="R44" s="16" t="s">
        <v>130</v>
      </c>
      <c r="S44" s="17">
        <v>139498.75</v>
      </c>
      <c r="T44" s="17">
        <v>558.58000000000004</v>
      </c>
      <c r="U44" s="17">
        <v>0</v>
      </c>
      <c r="V44" s="17"/>
      <c r="W44" s="17">
        <v>20</v>
      </c>
      <c r="X44" s="17">
        <v>453.37</v>
      </c>
      <c r="Y44" s="17"/>
      <c r="Z44" s="18">
        <f t="shared" si="17"/>
        <v>4.0041935859640321E-3</v>
      </c>
      <c r="AA44" s="19">
        <v>0.15</v>
      </c>
      <c r="AB44" s="17">
        <f t="shared" si="33"/>
        <v>68.005499999999998</v>
      </c>
      <c r="AC44" s="17">
        <v>0</v>
      </c>
      <c r="AD44" s="17">
        <v>0</v>
      </c>
      <c r="AE44" s="17">
        <f t="shared" si="18"/>
        <v>68.005499999999998</v>
      </c>
      <c r="AF44" s="17">
        <f t="shared" si="31"/>
        <v>10.880879999999999</v>
      </c>
      <c r="AG44" s="17">
        <f t="shared" si="19"/>
        <v>78.886380000000003</v>
      </c>
      <c r="AH44" s="17">
        <f t="shared" si="32"/>
        <v>1.3601099999999999</v>
      </c>
      <c r="AI44" s="17">
        <v>0</v>
      </c>
      <c r="AJ44" s="17">
        <f t="shared" si="21"/>
        <v>1.3601099999999999</v>
      </c>
      <c r="AK44" s="20" t="s">
        <v>67</v>
      </c>
      <c r="AL44" s="17">
        <f t="shared" si="22"/>
        <v>66.645389999999992</v>
      </c>
      <c r="AM44" s="17" t="s">
        <v>108</v>
      </c>
      <c r="AN44" s="21">
        <v>0.4</v>
      </c>
      <c r="AO44" s="17">
        <f t="shared" si="23"/>
        <v>26.658155999999998</v>
      </c>
      <c r="AP44" s="17">
        <v>26.658155999999998</v>
      </c>
      <c r="AQ44" s="16">
        <v>44834</v>
      </c>
      <c r="AR44" s="17">
        <f t="shared" si="24"/>
        <v>0</v>
      </c>
      <c r="AS44" s="17" t="s">
        <v>109</v>
      </c>
      <c r="AT44" s="17">
        <v>78.886380000000003</v>
      </c>
      <c r="AU44" s="17">
        <f t="shared" si="25"/>
        <v>78.886380000000003</v>
      </c>
      <c r="AV44" s="17">
        <f t="shared" si="26"/>
        <v>0</v>
      </c>
      <c r="AW44" s="17" t="str">
        <f t="shared" ref="AW44:AW75" si="34">Q44</f>
        <v>SFA</v>
      </c>
      <c r="AX44" s="22">
        <v>44635</v>
      </c>
      <c r="AY44" s="22"/>
      <c r="AZ44" s="1" t="s">
        <v>110</v>
      </c>
      <c r="BA44" s="22" t="str">
        <f t="shared" si="28"/>
        <v>MARINE CARGO / GIT</v>
      </c>
      <c r="BB44" s="22"/>
      <c r="BC44" s="22"/>
      <c r="BD44" s="22"/>
    </row>
    <row r="45" spans="1:56" ht="14.25" customHeight="1" x14ac:dyDescent="0.2">
      <c r="A45" s="12" t="s">
        <v>56</v>
      </c>
      <c r="B45" s="1" t="s">
        <v>57</v>
      </c>
      <c r="C45" s="13">
        <v>44568</v>
      </c>
      <c r="D45" s="13">
        <v>44568</v>
      </c>
      <c r="E45" s="13">
        <v>44568</v>
      </c>
      <c r="F45" s="13">
        <v>44642</v>
      </c>
      <c r="G45" s="14" t="str">
        <f t="shared" si="16"/>
        <v>000-044/AIB RDC/2022</v>
      </c>
      <c r="H45" s="1">
        <v>3</v>
      </c>
      <c r="I45" s="1" t="s">
        <v>91</v>
      </c>
      <c r="J45" s="1" t="s">
        <v>196</v>
      </c>
      <c r="K45" s="16" t="s">
        <v>197</v>
      </c>
      <c r="L45" s="1" t="s">
        <v>77</v>
      </c>
      <c r="M45" s="16" t="s">
        <v>62</v>
      </c>
      <c r="N45" s="16" t="s">
        <v>106</v>
      </c>
      <c r="O45" s="16" t="s">
        <v>73</v>
      </c>
      <c r="P45" s="16" t="s">
        <v>73</v>
      </c>
      <c r="Q45" s="16" t="s">
        <v>130</v>
      </c>
      <c r="R45" s="16" t="s">
        <v>130</v>
      </c>
      <c r="S45" s="17">
        <v>0</v>
      </c>
      <c r="T45" s="17">
        <v>655.26</v>
      </c>
      <c r="U45" s="17">
        <v>0</v>
      </c>
      <c r="V45" s="17"/>
      <c r="W45" s="17">
        <v>8.2100000000000009</v>
      </c>
      <c r="X45" s="17">
        <v>547.09</v>
      </c>
      <c r="Y45" s="17">
        <v>88.85</v>
      </c>
      <c r="Z45" s="18" t="e">
        <f t="shared" si="17"/>
        <v>#DIV/0!</v>
      </c>
      <c r="AA45" s="19">
        <v>0.1</v>
      </c>
      <c r="AB45" s="17">
        <f t="shared" si="33"/>
        <v>54.709000000000003</v>
      </c>
      <c r="AC45" s="17">
        <v>0</v>
      </c>
      <c r="AD45" s="17">
        <v>0</v>
      </c>
      <c r="AE45" s="17">
        <f t="shared" si="18"/>
        <v>54.709000000000003</v>
      </c>
      <c r="AF45" s="17">
        <f t="shared" si="31"/>
        <v>8.7534400000000012</v>
      </c>
      <c r="AG45" s="17">
        <f t="shared" si="19"/>
        <v>63.462440000000001</v>
      </c>
      <c r="AH45" s="17">
        <f t="shared" si="32"/>
        <v>1.0941800000000002</v>
      </c>
      <c r="AI45" s="17">
        <v>0</v>
      </c>
      <c r="AJ45" s="17">
        <f t="shared" si="21"/>
        <v>1.0941800000000002</v>
      </c>
      <c r="AK45" s="20" t="s">
        <v>67</v>
      </c>
      <c r="AL45" s="17">
        <f t="shared" si="22"/>
        <v>53.614820000000002</v>
      </c>
      <c r="AM45" s="17" t="s">
        <v>198</v>
      </c>
      <c r="AN45" s="21">
        <v>0</v>
      </c>
      <c r="AO45" s="17">
        <f t="shared" si="23"/>
        <v>0</v>
      </c>
      <c r="AP45" s="17"/>
      <c r="AQ45" s="16"/>
      <c r="AR45" s="17">
        <f t="shared" si="24"/>
        <v>0</v>
      </c>
      <c r="AS45" s="17"/>
      <c r="AT45" s="17">
        <v>63.462440000000001</v>
      </c>
      <c r="AU45" s="17">
        <f t="shared" si="25"/>
        <v>63.462440000000001</v>
      </c>
      <c r="AV45" s="17">
        <f t="shared" si="26"/>
        <v>0</v>
      </c>
      <c r="AW45" s="17" t="str">
        <f t="shared" si="34"/>
        <v>SFA</v>
      </c>
      <c r="AX45" s="22">
        <v>44635</v>
      </c>
      <c r="AY45" s="22"/>
      <c r="AZ45" s="1" t="s">
        <v>68</v>
      </c>
      <c r="BA45" s="22" t="str">
        <f t="shared" si="28"/>
        <v>MOTOR TPL</v>
      </c>
      <c r="BB45" s="22"/>
      <c r="BC45" s="1" t="s">
        <v>130</v>
      </c>
      <c r="BD45" s="1"/>
    </row>
    <row r="46" spans="1:56" ht="14.25" customHeight="1" x14ac:dyDescent="0.2">
      <c r="A46" s="12" t="s">
        <v>56</v>
      </c>
      <c r="B46" s="1" t="s">
        <v>57</v>
      </c>
      <c r="C46" s="13">
        <v>44630</v>
      </c>
      <c r="D46" s="13">
        <v>44630</v>
      </c>
      <c r="E46" s="13">
        <v>44569</v>
      </c>
      <c r="F46" s="13">
        <v>44933</v>
      </c>
      <c r="G46" s="14" t="str">
        <f t="shared" si="16"/>
        <v>000-045/AIB RDC/2022</v>
      </c>
      <c r="H46" s="1">
        <v>0</v>
      </c>
      <c r="I46" s="1" t="s">
        <v>74</v>
      </c>
      <c r="J46" s="1" t="s">
        <v>199</v>
      </c>
      <c r="K46" s="16" t="s">
        <v>200</v>
      </c>
      <c r="L46" s="16" t="s">
        <v>169</v>
      </c>
      <c r="M46" s="16" t="s">
        <v>84</v>
      </c>
      <c r="N46" s="16" t="s">
        <v>85</v>
      </c>
      <c r="O46" s="16" t="s">
        <v>185</v>
      </c>
      <c r="P46" s="16" t="s">
        <v>186</v>
      </c>
      <c r="Q46" s="16" t="s">
        <v>130</v>
      </c>
      <c r="R46" s="16" t="s">
        <v>201</v>
      </c>
      <c r="S46" s="17">
        <v>105000000</v>
      </c>
      <c r="T46" s="17">
        <f>1366905.06</f>
        <v>1366905.06</v>
      </c>
      <c r="U46" s="17">
        <f>173744.12</f>
        <v>173744.12</v>
      </c>
      <c r="V46" s="25">
        <v>-130882.14</v>
      </c>
      <c r="W46" s="17">
        <v>100</v>
      </c>
      <c r="X46" s="17">
        <v>984550</v>
      </c>
      <c r="Y46" s="17">
        <v>185343.05</v>
      </c>
      <c r="Z46" s="18">
        <f t="shared" si="17"/>
        <v>1.3018143428571429E-2</v>
      </c>
      <c r="AA46" s="19">
        <v>0</v>
      </c>
      <c r="AB46" s="17">
        <f t="shared" si="33"/>
        <v>0</v>
      </c>
      <c r="AC46" s="17">
        <f>30%*(U46+V46)</f>
        <v>12858.593999999999</v>
      </c>
      <c r="AD46" s="17">
        <f>5000/1.16</f>
        <v>4310.3448275862074</v>
      </c>
      <c r="AE46" s="17">
        <f t="shared" si="18"/>
        <v>17168.938827586207</v>
      </c>
      <c r="AF46" s="17">
        <f t="shared" si="31"/>
        <v>2747.0302124137934</v>
      </c>
      <c r="AG46" s="17">
        <f t="shared" si="19"/>
        <v>19915.96904</v>
      </c>
      <c r="AH46" s="17">
        <f t="shared" si="32"/>
        <v>343.37877655172417</v>
      </c>
      <c r="AI46" s="17">
        <v>0</v>
      </c>
      <c r="AJ46" s="17">
        <f t="shared" si="21"/>
        <v>343.37877655172417</v>
      </c>
      <c r="AK46" s="20"/>
      <c r="AL46" s="17">
        <f t="shared" si="22"/>
        <v>16825.560051034485</v>
      </c>
      <c r="AM46" s="17" t="s">
        <v>198</v>
      </c>
      <c r="AN46" s="21"/>
      <c r="AO46" s="17">
        <f t="shared" si="23"/>
        <v>0</v>
      </c>
      <c r="AP46" s="17"/>
      <c r="AQ46" s="16"/>
      <c r="AR46" s="17">
        <f t="shared" si="24"/>
        <v>0</v>
      </c>
      <c r="AS46" s="17"/>
      <c r="AT46" s="17">
        <f>5000+14915.96904</f>
        <v>19915.96904</v>
      </c>
      <c r="AU46" s="17">
        <f t="shared" si="25"/>
        <v>19915.96904</v>
      </c>
      <c r="AV46" s="17">
        <f t="shared" si="26"/>
        <v>0</v>
      </c>
      <c r="AW46" s="17" t="str">
        <f t="shared" si="34"/>
        <v>SFA</v>
      </c>
      <c r="AX46" s="22">
        <v>44911</v>
      </c>
      <c r="AY46" s="22"/>
      <c r="AZ46" s="1" t="s">
        <v>68</v>
      </c>
      <c r="BA46" s="22" t="str">
        <f t="shared" si="28"/>
        <v>AVIATION HULL ALL RISK</v>
      </c>
      <c r="BB46" s="26"/>
      <c r="BC46" s="22"/>
      <c r="BD46" s="22"/>
    </row>
    <row r="47" spans="1:56" ht="14.25" customHeight="1" x14ac:dyDescent="0.2">
      <c r="A47" s="12" t="s">
        <v>56</v>
      </c>
      <c r="B47" s="1" t="s">
        <v>57</v>
      </c>
      <c r="C47" s="13">
        <v>44569</v>
      </c>
      <c r="D47" s="13">
        <v>44568</v>
      </c>
      <c r="E47" s="13">
        <v>44569</v>
      </c>
      <c r="F47" s="13">
        <v>44652</v>
      </c>
      <c r="G47" s="14" t="str">
        <f t="shared" si="16"/>
        <v>000-046/AIB RDC/2022</v>
      </c>
      <c r="H47" s="1">
        <v>3</v>
      </c>
      <c r="I47" s="1" t="s">
        <v>91</v>
      </c>
      <c r="J47" s="1" t="s">
        <v>202</v>
      </c>
      <c r="K47" s="16" t="s">
        <v>203</v>
      </c>
      <c r="L47" s="16" t="s">
        <v>204</v>
      </c>
      <c r="M47" s="16" t="s">
        <v>62</v>
      </c>
      <c r="N47" s="16" t="s">
        <v>106</v>
      </c>
      <c r="O47" s="16" t="s">
        <v>73</v>
      </c>
      <c r="P47" s="16" t="s">
        <v>73</v>
      </c>
      <c r="Q47" s="16" t="s">
        <v>130</v>
      </c>
      <c r="R47" s="16" t="s">
        <v>130</v>
      </c>
      <c r="S47" s="17">
        <v>0</v>
      </c>
      <c r="T47" s="17">
        <v>200.91</v>
      </c>
      <c r="U47" s="17">
        <v>0</v>
      </c>
      <c r="V47" s="17"/>
      <c r="W47" s="17">
        <v>2.91</v>
      </c>
      <c r="X47" s="17">
        <v>194.06</v>
      </c>
      <c r="Y47" s="17"/>
      <c r="Z47" s="18" t="e">
        <f t="shared" si="17"/>
        <v>#DIV/0!</v>
      </c>
      <c r="AA47" s="19">
        <v>0.1</v>
      </c>
      <c r="AB47" s="17">
        <f t="shared" si="33"/>
        <v>19.406000000000002</v>
      </c>
      <c r="AC47" s="17">
        <v>0</v>
      </c>
      <c r="AD47" s="17">
        <v>0</v>
      </c>
      <c r="AE47" s="17">
        <f t="shared" si="18"/>
        <v>19.406000000000002</v>
      </c>
      <c r="AF47" s="17">
        <f t="shared" si="31"/>
        <v>3.1049600000000006</v>
      </c>
      <c r="AG47" s="17">
        <f t="shared" si="19"/>
        <v>22.510960000000004</v>
      </c>
      <c r="AH47" s="17">
        <f t="shared" si="32"/>
        <v>0.38812000000000008</v>
      </c>
      <c r="AI47" s="17">
        <v>0</v>
      </c>
      <c r="AJ47" s="17">
        <f t="shared" si="21"/>
        <v>0.38812000000000008</v>
      </c>
      <c r="AK47" s="20" t="s">
        <v>67</v>
      </c>
      <c r="AL47" s="17">
        <f t="shared" si="22"/>
        <v>19.017880000000002</v>
      </c>
      <c r="AM47" s="17"/>
      <c r="AN47" s="21"/>
      <c r="AO47" s="17">
        <f t="shared" si="23"/>
        <v>0</v>
      </c>
      <c r="AP47" s="17"/>
      <c r="AQ47" s="16"/>
      <c r="AR47" s="17">
        <f t="shared" si="24"/>
        <v>0</v>
      </c>
      <c r="AS47" s="17"/>
      <c r="AT47" s="17">
        <v>22.510960000000004</v>
      </c>
      <c r="AU47" s="17">
        <f t="shared" si="25"/>
        <v>22.510960000000004</v>
      </c>
      <c r="AV47" s="17">
        <f t="shared" si="26"/>
        <v>0</v>
      </c>
      <c r="AW47" s="17" t="str">
        <f t="shared" si="34"/>
        <v>SFA</v>
      </c>
      <c r="AX47" s="22">
        <v>44635</v>
      </c>
      <c r="AY47" s="22"/>
      <c r="AZ47" s="1" t="s">
        <v>68</v>
      </c>
      <c r="BA47" s="22" t="str">
        <f t="shared" si="28"/>
        <v>MOTOR TPL</v>
      </c>
      <c r="BB47" s="22"/>
      <c r="BC47" s="22"/>
      <c r="BD47" s="22"/>
    </row>
    <row r="48" spans="1:56" ht="14.25" customHeight="1" x14ac:dyDescent="0.2">
      <c r="A48" s="12" t="s">
        <v>56</v>
      </c>
      <c r="B48" s="1" t="s">
        <v>57</v>
      </c>
      <c r="C48" s="13">
        <v>44569</v>
      </c>
      <c r="D48" s="13">
        <v>44568</v>
      </c>
      <c r="E48" s="13">
        <v>44569</v>
      </c>
      <c r="F48" s="13">
        <v>44652</v>
      </c>
      <c r="G48" s="14" t="str">
        <f t="shared" si="16"/>
        <v>000-047/AIB RDC/2022</v>
      </c>
      <c r="H48" s="1">
        <v>4</v>
      </c>
      <c r="I48" s="1" t="s">
        <v>91</v>
      </c>
      <c r="J48" s="1" t="s">
        <v>202</v>
      </c>
      <c r="K48" s="16" t="s">
        <v>203</v>
      </c>
      <c r="L48" s="16" t="s">
        <v>204</v>
      </c>
      <c r="M48" s="16" t="s">
        <v>62</v>
      </c>
      <c r="N48" s="16" t="s">
        <v>106</v>
      </c>
      <c r="O48" s="16" t="s">
        <v>73</v>
      </c>
      <c r="P48" s="16" t="s">
        <v>73</v>
      </c>
      <c r="Q48" s="16" t="s">
        <v>130</v>
      </c>
      <c r="R48" s="16" t="s">
        <v>130</v>
      </c>
      <c r="S48" s="17">
        <v>0</v>
      </c>
      <c r="T48" s="17">
        <v>98.21</v>
      </c>
      <c r="U48" s="17">
        <v>0</v>
      </c>
      <c r="V48" s="17"/>
      <c r="W48" s="17">
        <v>1.42</v>
      </c>
      <c r="X48" s="17">
        <v>94.86</v>
      </c>
      <c r="Y48" s="17"/>
      <c r="Z48" s="18" t="e">
        <f t="shared" si="17"/>
        <v>#DIV/0!</v>
      </c>
      <c r="AA48" s="19">
        <v>0.1</v>
      </c>
      <c r="AB48" s="17">
        <f t="shared" si="33"/>
        <v>9.4860000000000007</v>
      </c>
      <c r="AC48" s="17">
        <v>0</v>
      </c>
      <c r="AD48" s="17">
        <v>0</v>
      </c>
      <c r="AE48" s="17">
        <f t="shared" si="18"/>
        <v>9.4860000000000007</v>
      </c>
      <c r="AF48" s="17">
        <f t="shared" si="31"/>
        <v>1.5177600000000002</v>
      </c>
      <c r="AG48" s="17">
        <f t="shared" si="19"/>
        <v>11.003760000000002</v>
      </c>
      <c r="AH48" s="17">
        <f t="shared" si="32"/>
        <v>0.18972000000000003</v>
      </c>
      <c r="AI48" s="17">
        <v>0</v>
      </c>
      <c r="AJ48" s="17">
        <f t="shared" si="21"/>
        <v>0.18972000000000003</v>
      </c>
      <c r="AK48" s="20" t="s">
        <v>67</v>
      </c>
      <c r="AL48" s="17">
        <f t="shared" si="22"/>
        <v>9.2962800000000012</v>
      </c>
      <c r="AM48" s="17"/>
      <c r="AN48" s="21"/>
      <c r="AO48" s="17">
        <f t="shared" si="23"/>
        <v>0</v>
      </c>
      <c r="AP48" s="17"/>
      <c r="AQ48" s="16"/>
      <c r="AR48" s="17">
        <f t="shared" si="24"/>
        <v>0</v>
      </c>
      <c r="AS48" s="17"/>
      <c r="AT48" s="17">
        <v>11.003760000000002</v>
      </c>
      <c r="AU48" s="17">
        <f t="shared" si="25"/>
        <v>11.003760000000002</v>
      </c>
      <c r="AV48" s="17">
        <f t="shared" si="26"/>
        <v>0</v>
      </c>
      <c r="AW48" s="17" t="str">
        <f t="shared" si="34"/>
        <v>SFA</v>
      </c>
      <c r="AX48" s="22">
        <v>44635</v>
      </c>
      <c r="AY48" s="22"/>
      <c r="AZ48" s="1" t="s">
        <v>68</v>
      </c>
      <c r="BA48" s="22" t="str">
        <f t="shared" si="28"/>
        <v>MOTOR TPL</v>
      </c>
      <c r="BB48" s="22"/>
      <c r="BC48" s="22"/>
      <c r="BD48" s="22"/>
    </row>
    <row r="49" spans="1:56" ht="14.25" customHeight="1" x14ac:dyDescent="0.2">
      <c r="A49" s="12" t="s">
        <v>56</v>
      </c>
      <c r="B49" s="1" t="s">
        <v>57</v>
      </c>
      <c r="C49" s="13">
        <v>44572</v>
      </c>
      <c r="D49" s="13">
        <v>44572</v>
      </c>
      <c r="E49" s="13">
        <v>44572</v>
      </c>
      <c r="F49" s="13">
        <v>44936</v>
      </c>
      <c r="G49" s="14" t="str">
        <f t="shared" si="16"/>
        <v>000-048/AIB RDC/2022</v>
      </c>
      <c r="H49" s="1">
        <v>0</v>
      </c>
      <c r="I49" s="1" t="s">
        <v>74</v>
      </c>
      <c r="J49" s="16" t="s">
        <v>205</v>
      </c>
      <c r="K49" s="16" t="s">
        <v>82</v>
      </c>
      <c r="L49" s="16" t="s">
        <v>83</v>
      </c>
      <c r="M49" s="16" t="s">
        <v>84</v>
      </c>
      <c r="N49" s="16" t="s">
        <v>85</v>
      </c>
      <c r="O49" s="16" t="s">
        <v>152</v>
      </c>
      <c r="P49" s="16" t="s">
        <v>153</v>
      </c>
      <c r="Q49" s="16" t="s">
        <v>130</v>
      </c>
      <c r="R49" s="16" t="s">
        <v>130</v>
      </c>
      <c r="S49" s="17">
        <v>0</v>
      </c>
      <c r="T49" s="17">
        <v>40745.97</v>
      </c>
      <c r="U49" s="17">
        <v>0</v>
      </c>
      <c r="V49" s="17"/>
      <c r="W49" s="17">
        <v>510.3</v>
      </c>
      <c r="X49" s="17">
        <v>34020.18</v>
      </c>
      <c r="Y49" s="17"/>
      <c r="Z49" s="18" t="e">
        <f t="shared" si="17"/>
        <v>#DIV/0!</v>
      </c>
      <c r="AA49" s="19">
        <v>0.15</v>
      </c>
      <c r="AB49" s="17">
        <f t="shared" si="33"/>
        <v>5103.027</v>
      </c>
      <c r="AC49" s="17">
        <v>0</v>
      </c>
      <c r="AD49" s="17">
        <v>0</v>
      </c>
      <c r="AE49" s="17">
        <f t="shared" si="18"/>
        <v>5103.027</v>
      </c>
      <c r="AF49" s="17">
        <f t="shared" si="31"/>
        <v>816.48432000000003</v>
      </c>
      <c r="AG49" s="17">
        <f t="shared" si="19"/>
        <v>5919.5113199999996</v>
      </c>
      <c r="AH49" s="17">
        <f t="shared" si="32"/>
        <v>102.06054</v>
      </c>
      <c r="AI49" s="17">
        <v>0</v>
      </c>
      <c r="AJ49" s="17">
        <f t="shared" si="21"/>
        <v>102.06054</v>
      </c>
      <c r="AK49" s="20" t="s">
        <v>67</v>
      </c>
      <c r="AL49" s="17">
        <f t="shared" si="22"/>
        <v>5000.9664599999996</v>
      </c>
      <c r="AM49" s="17" t="s">
        <v>87</v>
      </c>
      <c r="AN49" s="21">
        <v>0.35</v>
      </c>
      <c r="AO49" s="17">
        <f t="shared" si="23"/>
        <v>1750.3382609999999</v>
      </c>
      <c r="AP49" s="17"/>
      <c r="AQ49" s="16"/>
      <c r="AR49" s="17">
        <f t="shared" si="24"/>
        <v>1750.3382609999999</v>
      </c>
      <c r="AS49" s="17"/>
      <c r="AT49" s="17">
        <v>5919.5113199999996</v>
      </c>
      <c r="AU49" s="17">
        <f t="shared" si="25"/>
        <v>5919.5113199999996</v>
      </c>
      <c r="AV49" s="17">
        <f t="shared" si="26"/>
        <v>0</v>
      </c>
      <c r="AW49" s="17" t="str">
        <f t="shared" si="34"/>
        <v>SFA</v>
      </c>
      <c r="AX49" s="22">
        <v>44635</v>
      </c>
      <c r="AY49" s="22"/>
      <c r="AZ49" s="1" t="s">
        <v>68</v>
      </c>
      <c r="BA49" s="22" t="str">
        <f t="shared" si="28"/>
        <v>COMP MOTOR</v>
      </c>
      <c r="BB49" s="22"/>
      <c r="BC49" s="1" t="s">
        <v>66</v>
      </c>
      <c r="BD49" s="22"/>
    </row>
    <row r="50" spans="1:56" ht="14.25" customHeight="1" x14ac:dyDescent="0.2">
      <c r="A50" s="12" t="s">
        <v>56</v>
      </c>
      <c r="B50" s="1" t="s">
        <v>57</v>
      </c>
      <c r="C50" s="13">
        <v>44572</v>
      </c>
      <c r="D50" s="13">
        <v>44572</v>
      </c>
      <c r="E50" s="13">
        <v>44572</v>
      </c>
      <c r="F50" s="13">
        <v>44694</v>
      </c>
      <c r="G50" s="14" t="str">
        <f t="shared" si="16"/>
        <v>000-049/AIB RDC/2022</v>
      </c>
      <c r="H50" s="1">
        <v>4</v>
      </c>
      <c r="I50" s="1" t="s">
        <v>91</v>
      </c>
      <c r="J50" s="1" t="s">
        <v>206</v>
      </c>
      <c r="K50" s="16" t="s">
        <v>207</v>
      </c>
      <c r="L50" s="16" t="s">
        <v>208</v>
      </c>
      <c r="M50" s="16" t="s">
        <v>62</v>
      </c>
      <c r="N50" s="16" t="s">
        <v>209</v>
      </c>
      <c r="O50" s="16" t="s">
        <v>73</v>
      </c>
      <c r="P50" s="16" t="s">
        <v>73</v>
      </c>
      <c r="Q50" s="16" t="s">
        <v>130</v>
      </c>
      <c r="R50" s="16" t="s">
        <v>130</v>
      </c>
      <c r="S50" s="17"/>
      <c r="T50" s="17">
        <v>1568.71</v>
      </c>
      <c r="U50" s="17">
        <v>0</v>
      </c>
      <c r="V50" s="17"/>
      <c r="W50" s="17">
        <v>19.649999999999999</v>
      </c>
      <c r="X50" s="17">
        <v>1309.77</v>
      </c>
      <c r="Y50" s="17">
        <v>212.71</v>
      </c>
      <c r="Z50" s="18" t="e">
        <f t="shared" si="17"/>
        <v>#DIV/0!</v>
      </c>
      <c r="AA50" s="19">
        <v>0.1</v>
      </c>
      <c r="AB50" s="17">
        <f t="shared" si="33"/>
        <v>130.977</v>
      </c>
      <c r="AC50" s="17">
        <v>0</v>
      </c>
      <c r="AD50" s="17">
        <v>0</v>
      </c>
      <c r="AE50" s="17">
        <f t="shared" si="18"/>
        <v>130.977</v>
      </c>
      <c r="AF50" s="17">
        <f t="shared" si="31"/>
        <v>20.956320000000002</v>
      </c>
      <c r="AG50" s="17">
        <f t="shared" si="19"/>
        <v>151.93332000000001</v>
      </c>
      <c r="AH50" s="17">
        <f t="shared" si="32"/>
        <v>2.6195400000000002</v>
      </c>
      <c r="AI50" s="17">
        <v>0</v>
      </c>
      <c r="AJ50" s="17">
        <f t="shared" si="21"/>
        <v>2.6195400000000002</v>
      </c>
      <c r="AK50" s="20" t="s">
        <v>67</v>
      </c>
      <c r="AL50" s="17">
        <f t="shared" si="22"/>
        <v>128.35746</v>
      </c>
      <c r="AM50" s="17"/>
      <c r="AN50" s="21"/>
      <c r="AO50" s="17">
        <f t="shared" si="23"/>
        <v>0</v>
      </c>
      <c r="AP50" s="17"/>
      <c r="AQ50" s="16"/>
      <c r="AR50" s="17">
        <f t="shared" si="24"/>
        <v>0</v>
      </c>
      <c r="AS50" s="17"/>
      <c r="AT50" s="17">
        <v>151.93332000000001</v>
      </c>
      <c r="AU50" s="17">
        <f t="shared" si="25"/>
        <v>151.93332000000001</v>
      </c>
      <c r="AV50" s="17">
        <f t="shared" si="26"/>
        <v>0</v>
      </c>
      <c r="AW50" s="17" t="str">
        <f t="shared" si="34"/>
        <v>SFA</v>
      </c>
      <c r="AX50" s="22">
        <v>44635</v>
      </c>
      <c r="AY50" s="22"/>
      <c r="AZ50" s="1" t="s">
        <v>145</v>
      </c>
      <c r="BA50" s="22" t="str">
        <f t="shared" si="28"/>
        <v>MOTOR TPL</v>
      </c>
      <c r="BB50" s="22"/>
      <c r="BC50" s="1" t="s">
        <v>79</v>
      </c>
      <c r="BD50" s="1"/>
    </row>
    <row r="51" spans="1:56" ht="14.25" customHeight="1" x14ac:dyDescent="0.2">
      <c r="A51" s="12" t="s">
        <v>56</v>
      </c>
      <c r="B51" s="1" t="s">
        <v>57</v>
      </c>
      <c r="C51" s="13">
        <v>44572</v>
      </c>
      <c r="D51" s="13">
        <v>44581</v>
      </c>
      <c r="E51" s="13">
        <v>44572</v>
      </c>
      <c r="F51" s="13">
        <v>44574</v>
      </c>
      <c r="G51" s="14" t="str">
        <f t="shared" si="16"/>
        <v>000-050/AIB RDC/2022</v>
      </c>
      <c r="H51" s="1">
        <v>0</v>
      </c>
      <c r="I51" s="1" t="s">
        <v>74</v>
      </c>
      <c r="J51" s="1" t="s">
        <v>210</v>
      </c>
      <c r="K51" s="16" t="s">
        <v>211</v>
      </c>
      <c r="L51" s="16"/>
      <c r="M51" s="16" t="s">
        <v>105</v>
      </c>
      <c r="N51" s="16" t="s">
        <v>106</v>
      </c>
      <c r="O51" s="16" t="s">
        <v>64</v>
      </c>
      <c r="P51" s="16" t="s">
        <v>65</v>
      </c>
      <c r="Q51" s="16" t="s">
        <v>130</v>
      </c>
      <c r="R51" s="16" t="s">
        <v>130</v>
      </c>
      <c r="S51" s="17">
        <v>3654.36</v>
      </c>
      <c r="T51" s="17">
        <v>318.60000000000002</v>
      </c>
      <c r="U51" s="17">
        <v>0</v>
      </c>
      <c r="V51" s="17"/>
      <c r="W51" s="17">
        <v>20</v>
      </c>
      <c r="X51" s="17">
        <v>250</v>
      </c>
      <c r="Y51" s="17"/>
      <c r="Z51" s="18">
        <f t="shared" si="17"/>
        <v>8.718352871638263E-2</v>
      </c>
      <c r="AA51" s="19">
        <v>0.15</v>
      </c>
      <c r="AB51" s="17">
        <f t="shared" si="33"/>
        <v>37.5</v>
      </c>
      <c r="AC51" s="17">
        <v>0</v>
      </c>
      <c r="AD51" s="17">
        <v>0</v>
      </c>
      <c r="AE51" s="17">
        <f t="shared" si="18"/>
        <v>37.5</v>
      </c>
      <c r="AF51" s="17">
        <f t="shared" si="31"/>
        <v>6</v>
      </c>
      <c r="AG51" s="17">
        <f t="shared" si="19"/>
        <v>43.5</v>
      </c>
      <c r="AH51" s="17">
        <f t="shared" si="32"/>
        <v>0.75</v>
      </c>
      <c r="AI51" s="17">
        <v>0</v>
      </c>
      <c r="AJ51" s="17">
        <f t="shared" si="21"/>
        <v>0.75</v>
      </c>
      <c r="AK51" s="20" t="s">
        <v>67</v>
      </c>
      <c r="AL51" s="17">
        <f t="shared" si="22"/>
        <v>36.75</v>
      </c>
      <c r="AM51" s="17" t="s">
        <v>108</v>
      </c>
      <c r="AN51" s="21">
        <v>0.4</v>
      </c>
      <c r="AO51" s="17">
        <f t="shared" si="23"/>
        <v>14.700000000000001</v>
      </c>
      <c r="AP51" s="17">
        <v>14.700000000000001</v>
      </c>
      <c r="AQ51" s="16">
        <v>44834</v>
      </c>
      <c r="AR51" s="17">
        <f t="shared" si="24"/>
        <v>0</v>
      </c>
      <c r="AS51" s="17" t="s">
        <v>109</v>
      </c>
      <c r="AT51" s="17">
        <v>43.5</v>
      </c>
      <c r="AU51" s="17">
        <f t="shared" si="25"/>
        <v>43.5</v>
      </c>
      <c r="AV51" s="17">
        <f t="shared" si="26"/>
        <v>0</v>
      </c>
      <c r="AW51" s="17" t="str">
        <f t="shared" si="34"/>
        <v>SFA</v>
      </c>
      <c r="AX51" s="22">
        <v>44635</v>
      </c>
      <c r="AY51" s="22"/>
      <c r="AZ51" s="1" t="s">
        <v>110</v>
      </c>
      <c r="BA51" s="22" t="str">
        <f t="shared" si="28"/>
        <v>MARINE CARGO / GIT</v>
      </c>
      <c r="BB51" s="22"/>
      <c r="BC51" s="22"/>
      <c r="BD51" s="22"/>
    </row>
    <row r="52" spans="1:56" ht="14.25" customHeight="1" x14ac:dyDescent="0.2">
      <c r="A52" s="12" t="s">
        <v>56</v>
      </c>
      <c r="B52" s="1" t="s">
        <v>57</v>
      </c>
      <c r="C52" s="13">
        <v>44575</v>
      </c>
      <c r="D52" s="13">
        <v>44575</v>
      </c>
      <c r="E52" s="13">
        <v>44575</v>
      </c>
      <c r="F52" s="13">
        <v>44939</v>
      </c>
      <c r="G52" s="14" t="str">
        <f t="shared" si="16"/>
        <v>000-051/AIB RDC/2022</v>
      </c>
      <c r="H52" s="1">
        <v>0</v>
      </c>
      <c r="I52" s="1" t="s">
        <v>74</v>
      </c>
      <c r="J52" s="16" t="s">
        <v>212</v>
      </c>
      <c r="K52" s="16" t="s">
        <v>213</v>
      </c>
      <c r="L52" s="16" t="s">
        <v>214</v>
      </c>
      <c r="M52" s="16" t="s">
        <v>84</v>
      </c>
      <c r="N52" s="16" t="s">
        <v>209</v>
      </c>
      <c r="O52" s="16" t="s">
        <v>64</v>
      </c>
      <c r="P52" s="16" t="s">
        <v>65</v>
      </c>
      <c r="Q52" s="16" t="s">
        <v>130</v>
      </c>
      <c r="R52" s="16" t="s">
        <v>130</v>
      </c>
      <c r="S52" s="17">
        <v>95000000</v>
      </c>
      <c r="T52" s="17">
        <v>116840.74</v>
      </c>
      <c r="U52" s="17">
        <v>0</v>
      </c>
      <c r="V52" s="17"/>
      <c r="W52" s="17">
        <v>502.58</v>
      </c>
      <c r="X52" s="17">
        <v>98515</v>
      </c>
      <c r="Y52" s="17"/>
      <c r="Z52" s="18">
        <f t="shared" si="17"/>
        <v>1.2299025263157895E-3</v>
      </c>
      <c r="AA52" s="19">
        <v>0.15</v>
      </c>
      <c r="AB52" s="17">
        <f t="shared" si="33"/>
        <v>14777.25</v>
      </c>
      <c r="AC52" s="17">
        <v>0</v>
      </c>
      <c r="AD52" s="17">
        <v>0</v>
      </c>
      <c r="AE52" s="17">
        <f t="shared" si="18"/>
        <v>14777.25</v>
      </c>
      <c r="AF52" s="17">
        <f t="shared" si="31"/>
        <v>2364.36</v>
      </c>
      <c r="AG52" s="17">
        <f t="shared" si="19"/>
        <v>17141.61</v>
      </c>
      <c r="AH52" s="17">
        <f t="shared" si="32"/>
        <v>295.54500000000002</v>
      </c>
      <c r="AI52" s="17">
        <v>0</v>
      </c>
      <c r="AJ52" s="17">
        <f t="shared" si="21"/>
        <v>295.54500000000002</v>
      </c>
      <c r="AK52" s="20" t="s">
        <v>142</v>
      </c>
      <c r="AL52" s="17">
        <f t="shared" si="22"/>
        <v>14481.705</v>
      </c>
      <c r="AM52" s="17" t="s">
        <v>80</v>
      </c>
      <c r="AN52" s="21">
        <v>0.3</v>
      </c>
      <c r="AO52" s="23">
        <f t="shared" si="23"/>
        <v>4344.5114999999996</v>
      </c>
      <c r="AP52" s="17">
        <v>4344.5114999999996</v>
      </c>
      <c r="AQ52" s="16">
        <v>45188</v>
      </c>
      <c r="AR52" s="17">
        <f t="shared" si="24"/>
        <v>0</v>
      </c>
      <c r="AS52" s="17"/>
      <c r="AT52" s="17">
        <v>17141.61</v>
      </c>
      <c r="AU52" s="17">
        <f t="shared" si="25"/>
        <v>17141.61</v>
      </c>
      <c r="AV52" s="17">
        <f t="shared" si="26"/>
        <v>0</v>
      </c>
      <c r="AW52" s="17" t="str">
        <f t="shared" si="34"/>
        <v>SFA</v>
      </c>
      <c r="AX52" s="22">
        <v>44649</v>
      </c>
      <c r="AY52" s="22"/>
      <c r="AZ52" s="1" t="s">
        <v>68</v>
      </c>
      <c r="BA52" s="22" t="str">
        <f t="shared" si="28"/>
        <v>MARINE CARGO / GIT</v>
      </c>
      <c r="BB52" s="22"/>
      <c r="BC52" s="22"/>
      <c r="BD52" s="22"/>
    </row>
    <row r="53" spans="1:56" ht="14.25" customHeight="1" x14ac:dyDescent="0.2">
      <c r="A53" s="12" t="s">
        <v>56</v>
      </c>
      <c r="B53" s="1" t="s">
        <v>57</v>
      </c>
      <c r="C53" s="13">
        <v>44575</v>
      </c>
      <c r="D53" s="13">
        <v>44579</v>
      </c>
      <c r="E53" s="13">
        <v>44575</v>
      </c>
      <c r="F53" s="13">
        <v>44939</v>
      </c>
      <c r="G53" s="14" t="str">
        <f t="shared" si="16"/>
        <v>000-052/AIB RDC/2022</v>
      </c>
      <c r="H53" s="1">
        <v>0</v>
      </c>
      <c r="I53" s="1" t="s">
        <v>74</v>
      </c>
      <c r="J53" s="16" t="s">
        <v>215</v>
      </c>
      <c r="K53" s="1" t="s">
        <v>216</v>
      </c>
      <c r="L53" s="16" t="s">
        <v>214</v>
      </c>
      <c r="M53" s="16" t="s">
        <v>84</v>
      </c>
      <c r="N53" s="16" t="s">
        <v>209</v>
      </c>
      <c r="O53" s="16" t="s">
        <v>73</v>
      </c>
      <c r="P53" s="16" t="s">
        <v>73</v>
      </c>
      <c r="Q53" s="16" t="s">
        <v>130</v>
      </c>
      <c r="R53" s="16" t="s">
        <v>130</v>
      </c>
      <c r="S53" s="17">
        <v>0</v>
      </c>
      <c r="T53" s="17">
        <v>97373.91</v>
      </c>
      <c r="U53" s="17">
        <v>0</v>
      </c>
      <c r="V53" s="17"/>
      <c r="W53" s="17">
        <v>1219.51</v>
      </c>
      <c r="X53" s="17">
        <v>81300.75</v>
      </c>
      <c r="Y53" s="17"/>
      <c r="Z53" s="18" t="e">
        <f t="shared" si="17"/>
        <v>#DIV/0!</v>
      </c>
      <c r="AA53" s="19">
        <v>0.1</v>
      </c>
      <c r="AB53" s="17">
        <f t="shared" si="33"/>
        <v>8130.0750000000007</v>
      </c>
      <c r="AC53" s="17">
        <v>0</v>
      </c>
      <c r="AD53" s="17">
        <v>0</v>
      </c>
      <c r="AE53" s="17">
        <f t="shared" si="18"/>
        <v>8130.0750000000007</v>
      </c>
      <c r="AF53" s="17">
        <f t="shared" si="31"/>
        <v>1300.8120000000001</v>
      </c>
      <c r="AG53" s="17">
        <f t="shared" si="19"/>
        <v>9430.8870000000006</v>
      </c>
      <c r="AH53" s="17">
        <f t="shared" si="32"/>
        <v>162.60150000000002</v>
      </c>
      <c r="AI53" s="17">
        <v>0</v>
      </c>
      <c r="AJ53" s="17">
        <f t="shared" si="21"/>
        <v>162.60150000000002</v>
      </c>
      <c r="AK53" s="20" t="s">
        <v>67</v>
      </c>
      <c r="AL53" s="17">
        <f t="shared" si="22"/>
        <v>7967.473500000001</v>
      </c>
      <c r="AM53" s="17"/>
      <c r="AN53" s="21"/>
      <c r="AO53" s="17">
        <f t="shared" si="23"/>
        <v>0</v>
      </c>
      <c r="AP53" s="17"/>
      <c r="AQ53" s="16"/>
      <c r="AR53" s="17">
        <f t="shared" si="24"/>
        <v>0</v>
      </c>
      <c r="AS53" s="17"/>
      <c r="AT53" s="17">
        <v>9430.8870000000006</v>
      </c>
      <c r="AU53" s="17">
        <f t="shared" si="25"/>
        <v>9430.8870000000006</v>
      </c>
      <c r="AV53" s="17">
        <f t="shared" si="26"/>
        <v>0</v>
      </c>
      <c r="AW53" s="17" t="str">
        <f t="shared" si="34"/>
        <v>SFA</v>
      </c>
      <c r="AX53" s="22">
        <v>44635</v>
      </c>
      <c r="AY53" s="22"/>
      <c r="AZ53" s="1" t="s">
        <v>68</v>
      </c>
      <c r="BA53" s="22" t="str">
        <f t="shared" si="28"/>
        <v>MOTOR TPL</v>
      </c>
      <c r="BB53" s="22"/>
      <c r="BC53" s="22"/>
      <c r="BD53" s="22"/>
    </row>
    <row r="54" spans="1:56" ht="14.25" customHeight="1" x14ac:dyDescent="0.2">
      <c r="A54" s="12" t="s">
        <v>56</v>
      </c>
      <c r="B54" s="1" t="s">
        <v>57</v>
      </c>
      <c r="C54" s="13">
        <v>44578</v>
      </c>
      <c r="D54" s="13">
        <v>44650</v>
      </c>
      <c r="E54" s="13">
        <v>44578</v>
      </c>
      <c r="F54" s="13">
        <v>44620</v>
      </c>
      <c r="G54" s="14" t="str">
        <f t="shared" si="16"/>
        <v>000-053/AIB RDC/2022</v>
      </c>
      <c r="H54" s="1">
        <v>1</v>
      </c>
      <c r="I54" s="1" t="s">
        <v>217</v>
      </c>
      <c r="J54" s="1" t="s">
        <v>218</v>
      </c>
      <c r="K54" s="1" t="s">
        <v>219</v>
      </c>
      <c r="L54" s="1" t="s">
        <v>214</v>
      </c>
      <c r="M54" s="16" t="s">
        <v>84</v>
      </c>
      <c r="N54" s="16" t="s">
        <v>209</v>
      </c>
      <c r="O54" s="16" t="s">
        <v>70</v>
      </c>
      <c r="P54" s="16" t="s">
        <v>71</v>
      </c>
      <c r="Q54" s="16" t="s">
        <v>79</v>
      </c>
      <c r="R54" s="16" t="s">
        <v>220</v>
      </c>
      <c r="S54" s="17">
        <v>139150166</v>
      </c>
      <c r="T54" s="17">
        <v>144606.17000000001</v>
      </c>
      <c r="U54" s="17">
        <v>13130.37</v>
      </c>
      <c r="V54" s="17"/>
      <c r="W54" s="17">
        <v>0</v>
      </c>
      <c r="X54" s="17">
        <v>109419.77</v>
      </c>
      <c r="Y54" s="17"/>
      <c r="Z54" s="18">
        <f t="shared" si="17"/>
        <v>1.0392094681367467E-3</v>
      </c>
      <c r="AA54" s="19">
        <v>0</v>
      </c>
      <c r="AB54" s="17">
        <v>0</v>
      </c>
      <c r="AC54" s="17">
        <f>10%*U54</f>
        <v>1313.0370000000003</v>
      </c>
      <c r="AD54" s="17">
        <v>0</v>
      </c>
      <c r="AE54" s="17">
        <f t="shared" si="18"/>
        <v>1313.0370000000003</v>
      </c>
      <c r="AF54" s="17">
        <f t="shared" si="31"/>
        <v>210.08592000000004</v>
      </c>
      <c r="AG54" s="17">
        <f t="shared" si="19"/>
        <v>1523.1229200000002</v>
      </c>
      <c r="AH54" s="17">
        <f t="shared" si="32"/>
        <v>26.260740000000006</v>
      </c>
      <c r="AI54" s="17">
        <v>0</v>
      </c>
      <c r="AJ54" s="17">
        <f t="shared" si="21"/>
        <v>26.260740000000006</v>
      </c>
      <c r="AK54" s="20"/>
      <c r="AL54" s="17">
        <f t="shared" si="22"/>
        <v>1286.7762600000003</v>
      </c>
      <c r="AM54" s="17" t="s">
        <v>80</v>
      </c>
      <c r="AN54" s="21">
        <v>0</v>
      </c>
      <c r="AO54" s="23">
        <f t="shared" si="23"/>
        <v>0</v>
      </c>
      <c r="AP54" s="17">
        <v>386.03</v>
      </c>
      <c r="AQ54" s="16">
        <v>45188</v>
      </c>
      <c r="AR54" s="17">
        <f t="shared" si="24"/>
        <v>-386.03</v>
      </c>
      <c r="AS54" s="17"/>
      <c r="AT54" s="17">
        <v>1523.1229200000002</v>
      </c>
      <c r="AU54" s="17">
        <f t="shared" si="25"/>
        <v>1523.1229200000002</v>
      </c>
      <c r="AV54" s="17">
        <f t="shared" si="26"/>
        <v>0</v>
      </c>
      <c r="AW54" s="17" t="str">
        <f t="shared" si="34"/>
        <v>MAYFAIR</v>
      </c>
      <c r="AX54" s="22">
        <v>44699</v>
      </c>
      <c r="AY54" s="22"/>
      <c r="AZ54" s="1" t="s">
        <v>68</v>
      </c>
      <c r="BA54" s="22" t="str">
        <f t="shared" si="28"/>
        <v>FIRE</v>
      </c>
      <c r="BB54" s="27">
        <v>2085349.52</v>
      </c>
      <c r="BC54" s="1" t="s">
        <v>79</v>
      </c>
      <c r="BD54" s="1"/>
    </row>
    <row r="55" spans="1:56" ht="14.25" customHeight="1" x14ac:dyDescent="0.2">
      <c r="A55" s="12" t="s">
        <v>56</v>
      </c>
      <c r="B55" s="1" t="s">
        <v>57</v>
      </c>
      <c r="C55" s="13">
        <v>44581</v>
      </c>
      <c r="D55" s="13">
        <v>44580</v>
      </c>
      <c r="E55" s="13">
        <v>44581</v>
      </c>
      <c r="F55" s="13">
        <v>44945</v>
      </c>
      <c r="G55" s="14" t="str">
        <f t="shared" si="16"/>
        <v>000-054/AIB RDC/2022</v>
      </c>
      <c r="H55" s="1">
        <v>10</v>
      </c>
      <c r="I55" s="1" t="s">
        <v>58</v>
      </c>
      <c r="J55" s="1" t="s">
        <v>221</v>
      </c>
      <c r="K55" s="16" t="s">
        <v>222</v>
      </c>
      <c r="L55" s="16" t="s">
        <v>160</v>
      </c>
      <c r="M55" s="16" t="s">
        <v>105</v>
      </c>
      <c r="N55" s="16" t="s">
        <v>209</v>
      </c>
      <c r="O55" s="16" t="s">
        <v>73</v>
      </c>
      <c r="P55" s="16" t="s">
        <v>73</v>
      </c>
      <c r="Q55" s="16" t="s">
        <v>130</v>
      </c>
      <c r="R55" s="16" t="s">
        <v>130</v>
      </c>
      <c r="S55" s="17">
        <v>0</v>
      </c>
      <c r="T55" s="17">
        <v>30083.23</v>
      </c>
      <c r="U55" s="17">
        <v>0</v>
      </c>
      <c r="V55" s="17">
        <v>0</v>
      </c>
      <c r="W55" s="17">
        <v>376.76</v>
      </c>
      <c r="X55" s="17">
        <v>25117.5</v>
      </c>
      <c r="Y55" s="17">
        <v>4079.08</v>
      </c>
      <c r="Z55" s="18" t="e">
        <f t="shared" si="17"/>
        <v>#DIV/0!</v>
      </c>
      <c r="AA55" s="19">
        <v>0.1</v>
      </c>
      <c r="AB55" s="17">
        <f t="shared" ref="AB55:AB87" si="35">(AA55*X55)</f>
        <v>2511.75</v>
      </c>
      <c r="AC55" s="17">
        <v>0</v>
      </c>
      <c r="AD55" s="17">
        <v>0</v>
      </c>
      <c r="AE55" s="17">
        <f t="shared" si="18"/>
        <v>2511.75</v>
      </c>
      <c r="AF55" s="17">
        <f t="shared" si="31"/>
        <v>401.88</v>
      </c>
      <c r="AG55" s="17">
        <f t="shared" si="19"/>
        <v>2913.63</v>
      </c>
      <c r="AH55" s="17">
        <f t="shared" si="32"/>
        <v>50.234999999999999</v>
      </c>
      <c r="AI55" s="17">
        <v>0</v>
      </c>
      <c r="AJ55" s="17">
        <f t="shared" si="21"/>
        <v>50.234999999999999</v>
      </c>
      <c r="AK55" s="20" t="s">
        <v>67</v>
      </c>
      <c r="AL55" s="17">
        <f t="shared" si="22"/>
        <v>2461.5149999999999</v>
      </c>
      <c r="AM55" s="17"/>
      <c r="AN55" s="21"/>
      <c r="AO55" s="17">
        <f t="shared" si="23"/>
        <v>0</v>
      </c>
      <c r="AP55" s="17"/>
      <c r="AQ55" s="16"/>
      <c r="AR55" s="17">
        <f t="shared" si="24"/>
        <v>0</v>
      </c>
      <c r="AS55" s="17"/>
      <c r="AT55" s="17">
        <v>2913.63</v>
      </c>
      <c r="AU55" s="17">
        <f t="shared" si="25"/>
        <v>2913.63</v>
      </c>
      <c r="AV55" s="17">
        <f t="shared" si="26"/>
        <v>0</v>
      </c>
      <c r="AW55" s="17" t="str">
        <f t="shared" si="34"/>
        <v>SFA</v>
      </c>
      <c r="AX55" s="22">
        <v>44635</v>
      </c>
      <c r="AY55" s="22"/>
      <c r="AZ55" s="1" t="s">
        <v>68</v>
      </c>
      <c r="BA55" s="22" t="str">
        <f t="shared" si="28"/>
        <v>MOTOR TPL</v>
      </c>
      <c r="BB55" s="22"/>
      <c r="BC55" s="22"/>
      <c r="BD55" s="22"/>
    </row>
    <row r="56" spans="1:56" ht="14.25" customHeight="1" x14ac:dyDescent="0.2">
      <c r="A56" s="12" t="s">
        <v>56</v>
      </c>
      <c r="B56" s="1" t="s">
        <v>57</v>
      </c>
      <c r="C56" s="13">
        <v>44581</v>
      </c>
      <c r="D56" s="13">
        <v>44595</v>
      </c>
      <c r="E56" s="13">
        <v>44581</v>
      </c>
      <c r="F56" s="13">
        <v>44945</v>
      </c>
      <c r="G56" s="14" t="str">
        <f t="shared" si="16"/>
        <v>000-055/AIB RDC/2022</v>
      </c>
      <c r="H56" s="1">
        <v>0</v>
      </c>
      <c r="I56" s="1" t="s">
        <v>74</v>
      </c>
      <c r="J56" s="1" t="s">
        <v>223</v>
      </c>
      <c r="K56" s="16" t="s">
        <v>224</v>
      </c>
      <c r="L56" s="16" t="s">
        <v>61</v>
      </c>
      <c r="M56" s="16" t="s">
        <v>62</v>
      </c>
      <c r="N56" s="16" t="s">
        <v>209</v>
      </c>
      <c r="O56" s="16" t="s">
        <v>89</v>
      </c>
      <c r="P56" s="16" t="s">
        <v>90</v>
      </c>
      <c r="Q56" s="16" t="s">
        <v>79</v>
      </c>
      <c r="R56" s="16" t="s">
        <v>79</v>
      </c>
      <c r="S56" s="17">
        <v>250000</v>
      </c>
      <c r="T56" s="17">
        <v>1570.58</v>
      </c>
      <c r="U56" s="17">
        <v>0</v>
      </c>
      <c r="V56" s="17"/>
      <c r="W56" s="17">
        <v>50</v>
      </c>
      <c r="X56" s="17">
        <v>1281</v>
      </c>
      <c r="Y56" s="17"/>
      <c r="Z56" s="18">
        <f t="shared" si="17"/>
        <v>6.2823200000000001E-3</v>
      </c>
      <c r="AA56" s="19">
        <v>0.15</v>
      </c>
      <c r="AB56" s="17">
        <f t="shared" si="35"/>
        <v>192.15</v>
      </c>
      <c r="AC56" s="17">
        <v>0</v>
      </c>
      <c r="AD56" s="17">
        <v>0</v>
      </c>
      <c r="AE56" s="17">
        <f t="shared" si="18"/>
        <v>192.15</v>
      </c>
      <c r="AF56" s="17">
        <f t="shared" si="31"/>
        <v>30.744</v>
      </c>
      <c r="AG56" s="17">
        <f t="shared" si="19"/>
        <v>222.89400000000001</v>
      </c>
      <c r="AH56" s="17">
        <f t="shared" si="32"/>
        <v>3.843</v>
      </c>
      <c r="AI56" s="17">
        <v>0</v>
      </c>
      <c r="AJ56" s="17">
        <f t="shared" si="21"/>
        <v>3.843</v>
      </c>
      <c r="AK56" s="20" t="s">
        <v>142</v>
      </c>
      <c r="AL56" s="17">
        <f t="shared" si="22"/>
        <v>188.30700000000002</v>
      </c>
      <c r="AM56" s="17"/>
      <c r="AN56" s="21"/>
      <c r="AO56" s="17">
        <f t="shared" si="23"/>
        <v>0</v>
      </c>
      <c r="AP56" s="17"/>
      <c r="AQ56" s="16"/>
      <c r="AR56" s="17">
        <f t="shared" si="24"/>
        <v>0</v>
      </c>
      <c r="AS56" s="17"/>
      <c r="AT56" s="17">
        <v>222.89400000000001</v>
      </c>
      <c r="AU56" s="17">
        <f t="shared" si="25"/>
        <v>222.89400000000001</v>
      </c>
      <c r="AV56" s="17">
        <f t="shared" si="26"/>
        <v>0</v>
      </c>
      <c r="AW56" s="17" t="str">
        <f t="shared" si="34"/>
        <v>MAYFAIR</v>
      </c>
      <c r="AX56" s="22">
        <v>44645</v>
      </c>
      <c r="AY56" s="22"/>
      <c r="AZ56" s="1" t="s">
        <v>68</v>
      </c>
      <c r="BA56" s="22" t="str">
        <f t="shared" si="28"/>
        <v>GENERAL LIABILITY</v>
      </c>
      <c r="BB56" s="22"/>
      <c r="BC56" s="22"/>
      <c r="BD56" s="22"/>
    </row>
    <row r="57" spans="1:56" ht="14.25" customHeight="1" x14ac:dyDescent="0.2">
      <c r="A57" s="1" t="s">
        <v>667</v>
      </c>
      <c r="B57" s="1" t="s">
        <v>273</v>
      </c>
      <c r="C57" s="13">
        <v>44869</v>
      </c>
      <c r="D57" s="1" t="s">
        <v>837</v>
      </c>
      <c r="E57" s="1" t="s">
        <v>837</v>
      </c>
      <c r="F57" s="1" t="s">
        <v>837</v>
      </c>
      <c r="G57" s="14" t="str">
        <f t="shared" si="16"/>
        <v>000-056/AIB RDC/2022</v>
      </c>
      <c r="H57" s="1">
        <v>0</v>
      </c>
      <c r="I57" s="1" t="s">
        <v>74</v>
      </c>
      <c r="J57" s="1" t="s">
        <v>944</v>
      </c>
      <c r="K57" s="1" t="s">
        <v>945</v>
      </c>
      <c r="L57" s="1"/>
      <c r="M57" s="1" t="s">
        <v>105</v>
      </c>
      <c r="N57" s="1" t="s">
        <v>106</v>
      </c>
      <c r="O57" s="1" t="s">
        <v>64</v>
      </c>
      <c r="P57" s="1" t="s">
        <v>65</v>
      </c>
      <c r="Q57" s="1" t="s">
        <v>130</v>
      </c>
      <c r="R57" s="1" t="s">
        <v>130</v>
      </c>
      <c r="S57" s="17">
        <v>340500</v>
      </c>
      <c r="T57" s="17">
        <v>288.17</v>
      </c>
      <c r="U57" s="17">
        <v>0</v>
      </c>
      <c r="V57" s="17">
        <v>0</v>
      </c>
      <c r="W57" s="17">
        <v>10.3</v>
      </c>
      <c r="X57" s="17">
        <v>666.45</v>
      </c>
      <c r="Y57" s="17">
        <v>111.48</v>
      </c>
      <c r="Z57" s="18">
        <f t="shared" si="17"/>
        <v>8.4631424375917769E-4</v>
      </c>
      <c r="AA57" s="19">
        <v>0.15</v>
      </c>
      <c r="AB57" s="17">
        <f t="shared" si="35"/>
        <v>99.967500000000001</v>
      </c>
      <c r="AC57" s="17">
        <v>0</v>
      </c>
      <c r="AD57" s="17">
        <v>0</v>
      </c>
      <c r="AE57" s="17">
        <f t="shared" si="18"/>
        <v>99.967500000000001</v>
      </c>
      <c r="AF57" s="17">
        <f t="shared" si="31"/>
        <v>15.9948</v>
      </c>
      <c r="AG57" s="17">
        <f t="shared" si="19"/>
        <v>115.9623</v>
      </c>
      <c r="AH57" s="17">
        <f t="shared" si="32"/>
        <v>1.99935</v>
      </c>
      <c r="AI57" s="17"/>
      <c r="AJ57" s="17">
        <f t="shared" si="21"/>
        <v>1.99935</v>
      </c>
      <c r="AK57" s="20"/>
      <c r="AL57" s="17">
        <f t="shared" si="22"/>
        <v>97.968149999999994</v>
      </c>
      <c r="AM57" s="17" t="s">
        <v>108</v>
      </c>
      <c r="AN57" s="21">
        <v>0.4</v>
      </c>
      <c r="AO57" s="17">
        <f t="shared" si="23"/>
        <v>39.187260000000002</v>
      </c>
      <c r="AP57" s="27"/>
      <c r="AQ57" s="16"/>
      <c r="AR57" s="17">
        <f t="shared" si="24"/>
        <v>39.187260000000002</v>
      </c>
      <c r="AS57" s="17"/>
      <c r="AT57" s="17"/>
      <c r="AU57" s="17">
        <f t="shared" si="25"/>
        <v>115.9623</v>
      </c>
      <c r="AV57" s="84">
        <f t="shared" si="26"/>
        <v>115.9623</v>
      </c>
      <c r="AW57" s="17" t="str">
        <f t="shared" si="34"/>
        <v>SFA</v>
      </c>
      <c r="AX57" s="22"/>
      <c r="AY57" s="22"/>
      <c r="AZ57" s="1" t="s">
        <v>110</v>
      </c>
      <c r="BA57" s="22" t="str">
        <f t="shared" si="28"/>
        <v>MARINE CARGO / GIT</v>
      </c>
      <c r="BB57" s="54"/>
      <c r="BC57" s="22"/>
      <c r="BD57" s="1" t="s">
        <v>226</v>
      </c>
    </row>
    <row r="58" spans="1:56" ht="14.25" customHeight="1" x14ac:dyDescent="0.2">
      <c r="A58" s="12" t="s">
        <v>56</v>
      </c>
      <c r="B58" s="1" t="s">
        <v>57</v>
      </c>
      <c r="C58" s="13">
        <v>44582</v>
      </c>
      <c r="D58" s="13">
        <v>44583</v>
      </c>
      <c r="E58" s="13">
        <v>44582</v>
      </c>
      <c r="F58" s="13">
        <v>44611</v>
      </c>
      <c r="G58" s="14" t="str">
        <f t="shared" si="16"/>
        <v>000-057/AIB RDC/2022</v>
      </c>
      <c r="H58" s="1">
        <v>0</v>
      </c>
      <c r="I58" s="1" t="s">
        <v>74</v>
      </c>
      <c r="J58" s="1" t="s">
        <v>227</v>
      </c>
      <c r="K58" s="16" t="s">
        <v>228</v>
      </c>
      <c r="L58" s="16"/>
      <c r="M58" s="16" t="s">
        <v>105</v>
      </c>
      <c r="N58" s="16" t="s">
        <v>106</v>
      </c>
      <c r="O58" s="16" t="s">
        <v>64</v>
      </c>
      <c r="P58" s="16" t="s">
        <v>65</v>
      </c>
      <c r="Q58" s="16" t="s">
        <v>130</v>
      </c>
      <c r="R58" s="16" t="s">
        <v>130</v>
      </c>
      <c r="S58" s="17">
        <v>418600</v>
      </c>
      <c r="T58" s="17">
        <v>1679.67</v>
      </c>
      <c r="U58" s="17">
        <v>0</v>
      </c>
      <c r="V58" s="17"/>
      <c r="W58" s="17">
        <v>20</v>
      </c>
      <c r="X58" s="17">
        <v>1403.45</v>
      </c>
      <c r="Y58" s="17"/>
      <c r="Z58" s="18">
        <f t="shared" si="17"/>
        <v>4.0125895843287152E-3</v>
      </c>
      <c r="AA58" s="19">
        <v>0.15</v>
      </c>
      <c r="AB58" s="17">
        <f t="shared" si="35"/>
        <v>210.51750000000001</v>
      </c>
      <c r="AC58" s="17">
        <v>0</v>
      </c>
      <c r="AD58" s="17">
        <v>0</v>
      </c>
      <c r="AE58" s="17">
        <f t="shared" si="18"/>
        <v>210.51750000000001</v>
      </c>
      <c r="AF58" s="17">
        <f t="shared" si="31"/>
        <v>33.6828</v>
      </c>
      <c r="AG58" s="17">
        <f t="shared" si="19"/>
        <v>244.20030000000003</v>
      </c>
      <c r="AH58" s="17">
        <f t="shared" si="32"/>
        <v>4.21035</v>
      </c>
      <c r="AI58" s="17">
        <v>0</v>
      </c>
      <c r="AJ58" s="17">
        <f t="shared" si="21"/>
        <v>4.21035</v>
      </c>
      <c r="AK58" s="20" t="s">
        <v>67</v>
      </c>
      <c r="AL58" s="17">
        <f t="shared" si="22"/>
        <v>206.30715000000001</v>
      </c>
      <c r="AM58" s="17" t="s">
        <v>108</v>
      </c>
      <c r="AN58" s="21">
        <v>0.4</v>
      </c>
      <c r="AO58" s="17">
        <f t="shared" si="23"/>
        <v>82.522860000000009</v>
      </c>
      <c r="AP58" s="17">
        <v>82.522860000000009</v>
      </c>
      <c r="AQ58" s="16">
        <v>44834</v>
      </c>
      <c r="AR58" s="17">
        <f t="shared" si="24"/>
        <v>0</v>
      </c>
      <c r="AS58" s="17" t="s">
        <v>109</v>
      </c>
      <c r="AT58" s="17">
        <v>244.20030000000003</v>
      </c>
      <c r="AU58" s="17">
        <f t="shared" si="25"/>
        <v>244.20030000000003</v>
      </c>
      <c r="AV58" s="17">
        <f t="shared" si="26"/>
        <v>0</v>
      </c>
      <c r="AW58" s="17" t="str">
        <f t="shared" si="34"/>
        <v>SFA</v>
      </c>
      <c r="AX58" s="22">
        <v>44635</v>
      </c>
      <c r="AY58" s="22"/>
      <c r="AZ58" s="1" t="s">
        <v>110</v>
      </c>
      <c r="BA58" s="22" t="str">
        <f t="shared" si="28"/>
        <v>MARINE CARGO / GIT</v>
      </c>
      <c r="BB58" s="22"/>
      <c r="BC58" s="22"/>
      <c r="BD58" s="22"/>
    </row>
    <row r="59" spans="1:56" ht="14.25" customHeight="1" x14ac:dyDescent="0.2">
      <c r="A59" s="12" t="s">
        <v>56</v>
      </c>
      <c r="B59" s="1" t="s">
        <v>57</v>
      </c>
      <c r="C59" s="13">
        <v>44582</v>
      </c>
      <c r="D59" s="13">
        <v>44581</v>
      </c>
      <c r="E59" s="13">
        <v>44582</v>
      </c>
      <c r="F59" s="13">
        <v>44640</v>
      </c>
      <c r="G59" s="14" t="str">
        <f t="shared" si="16"/>
        <v>000-058/AIB RDC/2022</v>
      </c>
      <c r="H59" s="1">
        <v>0</v>
      </c>
      <c r="I59" s="1" t="s">
        <v>74</v>
      </c>
      <c r="J59" s="1">
        <v>70100008</v>
      </c>
      <c r="K59" s="16" t="s">
        <v>228</v>
      </c>
      <c r="L59" s="16"/>
      <c r="M59" s="16" t="s">
        <v>105</v>
      </c>
      <c r="N59" s="16" t="s">
        <v>106</v>
      </c>
      <c r="O59" s="16" t="s">
        <v>64</v>
      </c>
      <c r="P59" s="16" t="s">
        <v>65</v>
      </c>
      <c r="Q59" s="16" t="s">
        <v>107</v>
      </c>
      <c r="R59" s="16" t="s">
        <v>107</v>
      </c>
      <c r="S59" s="17">
        <v>14655.42</v>
      </c>
      <c r="T59" s="17">
        <v>147.5</v>
      </c>
      <c r="U59" s="17">
        <v>0</v>
      </c>
      <c r="V59" s="17"/>
      <c r="W59" s="17"/>
      <c r="X59" s="17">
        <v>100</v>
      </c>
      <c r="Y59" s="17"/>
      <c r="Z59" s="18">
        <f t="shared" si="17"/>
        <v>1.0064535850900213E-2</v>
      </c>
      <c r="AA59" s="19">
        <v>0.15</v>
      </c>
      <c r="AB59" s="17">
        <f t="shared" si="35"/>
        <v>15</v>
      </c>
      <c r="AC59" s="17">
        <v>0</v>
      </c>
      <c r="AD59" s="17">
        <v>0</v>
      </c>
      <c r="AE59" s="17">
        <f t="shared" si="18"/>
        <v>15</v>
      </c>
      <c r="AF59" s="17">
        <f t="shared" si="31"/>
        <v>2.4</v>
      </c>
      <c r="AG59" s="17">
        <f t="shared" si="19"/>
        <v>17.399999999999999</v>
      </c>
      <c r="AH59" s="17">
        <f t="shared" si="32"/>
        <v>0.3</v>
      </c>
      <c r="AI59" s="17">
        <v>0</v>
      </c>
      <c r="AJ59" s="17">
        <f t="shared" si="21"/>
        <v>0.3</v>
      </c>
      <c r="AK59" s="20"/>
      <c r="AL59" s="17">
        <f t="shared" si="22"/>
        <v>14.7</v>
      </c>
      <c r="AM59" s="17" t="s">
        <v>108</v>
      </c>
      <c r="AN59" s="21">
        <v>0.4</v>
      </c>
      <c r="AO59" s="17">
        <f t="shared" si="23"/>
        <v>5.88</v>
      </c>
      <c r="AP59" s="30">
        <v>5.88</v>
      </c>
      <c r="AQ59" s="29">
        <v>45229</v>
      </c>
      <c r="AR59" s="17">
        <v>0</v>
      </c>
      <c r="AS59" s="17"/>
      <c r="AT59" s="17">
        <v>17.399999999999999</v>
      </c>
      <c r="AU59" s="17">
        <f t="shared" si="25"/>
        <v>17.399999999999999</v>
      </c>
      <c r="AV59" s="17">
        <f t="shared" si="26"/>
        <v>0</v>
      </c>
      <c r="AW59" s="17" t="str">
        <f t="shared" si="34"/>
        <v>RAWSUR</v>
      </c>
      <c r="AX59" s="22">
        <v>44869</v>
      </c>
      <c r="AY59" s="22"/>
      <c r="AZ59" s="1" t="s">
        <v>110</v>
      </c>
      <c r="BA59" s="22" t="str">
        <f t="shared" si="28"/>
        <v>MARINE CARGO / GIT</v>
      </c>
      <c r="BB59" s="22"/>
      <c r="BC59" s="22"/>
      <c r="BD59" s="22"/>
    </row>
    <row r="60" spans="1:56" ht="14.25" customHeight="1" x14ac:dyDescent="0.2">
      <c r="A60" s="1" t="s">
        <v>229</v>
      </c>
      <c r="B60" s="1" t="s">
        <v>57</v>
      </c>
      <c r="C60" s="13">
        <v>44615</v>
      </c>
      <c r="D60" s="13">
        <v>44615</v>
      </c>
      <c r="E60" s="13">
        <v>44615</v>
      </c>
      <c r="F60" s="13">
        <v>44642</v>
      </c>
      <c r="G60" s="14" t="str">
        <f t="shared" si="16"/>
        <v>000-059/AIB RDC/2022</v>
      </c>
      <c r="H60" s="1">
        <v>0</v>
      </c>
      <c r="I60" s="1" t="s">
        <v>74</v>
      </c>
      <c r="J60" s="1" t="s">
        <v>230</v>
      </c>
      <c r="K60" s="16" t="s">
        <v>181</v>
      </c>
      <c r="L60" s="16"/>
      <c r="M60" s="16" t="s">
        <v>105</v>
      </c>
      <c r="N60" s="16" t="s">
        <v>209</v>
      </c>
      <c r="O60" s="16" t="s">
        <v>64</v>
      </c>
      <c r="P60" s="16" t="s">
        <v>65</v>
      </c>
      <c r="Q60" s="16" t="s">
        <v>107</v>
      </c>
      <c r="R60" s="16" t="s">
        <v>107</v>
      </c>
      <c r="S60" s="17">
        <v>12000</v>
      </c>
      <c r="T60" s="17">
        <v>147.5</v>
      </c>
      <c r="U60" s="17">
        <v>0</v>
      </c>
      <c r="V60" s="17">
        <v>0</v>
      </c>
      <c r="W60" s="17">
        <v>10</v>
      </c>
      <c r="X60" s="17">
        <v>100</v>
      </c>
      <c r="Y60" s="17">
        <v>17.600000000000001</v>
      </c>
      <c r="Z60" s="18">
        <f t="shared" si="17"/>
        <v>1.2291666666666666E-2</v>
      </c>
      <c r="AA60" s="19">
        <v>0.15</v>
      </c>
      <c r="AB60" s="17">
        <f t="shared" si="35"/>
        <v>15</v>
      </c>
      <c r="AC60" s="17">
        <v>0</v>
      </c>
      <c r="AD60" s="17">
        <v>0</v>
      </c>
      <c r="AE60" s="17">
        <f t="shared" si="18"/>
        <v>15</v>
      </c>
      <c r="AF60" s="17">
        <f t="shared" si="31"/>
        <v>2.4</v>
      </c>
      <c r="AG60" s="17">
        <f t="shared" si="19"/>
        <v>17.399999999999999</v>
      </c>
      <c r="AH60" s="17">
        <f t="shared" si="32"/>
        <v>0.3</v>
      </c>
      <c r="AI60" s="17">
        <v>0</v>
      </c>
      <c r="AJ60" s="17">
        <f t="shared" si="21"/>
        <v>0.3</v>
      </c>
      <c r="AK60" s="20"/>
      <c r="AL60" s="17">
        <f t="shared" si="22"/>
        <v>14.7</v>
      </c>
      <c r="AM60" s="17" t="s">
        <v>108</v>
      </c>
      <c r="AN60" s="21">
        <v>0.4</v>
      </c>
      <c r="AO60" s="17">
        <f t="shared" si="23"/>
        <v>5.88</v>
      </c>
      <c r="AP60" s="17">
        <v>5.88</v>
      </c>
      <c r="AQ60" s="16">
        <v>44834</v>
      </c>
      <c r="AR60" s="17">
        <f t="shared" ref="AR60:AR123" si="36">AO60-AP60</f>
        <v>0</v>
      </c>
      <c r="AS60" s="17" t="s">
        <v>109</v>
      </c>
      <c r="AT60" s="17">
        <v>17.399999999999999</v>
      </c>
      <c r="AU60" s="17">
        <f t="shared" si="25"/>
        <v>17.399999999999999</v>
      </c>
      <c r="AV60" s="17">
        <f t="shared" si="26"/>
        <v>0</v>
      </c>
      <c r="AW60" s="17" t="str">
        <f t="shared" si="34"/>
        <v>RAWSUR</v>
      </c>
      <c r="AX60" s="22">
        <v>44679</v>
      </c>
      <c r="AY60" s="22"/>
      <c r="AZ60" s="1" t="s">
        <v>110</v>
      </c>
      <c r="BA60" s="22" t="str">
        <f t="shared" si="28"/>
        <v>MARINE CARGO / GIT</v>
      </c>
      <c r="BB60" s="22"/>
      <c r="BC60" s="22"/>
      <c r="BD60" s="22"/>
    </row>
    <row r="61" spans="1:56" ht="14.25" customHeight="1" x14ac:dyDescent="0.2">
      <c r="A61" s="12" t="s">
        <v>56</v>
      </c>
      <c r="B61" s="1" t="s">
        <v>57</v>
      </c>
      <c r="C61" s="13">
        <v>44583</v>
      </c>
      <c r="D61" s="13">
        <v>44585</v>
      </c>
      <c r="E61" s="13">
        <v>44583</v>
      </c>
      <c r="F61" s="13">
        <v>44947</v>
      </c>
      <c r="G61" s="14" t="str">
        <f t="shared" si="16"/>
        <v>000-060/AIB RDC/2022</v>
      </c>
      <c r="H61" s="1">
        <v>0</v>
      </c>
      <c r="I61" s="1" t="s">
        <v>74</v>
      </c>
      <c r="J61" s="1" t="s">
        <v>231</v>
      </c>
      <c r="K61" s="16" t="s">
        <v>232</v>
      </c>
      <c r="L61" s="16" t="s">
        <v>61</v>
      </c>
      <c r="M61" s="16" t="s">
        <v>62</v>
      </c>
      <c r="N61" s="16" t="s">
        <v>209</v>
      </c>
      <c r="O61" s="16" t="s">
        <v>233</v>
      </c>
      <c r="P61" s="16" t="s">
        <v>234</v>
      </c>
      <c r="Q61" s="16" t="s">
        <v>130</v>
      </c>
      <c r="R61" s="16" t="s">
        <v>130</v>
      </c>
      <c r="S61" s="17">
        <v>650000</v>
      </c>
      <c r="T61" s="17">
        <v>3501.2</v>
      </c>
      <c r="U61" s="17">
        <v>344.12</v>
      </c>
      <c r="V61" s="17"/>
      <c r="W61" s="17">
        <v>23</v>
      </c>
      <c r="X61" s="17">
        <v>2600</v>
      </c>
      <c r="Y61" s="17"/>
      <c r="Z61" s="18">
        <f t="shared" si="17"/>
        <v>5.3864615384615379E-3</v>
      </c>
      <c r="AA61" s="19">
        <v>0.15</v>
      </c>
      <c r="AB61" s="17">
        <f t="shared" si="35"/>
        <v>390</v>
      </c>
      <c r="AC61" s="17">
        <v>0</v>
      </c>
      <c r="AD61" s="17">
        <v>0</v>
      </c>
      <c r="AE61" s="17">
        <f t="shared" si="18"/>
        <v>390</v>
      </c>
      <c r="AF61" s="17">
        <f t="shared" si="31"/>
        <v>62.4</v>
      </c>
      <c r="AG61" s="17">
        <f t="shared" si="19"/>
        <v>452.4</v>
      </c>
      <c r="AH61" s="17">
        <f t="shared" si="32"/>
        <v>7.8</v>
      </c>
      <c r="AI61" s="17">
        <v>0</v>
      </c>
      <c r="AJ61" s="17">
        <f t="shared" si="21"/>
        <v>7.8</v>
      </c>
      <c r="AK61" s="20" t="s">
        <v>67</v>
      </c>
      <c r="AL61" s="17">
        <f t="shared" si="22"/>
        <v>382.2</v>
      </c>
      <c r="AM61" s="17"/>
      <c r="AN61" s="21"/>
      <c r="AO61" s="17">
        <f t="shared" si="23"/>
        <v>0</v>
      </c>
      <c r="AP61" s="17"/>
      <c r="AQ61" s="16"/>
      <c r="AR61" s="17">
        <f t="shared" si="36"/>
        <v>0</v>
      </c>
      <c r="AS61" s="17"/>
      <c r="AT61" s="17">
        <v>452.4</v>
      </c>
      <c r="AU61" s="17">
        <f t="shared" si="25"/>
        <v>452.4</v>
      </c>
      <c r="AV61" s="17">
        <f t="shared" si="26"/>
        <v>0</v>
      </c>
      <c r="AW61" s="17" t="str">
        <f t="shared" si="34"/>
        <v>SFA</v>
      </c>
      <c r="AX61" s="22">
        <v>44635</v>
      </c>
      <c r="AY61" s="22"/>
      <c r="AZ61" s="1" t="s">
        <v>68</v>
      </c>
      <c r="BA61" s="22" t="str">
        <f t="shared" si="28"/>
        <v>PVT</v>
      </c>
      <c r="BB61" s="22"/>
      <c r="BC61" s="22"/>
      <c r="BD61" s="22"/>
    </row>
    <row r="62" spans="1:56" ht="14.25" customHeight="1" x14ac:dyDescent="0.2">
      <c r="A62" s="12" t="s">
        <v>56</v>
      </c>
      <c r="B62" s="1" t="s">
        <v>57</v>
      </c>
      <c r="C62" s="13">
        <v>44583</v>
      </c>
      <c r="D62" s="13">
        <v>44585</v>
      </c>
      <c r="E62" s="13">
        <v>44583</v>
      </c>
      <c r="F62" s="13">
        <v>44947</v>
      </c>
      <c r="G62" s="14" t="str">
        <f t="shared" si="16"/>
        <v>000-061/AIB RDC/2022</v>
      </c>
      <c r="H62" s="1">
        <v>0</v>
      </c>
      <c r="I62" s="1" t="s">
        <v>74</v>
      </c>
      <c r="J62" s="1" t="s">
        <v>235</v>
      </c>
      <c r="K62" s="16" t="s">
        <v>232</v>
      </c>
      <c r="L62" s="16" t="s">
        <v>61</v>
      </c>
      <c r="M62" s="16" t="s">
        <v>62</v>
      </c>
      <c r="N62" s="16" t="s">
        <v>209</v>
      </c>
      <c r="O62" s="16" t="s">
        <v>64</v>
      </c>
      <c r="P62" s="16" t="s">
        <v>65</v>
      </c>
      <c r="Q62" s="16" t="s">
        <v>130</v>
      </c>
      <c r="R62" s="16" t="s">
        <v>130</v>
      </c>
      <c r="S62" s="17">
        <v>500000</v>
      </c>
      <c r="T62" s="17">
        <v>1553.47</v>
      </c>
      <c r="U62" s="17">
        <v>0</v>
      </c>
      <c r="V62" s="17"/>
      <c r="W62" s="17">
        <v>16.5</v>
      </c>
      <c r="X62" s="17">
        <v>1300</v>
      </c>
      <c r="Y62" s="17"/>
      <c r="Z62" s="18">
        <f t="shared" si="17"/>
        <v>3.1069399999999999E-3</v>
      </c>
      <c r="AA62" s="19">
        <v>0.15</v>
      </c>
      <c r="AB62" s="17">
        <f t="shared" si="35"/>
        <v>195</v>
      </c>
      <c r="AC62" s="17">
        <v>0</v>
      </c>
      <c r="AD62" s="17">
        <v>0</v>
      </c>
      <c r="AE62" s="17">
        <f t="shared" si="18"/>
        <v>195</v>
      </c>
      <c r="AF62" s="17">
        <f t="shared" si="31"/>
        <v>31.2</v>
      </c>
      <c r="AG62" s="17">
        <f t="shared" si="19"/>
        <v>226.2</v>
      </c>
      <c r="AH62" s="17">
        <f t="shared" si="32"/>
        <v>3.9</v>
      </c>
      <c r="AI62" s="17">
        <v>0</v>
      </c>
      <c r="AJ62" s="17">
        <f t="shared" si="21"/>
        <v>3.9</v>
      </c>
      <c r="AK62" s="20" t="s">
        <v>67</v>
      </c>
      <c r="AL62" s="17">
        <f t="shared" si="22"/>
        <v>191.1</v>
      </c>
      <c r="AM62" s="17"/>
      <c r="AN62" s="21"/>
      <c r="AO62" s="17">
        <f t="shared" si="23"/>
        <v>0</v>
      </c>
      <c r="AP62" s="17"/>
      <c r="AQ62" s="16"/>
      <c r="AR62" s="17">
        <f t="shared" si="36"/>
        <v>0</v>
      </c>
      <c r="AS62" s="17"/>
      <c r="AT62" s="17">
        <v>226.2</v>
      </c>
      <c r="AU62" s="17">
        <f t="shared" si="25"/>
        <v>226.2</v>
      </c>
      <c r="AV62" s="17">
        <f t="shared" si="26"/>
        <v>0</v>
      </c>
      <c r="AW62" s="17" t="str">
        <f t="shared" si="34"/>
        <v>SFA</v>
      </c>
      <c r="AX62" s="22">
        <v>44635</v>
      </c>
      <c r="AY62" s="22"/>
      <c r="AZ62" s="1" t="s">
        <v>68</v>
      </c>
      <c r="BA62" s="22" t="str">
        <f t="shared" si="28"/>
        <v>MARINE CARGO / GIT</v>
      </c>
      <c r="BB62" s="22"/>
      <c r="BC62" s="22"/>
      <c r="BD62" s="22"/>
    </row>
    <row r="63" spans="1:56" ht="14.25" customHeight="1" x14ac:dyDescent="0.2">
      <c r="A63" s="12" t="s">
        <v>56</v>
      </c>
      <c r="B63" s="1" t="s">
        <v>57</v>
      </c>
      <c r="C63" s="13">
        <v>44583</v>
      </c>
      <c r="D63" s="13">
        <v>44586</v>
      </c>
      <c r="E63" s="13">
        <v>44583</v>
      </c>
      <c r="F63" s="13">
        <v>44947</v>
      </c>
      <c r="G63" s="14" t="str">
        <f t="shared" si="16"/>
        <v>000-062/AIB RDC/2022</v>
      </c>
      <c r="H63" s="1">
        <v>0</v>
      </c>
      <c r="I63" s="1" t="s">
        <v>74</v>
      </c>
      <c r="J63" s="1" t="s">
        <v>236</v>
      </c>
      <c r="K63" s="16" t="s">
        <v>232</v>
      </c>
      <c r="L63" s="16" t="s">
        <v>61</v>
      </c>
      <c r="M63" s="16" t="s">
        <v>62</v>
      </c>
      <c r="N63" s="16" t="s">
        <v>209</v>
      </c>
      <c r="O63" s="16" t="s">
        <v>70</v>
      </c>
      <c r="P63" s="16" t="s">
        <v>71</v>
      </c>
      <c r="Q63" s="16" t="s">
        <v>130</v>
      </c>
      <c r="R63" s="16" t="s">
        <v>130</v>
      </c>
      <c r="S63" s="17">
        <v>879000</v>
      </c>
      <c r="T63" s="17">
        <v>1912.38</v>
      </c>
      <c r="U63" s="17">
        <v>0</v>
      </c>
      <c r="V63" s="17"/>
      <c r="W63" s="17">
        <v>20</v>
      </c>
      <c r="X63" s="17">
        <v>1600.66</v>
      </c>
      <c r="Y63" s="17"/>
      <c r="Z63" s="18">
        <f t="shared" si="17"/>
        <v>2.1756313993174063E-3</v>
      </c>
      <c r="AA63" s="19">
        <v>0.1</v>
      </c>
      <c r="AB63" s="17">
        <f t="shared" si="35"/>
        <v>160.06600000000003</v>
      </c>
      <c r="AC63" s="17">
        <v>0</v>
      </c>
      <c r="AD63" s="17">
        <v>0</v>
      </c>
      <c r="AE63" s="17">
        <f t="shared" si="18"/>
        <v>160.06600000000003</v>
      </c>
      <c r="AF63" s="17">
        <f t="shared" si="31"/>
        <v>25.610560000000007</v>
      </c>
      <c r="AG63" s="17">
        <f t="shared" si="19"/>
        <v>185.67656000000005</v>
      </c>
      <c r="AH63" s="17">
        <f t="shared" si="32"/>
        <v>3.2013200000000008</v>
      </c>
      <c r="AI63" s="17">
        <v>0</v>
      </c>
      <c r="AJ63" s="17">
        <f t="shared" si="21"/>
        <v>3.2013200000000008</v>
      </c>
      <c r="AK63" s="20" t="s">
        <v>67</v>
      </c>
      <c r="AL63" s="17">
        <f t="shared" si="22"/>
        <v>156.86468000000002</v>
      </c>
      <c r="AM63" s="17"/>
      <c r="AN63" s="21"/>
      <c r="AO63" s="17">
        <f t="shared" si="23"/>
        <v>0</v>
      </c>
      <c r="AP63" s="17"/>
      <c r="AQ63" s="16"/>
      <c r="AR63" s="17">
        <f t="shared" si="36"/>
        <v>0</v>
      </c>
      <c r="AS63" s="17"/>
      <c r="AT63" s="17">
        <v>185.67656000000005</v>
      </c>
      <c r="AU63" s="17">
        <f t="shared" si="25"/>
        <v>185.67656000000005</v>
      </c>
      <c r="AV63" s="17">
        <f t="shared" si="26"/>
        <v>0</v>
      </c>
      <c r="AW63" s="17" t="str">
        <f t="shared" si="34"/>
        <v>SFA</v>
      </c>
      <c r="AX63" s="22">
        <v>44635</v>
      </c>
      <c r="AY63" s="22"/>
      <c r="AZ63" s="1" t="s">
        <v>68</v>
      </c>
      <c r="BA63" s="22" t="str">
        <f t="shared" si="28"/>
        <v>FIRE</v>
      </c>
      <c r="BB63" s="22"/>
      <c r="BC63" s="22"/>
      <c r="BD63" s="22"/>
    </row>
    <row r="64" spans="1:56" ht="14.25" customHeight="1" x14ac:dyDescent="0.2">
      <c r="A64" s="12" t="s">
        <v>56</v>
      </c>
      <c r="B64" s="1" t="s">
        <v>57</v>
      </c>
      <c r="C64" s="13">
        <v>44583</v>
      </c>
      <c r="D64" s="13">
        <v>44543</v>
      </c>
      <c r="E64" s="13">
        <v>44583</v>
      </c>
      <c r="F64" s="13">
        <v>44605</v>
      </c>
      <c r="G64" s="14" t="str">
        <f t="shared" si="16"/>
        <v>000-063/AIB RDC/2022</v>
      </c>
      <c r="H64" s="1">
        <v>0</v>
      </c>
      <c r="I64" s="1" t="s">
        <v>74</v>
      </c>
      <c r="J64" s="1" t="s">
        <v>237</v>
      </c>
      <c r="K64" s="16" t="s">
        <v>238</v>
      </c>
      <c r="L64" s="16" t="s">
        <v>239</v>
      </c>
      <c r="M64" s="16" t="s">
        <v>84</v>
      </c>
      <c r="N64" s="16" t="s">
        <v>209</v>
      </c>
      <c r="O64" s="16" t="s">
        <v>240</v>
      </c>
      <c r="P64" s="16" t="s">
        <v>98</v>
      </c>
      <c r="Q64" s="16" t="s">
        <v>86</v>
      </c>
      <c r="R64" s="16" t="s">
        <v>86</v>
      </c>
      <c r="S64" s="17"/>
      <c r="T64" s="17">
        <v>36.94</v>
      </c>
      <c r="U64" s="17">
        <v>0</v>
      </c>
      <c r="V64" s="17"/>
      <c r="W64" s="17">
        <v>0.62</v>
      </c>
      <c r="X64" s="17">
        <v>31.22</v>
      </c>
      <c r="Y64" s="17"/>
      <c r="Z64" s="18" t="e">
        <f t="shared" si="17"/>
        <v>#DIV/0!</v>
      </c>
      <c r="AA64" s="19">
        <v>0.2</v>
      </c>
      <c r="AB64" s="17">
        <f t="shared" si="35"/>
        <v>6.2439999999999998</v>
      </c>
      <c r="AC64" s="17">
        <v>0</v>
      </c>
      <c r="AD64" s="17">
        <v>0</v>
      </c>
      <c r="AE64" s="17">
        <f t="shared" si="18"/>
        <v>6.2439999999999998</v>
      </c>
      <c r="AF64" s="17">
        <f t="shared" si="31"/>
        <v>0.99904000000000004</v>
      </c>
      <c r="AG64" s="17">
        <f t="shared" si="19"/>
        <v>7.2430399999999997</v>
      </c>
      <c r="AH64" s="17">
        <f t="shared" si="32"/>
        <v>0.12488</v>
      </c>
      <c r="AI64" s="17">
        <v>0</v>
      </c>
      <c r="AJ64" s="17">
        <f t="shared" si="21"/>
        <v>0.12488</v>
      </c>
      <c r="AK64" s="20" t="s">
        <v>124</v>
      </c>
      <c r="AL64" s="17">
        <f t="shared" si="22"/>
        <v>6.1191199999999997</v>
      </c>
      <c r="AM64" s="17"/>
      <c r="AN64" s="21"/>
      <c r="AO64" s="17">
        <f t="shared" si="23"/>
        <v>0</v>
      </c>
      <c r="AP64" s="17"/>
      <c r="AQ64" s="16"/>
      <c r="AR64" s="17">
        <f t="shared" si="36"/>
        <v>0</v>
      </c>
      <c r="AS64" s="17"/>
      <c r="AT64" s="17">
        <v>7.2430399999999997</v>
      </c>
      <c r="AU64" s="17">
        <f t="shared" si="25"/>
        <v>7.2430399999999997</v>
      </c>
      <c r="AV64" s="17">
        <f t="shared" si="26"/>
        <v>0</v>
      </c>
      <c r="AW64" s="17" t="str">
        <f t="shared" si="34"/>
        <v>SUNU</v>
      </c>
      <c r="AX64" s="22">
        <v>44603</v>
      </c>
      <c r="AY64" s="22"/>
      <c r="AZ64" s="1" t="s">
        <v>110</v>
      </c>
      <c r="BA64" s="22" t="str">
        <f t="shared" si="28"/>
        <v>TRAVEL</v>
      </c>
      <c r="BB64" s="22"/>
      <c r="BC64" s="22"/>
      <c r="BD64" s="22"/>
    </row>
    <row r="65" spans="1:56" ht="14.25" customHeight="1" x14ac:dyDescent="0.2">
      <c r="A65" s="12" t="s">
        <v>56</v>
      </c>
      <c r="B65" s="1" t="s">
        <v>57</v>
      </c>
      <c r="C65" s="13">
        <v>44584</v>
      </c>
      <c r="D65" s="13">
        <v>44543</v>
      </c>
      <c r="E65" s="13">
        <v>44584</v>
      </c>
      <c r="F65" s="13">
        <v>44599</v>
      </c>
      <c r="G65" s="14" t="str">
        <f t="shared" si="16"/>
        <v>000-064/AIB RDC/2022</v>
      </c>
      <c r="H65" s="1">
        <v>0</v>
      </c>
      <c r="I65" s="1" t="s">
        <v>74</v>
      </c>
      <c r="J65" s="1" t="s">
        <v>241</v>
      </c>
      <c r="K65" s="16" t="s">
        <v>242</v>
      </c>
      <c r="L65" s="16" t="s">
        <v>239</v>
      </c>
      <c r="M65" s="16" t="s">
        <v>84</v>
      </c>
      <c r="N65" s="16" t="s">
        <v>209</v>
      </c>
      <c r="O65" s="16" t="s">
        <v>240</v>
      </c>
      <c r="P65" s="16" t="s">
        <v>98</v>
      </c>
      <c r="Q65" s="16" t="s">
        <v>86</v>
      </c>
      <c r="R65" s="16" t="s">
        <v>86</v>
      </c>
      <c r="S65" s="17"/>
      <c r="T65" s="17">
        <v>21.74</v>
      </c>
      <c r="U65" s="17">
        <v>0</v>
      </c>
      <c r="V65" s="17"/>
      <c r="W65" s="17">
        <v>0.37</v>
      </c>
      <c r="X65" s="17">
        <v>18.37</v>
      </c>
      <c r="Y65" s="17"/>
      <c r="Z65" s="18" t="e">
        <f t="shared" si="17"/>
        <v>#DIV/0!</v>
      </c>
      <c r="AA65" s="19">
        <v>0.2</v>
      </c>
      <c r="AB65" s="17">
        <f t="shared" si="35"/>
        <v>3.6740000000000004</v>
      </c>
      <c r="AC65" s="17">
        <v>0</v>
      </c>
      <c r="AD65" s="17">
        <v>0</v>
      </c>
      <c r="AE65" s="17">
        <f t="shared" si="18"/>
        <v>3.6740000000000004</v>
      </c>
      <c r="AF65" s="17">
        <f t="shared" si="31"/>
        <v>0.58784000000000003</v>
      </c>
      <c r="AG65" s="17">
        <f t="shared" si="19"/>
        <v>4.2618400000000003</v>
      </c>
      <c r="AH65" s="17">
        <f t="shared" si="32"/>
        <v>7.3480000000000004E-2</v>
      </c>
      <c r="AI65" s="17">
        <v>0</v>
      </c>
      <c r="AJ65" s="17">
        <f t="shared" si="21"/>
        <v>7.3480000000000004E-2</v>
      </c>
      <c r="AK65" s="20" t="s">
        <v>124</v>
      </c>
      <c r="AL65" s="17">
        <f t="shared" si="22"/>
        <v>3.6005200000000004</v>
      </c>
      <c r="AM65" s="17"/>
      <c r="AN65" s="21"/>
      <c r="AO65" s="17">
        <f t="shared" si="23"/>
        <v>0</v>
      </c>
      <c r="AP65" s="17"/>
      <c r="AQ65" s="16"/>
      <c r="AR65" s="17">
        <f t="shared" si="36"/>
        <v>0</v>
      </c>
      <c r="AS65" s="17"/>
      <c r="AT65" s="17">
        <v>4.2618400000000003</v>
      </c>
      <c r="AU65" s="17">
        <f t="shared" si="25"/>
        <v>4.2618400000000003</v>
      </c>
      <c r="AV65" s="17">
        <f t="shared" si="26"/>
        <v>0</v>
      </c>
      <c r="AW65" s="17" t="str">
        <f t="shared" si="34"/>
        <v>SUNU</v>
      </c>
      <c r="AX65" s="22">
        <v>44603</v>
      </c>
      <c r="AY65" s="22"/>
      <c r="AZ65" s="1" t="s">
        <v>110</v>
      </c>
      <c r="BA65" s="22" t="str">
        <f t="shared" si="28"/>
        <v>TRAVEL</v>
      </c>
      <c r="BB65" s="22"/>
      <c r="BC65" s="22"/>
      <c r="BD65" s="22"/>
    </row>
    <row r="66" spans="1:56" ht="14.25" customHeight="1" x14ac:dyDescent="0.2">
      <c r="A66" s="12" t="s">
        <v>56</v>
      </c>
      <c r="B66" s="1" t="s">
        <v>57</v>
      </c>
      <c r="C66" s="13">
        <v>44585</v>
      </c>
      <c r="D66" s="13">
        <v>44613</v>
      </c>
      <c r="E66" s="13">
        <v>44585</v>
      </c>
      <c r="F66" s="13">
        <v>44674</v>
      </c>
      <c r="G66" s="14" t="str">
        <f t="shared" si="16"/>
        <v>000-065/AIB RDC/2022</v>
      </c>
      <c r="H66" s="1">
        <v>0</v>
      </c>
      <c r="I66" s="1" t="s">
        <v>74</v>
      </c>
      <c r="J66" s="1" t="s">
        <v>243</v>
      </c>
      <c r="K66" s="16" t="s">
        <v>195</v>
      </c>
      <c r="L66" s="16"/>
      <c r="M66" s="16" t="s">
        <v>105</v>
      </c>
      <c r="N66" s="16" t="s">
        <v>209</v>
      </c>
      <c r="O66" s="16" t="s">
        <v>64</v>
      </c>
      <c r="P66" s="16" t="s">
        <v>65</v>
      </c>
      <c r="Q66" s="16" t="s">
        <v>107</v>
      </c>
      <c r="R66" s="16" t="s">
        <v>107</v>
      </c>
      <c r="S66" s="17">
        <v>13068</v>
      </c>
      <c r="T66" s="17">
        <v>129.80000000000001</v>
      </c>
      <c r="U66" s="17">
        <v>0</v>
      </c>
      <c r="V66" s="17"/>
      <c r="W66" s="17">
        <v>10</v>
      </c>
      <c r="X66" s="17">
        <v>100</v>
      </c>
      <c r="Y66" s="17"/>
      <c r="Z66" s="18">
        <f t="shared" si="17"/>
        <v>9.9326599326599336E-3</v>
      </c>
      <c r="AA66" s="19">
        <v>0.15</v>
      </c>
      <c r="AB66" s="17">
        <f t="shared" si="35"/>
        <v>15</v>
      </c>
      <c r="AC66" s="17">
        <v>0</v>
      </c>
      <c r="AD66" s="17">
        <v>0</v>
      </c>
      <c r="AE66" s="17">
        <f t="shared" si="18"/>
        <v>15</v>
      </c>
      <c r="AF66" s="17">
        <f t="shared" si="31"/>
        <v>2.4</v>
      </c>
      <c r="AG66" s="17">
        <f t="shared" si="19"/>
        <v>17.399999999999999</v>
      </c>
      <c r="AH66" s="17">
        <f t="shared" si="32"/>
        <v>0.3</v>
      </c>
      <c r="AI66" s="17">
        <v>0</v>
      </c>
      <c r="AJ66" s="17">
        <f t="shared" si="21"/>
        <v>0.3</v>
      </c>
      <c r="AK66" s="20"/>
      <c r="AL66" s="17">
        <f t="shared" si="22"/>
        <v>14.7</v>
      </c>
      <c r="AM66" s="17" t="s">
        <v>108</v>
      </c>
      <c r="AN66" s="21">
        <v>0.4</v>
      </c>
      <c r="AO66" s="17">
        <f t="shared" si="23"/>
        <v>5.88</v>
      </c>
      <c r="AP66" s="17">
        <v>5.88</v>
      </c>
      <c r="AQ66" s="16">
        <v>44834</v>
      </c>
      <c r="AR66" s="17">
        <f t="shared" si="36"/>
        <v>0</v>
      </c>
      <c r="AS66" s="17" t="s">
        <v>109</v>
      </c>
      <c r="AT66" s="17">
        <v>17.399999999999999</v>
      </c>
      <c r="AU66" s="17">
        <f t="shared" si="25"/>
        <v>17.399999999999999</v>
      </c>
      <c r="AV66" s="17">
        <f t="shared" si="26"/>
        <v>0</v>
      </c>
      <c r="AW66" s="17" t="str">
        <f t="shared" si="34"/>
        <v>RAWSUR</v>
      </c>
      <c r="AX66" s="22">
        <v>44679</v>
      </c>
      <c r="AY66" s="22"/>
      <c r="AZ66" s="1" t="s">
        <v>110</v>
      </c>
      <c r="BA66" s="22" t="str">
        <f t="shared" si="28"/>
        <v>MARINE CARGO / GIT</v>
      </c>
      <c r="BB66" s="22"/>
      <c r="BC66" s="22"/>
      <c r="BD66" s="22"/>
    </row>
    <row r="67" spans="1:56" ht="14.25" customHeight="1" x14ac:dyDescent="0.2">
      <c r="A67" s="12" t="s">
        <v>56</v>
      </c>
      <c r="B67" s="1" t="s">
        <v>57</v>
      </c>
      <c r="C67" s="13">
        <v>44586</v>
      </c>
      <c r="D67" s="13">
        <v>44652</v>
      </c>
      <c r="E67" s="13">
        <v>44586</v>
      </c>
      <c r="F67" s="13">
        <v>44675</v>
      </c>
      <c r="G67" s="14" t="str">
        <f t="shared" si="16"/>
        <v>000-066/AIB RDC/2022</v>
      </c>
      <c r="H67" s="1">
        <v>0</v>
      </c>
      <c r="I67" s="1" t="s">
        <v>74</v>
      </c>
      <c r="J67" s="1" t="s">
        <v>244</v>
      </c>
      <c r="K67" s="16" t="s">
        <v>225</v>
      </c>
      <c r="L67" s="16" t="s">
        <v>123</v>
      </c>
      <c r="M67" s="16" t="s">
        <v>105</v>
      </c>
      <c r="N67" s="16" t="s">
        <v>209</v>
      </c>
      <c r="O67" s="16" t="s">
        <v>64</v>
      </c>
      <c r="P67" s="16" t="s">
        <v>65</v>
      </c>
      <c r="Q67" s="16" t="s">
        <v>107</v>
      </c>
      <c r="R67" s="16" t="s">
        <v>107</v>
      </c>
      <c r="S67" s="17">
        <v>30533</v>
      </c>
      <c r="T67" s="17">
        <v>173.61</v>
      </c>
      <c r="U67" s="17">
        <v>0</v>
      </c>
      <c r="V67" s="17">
        <v>0</v>
      </c>
      <c r="W67" s="17">
        <v>25</v>
      </c>
      <c r="X67" s="17">
        <v>122.13</v>
      </c>
      <c r="Y67" s="17"/>
      <c r="Z67" s="18">
        <f t="shared" si="17"/>
        <v>5.6859791045753777E-3</v>
      </c>
      <c r="AA67" s="19">
        <v>0.15</v>
      </c>
      <c r="AB67" s="17">
        <f t="shared" si="35"/>
        <v>18.319499999999998</v>
      </c>
      <c r="AC67" s="17">
        <v>0</v>
      </c>
      <c r="AD67" s="17">
        <v>0</v>
      </c>
      <c r="AE67" s="17">
        <f t="shared" si="18"/>
        <v>18.319499999999998</v>
      </c>
      <c r="AF67" s="17">
        <f t="shared" si="31"/>
        <v>2.9311199999999995</v>
      </c>
      <c r="AG67" s="17">
        <f t="shared" si="19"/>
        <v>21.250619999999998</v>
      </c>
      <c r="AH67" s="17">
        <f t="shared" si="32"/>
        <v>0.36638999999999994</v>
      </c>
      <c r="AI67" s="17">
        <v>0</v>
      </c>
      <c r="AJ67" s="17">
        <f t="shared" si="21"/>
        <v>0.36638999999999994</v>
      </c>
      <c r="AK67" s="20"/>
      <c r="AL67" s="17">
        <f t="shared" si="22"/>
        <v>17.953109999999999</v>
      </c>
      <c r="AM67" s="17" t="s">
        <v>108</v>
      </c>
      <c r="AN67" s="21">
        <v>0.4</v>
      </c>
      <c r="AO67" s="17">
        <f t="shared" si="23"/>
        <v>7.1812439999999995</v>
      </c>
      <c r="AP67" s="17">
        <v>7.1812439999999995</v>
      </c>
      <c r="AQ67" s="16">
        <v>44834</v>
      </c>
      <c r="AR67" s="17">
        <f t="shared" si="36"/>
        <v>0</v>
      </c>
      <c r="AS67" s="17" t="s">
        <v>109</v>
      </c>
      <c r="AT67" s="17">
        <v>21.250619999999998</v>
      </c>
      <c r="AU67" s="17">
        <f t="shared" si="25"/>
        <v>21.250619999999998</v>
      </c>
      <c r="AV67" s="17">
        <f t="shared" si="26"/>
        <v>0</v>
      </c>
      <c r="AW67" s="17" t="str">
        <f t="shared" si="34"/>
        <v>RAWSUR</v>
      </c>
      <c r="AX67" s="22">
        <v>44701</v>
      </c>
      <c r="AY67" s="22"/>
      <c r="AZ67" s="1" t="s">
        <v>110</v>
      </c>
      <c r="BA67" s="22" t="str">
        <f t="shared" si="28"/>
        <v>MARINE CARGO / GIT</v>
      </c>
      <c r="BB67" s="22"/>
      <c r="BC67" s="22"/>
      <c r="BD67" s="22"/>
    </row>
    <row r="68" spans="1:56" ht="14.25" customHeight="1" x14ac:dyDescent="0.2">
      <c r="A68" s="12" t="s">
        <v>56</v>
      </c>
      <c r="B68" s="1" t="s">
        <v>57</v>
      </c>
      <c r="C68" s="13">
        <v>44587</v>
      </c>
      <c r="D68" s="13">
        <v>44586</v>
      </c>
      <c r="E68" s="13">
        <v>44587</v>
      </c>
      <c r="F68" s="13">
        <v>44951</v>
      </c>
      <c r="G68" s="14" t="str">
        <f t="shared" si="16"/>
        <v>000-067/AIB RDC/2022</v>
      </c>
      <c r="H68" s="1">
        <v>0</v>
      </c>
      <c r="I68" s="1" t="s">
        <v>74</v>
      </c>
      <c r="J68" s="1" t="s">
        <v>245</v>
      </c>
      <c r="K68" s="1" t="s">
        <v>246</v>
      </c>
      <c r="L68" s="16"/>
      <c r="M68" s="16" t="s">
        <v>95</v>
      </c>
      <c r="N68" s="16" t="s">
        <v>209</v>
      </c>
      <c r="O68" s="16" t="s">
        <v>152</v>
      </c>
      <c r="P68" s="16" t="s">
        <v>153</v>
      </c>
      <c r="Q68" s="16" t="s">
        <v>66</v>
      </c>
      <c r="R68" s="16" t="s">
        <v>66</v>
      </c>
      <c r="S68" s="17"/>
      <c r="T68" s="17">
        <v>4118.53</v>
      </c>
      <c r="U68" s="17">
        <v>0</v>
      </c>
      <c r="V68" s="17"/>
      <c r="W68" s="17">
        <v>35.15</v>
      </c>
      <c r="X68" s="17">
        <v>3515.3</v>
      </c>
      <c r="Y68" s="17"/>
      <c r="Z68" s="18" t="e">
        <f t="shared" si="17"/>
        <v>#DIV/0!</v>
      </c>
      <c r="AA68" s="19">
        <v>0.13428195113347691</v>
      </c>
      <c r="AB68" s="17">
        <f t="shared" si="35"/>
        <v>472.04134281951139</v>
      </c>
      <c r="AC68" s="17">
        <v>0</v>
      </c>
      <c r="AD68" s="17">
        <v>0</v>
      </c>
      <c r="AE68" s="17">
        <f t="shared" si="18"/>
        <v>472.04134281951139</v>
      </c>
      <c r="AF68" s="17">
        <f t="shared" si="31"/>
        <v>75.52661485112182</v>
      </c>
      <c r="AG68" s="17">
        <f t="shared" si="19"/>
        <v>547.56795767063318</v>
      </c>
      <c r="AH68" s="17">
        <f t="shared" si="32"/>
        <v>9.4408268563902276</v>
      </c>
      <c r="AI68" s="17">
        <v>0</v>
      </c>
      <c r="AJ68" s="17">
        <f t="shared" si="21"/>
        <v>9.4408268563902276</v>
      </c>
      <c r="AK68" s="20" t="s">
        <v>67</v>
      </c>
      <c r="AL68" s="17">
        <f t="shared" si="22"/>
        <v>462.60051596312115</v>
      </c>
      <c r="AM68" s="17"/>
      <c r="AN68" s="21"/>
      <c r="AO68" s="17">
        <f t="shared" si="23"/>
        <v>0</v>
      </c>
      <c r="AP68" s="17"/>
      <c r="AQ68" s="16"/>
      <c r="AR68" s="17">
        <f t="shared" si="36"/>
        <v>0</v>
      </c>
      <c r="AS68" s="17"/>
      <c r="AT68" s="17">
        <v>547.56795767063318</v>
      </c>
      <c r="AU68" s="17">
        <f t="shared" si="25"/>
        <v>547.56795767063318</v>
      </c>
      <c r="AV68" s="17">
        <f t="shared" si="26"/>
        <v>0</v>
      </c>
      <c r="AW68" s="17" t="str">
        <f t="shared" si="34"/>
        <v>ACTIVA</v>
      </c>
      <c r="AX68" s="22">
        <v>44643</v>
      </c>
      <c r="AY68" s="22"/>
      <c r="AZ68" s="1" t="s">
        <v>68</v>
      </c>
      <c r="BA68" s="22" t="str">
        <f t="shared" si="28"/>
        <v>COMP MOTOR</v>
      </c>
      <c r="BB68" s="22"/>
      <c r="BC68" s="22"/>
      <c r="BD68" s="22"/>
    </row>
    <row r="69" spans="1:56" ht="14.25" customHeight="1" x14ac:dyDescent="0.2">
      <c r="A69" s="12" t="s">
        <v>56</v>
      </c>
      <c r="B69" s="1" t="s">
        <v>57</v>
      </c>
      <c r="C69" s="13">
        <v>44588</v>
      </c>
      <c r="D69" s="13">
        <v>44652</v>
      </c>
      <c r="E69" s="13">
        <v>44587</v>
      </c>
      <c r="F69" s="13">
        <v>44676</v>
      </c>
      <c r="G69" s="14" t="str">
        <f t="shared" si="16"/>
        <v>000-068/AIB RDC/2022</v>
      </c>
      <c r="H69" s="1">
        <v>0</v>
      </c>
      <c r="I69" s="1" t="s">
        <v>74</v>
      </c>
      <c r="J69" s="1" t="s">
        <v>247</v>
      </c>
      <c r="K69" s="16" t="s">
        <v>195</v>
      </c>
      <c r="L69" s="16"/>
      <c r="M69" s="16" t="s">
        <v>105</v>
      </c>
      <c r="N69" s="16" t="s">
        <v>209</v>
      </c>
      <c r="O69" s="16" t="s">
        <v>64</v>
      </c>
      <c r="P69" s="16" t="s">
        <v>65</v>
      </c>
      <c r="Q69" s="16" t="s">
        <v>107</v>
      </c>
      <c r="R69" s="16" t="s">
        <v>107</v>
      </c>
      <c r="S69" s="17">
        <v>47609.521999999997</v>
      </c>
      <c r="T69" s="17">
        <v>236.53</v>
      </c>
      <c r="U69" s="17">
        <v>0</v>
      </c>
      <c r="V69" s="17"/>
      <c r="W69" s="17">
        <v>10</v>
      </c>
      <c r="X69" s="17">
        <v>190.45</v>
      </c>
      <c r="Y69" s="17"/>
      <c r="Z69" s="18">
        <f t="shared" si="17"/>
        <v>4.9681238135514151E-3</v>
      </c>
      <c r="AA69" s="19">
        <v>0.15</v>
      </c>
      <c r="AB69" s="17">
        <f t="shared" si="35"/>
        <v>28.567499999999999</v>
      </c>
      <c r="AC69" s="17">
        <v>0</v>
      </c>
      <c r="AD69" s="17">
        <v>0</v>
      </c>
      <c r="AE69" s="17">
        <f t="shared" si="18"/>
        <v>28.567499999999999</v>
      </c>
      <c r="AF69" s="17">
        <f t="shared" ref="AF69:AF100" si="37">16%*AE69</f>
        <v>4.5708000000000002</v>
      </c>
      <c r="AG69" s="17">
        <f t="shared" si="19"/>
        <v>33.138300000000001</v>
      </c>
      <c r="AH69" s="17">
        <f t="shared" si="32"/>
        <v>0.57135000000000002</v>
      </c>
      <c r="AI69" s="17">
        <v>0</v>
      </c>
      <c r="AJ69" s="17">
        <f t="shared" si="21"/>
        <v>0.57135000000000002</v>
      </c>
      <c r="AK69" s="20"/>
      <c r="AL69" s="17">
        <f t="shared" si="22"/>
        <v>27.99615</v>
      </c>
      <c r="AM69" s="17" t="s">
        <v>108</v>
      </c>
      <c r="AN69" s="21">
        <v>0.4</v>
      </c>
      <c r="AO69" s="17">
        <f t="shared" si="23"/>
        <v>11.198460000000001</v>
      </c>
      <c r="AP69" s="17">
        <v>11.198460000000001</v>
      </c>
      <c r="AQ69" s="16">
        <v>44834</v>
      </c>
      <c r="AR69" s="17">
        <f t="shared" si="36"/>
        <v>0</v>
      </c>
      <c r="AS69" s="17" t="s">
        <v>109</v>
      </c>
      <c r="AT69" s="17">
        <v>33.138300000000001</v>
      </c>
      <c r="AU69" s="17">
        <f t="shared" si="25"/>
        <v>33.138300000000001</v>
      </c>
      <c r="AV69" s="17">
        <f t="shared" si="26"/>
        <v>0</v>
      </c>
      <c r="AW69" s="17" t="str">
        <f t="shared" si="34"/>
        <v>RAWSUR</v>
      </c>
      <c r="AX69" s="22">
        <v>44701</v>
      </c>
      <c r="AY69" s="22"/>
      <c r="AZ69" s="1" t="s">
        <v>110</v>
      </c>
      <c r="BA69" s="22" t="str">
        <f t="shared" si="28"/>
        <v>MARINE CARGO / GIT</v>
      </c>
      <c r="BB69" s="22"/>
      <c r="BC69" s="22"/>
      <c r="BD69" s="22"/>
    </row>
    <row r="70" spans="1:56" ht="14.25" customHeight="1" x14ac:dyDescent="0.2">
      <c r="A70" s="12" t="s">
        <v>56</v>
      </c>
      <c r="B70" s="1" t="s">
        <v>57</v>
      </c>
      <c r="C70" s="13">
        <v>44587</v>
      </c>
      <c r="D70" s="13">
        <v>44586</v>
      </c>
      <c r="E70" s="13">
        <v>44587</v>
      </c>
      <c r="F70" s="13">
        <v>44951</v>
      </c>
      <c r="G70" s="14" t="str">
        <f t="shared" si="16"/>
        <v>000-069/AIB RDC/2022</v>
      </c>
      <c r="H70" s="1">
        <v>0</v>
      </c>
      <c r="I70" s="1" t="s">
        <v>74</v>
      </c>
      <c r="J70" s="1" t="s">
        <v>245</v>
      </c>
      <c r="K70" s="1" t="s">
        <v>246</v>
      </c>
      <c r="L70" s="16"/>
      <c r="M70" s="16" t="s">
        <v>95</v>
      </c>
      <c r="N70" s="16" t="s">
        <v>209</v>
      </c>
      <c r="O70" s="16" t="s">
        <v>152</v>
      </c>
      <c r="P70" s="16" t="s">
        <v>153</v>
      </c>
      <c r="Q70" s="16" t="s">
        <v>66</v>
      </c>
      <c r="R70" s="16" t="s">
        <v>66</v>
      </c>
      <c r="S70" s="17"/>
      <c r="T70" s="17">
        <v>13</v>
      </c>
      <c r="U70" s="17">
        <v>0</v>
      </c>
      <c r="V70" s="17"/>
      <c r="W70" s="17">
        <v>1.21</v>
      </c>
      <c r="X70" s="17">
        <v>10</v>
      </c>
      <c r="Y70" s="17"/>
      <c r="Z70" s="18" t="e">
        <f t="shared" si="17"/>
        <v>#DIV/0!</v>
      </c>
      <c r="AA70" s="19">
        <v>0.15</v>
      </c>
      <c r="AB70" s="17">
        <f t="shared" si="35"/>
        <v>1.5</v>
      </c>
      <c r="AC70" s="17">
        <v>0</v>
      </c>
      <c r="AD70" s="17">
        <v>0</v>
      </c>
      <c r="AE70" s="17">
        <f t="shared" si="18"/>
        <v>1.5</v>
      </c>
      <c r="AF70" s="17">
        <f t="shared" si="37"/>
        <v>0.24</v>
      </c>
      <c r="AG70" s="17">
        <f t="shared" si="19"/>
        <v>1.74</v>
      </c>
      <c r="AH70" s="17">
        <f t="shared" si="32"/>
        <v>0.03</v>
      </c>
      <c r="AI70" s="17">
        <v>0</v>
      </c>
      <c r="AJ70" s="17">
        <f t="shared" si="21"/>
        <v>0.03</v>
      </c>
      <c r="AK70" s="20" t="s">
        <v>67</v>
      </c>
      <c r="AL70" s="17">
        <f t="shared" si="22"/>
        <v>1.47</v>
      </c>
      <c r="AM70" s="17"/>
      <c r="AN70" s="21"/>
      <c r="AO70" s="17">
        <f t="shared" si="23"/>
        <v>0</v>
      </c>
      <c r="AP70" s="17"/>
      <c r="AQ70" s="16"/>
      <c r="AR70" s="17">
        <f t="shared" si="36"/>
        <v>0</v>
      </c>
      <c r="AS70" s="17"/>
      <c r="AT70" s="17">
        <v>1.74</v>
      </c>
      <c r="AU70" s="17">
        <f t="shared" si="25"/>
        <v>1.74</v>
      </c>
      <c r="AV70" s="17">
        <f t="shared" si="26"/>
        <v>0</v>
      </c>
      <c r="AW70" s="17" t="str">
        <f t="shared" si="34"/>
        <v>ACTIVA</v>
      </c>
      <c r="AX70" s="22">
        <v>44643</v>
      </c>
      <c r="AY70" s="22"/>
      <c r="AZ70" s="1" t="s">
        <v>68</v>
      </c>
      <c r="BA70" s="22" t="str">
        <f t="shared" si="28"/>
        <v>COMP MOTOR</v>
      </c>
      <c r="BB70" s="22"/>
      <c r="BC70" s="22"/>
      <c r="BD70" s="22"/>
    </row>
    <row r="71" spans="1:56" ht="14.25" customHeight="1" x14ac:dyDescent="0.2">
      <c r="A71" s="12" t="s">
        <v>56</v>
      </c>
      <c r="B71" s="1" t="s">
        <v>57</v>
      </c>
      <c r="C71" s="13">
        <v>44588</v>
      </c>
      <c r="D71" s="13">
        <v>44588</v>
      </c>
      <c r="E71" s="13">
        <v>44562</v>
      </c>
      <c r="F71" s="13">
        <v>44926</v>
      </c>
      <c r="G71" s="14" t="str">
        <f t="shared" si="16"/>
        <v>000-070/AIB RDC/2022</v>
      </c>
      <c r="H71" s="1">
        <v>0</v>
      </c>
      <c r="I71" s="1" t="s">
        <v>74</v>
      </c>
      <c r="J71" s="16" t="s">
        <v>248</v>
      </c>
      <c r="K71" s="16" t="s">
        <v>82</v>
      </c>
      <c r="L71" s="16" t="s">
        <v>249</v>
      </c>
      <c r="M71" s="16" t="s">
        <v>84</v>
      </c>
      <c r="N71" s="16" t="s">
        <v>209</v>
      </c>
      <c r="O71" s="16" t="s">
        <v>70</v>
      </c>
      <c r="P71" s="16" t="s">
        <v>71</v>
      </c>
      <c r="Q71" s="16" t="s">
        <v>130</v>
      </c>
      <c r="R71" s="16" t="s">
        <v>130</v>
      </c>
      <c r="S71" s="17">
        <v>16660685.380000001</v>
      </c>
      <c r="T71" s="17">
        <v>18249.060000000001</v>
      </c>
      <c r="U71" s="17">
        <v>0</v>
      </c>
      <c r="V71" s="17"/>
      <c r="W71" s="17">
        <v>86.89</v>
      </c>
      <c r="X71" s="17">
        <v>15378.41</v>
      </c>
      <c r="Y71" s="17"/>
      <c r="Z71" s="18">
        <f t="shared" si="17"/>
        <v>1.0953366913648544E-3</v>
      </c>
      <c r="AA71" s="19">
        <v>0.1</v>
      </c>
      <c r="AB71" s="17">
        <f t="shared" si="35"/>
        <v>1537.8410000000001</v>
      </c>
      <c r="AC71" s="17">
        <v>0</v>
      </c>
      <c r="AD71" s="17">
        <v>0</v>
      </c>
      <c r="AE71" s="17">
        <f t="shared" si="18"/>
        <v>1537.8410000000001</v>
      </c>
      <c r="AF71" s="17">
        <f t="shared" si="37"/>
        <v>246.05456000000004</v>
      </c>
      <c r="AG71" s="17">
        <f t="shared" si="19"/>
        <v>1783.8955600000002</v>
      </c>
      <c r="AH71" s="17">
        <f t="shared" si="32"/>
        <v>30.756820000000005</v>
      </c>
      <c r="AI71" s="17">
        <v>0</v>
      </c>
      <c r="AJ71" s="17">
        <f t="shared" si="21"/>
        <v>30.756820000000005</v>
      </c>
      <c r="AK71" s="20" t="s">
        <v>67</v>
      </c>
      <c r="AL71" s="17">
        <f t="shared" si="22"/>
        <v>1507.0841800000001</v>
      </c>
      <c r="AM71" s="17" t="s">
        <v>87</v>
      </c>
      <c r="AN71" s="21">
        <v>0.35</v>
      </c>
      <c r="AO71" s="17">
        <f t="shared" si="23"/>
        <v>527.47946300000001</v>
      </c>
      <c r="AP71" s="17"/>
      <c r="AQ71" s="16"/>
      <c r="AR71" s="17">
        <f t="shared" si="36"/>
        <v>527.47946300000001</v>
      </c>
      <c r="AS71" s="17"/>
      <c r="AT71" s="17">
        <v>1783.8955600000002</v>
      </c>
      <c r="AU71" s="17">
        <f t="shared" si="25"/>
        <v>1783.8955600000002</v>
      </c>
      <c r="AV71" s="17">
        <f t="shared" si="26"/>
        <v>0</v>
      </c>
      <c r="AW71" s="17" t="str">
        <f t="shared" si="34"/>
        <v>SFA</v>
      </c>
      <c r="AX71" s="22">
        <v>44635</v>
      </c>
      <c r="AY71" s="22"/>
      <c r="AZ71" s="1" t="s">
        <v>100</v>
      </c>
      <c r="BA71" s="22" t="str">
        <f t="shared" si="28"/>
        <v>FIRE</v>
      </c>
      <c r="BB71" s="22"/>
      <c r="BC71" s="22"/>
      <c r="BD71" s="22"/>
    </row>
    <row r="72" spans="1:56" ht="14.25" customHeight="1" x14ac:dyDescent="0.2">
      <c r="A72" s="12" t="s">
        <v>56</v>
      </c>
      <c r="B72" s="1" t="s">
        <v>57</v>
      </c>
      <c r="C72" s="13">
        <v>44588</v>
      </c>
      <c r="D72" s="13">
        <v>44588</v>
      </c>
      <c r="E72" s="13">
        <v>44588</v>
      </c>
      <c r="F72" s="13">
        <v>44694</v>
      </c>
      <c r="G72" s="14" t="str">
        <f t="shared" si="16"/>
        <v>000-071/AIB RDC/2022</v>
      </c>
      <c r="H72" s="1">
        <v>5</v>
      </c>
      <c r="I72" s="1" t="s">
        <v>91</v>
      </c>
      <c r="J72" s="1" t="s">
        <v>206</v>
      </c>
      <c r="K72" s="16" t="s">
        <v>207</v>
      </c>
      <c r="L72" s="16" t="s">
        <v>208</v>
      </c>
      <c r="M72" s="16" t="s">
        <v>62</v>
      </c>
      <c r="N72" s="16" t="s">
        <v>209</v>
      </c>
      <c r="O72" s="16" t="s">
        <v>73</v>
      </c>
      <c r="P72" s="16" t="s">
        <v>73</v>
      </c>
      <c r="Q72" s="16" t="s">
        <v>130</v>
      </c>
      <c r="R72" s="16" t="s">
        <v>130</v>
      </c>
      <c r="S72" s="17"/>
      <c r="T72" s="17">
        <v>250.59</v>
      </c>
      <c r="U72" s="17"/>
      <c r="V72" s="17"/>
      <c r="W72" s="17">
        <v>3.14</v>
      </c>
      <c r="X72" s="17">
        <v>209.22</v>
      </c>
      <c r="Y72" s="17">
        <v>33.979999999999997</v>
      </c>
      <c r="Z72" s="18" t="e">
        <f t="shared" si="17"/>
        <v>#DIV/0!</v>
      </c>
      <c r="AA72" s="19">
        <v>0.1</v>
      </c>
      <c r="AB72" s="17">
        <f t="shared" si="35"/>
        <v>20.922000000000001</v>
      </c>
      <c r="AC72" s="17">
        <v>0</v>
      </c>
      <c r="AD72" s="17">
        <v>0</v>
      </c>
      <c r="AE72" s="17">
        <f t="shared" si="18"/>
        <v>20.922000000000001</v>
      </c>
      <c r="AF72" s="17">
        <f t="shared" si="37"/>
        <v>3.3475200000000003</v>
      </c>
      <c r="AG72" s="17">
        <f t="shared" si="19"/>
        <v>24.26952</v>
      </c>
      <c r="AH72" s="17">
        <f t="shared" si="32"/>
        <v>0.41844000000000003</v>
      </c>
      <c r="AI72" s="17">
        <v>0</v>
      </c>
      <c r="AJ72" s="17">
        <f t="shared" si="21"/>
        <v>0.41844000000000003</v>
      </c>
      <c r="AK72" s="20" t="s">
        <v>67</v>
      </c>
      <c r="AL72" s="17">
        <f t="shared" si="22"/>
        <v>20.50356</v>
      </c>
      <c r="AM72" s="17"/>
      <c r="AN72" s="21"/>
      <c r="AO72" s="17">
        <f t="shared" si="23"/>
        <v>0</v>
      </c>
      <c r="AP72" s="17"/>
      <c r="AQ72" s="16"/>
      <c r="AR72" s="17">
        <f t="shared" si="36"/>
        <v>0</v>
      </c>
      <c r="AS72" s="17"/>
      <c r="AT72" s="17">
        <v>24.26952</v>
      </c>
      <c r="AU72" s="17">
        <f t="shared" si="25"/>
        <v>24.26952</v>
      </c>
      <c r="AV72" s="17">
        <f t="shared" si="26"/>
        <v>0</v>
      </c>
      <c r="AW72" s="17" t="str">
        <f t="shared" si="34"/>
        <v>SFA</v>
      </c>
      <c r="AX72" s="22">
        <v>44635</v>
      </c>
      <c r="AY72" s="22"/>
      <c r="AZ72" s="1" t="s">
        <v>145</v>
      </c>
      <c r="BA72" s="22" t="str">
        <f t="shared" si="28"/>
        <v>MOTOR TPL</v>
      </c>
      <c r="BB72" s="22"/>
      <c r="BC72" s="1" t="s">
        <v>79</v>
      </c>
      <c r="BD72" s="1"/>
    </row>
    <row r="73" spans="1:56" ht="14.25" customHeight="1" x14ac:dyDescent="0.2">
      <c r="A73" s="12" t="s">
        <v>56</v>
      </c>
      <c r="B73" s="1" t="s">
        <v>57</v>
      </c>
      <c r="C73" s="13">
        <v>44588</v>
      </c>
      <c r="D73" s="13">
        <v>44613</v>
      </c>
      <c r="E73" s="13">
        <v>44588</v>
      </c>
      <c r="F73" s="13">
        <v>44618</v>
      </c>
      <c r="G73" s="14" t="str">
        <f t="shared" si="16"/>
        <v>000-072/AIB RDC/2022</v>
      </c>
      <c r="H73" s="1">
        <v>0</v>
      </c>
      <c r="I73" s="1" t="s">
        <v>74</v>
      </c>
      <c r="J73" s="31" t="s">
        <v>250</v>
      </c>
      <c r="K73" s="16" t="s">
        <v>251</v>
      </c>
      <c r="L73" s="16"/>
      <c r="M73" s="16" t="s">
        <v>105</v>
      </c>
      <c r="N73" s="1" t="s">
        <v>106</v>
      </c>
      <c r="O73" s="16" t="s">
        <v>64</v>
      </c>
      <c r="P73" s="16" t="s">
        <v>65</v>
      </c>
      <c r="Q73" s="1" t="s">
        <v>107</v>
      </c>
      <c r="R73" s="16" t="s">
        <v>107</v>
      </c>
      <c r="S73" s="17">
        <v>693</v>
      </c>
      <c r="T73" s="17">
        <v>70.8</v>
      </c>
      <c r="U73" s="17">
        <v>0</v>
      </c>
      <c r="V73" s="17"/>
      <c r="W73" s="17">
        <v>10</v>
      </c>
      <c r="X73" s="17">
        <v>50</v>
      </c>
      <c r="Y73" s="17"/>
      <c r="Z73" s="18">
        <f t="shared" si="17"/>
        <v>0.10216450216450217</v>
      </c>
      <c r="AA73" s="19">
        <v>0.15</v>
      </c>
      <c r="AB73" s="17">
        <f t="shared" si="35"/>
        <v>7.5</v>
      </c>
      <c r="AC73" s="17">
        <v>0</v>
      </c>
      <c r="AD73" s="17">
        <v>0</v>
      </c>
      <c r="AE73" s="17">
        <f t="shared" si="18"/>
        <v>7.5</v>
      </c>
      <c r="AF73" s="17">
        <f t="shared" si="37"/>
        <v>1.2</v>
      </c>
      <c r="AG73" s="17">
        <f t="shared" si="19"/>
        <v>8.6999999999999993</v>
      </c>
      <c r="AH73" s="17">
        <f t="shared" si="32"/>
        <v>0.15</v>
      </c>
      <c r="AI73" s="17">
        <v>0</v>
      </c>
      <c r="AJ73" s="17">
        <f t="shared" si="21"/>
        <v>0.15</v>
      </c>
      <c r="AK73" s="20"/>
      <c r="AL73" s="17">
        <f t="shared" si="22"/>
        <v>7.35</v>
      </c>
      <c r="AM73" s="17" t="s">
        <v>108</v>
      </c>
      <c r="AN73" s="21">
        <v>0.4</v>
      </c>
      <c r="AO73" s="17">
        <f t="shared" si="23"/>
        <v>2.94</v>
      </c>
      <c r="AP73" s="17">
        <v>2.94</v>
      </c>
      <c r="AQ73" s="16">
        <v>44834</v>
      </c>
      <c r="AR73" s="17">
        <f t="shared" si="36"/>
        <v>0</v>
      </c>
      <c r="AS73" s="17" t="s">
        <v>109</v>
      </c>
      <c r="AT73" s="17">
        <v>8.6999999999999993</v>
      </c>
      <c r="AU73" s="17">
        <f t="shared" si="25"/>
        <v>8.6999999999999993</v>
      </c>
      <c r="AV73" s="17">
        <f t="shared" si="26"/>
        <v>0</v>
      </c>
      <c r="AW73" s="17" t="str">
        <f t="shared" si="34"/>
        <v>RAWSUR</v>
      </c>
      <c r="AX73" s="22">
        <v>44679</v>
      </c>
      <c r="AY73" s="22"/>
      <c r="AZ73" s="1" t="s">
        <v>110</v>
      </c>
      <c r="BA73" s="22" t="str">
        <f t="shared" si="28"/>
        <v>MARINE CARGO / GIT</v>
      </c>
      <c r="BB73" s="22"/>
      <c r="BC73" s="22"/>
      <c r="BD73" s="22"/>
    </row>
    <row r="74" spans="1:56" ht="14.25" customHeight="1" x14ac:dyDescent="0.2">
      <c r="A74" s="12" t="s">
        <v>56</v>
      </c>
      <c r="B74" s="1" t="s">
        <v>57</v>
      </c>
      <c r="C74" s="13">
        <v>44589</v>
      </c>
      <c r="D74" s="13">
        <v>44718</v>
      </c>
      <c r="E74" s="13">
        <v>44589</v>
      </c>
      <c r="F74" s="13">
        <v>44953</v>
      </c>
      <c r="G74" s="14" t="str">
        <f t="shared" si="16"/>
        <v>000-073/AIB RDC/2022</v>
      </c>
      <c r="H74" s="1">
        <v>1</v>
      </c>
      <c r="I74" s="1" t="s">
        <v>58</v>
      </c>
      <c r="J74" s="1" t="s">
        <v>252</v>
      </c>
      <c r="K74" s="16" t="s">
        <v>253</v>
      </c>
      <c r="L74" s="16" t="s">
        <v>128</v>
      </c>
      <c r="M74" s="16" t="s">
        <v>62</v>
      </c>
      <c r="N74" s="16" t="s">
        <v>209</v>
      </c>
      <c r="O74" s="16" t="s">
        <v>152</v>
      </c>
      <c r="P74" s="16" t="s">
        <v>153</v>
      </c>
      <c r="Q74" s="16" t="s">
        <v>66</v>
      </c>
      <c r="R74" s="16" t="s">
        <v>66</v>
      </c>
      <c r="S74" s="17">
        <v>840282.12</v>
      </c>
      <c r="T74" s="17">
        <v>33830.51</v>
      </c>
      <c r="U74" s="17">
        <v>0</v>
      </c>
      <c r="V74" s="17"/>
      <c r="W74" s="17">
        <v>288.75</v>
      </c>
      <c r="X74" s="17">
        <v>28875.48</v>
      </c>
      <c r="Y74" s="17">
        <v>4666.28</v>
      </c>
      <c r="Z74" s="18">
        <f t="shared" si="17"/>
        <v>4.0260894757584514E-2</v>
      </c>
      <c r="AA74" s="19">
        <v>0.14362982017961259</v>
      </c>
      <c r="AB74" s="17">
        <f t="shared" si="35"/>
        <v>4147.38</v>
      </c>
      <c r="AC74" s="17">
        <v>0</v>
      </c>
      <c r="AD74" s="17">
        <v>0</v>
      </c>
      <c r="AE74" s="17">
        <f t="shared" si="18"/>
        <v>4147.38</v>
      </c>
      <c r="AF74" s="17">
        <f t="shared" si="37"/>
        <v>663.58080000000007</v>
      </c>
      <c r="AG74" s="17">
        <f t="shared" si="19"/>
        <v>4810.9607999999998</v>
      </c>
      <c r="AH74" s="17">
        <f t="shared" si="32"/>
        <v>82.947600000000008</v>
      </c>
      <c r="AI74" s="17">
        <v>0</v>
      </c>
      <c r="AJ74" s="17">
        <f t="shared" si="21"/>
        <v>82.947600000000008</v>
      </c>
      <c r="AK74" s="20" t="s">
        <v>142</v>
      </c>
      <c r="AL74" s="17">
        <f t="shared" si="22"/>
        <v>4064.4324000000001</v>
      </c>
      <c r="AM74" s="17"/>
      <c r="AN74" s="21"/>
      <c r="AO74" s="17">
        <f t="shared" si="23"/>
        <v>0</v>
      </c>
      <c r="AP74" s="17"/>
      <c r="AQ74" s="16"/>
      <c r="AR74" s="17">
        <f t="shared" si="36"/>
        <v>0</v>
      </c>
      <c r="AS74" s="17"/>
      <c r="AT74" s="17">
        <v>4810.9607999999998</v>
      </c>
      <c r="AU74" s="17">
        <f t="shared" si="25"/>
        <v>4810.9607999999998</v>
      </c>
      <c r="AV74" s="17">
        <f t="shared" si="26"/>
        <v>0</v>
      </c>
      <c r="AW74" s="17" t="str">
        <f t="shared" si="34"/>
        <v>ACTIVA</v>
      </c>
      <c r="AX74" s="22">
        <v>44650</v>
      </c>
      <c r="AY74" s="22"/>
      <c r="AZ74" s="1" t="s">
        <v>68</v>
      </c>
      <c r="BA74" s="22" t="str">
        <f t="shared" si="28"/>
        <v>COMP MOTOR</v>
      </c>
      <c r="BB74" s="22"/>
      <c r="BC74" s="22"/>
      <c r="BD74" s="22"/>
    </row>
    <row r="75" spans="1:56" ht="14.25" customHeight="1" x14ac:dyDescent="0.2">
      <c r="A75" s="12" t="s">
        <v>56</v>
      </c>
      <c r="B75" s="1" t="s">
        <v>57</v>
      </c>
      <c r="C75" s="13">
        <v>44589</v>
      </c>
      <c r="D75" s="13">
        <v>44413</v>
      </c>
      <c r="E75" s="13">
        <v>44589</v>
      </c>
      <c r="F75" s="13">
        <v>44681</v>
      </c>
      <c r="G75" s="14" t="str">
        <f t="shared" si="16"/>
        <v>000-074/AIB RDC/2022</v>
      </c>
      <c r="H75" s="1">
        <v>2</v>
      </c>
      <c r="I75" s="1" t="s">
        <v>217</v>
      </c>
      <c r="J75" s="1" t="s">
        <v>254</v>
      </c>
      <c r="K75" s="16" t="s">
        <v>255</v>
      </c>
      <c r="L75" s="1" t="s">
        <v>256</v>
      </c>
      <c r="M75" s="16" t="s">
        <v>62</v>
      </c>
      <c r="N75" s="16" t="s">
        <v>209</v>
      </c>
      <c r="O75" s="16" t="s">
        <v>73</v>
      </c>
      <c r="P75" s="16" t="s">
        <v>73</v>
      </c>
      <c r="Q75" s="16" t="s">
        <v>86</v>
      </c>
      <c r="R75" s="16" t="s">
        <v>86</v>
      </c>
      <c r="S75" s="17"/>
      <c r="T75" s="17">
        <v>4323.24</v>
      </c>
      <c r="U75" s="17">
        <v>0</v>
      </c>
      <c r="V75" s="17">
        <v>0</v>
      </c>
      <c r="W75" s="17">
        <v>36.9</v>
      </c>
      <c r="X75" s="17">
        <v>3690.03</v>
      </c>
      <c r="Y75" s="17"/>
      <c r="Z75" s="18" t="e">
        <f t="shared" si="17"/>
        <v>#DIV/0!</v>
      </c>
      <c r="AA75" s="19">
        <v>0.1</v>
      </c>
      <c r="AB75" s="17">
        <f t="shared" si="35"/>
        <v>369.00300000000004</v>
      </c>
      <c r="AC75" s="17">
        <v>0</v>
      </c>
      <c r="AD75" s="17">
        <v>0</v>
      </c>
      <c r="AE75" s="17">
        <f t="shared" si="18"/>
        <v>369.00300000000004</v>
      </c>
      <c r="AF75" s="17">
        <f t="shared" si="37"/>
        <v>59.040480000000009</v>
      </c>
      <c r="AG75" s="17">
        <f t="shared" si="19"/>
        <v>428.04348000000005</v>
      </c>
      <c r="AH75" s="17">
        <f t="shared" si="32"/>
        <v>7.3800600000000012</v>
      </c>
      <c r="AI75" s="17">
        <v>0</v>
      </c>
      <c r="AJ75" s="17">
        <f t="shared" si="21"/>
        <v>7.3800600000000012</v>
      </c>
      <c r="AK75" s="20" t="s">
        <v>257</v>
      </c>
      <c r="AL75" s="17">
        <f t="shared" si="22"/>
        <v>361.62294000000003</v>
      </c>
      <c r="AM75" s="17" t="s">
        <v>87</v>
      </c>
      <c r="AN75" s="21">
        <v>0.35</v>
      </c>
      <c r="AO75" s="17">
        <f t="shared" si="23"/>
        <v>126.568029</v>
      </c>
      <c r="AP75" s="17">
        <v>126.568029</v>
      </c>
      <c r="AQ75" s="16">
        <v>45070</v>
      </c>
      <c r="AR75" s="17">
        <f t="shared" si="36"/>
        <v>0</v>
      </c>
      <c r="AS75" s="17"/>
      <c r="AT75" s="17">
        <v>428.04348000000005</v>
      </c>
      <c r="AU75" s="17">
        <f t="shared" si="25"/>
        <v>428.04348000000005</v>
      </c>
      <c r="AV75" s="17">
        <f t="shared" si="26"/>
        <v>0</v>
      </c>
      <c r="AW75" s="17" t="str">
        <f t="shared" si="34"/>
        <v>SUNU</v>
      </c>
      <c r="AX75" s="22">
        <v>44539</v>
      </c>
      <c r="AY75" s="22"/>
      <c r="AZ75" s="1" t="s">
        <v>68</v>
      </c>
      <c r="BA75" s="22" t="str">
        <f t="shared" si="28"/>
        <v>MOTOR TPL</v>
      </c>
      <c r="BB75" s="1" t="s">
        <v>258</v>
      </c>
      <c r="BC75" s="1" t="s">
        <v>86</v>
      </c>
      <c r="BD75" s="32" t="s">
        <v>259</v>
      </c>
    </row>
    <row r="76" spans="1:56" ht="14.25" customHeight="1" x14ac:dyDescent="0.2">
      <c r="A76" s="12" t="s">
        <v>56</v>
      </c>
      <c r="B76" s="1" t="s">
        <v>57</v>
      </c>
      <c r="C76" s="13">
        <v>44589</v>
      </c>
      <c r="D76" s="13">
        <v>44673</v>
      </c>
      <c r="E76" s="13">
        <v>44589</v>
      </c>
      <c r="F76" s="13">
        <v>44926</v>
      </c>
      <c r="G76" s="14" t="str">
        <f t="shared" ref="G76:G139" si="38">TEXT(ROW(G76)-1,"000-000") &amp; "/AIB RDC/2022"</f>
        <v>000-075/AIB RDC/2022</v>
      </c>
      <c r="H76" s="1">
        <v>1</v>
      </c>
      <c r="I76" s="1" t="s">
        <v>91</v>
      </c>
      <c r="J76" s="1" t="s">
        <v>148</v>
      </c>
      <c r="K76" s="1" t="s">
        <v>141</v>
      </c>
      <c r="L76" s="16" t="s">
        <v>123</v>
      </c>
      <c r="M76" s="16" t="s">
        <v>84</v>
      </c>
      <c r="N76" s="16" t="s">
        <v>84</v>
      </c>
      <c r="O76" s="16" t="s">
        <v>70</v>
      </c>
      <c r="P76" s="16" t="s">
        <v>71</v>
      </c>
      <c r="Q76" s="16" t="s">
        <v>130</v>
      </c>
      <c r="R76" s="16" t="s">
        <v>130</v>
      </c>
      <c r="S76" s="17">
        <v>1490000</v>
      </c>
      <c r="T76" s="17">
        <v>2401.31</v>
      </c>
      <c r="U76" s="17">
        <v>302.25</v>
      </c>
      <c r="V76" s="17">
        <v>0</v>
      </c>
      <c r="W76" s="17">
        <v>20</v>
      </c>
      <c r="X76" s="17">
        <v>1712.76</v>
      </c>
      <c r="Y76" s="17"/>
      <c r="Z76" s="18">
        <f t="shared" ref="Z76:Z139" si="39">T76/S76</f>
        <v>1.6116174496644295E-3</v>
      </c>
      <c r="AA76" s="19">
        <v>0.1</v>
      </c>
      <c r="AB76" s="17">
        <f t="shared" si="35"/>
        <v>171.27600000000001</v>
      </c>
      <c r="AC76" s="17">
        <v>0</v>
      </c>
      <c r="AD76" s="17">
        <v>0</v>
      </c>
      <c r="AE76" s="17">
        <f t="shared" ref="AE76:AE139" si="40">SUM(AB76:AD76)</f>
        <v>171.27600000000001</v>
      </c>
      <c r="AF76" s="17">
        <f t="shared" si="37"/>
        <v>27.404160000000001</v>
      </c>
      <c r="AG76" s="17">
        <f t="shared" ref="AG76:AG139" si="41">AF76+AE76</f>
        <v>198.68016</v>
      </c>
      <c r="AH76" s="17">
        <f t="shared" si="32"/>
        <v>3.4255200000000001</v>
      </c>
      <c r="AI76" s="17">
        <v>0</v>
      </c>
      <c r="AJ76" s="17">
        <f t="shared" ref="AJ76:AJ139" si="42">AH76-AI76</f>
        <v>3.4255200000000001</v>
      </c>
      <c r="AK76" s="20"/>
      <c r="AL76" s="17">
        <f t="shared" ref="AL76:AL139" si="43">AE76-AH76</f>
        <v>167.85048</v>
      </c>
      <c r="AM76" s="17" t="s">
        <v>87</v>
      </c>
      <c r="AN76" s="21">
        <v>0.35</v>
      </c>
      <c r="AO76" s="17">
        <f t="shared" ref="AO76:AO139" si="44">AL76*AN76</f>
        <v>58.747667999999997</v>
      </c>
      <c r="AP76" s="17"/>
      <c r="AQ76" s="16"/>
      <c r="AR76" s="17">
        <f t="shared" si="36"/>
        <v>58.747667999999997</v>
      </c>
      <c r="AS76" s="17"/>
      <c r="AT76" s="17">
        <v>198.68016</v>
      </c>
      <c r="AU76" s="17">
        <f t="shared" ref="AU76:AU139" si="45">AG76</f>
        <v>198.68016</v>
      </c>
      <c r="AV76" s="17">
        <f t="shared" ref="AV76:AV139" si="46">AU76-AT76</f>
        <v>0</v>
      </c>
      <c r="AW76" s="17" t="str">
        <f t="shared" ref="AW76:AW87" si="47">Q76</f>
        <v>SFA</v>
      </c>
      <c r="AX76" s="22">
        <v>44699</v>
      </c>
      <c r="AY76" s="22"/>
      <c r="AZ76" s="1" t="s">
        <v>100</v>
      </c>
      <c r="BA76" s="22" t="str">
        <f t="shared" ref="BA76:BA139" si="48">O76</f>
        <v>FIRE</v>
      </c>
      <c r="BB76" s="22"/>
      <c r="BC76" s="22"/>
      <c r="BD76" s="22"/>
    </row>
    <row r="77" spans="1:56" ht="14.25" customHeight="1" x14ac:dyDescent="0.2">
      <c r="A77" s="12" t="s">
        <v>56</v>
      </c>
      <c r="B77" s="1" t="s">
        <v>57</v>
      </c>
      <c r="C77" s="13">
        <v>44592</v>
      </c>
      <c r="D77" s="13">
        <v>44652</v>
      </c>
      <c r="E77" s="13">
        <v>44592</v>
      </c>
      <c r="F77" s="13">
        <v>44650</v>
      </c>
      <c r="G77" s="14" t="str">
        <f t="shared" si="38"/>
        <v>000-076/AIB RDC/2022</v>
      </c>
      <c r="H77" s="1">
        <v>0</v>
      </c>
      <c r="I77" s="1" t="s">
        <v>74</v>
      </c>
      <c r="J77" s="1" t="s">
        <v>260</v>
      </c>
      <c r="K77" s="16" t="s">
        <v>261</v>
      </c>
      <c r="L77" s="16"/>
      <c r="M77" s="16" t="s">
        <v>105</v>
      </c>
      <c r="N77" s="1" t="s">
        <v>106</v>
      </c>
      <c r="O77" s="16" t="s">
        <v>64</v>
      </c>
      <c r="P77" s="16" t="s">
        <v>65</v>
      </c>
      <c r="Q77" s="16" t="s">
        <v>107</v>
      </c>
      <c r="R77" s="16" t="s">
        <v>107</v>
      </c>
      <c r="S77" s="17">
        <v>2275</v>
      </c>
      <c r="T77" s="17">
        <v>129.80000000000001</v>
      </c>
      <c r="U77" s="17">
        <v>0</v>
      </c>
      <c r="V77" s="17"/>
      <c r="W77" s="17">
        <v>25</v>
      </c>
      <c r="X77" s="17">
        <v>100</v>
      </c>
      <c r="Y77" s="17"/>
      <c r="Z77" s="18">
        <f t="shared" si="39"/>
        <v>5.7054945054945058E-2</v>
      </c>
      <c r="AA77" s="19">
        <v>0.15</v>
      </c>
      <c r="AB77" s="17">
        <f t="shared" si="35"/>
        <v>15</v>
      </c>
      <c r="AC77" s="17">
        <v>0</v>
      </c>
      <c r="AD77" s="17">
        <v>0</v>
      </c>
      <c r="AE77" s="17">
        <f t="shared" si="40"/>
        <v>15</v>
      </c>
      <c r="AF77" s="17">
        <f t="shared" si="37"/>
        <v>2.4</v>
      </c>
      <c r="AG77" s="17">
        <f t="shared" si="41"/>
        <v>17.399999999999999</v>
      </c>
      <c r="AH77" s="17">
        <f t="shared" si="32"/>
        <v>0.3</v>
      </c>
      <c r="AI77" s="17">
        <v>0</v>
      </c>
      <c r="AJ77" s="17">
        <f t="shared" si="42"/>
        <v>0.3</v>
      </c>
      <c r="AK77" s="20"/>
      <c r="AL77" s="17">
        <f t="shared" si="43"/>
        <v>14.7</v>
      </c>
      <c r="AM77" s="17" t="s">
        <v>108</v>
      </c>
      <c r="AN77" s="21">
        <v>0.4</v>
      </c>
      <c r="AO77" s="17">
        <f t="shared" si="44"/>
        <v>5.88</v>
      </c>
      <c r="AP77" s="17">
        <v>5.88</v>
      </c>
      <c r="AQ77" s="16">
        <v>44834</v>
      </c>
      <c r="AR77" s="17">
        <f t="shared" si="36"/>
        <v>0</v>
      </c>
      <c r="AS77" s="17" t="s">
        <v>109</v>
      </c>
      <c r="AT77" s="17">
        <v>17.399999999999999</v>
      </c>
      <c r="AU77" s="17">
        <f t="shared" si="45"/>
        <v>17.399999999999999</v>
      </c>
      <c r="AV77" s="17">
        <f t="shared" si="46"/>
        <v>0</v>
      </c>
      <c r="AW77" s="17" t="str">
        <f t="shared" si="47"/>
        <v>RAWSUR</v>
      </c>
      <c r="AX77" s="22">
        <v>44701</v>
      </c>
      <c r="AY77" s="22"/>
      <c r="AZ77" s="1" t="s">
        <v>110</v>
      </c>
      <c r="BA77" s="22" t="str">
        <f t="shared" si="48"/>
        <v>MARINE CARGO / GIT</v>
      </c>
      <c r="BB77" s="22"/>
      <c r="BC77" s="22"/>
      <c r="BD77" s="22"/>
    </row>
    <row r="78" spans="1:56" ht="14.25" customHeight="1" x14ac:dyDescent="0.2">
      <c r="A78" s="12" t="s">
        <v>56</v>
      </c>
      <c r="B78" s="1" t="s">
        <v>57</v>
      </c>
      <c r="C78" s="13">
        <v>44592</v>
      </c>
      <c r="D78" s="13">
        <v>44588</v>
      </c>
      <c r="E78" s="13">
        <v>44592</v>
      </c>
      <c r="F78" s="13">
        <v>44619</v>
      </c>
      <c r="G78" s="14" t="str">
        <f t="shared" si="38"/>
        <v>000-077/AIB RDC/2022</v>
      </c>
      <c r="H78" s="1">
        <v>0</v>
      </c>
      <c r="I78" s="1" t="s">
        <v>74</v>
      </c>
      <c r="J78" s="1" t="s">
        <v>262</v>
      </c>
      <c r="K78" s="1" t="s">
        <v>263</v>
      </c>
      <c r="L78" s="16"/>
      <c r="M78" s="16" t="s">
        <v>105</v>
      </c>
      <c r="N78" s="1" t="s">
        <v>106</v>
      </c>
      <c r="O78" s="16" t="s">
        <v>64</v>
      </c>
      <c r="P78" s="16" t="s">
        <v>65</v>
      </c>
      <c r="Q78" s="16" t="s">
        <v>107</v>
      </c>
      <c r="R78" s="16" t="s">
        <v>107</v>
      </c>
      <c r="S78" s="17">
        <v>50313.4</v>
      </c>
      <c r="T78" s="17">
        <v>266.98</v>
      </c>
      <c r="U78" s="17">
        <v>0</v>
      </c>
      <c r="V78" s="17"/>
      <c r="W78" s="17">
        <v>25</v>
      </c>
      <c r="X78" s="17">
        <v>201.25</v>
      </c>
      <c r="Y78" s="17">
        <v>36.200000000000003</v>
      </c>
      <c r="Z78" s="18">
        <f t="shared" si="39"/>
        <v>5.3063398617465727E-3</v>
      </c>
      <c r="AA78" s="19">
        <v>0.15</v>
      </c>
      <c r="AB78" s="17">
        <f t="shared" si="35"/>
        <v>30.1875</v>
      </c>
      <c r="AC78" s="17">
        <v>0</v>
      </c>
      <c r="AD78" s="17">
        <v>0</v>
      </c>
      <c r="AE78" s="17">
        <f t="shared" si="40"/>
        <v>30.1875</v>
      </c>
      <c r="AF78" s="17">
        <f t="shared" si="37"/>
        <v>4.83</v>
      </c>
      <c r="AG78" s="17">
        <f t="shared" si="41"/>
        <v>35.017499999999998</v>
      </c>
      <c r="AH78" s="17">
        <f t="shared" si="32"/>
        <v>0.60375000000000001</v>
      </c>
      <c r="AI78" s="17">
        <v>0</v>
      </c>
      <c r="AJ78" s="17">
        <f t="shared" si="42"/>
        <v>0.60375000000000001</v>
      </c>
      <c r="AK78" s="20" t="s">
        <v>67</v>
      </c>
      <c r="AL78" s="17">
        <f t="shared" si="43"/>
        <v>29.583749999999998</v>
      </c>
      <c r="AM78" s="17" t="s">
        <v>108</v>
      </c>
      <c r="AN78" s="21">
        <v>0.4</v>
      </c>
      <c r="AO78" s="17">
        <f t="shared" si="44"/>
        <v>11.833500000000001</v>
      </c>
      <c r="AP78" s="17">
        <v>11.833500000000001</v>
      </c>
      <c r="AQ78" s="16">
        <v>44834</v>
      </c>
      <c r="AR78" s="17">
        <f t="shared" si="36"/>
        <v>0</v>
      </c>
      <c r="AS78" s="17" t="s">
        <v>109</v>
      </c>
      <c r="AT78" s="17">
        <v>35.017499999999998</v>
      </c>
      <c r="AU78" s="17">
        <f t="shared" si="45"/>
        <v>35.017499999999998</v>
      </c>
      <c r="AV78" s="17">
        <f t="shared" si="46"/>
        <v>0</v>
      </c>
      <c r="AW78" s="17" t="str">
        <f t="shared" si="47"/>
        <v>RAWSUR</v>
      </c>
      <c r="AX78" s="22">
        <v>44635</v>
      </c>
      <c r="AY78" s="22"/>
      <c r="AZ78" s="1" t="s">
        <v>110</v>
      </c>
      <c r="BA78" s="22" t="str">
        <f t="shared" si="48"/>
        <v>MARINE CARGO / GIT</v>
      </c>
      <c r="BB78" s="22"/>
      <c r="BC78" s="22"/>
      <c r="BD78" s="22"/>
    </row>
    <row r="79" spans="1:56" ht="14.25" customHeight="1" x14ac:dyDescent="0.2">
      <c r="A79" s="12" t="s">
        <v>56</v>
      </c>
      <c r="B79" s="1" t="s">
        <v>57</v>
      </c>
      <c r="C79" s="13">
        <v>44592</v>
      </c>
      <c r="D79" s="13">
        <v>44589</v>
      </c>
      <c r="E79" s="13">
        <v>44592</v>
      </c>
      <c r="F79" s="13">
        <v>44619</v>
      </c>
      <c r="G79" s="14" t="str">
        <f t="shared" si="38"/>
        <v>000-078/AIB RDC/2022</v>
      </c>
      <c r="H79" s="1">
        <v>0</v>
      </c>
      <c r="I79" s="1" t="s">
        <v>74</v>
      </c>
      <c r="J79" s="1" t="s">
        <v>264</v>
      </c>
      <c r="K79" s="1" t="s">
        <v>263</v>
      </c>
      <c r="L79" s="16"/>
      <c r="M79" s="16" t="s">
        <v>105</v>
      </c>
      <c r="N79" s="1" t="s">
        <v>106</v>
      </c>
      <c r="O79" s="16" t="s">
        <v>64</v>
      </c>
      <c r="P79" s="16" t="s">
        <v>65</v>
      </c>
      <c r="Q79" s="16" t="s">
        <v>107</v>
      </c>
      <c r="R79" s="16" t="s">
        <v>107</v>
      </c>
      <c r="S79" s="17">
        <v>5872.14</v>
      </c>
      <c r="T79" s="17">
        <v>147.5</v>
      </c>
      <c r="U79" s="17">
        <v>0</v>
      </c>
      <c r="V79" s="17"/>
      <c r="W79" s="17">
        <v>25</v>
      </c>
      <c r="X79" s="17">
        <v>100</v>
      </c>
      <c r="Y79" s="17">
        <v>20</v>
      </c>
      <c r="Z79" s="18">
        <f t="shared" si="39"/>
        <v>2.511861093230066E-2</v>
      </c>
      <c r="AA79" s="19">
        <v>0.15</v>
      </c>
      <c r="AB79" s="17">
        <f t="shared" si="35"/>
        <v>15</v>
      </c>
      <c r="AC79" s="17">
        <v>0</v>
      </c>
      <c r="AD79" s="17">
        <v>0</v>
      </c>
      <c r="AE79" s="17">
        <f t="shared" si="40"/>
        <v>15</v>
      </c>
      <c r="AF79" s="17">
        <f t="shared" si="37"/>
        <v>2.4</v>
      </c>
      <c r="AG79" s="17">
        <f t="shared" si="41"/>
        <v>17.399999999999999</v>
      </c>
      <c r="AH79" s="17">
        <f t="shared" si="32"/>
        <v>0.3</v>
      </c>
      <c r="AI79" s="17">
        <v>0</v>
      </c>
      <c r="AJ79" s="17">
        <f t="shared" si="42"/>
        <v>0.3</v>
      </c>
      <c r="AK79" s="20" t="s">
        <v>67</v>
      </c>
      <c r="AL79" s="17">
        <f t="shared" si="43"/>
        <v>14.7</v>
      </c>
      <c r="AM79" s="17" t="s">
        <v>108</v>
      </c>
      <c r="AN79" s="21">
        <v>0.4</v>
      </c>
      <c r="AO79" s="17">
        <f t="shared" si="44"/>
        <v>5.88</v>
      </c>
      <c r="AP79" s="17">
        <v>5.88</v>
      </c>
      <c r="AQ79" s="16">
        <v>44834</v>
      </c>
      <c r="AR79" s="17">
        <f t="shared" si="36"/>
        <v>0</v>
      </c>
      <c r="AS79" s="17" t="s">
        <v>109</v>
      </c>
      <c r="AT79" s="17">
        <v>17.399999999999999</v>
      </c>
      <c r="AU79" s="17">
        <f t="shared" si="45"/>
        <v>17.399999999999999</v>
      </c>
      <c r="AV79" s="17">
        <f t="shared" si="46"/>
        <v>0</v>
      </c>
      <c r="AW79" s="17" t="str">
        <f t="shared" si="47"/>
        <v>RAWSUR</v>
      </c>
      <c r="AX79" s="22">
        <v>44635</v>
      </c>
      <c r="AY79" s="22"/>
      <c r="AZ79" s="1" t="s">
        <v>110</v>
      </c>
      <c r="BA79" s="22" t="str">
        <f t="shared" si="48"/>
        <v>MARINE CARGO / GIT</v>
      </c>
      <c r="BB79" s="22"/>
      <c r="BC79" s="22"/>
      <c r="BD79" s="22"/>
    </row>
    <row r="80" spans="1:56" ht="14.25" customHeight="1" x14ac:dyDescent="0.2">
      <c r="A80" s="12" t="s">
        <v>56</v>
      </c>
      <c r="B80" s="1" t="s">
        <v>57</v>
      </c>
      <c r="C80" s="13">
        <v>44592</v>
      </c>
      <c r="D80" s="13">
        <v>44589</v>
      </c>
      <c r="E80" s="13">
        <v>44592</v>
      </c>
      <c r="F80" s="13">
        <v>44619</v>
      </c>
      <c r="G80" s="14" t="str">
        <f t="shared" si="38"/>
        <v>000-079/AIB RDC/2022</v>
      </c>
      <c r="H80" s="1">
        <v>0</v>
      </c>
      <c r="I80" s="1" t="s">
        <v>74</v>
      </c>
      <c r="J80" s="1" t="s">
        <v>265</v>
      </c>
      <c r="K80" s="1" t="s">
        <v>263</v>
      </c>
      <c r="L80" s="16"/>
      <c r="M80" s="16" t="s">
        <v>105</v>
      </c>
      <c r="N80" s="1" t="s">
        <v>106</v>
      </c>
      <c r="O80" s="16" t="s">
        <v>64</v>
      </c>
      <c r="P80" s="16" t="s">
        <v>65</v>
      </c>
      <c r="Q80" s="16" t="s">
        <v>107</v>
      </c>
      <c r="R80" s="16" t="s">
        <v>107</v>
      </c>
      <c r="S80" s="17">
        <v>11642</v>
      </c>
      <c r="T80" s="17">
        <v>147.5</v>
      </c>
      <c r="U80" s="17">
        <v>0</v>
      </c>
      <c r="V80" s="17"/>
      <c r="W80" s="17">
        <v>25</v>
      </c>
      <c r="X80" s="17">
        <v>100</v>
      </c>
      <c r="Y80" s="17">
        <v>20</v>
      </c>
      <c r="Z80" s="18">
        <f t="shared" si="39"/>
        <v>1.266964439099811E-2</v>
      </c>
      <c r="AA80" s="19">
        <v>0.15</v>
      </c>
      <c r="AB80" s="17">
        <f t="shared" si="35"/>
        <v>15</v>
      </c>
      <c r="AC80" s="17">
        <v>0</v>
      </c>
      <c r="AD80" s="17">
        <v>0</v>
      </c>
      <c r="AE80" s="17">
        <f t="shared" si="40"/>
        <v>15</v>
      </c>
      <c r="AF80" s="17">
        <f t="shared" si="37"/>
        <v>2.4</v>
      </c>
      <c r="AG80" s="17">
        <f t="shared" si="41"/>
        <v>17.399999999999999</v>
      </c>
      <c r="AH80" s="17">
        <f t="shared" si="32"/>
        <v>0.3</v>
      </c>
      <c r="AI80" s="17">
        <v>0</v>
      </c>
      <c r="AJ80" s="17">
        <f t="shared" si="42"/>
        <v>0.3</v>
      </c>
      <c r="AK80" s="20" t="s">
        <v>67</v>
      </c>
      <c r="AL80" s="17">
        <f t="shared" si="43"/>
        <v>14.7</v>
      </c>
      <c r="AM80" s="17" t="s">
        <v>108</v>
      </c>
      <c r="AN80" s="21">
        <v>0.4</v>
      </c>
      <c r="AO80" s="17">
        <f t="shared" si="44"/>
        <v>5.88</v>
      </c>
      <c r="AP80" s="17">
        <v>5.88</v>
      </c>
      <c r="AQ80" s="16">
        <v>44834</v>
      </c>
      <c r="AR80" s="17">
        <f t="shared" si="36"/>
        <v>0</v>
      </c>
      <c r="AS80" s="17" t="s">
        <v>109</v>
      </c>
      <c r="AT80" s="17">
        <v>17.399999999999999</v>
      </c>
      <c r="AU80" s="17">
        <f t="shared" si="45"/>
        <v>17.399999999999999</v>
      </c>
      <c r="AV80" s="17">
        <f t="shared" si="46"/>
        <v>0</v>
      </c>
      <c r="AW80" s="17" t="str">
        <f t="shared" si="47"/>
        <v>RAWSUR</v>
      </c>
      <c r="AX80" s="22">
        <v>44635</v>
      </c>
      <c r="AY80" s="22"/>
      <c r="AZ80" s="1" t="s">
        <v>110</v>
      </c>
      <c r="BA80" s="22" t="str">
        <f t="shared" si="48"/>
        <v>MARINE CARGO / GIT</v>
      </c>
      <c r="BB80" s="22"/>
      <c r="BC80" s="22"/>
      <c r="BD80" s="22"/>
    </row>
    <row r="81" spans="1:56" ht="14.25" customHeight="1" x14ac:dyDescent="0.2">
      <c r="A81" s="12" t="s">
        <v>56</v>
      </c>
      <c r="B81" s="1" t="s">
        <v>57</v>
      </c>
      <c r="C81" s="13">
        <v>44592</v>
      </c>
      <c r="D81" s="13">
        <v>44589</v>
      </c>
      <c r="E81" s="13">
        <v>44592</v>
      </c>
      <c r="F81" s="13">
        <v>44619</v>
      </c>
      <c r="G81" s="14" t="str">
        <f t="shared" si="38"/>
        <v>000-080/AIB RDC/2022</v>
      </c>
      <c r="H81" s="1">
        <v>0</v>
      </c>
      <c r="I81" s="1" t="s">
        <v>74</v>
      </c>
      <c r="J81" s="1" t="s">
        <v>266</v>
      </c>
      <c r="K81" s="1" t="s">
        <v>263</v>
      </c>
      <c r="L81" s="16"/>
      <c r="M81" s="16" t="s">
        <v>105</v>
      </c>
      <c r="N81" s="1" t="s">
        <v>106</v>
      </c>
      <c r="O81" s="16" t="s">
        <v>64</v>
      </c>
      <c r="P81" s="16" t="s">
        <v>65</v>
      </c>
      <c r="Q81" s="16" t="s">
        <v>107</v>
      </c>
      <c r="R81" s="16" t="s">
        <v>107</v>
      </c>
      <c r="S81" s="17">
        <v>9535.2800000000007</v>
      </c>
      <c r="T81" s="17">
        <v>147.5</v>
      </c>
      <c r="U81" s="17">
        <v>0</v>
      </c>
      <c r="V81" s="17"/>
      <c r="W81" s="17">
        <v>25</v>
      </c>
      <c r="X81" s="17">
        <v>100</v>
      </c>
      <c r="Y81" s="17">
        <v>20</v>
      </c>
      <c r="Z81" s="18">
        <f t="shared" si="39"/>
        <v>1.546886929382252E-2</v>
      </c>
      <c r="AA81" s="19">
        <v>0.15</v>
      </c>
      <c r="AB81" s="17">
        <f t="shared" si="35"/>
        <v>15</v>
      </c>
      <c r="AC81" s="17">
        <v>0</v>
      </c>
      <c r="AD81" s="17">
        <v>0</v>
      </c>
      <c r="AE81" s="17">
        <f t="shared" si="40"/>
        <v>15</v>
      </c>
      <c r="AF81" s="17">
        <f t="shared" si="37"/>
        <v>2.4</v>
      </c>
      <c r="AG81" s="17">
        <f t="shared" si="41"/>
        <v>17.399999999999999</v>
      </c>
      <c r="AH81" s="17">
        <f t="shared" si="32"/>
        <v>0.3</v>
      </c>
      <c r="AI81" s="17">
        <v>0</v>
      </c>
      <c r="AJ81" s="17">
        <f t="shared" si="42"/>
        <v>0.3</v>
      </c>
      <c r="AK81" s="20" t="s">
        <v>67</v>
      </c>
      <c r="AL81" s="17">
        <f t="shared" si="43"/>
        <v>14.7</v>
      </c>
      <c r="AM81" s="17" t="s">
        <v>108</v>
      </c>
      <c r="AN81" s="21">
        <v>0.4</v>
      </c>
      <c r="AO81" s="17">
        <f t="shared" si="44"/>
        <v>5.88</v>
      </c>
      <c r="AP81" s="17">
        <v>5.88</v>
      </c>
      <c r="AQ81" s="16">
        <v>44834</v>
      </c>
      <c r="AR81" s="17">
        <f t="shared" si="36"/>
        <v>0</v>
      </c>
      <c r="AS81" s="17" t="s">
        <v>109</v>
      </c>
      <c r="AT81" s="17">
        <v>17.399999999999999</v>
      </c>
      <c r="AU81" s="17">
        <f t="shared" si="45"/>
        <v>17.399999999999999</v>
      </c>
      <c r="AV81" s="17">
        <f t="shared" si="46"/>
        <v>0</v>
      </c>
      <c r="AW81" s="17" t="str">
        <f t="shared" si="47"/>
        <v>RAWSUR</v>
      </c>
      <c r="AX81" s="22">
        <v>44635</v>
      </c>
      <c r="AY81" s="22"/>
      <c r="AZ81" s="1" t="s">
        <v>110</v>
      </c>
      <c r="BA81" s="22" t="str">
        <f t="shared" si="48"/>
        <v>MARINE CARGO / GIT</v>
      </c>
      <c r="BB81" s="22"/>
      <c r="BC81" s="22"/>
      <c r="BD81" s="22"/>
    </row>
    <row r="82" spans="1:56" ht="14.25" customHeight="1" x14ac:dyDescent="0.2">
      <c r="A82" s="12" t="s">
        <v>56</v>
      </c>
      <c r="B82" s="1" t="s">
        <v>57</v>
      </c>
      <c r="C82" s="13">
        <v>44592</v>
      </c>
      <c r="D82" s="13">
        <v>44589</v>
      </c>
      <c r="E82" s="13">
        <v>44592</v>
      </c>
      <c r="F82" s="13">
        <v>44619</v>
      </c>
      <c r="G82" s="14" t="str">
        <f t="shared" si="38"/>
        <v>000-081/AIB RDC/2022</v>
      </c>
      <c r="H82" s="1">
        <v>0</v>
      </c>
      <c r="I82" s="1" t="s">
        <v>74</v>
      </c>
      <c r="J82" s="1" t="s">
        <v>267</v>
      </c>
      <c r="K82" s="1" t="s">
        <v>263</v>
      </c>
      <c r="L82" s="16"/>
      <c r="M82" s="16" t="s">
        <v>105</v>
      </c>
      <c r="N82" s="1" t="s">
        <v>106</v>
      </c>
      <c r="O82" s="16" t="s">
        <v>64</v>
      </c>
      <c r="P82" s="16" t="s">
        <v>65</v>
      </c>
      <c r="Q82" s="16" t="s">
        <v>107</v>
      </c>
      <c r="R82" s="16" t="s">
        <v>107</v>
      </c>
      <c r="S82" s="17">
        <v>10975.45</v>
      </c>
      <c r="T82" s="17">
        <v>147.5</v>
      </c>
      <c r="U82" s="17">
        <v>0</v>
      </c>
      <c r="V82" s="17"/>
      <c r="W82" s="17">
        <v>25</v>
      </c>
      <c r="X82" s="17">
        <v>100</v>
      </c>
      <c r="Y82" s="17">
        <v>20</v>
      </c>
      <c r="Z82" s="18">
        <f t="shared" si="39"/>
        <v>1.3439084502229977E-2</v>
      </c>
      <c r="AA82" s="19">
        <v>0.15</v>
      </c>
      <c r="AB82" s="17">
        <f t="shared" si="35"/>
        <v>15</v>
      </c>
      <c r="AC82" s="17">
        <v>0</v>
      </c>
      <c r="AD82" s="17">
        <v>0</v>
      </c>
      <c r="AE82" s="17">
        <f t="shared" si="40"/>
        <v>15</v>
      </c>
      <c r="AF82" s="17">
        <f t="shared" si="37"/>
        <v>2.4</v>
      </c>
      <c r="AG82" s="17">
        <f t="shared" si="41"/>
        <v>17.399999999999999</v>
      </c>
      <c r="AH82" s="17">
        <f t="shared" si="32"/>
        <v>0.3</v>
      </c>
      <c r="AI82" s="17">
        <v>0</v>
      </c>
      <c r="AJ82" s="17">
        <f t="shared" si="42"/>
        <v>0.3</v>
      </c>
      <c r="AK82" s="20" t="s">
        <v>67</v>
      </c>
      <c r="AL82" s="17">
        <f t="shared" si="43"/>
        <v>14.7</v>
      </c>
      <c r="AM82" s="17" t="s">
        <v>108</v>
      </c>
      <c r="AN82" s="21">
        <v>0.4</v>
      </c>
      <c r="AO82" s="17">
        <f t="shared" si="44"/>
        <v>5.88</v>
      </c>
      <c r="AP82" s="17">
        <v>5.88</v>
      </c>
      <c r="AQ82" s="16">
        <v>44834</v>
      </c>
      <c r="AR82" s="17">
        <f t="shared" si="36"/>
        <v>0</v>
      </c>
      <c r="AS82" s="17" t="s">
        <v>109</v>
      </c>
      <c r="AT82" s="17">
        <v>17.399999999999999</v>
      </c>
      <c r="AU82" s="17">
        <f t="shared" si="45"/>
        <v>17.399999999999999</v>
      </c>
      <c r="AV82" s="17">
        <f t="shared" si="46"/>
        <v>0</v>
      </c>
      <c r="AW82" s="17" t="str">
        <f t="shared" si="47"/>
        <v>RAWSUR</v>
      </c>
      <c r="AX82" s="22">
        <v>44635</v>
      </c>
      <c r="AY82" s="22"/>
      <c r="AZ82" s="1" t="s">
        <v>110</v>
      </c>
      <c r="BA82" s="22" t="str">
        <f t="shared" si="48"/>
        <v>MARINE CARGO / GIT</v>
      </c>
      <c r="BB82" s="22"/>
      <c r="BC82" s="22"/>
      <c r="BD82" s="22"/>
    </row>
    <row r="83" spans="1:56" ht="14.25" customHeight="1" x14ac:dyDescent="0.2">
      <c r="A83" s="12" t="s">
        <v>56</v>
      </c>
      <c r="B83" s="1" t="s">
        <v>57</v>
      </c>
      <c r="C83" s="13">
        <v>44592</v>
      </c>
      <c r="D83" s="13">
        <v>44589</v>
      </c>
      <c r="E83" s="13">
        <v>44592</v>
      </c>
      <c r="F83" s="13">
        <v>44618</v>
      </c>
      <c r="G83" s="14" t="str">
        <f t="shared" si="38"/>
        <v>000-082/AIB RDC/2022</v>
      </c>
      <c r="H83" s="1">
        <v>0</v>
      </c>
      <c r="I83" s="1" t="s">
        <v>74</v>
      </c>
      <c r="J83" s="1" t="s">
        <v>268</v>
      </c>
      <c r="K83" s="1" t="s">
        <v>263</v>
      </c>
      <c r="L83" s="16"/>
      <c r="M83" s="16" t="s">
        <v>105</v>
      </c>
      <c r="N83" s="1" t="s">
        <v>106</v>
      </c>
      <c r="O83" s="16" t="s">
        <v>64</v>
      </c>
      <c r="P83" s="16" t="s">
        <v>65</v>
      </c>
      <c r="Q83" s="16" t="s">
        <v>107</v>
      </c>
      <c r="R83" s="16" t="s">
        <v>107</v>
      </c>
      <c r="S83" s="17">
        <v>29873</v>
      </c>
      <c r="T83" s="17">
        <v>147.5</v>
      </c>
      <c r="U83" s="17">
        <v>0</v>
      </c>
      <c r="V83" s="17"/>
      <c r="W83" s="17">
        <v>25</v>
      </c>
      <c r="X83" s="17">
        <v>100</v>
      </c>
      <c r="Y83" s="17">
        <v>20</v>
      </c>
      <c r="Z83" s="18">
        <f t="shared" si="39"/>
        <v>4.9375690422789808E-3</v>
      </c>
      <c r="AA83" s="19">
        <v>0.15</v>
      </c>
      <c r="AB83" s="17">
        <f t="shared" si="35"/>
        <v>15</v>
      </c>
      <c r="AC83" s="17">
        <v>0</v>
      </c>
      <c r="AD83" s="17">
        <v>0</v>
      </c>
      <c r="AE83" s="17">
        <f t="shared" si="40"/>
        <v>15</v>
      </c>
      <c r="AF83" s="17">
        <f t="shared" si="37"/>
        <v>2.4</v>
      </c>
      <c r="AG83" s="17">
        <f t="shared" si="41"/>
        <v>17.399999999999999</v>
      </c>
      <c r="AH83" s="17">
        <f t="shared" si="32"/>
        <v>0.3</v>
      </c>
      <c r="AI83" s="17">
        <v>0</v>
      </c>
      <c r="AJ83" s="17">
        <f t="shared" si="42"/>
        <v>0.3</v>
      </c>
      <c r="AK83" s="20" t="s">
        <v>67</v>
      </c>
      <c r="AL83" s="17">
        <f t="shared" si="43"/>
        <v>14.7</v>
      </c>
      <c r="AM83" s="17" t="s">
        <v>108</v>
      </c>
      <c r="AN83" s="21">
        <v>0.4</v>
      </c>
      <c r="AO83" s="17">
        <f t="shared" si="44"/>
        <v>5.88</v>
      </c>
      <c r="AP83" s="17">
        <v>5.88</v>
      </c>
      <c r="AQ83" s="16">
        <v>44834</v>
      </c>
      <c r="AR83" s="17">
        <f t="shared" si="36"/>
        <v>0</v>
      </c>
      <c r="AS83" s="17" t="s">
        <v>109</v>
      </c>
      <c r="AT83" s="17">
        <v>17.399999999999999</v>
      </c>
      <c r="AU83" s="17">
        <f t="shared" si="45"/>
        <v>17.399999999999999</v>
      </c>
      <c r="AV83" s="17">
        <f t="shared" si="46"/>
        <v>0</v>
      </c>
      <c r="AW83" s="17" t="str">
        <f t="shared" si="47"/>
        <v>RAWSUR</v>
      </c>
      <c r="AX83" s="22">
        <v>44635</v>
      </c>
      <c r="AY83" s="22"/>
      <c r="AZ83" s="1" t="s">
        <v>110</v>
      </c>
      <c r="BA83" s="22" t="str">
        <f t="shared" si="48"/>
        <v>MARINE CARGO / GIT</v>
      </c>
      <c r="BB83" s="22"/>
      <c r="BC83" s="22"/>
      <c r="BD83" s="22"/>
    </row>
    <row r="84" spans="1:56" ht="14.25" customHeight="1" x14ac:dyDescent="0.2">
      <c r="A84" s="12" t="s">
        <v>56</v>
      </c>
      <c r="B84" s="1" t="s">
        <v>57</v>
      </c>
      <c r="C84" s="13">
        <v>44592</v>
      </c>
      <c r="D84" s="13">
        <v>44588</v>
      </c>
      <c r="E84" s="13">
        <v>44592</v>
      </c>
      <c r="F84" s="13">
        <v>44618</v>
      </c>
      <c r="G84" s="14" t="str">
        <f t="shared" si="38"/>
        <v>000-083/AIB RDC/2022</v>
      </c>
      <c r="H84" s="1">
        <v>0</v>
      </c>
      <c r="I84" s="1" t="s">
        <v>74</v>
      </c>
      <c r="J84" s="1" t="s">
        <v>269</v>
      </c>
      <c r="K84" s="1" t="s">
        <v>263</v>
      </c>
      <c r="L84" s="16"/>
      <c r="M84" s="16" t="s">
        <v>105</v>
      </c>
      <c r="N84" s="1" t="s">
        <v>106</v>
      </c>
      <c r="O84" s="16" t="s">
        <v>64</v>
      </c>
      <c r="P84" s="16" t="s">
        <v>65</v>
      </c>
      <c r="Q84" s="16" t="s">
        <v>107</v>
      </c>
      <c r="R84" s="16" t="s">
        <v>107</v>
      </c>
      <c r="S84" s="17">
        <v>14021.72</v>
      </c>
      <c r="T84" s="17">
        <v>147.5</v>
      </c>
      <c r="U84" s="17">
        <v>0</v>
      </c>
      <c r="V84" s="17"/>
      <c r="W84" s="17">
        <v>25</v>
      </c>
      <c r="X84" s="17">
        <v>100</v>
      </c>
      <c r="Y84" s="17">
        <v>20</v>
      </c>
      <c r="Z84" s="18">
        <f t="shared" si="39"/>
        <v>1.0519394197002936E-2</v>
      </c>
      <c r="AA84" s="19">
        <v>0.15</v>
      </c>
      <c r="AB84" s="17">
        <f t="shared" si="35"/>
        <v>15</v>
      </c>
      <c r="AC84" s="17">
        <v>0</v>
      </c>
      <c r="AD84" s="17">
        <v>0</v>
      </c>
      <c r="AE84" s="17">
        <f t="shared" si="40"/>
        <v>15</v>
      </c>
      <c r="AF84" s="17">
        <f t="shared" si="37"/>
        <v>2.4</v>
      </c>
      <c r="AG84" s="17">
        <f t="shared" si="41"/>
        <v>17.399999999999999</v>
      </c>
      <c r="AH84" s="17">
        <f t="shared" si="32"/>
        <v>0.3</v>
      </c>
      <c r="AI84" s="17">
        <v>0</v>
      </c>
      <c r="AJ84" s="17">
        <f t="shared" si="42"/>
        <v>0.3</v>
      </c>
      <c r="AK84" s="20" t="s">
        <v>67</v>
      </c>
      <c r="AL84" s="17">
        <f t="shared" si="43"/>
        <v>14.7</v>
      </c>
      <c r="AM84" s="17" t="s">
        <v>108</v>
      </c>
      <c r="AN84" s="21">
        <v>0.4</v>
      </c>
      <c r="AO84" s="17">
        <f t="shared" si="44"/>
        <v>5.88</v>
      </c>
      <c r="AP84" s="17">
        <v>5.88</v>
      </c>
      <c r="AQ84" s="16">
        <v>44834</v>
      </c>
      <c r="AR84" s="17">
        <f t="shared" si="36"/>
        <v>0</v>
      </c>
      <c r="AS84" s="17" t="s">
        <v>109</v>
      </c>
      <c r="AT84" s="17">
        <v>17.399999999999999</v>
      </c>
      <c r="AU84" s="17">
        <f t="shared" si="45"/>
        <v>17.399999999999999</v>
      </c>
      <c r="AV84" s="17">
        <f t="shared" si="46"/>
        <v>0</v>
      </c>
      <c r="AW84" s="17" t="str">
        <f t="shared" si="47"/>
        <v>RAWSUR</v>
      </c>
      <c r="AX84" s="22">
        <v>44635</v>
      </c>
      <c r="AY84" s="22"/>
      <c r="AZ84" s="1" t="s">
        <v>110</v>
      </c>
      <c r="BA84" s="22" t="str">
        <f t="shared" si="48"/>
        <v>MARINE CARGO / GIT</v>
      </c>
      <c r="BB84" s="22"/>
      <c r="BC84" s="22"/>
      <c r="BD84" s="22"/>
    </row>
    <row r="85" spans="1:56" ht="14.25" customHeight="1" x14ac:dyDescent="0.2">
      <c r="A85" s="12" t="s">
        <v>56</v>
      </c>
      <c r="B85" s="1" t="s">
        <v>57</v>
      </c>
      <c r="C85" s="13">
        <v>44592</v>
      </c>
      <c r="D85" s="13">
        <v>44588</v>
      </c>
      <c r="E85" s="13">
        <v>44592</v>
      </c>
      <c r="F85" s="13">
        <v>44618</v>
      </c>
      <c r="G85" s="14" t="str">
        <f t="shared" si="38"/>
        <v>000-084/AIB RDC/2022</v>
      </c>
      <c r="H85" s="1">
        <v>0</v>
      </c>
      <c r="I85" s="1" t="s">
        <v>74</v>
      </c>
      <c r="J85" s="1" t="s">
        <v>270</v>
      </c>
      <c r="K85" s="1" t="s">
        <v>263</v>
      </c>
      <c r="L85" s="16"/>
      <c r="M85" s="16" t="s">
        <v>105</v>
      </c>
      <c r="N85" s="1" t="s">
        <v>106</v>
      </c>
      <c r="O85" s="16" t="s">
        <v>64</v>
      </c>
      <c r="P85" s="16" t="s">
        <v>65</v>
      </c>
      <c r="Q85" s="16" t="s">
        <v>107</v>
      </c>
      <c r="R85" s="16" t="s">
        <v>107</v>
      </c>
      <c r="S85" s="17">
        <v>20358</v>
      </c>
      <c r="T85" s="17">
        <v>147.5</v>
      </c>
      <c r="U85" s="17">
        <v>0</v>
      </c>
      <c r="V85" s="17"/>
      <c r="W85" s="17">
        <v>25</v>
      </c>
      <c r="X85" s="17">
        <v>100</v>
      </c>
      <c r="Y85" s="17">
        <v>20</v>
      </c>
      <c r="Z85" s="18">
        <f t="shared" si="39"/>
        <v>7.2453089694469001E-3</v>
      </c>
      <c r="AA85" s="19">
        <v>0.15</v>
      </c>
      <c r="AB85" s="17">
        <f t="shared" si="35"/>
        <v>15</v>
      </c>
      <c r="AC85" s="17">
        <v>0</v>
      </c>
      <c r="AD85" s="17">
        <v>0</v>
      </c>
      <c r="AE85" s="17">
        <f t="shared" si="40"/>
        <v>15</v>
      </c>
      <c r="AF85" s="17">
        <f t="shared" si="37"/>
        <v>2.4</v>
      </c>
      <c r="AG85" s="17">
        <f t="shared" si="41"/>
        <v>17.399999999999999</v>
      </c>
      <c r="AH85" s="17">
        <f t="shared" si="32"/>
        <v>0.3</v>
      </c>
      <c r="AI85" s="17">
        <v>0</v>
      </c>
      <c r="AJ85" s="17">
        <f t="shared" si="42"/>
        <v>0.3</v>
      </c>
      <c r="AK85" s="20" t="s">
        <v>67</v>
      </c>
      <c r="AL85" s="17">
        <f t="shared" si="43"/>
        <v>14.7</v>
      </c>
      <c r="AM85" s="17" t="s">
        <v>108</v>
      </c>
      <c r="AN85" s="21">
        <v>0.4</v>
      </c>
      <c r="AO85" s="17">
        <f t="shared" si="44"/>
        <v>5.88</v>
      </c>
      <c r="AP85" s="17">
        <v>5.88</v>
      </c>
      <c r="AQ85" s="16">
        <v>44834</v>
      </c>
      <c r="AR85" s="17">
        <f t="shared" si="36"/>
        <v>0</v>
      </c>
      <c r="AS85" s="17" t="s">
        <v>109</v>
      </c>
      <c r="AT85" s="17">
        <v>17.399999999999999</v>
      </c>
      <c r="AU85" s="17">
        <f t="shared" si="45"/>
        <v>17.399999999999999</v>
      </c>
      <c r="AV85" s="17">
        <f t="shared" si="46"/>
        <v>0</v>
      </c>
      <c r="AW85" s="17" t="str">
        <f t="shared" si="47"/>
        <v>RAWSUR</v>
      </c>
      <c r="AX85" s="22">
        <v>44635</v>
      </c>
      <c r="AY85" s="22"/>
      <c r="AZ85" s="1" t="s">
        <v>110</v>
      </c>
      <c r="BA85" s="22" t="str">
        <f t="shared" si="48"/>
        <v>MARINE CARGO / GIT</v>
      </c>
      <c r="BB85" s="22"/>
      <c r="BC85" s="22"/>
      <c r="BD85" s="22"/>
    </row>
    <row r="86" spans="1:56" ht="14.25" customHeight="1" x14ac:dyDescent="0.2">
      <c r="A86" s="12" t="s">
        <v>56</v>
      </c>
      <c r="B86" s="1" t="s">
        <v>57</v>
      </c>
      <c r="C86" s="13">
        <v>44592</v>
      </c>
      <c r="D86" s="13">
        <v>44588</v>
      </c>
      <c r="E86" s="13">
        <v>44592</v>
      </c>
      <c r="F86" s="13">
        <v>44618</v>
      </c>
      <c r="G86" s="14" t="str">
        <f t="shared" si="38"/>
        <v>000-085/AIB RDC/2022</v>
      </c>
      <c r="H86" s="1">
        <v>0</v>
      </c>
      <c r="I86" s="1" t="s">
        <v>74</v>
      </c>
      <c r="J86" s="1" t="s">
        <v>271</v>
      </c>
      <c r="K86" s="1" t="s">
        <v>263</v>
      </c>
      <c r="L86" s="16"/>
      <c r="M86" s="16" t="s">
        <v>105</v>
      </c>
      <c r="N86" s="1" t="s">
        <v>106</v>
      </c>
      <c r="O86" s="16" t="s">
        <v>64</v>
      </c>
      <c r="P86" s="16" t="s">
        <v>65</v>
      </c>
      <c r="Q86" s="16" t="s">
        <v>107</v>
      </c>
      <c r="R86" s="16" t="s">
        <v>107</v>
      </c>
      <c r="S86" s="17">
        <v>35481</v>
      </c>
      <c r="T86" s="17">
        <v>147.5</v>
      </c>
      <c r="U86" s="17">
        <v>0</v>
      </c>
      <c r="V86" s="17"/>
      <c r="W86" s="17">
        <v>25</v>
      </c>
      <c r="X86" s="17">
        <v>100</v>
      </c>
      <c r="Y86" s="17">
        <v>20</v>
      </c>
      <c r="Z86" s="18">
        <f t="shared" si="39"/>
        <v>4.157154533412249E-3</v>
      </c>
      <c r="AA86" s="19">
        <v>0.15</v>
      </c>
      <c r="AB86" s="17">
        <f t="shared" si="35"/>
        <v>15</v>
      </c>
      <c r="AC86" s="17">
        <v>0</v>
      </c>
      <c r="AD86" s="17">
        <v>0</v>
      </c>
      <c r="AE86" s="17">
        <f t="shared" si="40"/>
        <v>15</v>
      </c>
      <c r="AF86" s="17">
        <f t="shared" si="37"/>
        <v>2.4</v>
      </c>
      <c r="AG86" s="17">
        <f t="shared" si="41"/>
        <v>17.399999999999999</v>
      </c>
      <c r="AH86" s="17">
        <f t="shared" si="32"/>
        <v>0.3</v>
      </c>
      <c r="AI86" s="17">
        <v>0</v>
      </c>
      <c r="AJ86" s="17">
        <f t="shared" si="42"/>
        <v>0.3</v>
      </c>
      <c r="AK86" s="20" t="s">
        <v>67</v>
      </c>
      <c r="AL86" s="17">
        <f t="shared" si="43"/>
        <v>14.7</v>
      </c>
      <c r="AM86" s="17" t="s">
        <v>108</v>
      </c>
      <c r="AN86" s="21">
        <v>0.4</v>
      </c>
      <c r="AO86" s="17">
        <f t="shared" si="44"/>
        <v>5.88</v>
      </c>
      <c r="AP86" s="17">
        <v>5.88</v>
      </c>
      <c r="AQ86" s="16">
        <v>44834</v>
      </c>
      <c r="AR86" s="17">
        <f t="shared" si="36"/>
        <v>0</v>
      </c>
      <c r="AS86" s="17" t="s">
        <v>109</v>
      </c>
      <c r="AT86" s="17">
        <v>17.399999999999999</v>
      </c>
      <c r="AU86" s="17">
        <f t="shared" si="45"/>
        <v>17.399999999999999</v>
      </c>
      <c r="AV86" s="17">
        <f t="shared" si="46"/>
        <v>0</v>
      </c>
      <c r="AW86" s="17" t="str">
        <f t="shared" si="47"/>
        <v>RAWSUR</v>
      </c>
      <c r="AX86" s="22">
        <v>44635</v>
      </c>
      <c r="AY86" s="22"/>
      <c r="AZ86" s="1" t="s">
        <v>110</v>
      </c>
      <c r="BA86" s="22" t="str">
        <f t="shared" si="48"/>
        <v>MARINE CARGO / GIT</v>
      </c>
      <c r="BB86" s="22"/>
      <c r="BC86" s="22"/>
      <c r="BD86" s="22"/>
    </row>
    <row r="87" spans="1:56" ht="14.25" customHeight="1" x14ac:dyDescent="0.2">
      <c r="A87" s="12" t="s">
        <v>56</v>
      </c>
      <c r="B87" s="1" t="s">
        <v>57</v>
      </c>
      <c r="C87" s="13">
        <v>44592</v>
      </c>
      <c r="D87" s="13">
        <v>44588</v>
      </c>
      <c r="E87" s="13">
        <v>44592</v>
      </c>
      <c r="F87" s="13">
        <v>44619</v>
      </c>
      <c r="G87" s="14" t="str">
        <f t="shared" si="38"/>
        <v>000-086/AIB RDC/2022</v>
      </c>
      <c r="H87" s="1">
        <v>0</v>
      </c>
      <c r="I87" s="1" t="s">
        <v>74</v>
      </c>
      <c r="J87" s="1" t="s">
        <v>272</v>
      </c>
      <c r="K87" s="1" t="s">
        <v>263</v>
      </c>
      <c r="L87" s="16"/>
      <c r="M87" s="16" t="s">
        <v>105</v>
      </c>
      <c r="N87" s="1" t="s">
        <v>106</v>
      </c>
      <c r="O87" s="16" t="s">
        <v>64</v>
      </c>
      <c r="P87" s="16" t="s">
        <v>65</v>
      </c>
      <c r="Q87" s="16" t="s">
        <v>107</v>
      </c>
      <c r="R87" s="16" t="s">
        <v>107</v>
      </c>
      <c r="S87" s="17">
        <v>15701</v>
      </c>
      <c r="T87" s="17">
        <v>147.5</v>
      </c>
      <c r="U87" s="17">
        <v>0</v>
      </c>
      <c r="V87" s="17"/>
      <c r="W87" s="17">
        <v>25</v>
      </c>
      <c r="X87" s="17">
        <v>100</v>
      </c>
      <c r="Y87" s="17">
        <v>20</v>
      </c>
      <c r="Z87" s="18">
        <f t="shared" si="39"/>
        <v>9.3943060951531751E-3</v>
      </c>
      <c r="AA87" s="19">
        <v>0.15</v>
      </c>
      <c r="AB87" s="17">
        <f t="shared" si="35"/>
        <v>15</v>
      </c>
      <c r="AC87" s="17">
        <v>0</v>
      </c>
      <c r="AD87" s="17">
        <v>0</v>
      </c>
      <c r="AE87" s="17">
        <f t="shared" si="40"/>
        <v>15</v>
      </c>
      <c r="AF87" s="17">
        <f t="shared" si="37"/>
        <v>2.4</v>
      </c>
      <c r="AG87" s="17">
        <f t="shared" si="41"/>
        <v>17.399999999999999</v>
      </c>
      <c r="AH87" s="17">
        <f t="shared" si="32"/>
        <v>0.3</v>
      </c>
      <c r="AI87" s="17">
        <v>0</v>
      </c>
      <c r="AJ87" s="17">
        <f t="shared" si="42"/>
        <v>0.3</v>
      </c>
      <c r="AK87" s="20" t="s">
        <v>67</v>
      </c>
      <c r="AL87" s="17">
        <f t="shared" si="43"/>
        <v>14.7</v>
      </c>
      <c r="AM87" s="17" t="s">
        <v>108</v>
      </c>
      <c r="AN87" s="21">
        <v>0.4</v>
      </c>
      <c r="AO87" s="17">
        <f t="shared" si="44"/>
        <v>5.88</v>
      </c>
      <c r="AP87" s="17">
        <v>5.88</v>
      </c>
      <c r="AQ87" s="16">
        <v>44834</v>
      </c>
      <c r="AR87" s="17">
        <f t="shared" si="36"/>
        <v>0</v>
      </c>
      <c r="AS87" s="17" t="s">
        <v>109</v>
      </c>
      <c r="AT87" s="17">
        <v>17.399999999999999</v>
      </c>
      <c r="AU87" s="17">
        <f t="shared" si="45"/>
        <v>17.399999999999999</v>
      </c>
      <c r="AV87" s="17">
        <f t="shared" si="46"/>
        <v>0</v>
      </c>
      <c r="AW87" s="17" t="str">
        <f t="shared" si="47"/>
        <v>RAWSUR</v>
      </c>
      <c r="AX87" s="22">
        <v>44635</v>
      </c>
      <c r="AY87" s="22"/>
      <c r="AZ87" s="1" t="s">
        <v>110</v>
      </c>
      <c r="BA87" s="22" t="str">
        <f t="shared" si="48"/>
        <v>MARINE CARGO / GIT</v>
      </c>
      <c r="BB87" s="22"/>
      <c r="BC87" s="22"/>
      <c r="BD87" s="22"/>
    </row>
    <row r="88" spans="1:56" ht="14.25" customHeight="1" x14ac:dyDescent="0.2">
      <c r="A88" s="12" t="s">
        <v>324</v>
      </c>
      <c r="B88" s="1" t="s">
        <v>57</v>
      </c>
      <c r="C88" s="13">
        <v>44621</v>
      </c>
      <c r="D88" s="13">
        <v>44649</v>
      </c>
      <c r="E88" s="13">
        <v>44621</v>
      </c>
      <c r="F88" s="13">
        <v>44985</v>
      </c>
      <c r="G88" s="14" t="str">
        <f t="shared" si="38"/>
        <v>000-087/AIB RDC/2022</v>
      </c>
      <c r="H88" s="1">
        <v>0</v>
      </c>
      <c r="I88" s="1" t="s">
        <v>74</v>
      </c>
      <c r="J88" s="1" t="s">
        <v>389</v>
      </c>
      <c r="K88" s="1" t="s">
        <v>219</v>
      </c>
      <c r="L88" s="16" t="s">
        <v>137</v>
      </c>
      <c r="M88" s="16" t="s">
        <v>84</v>
      </c>
      <c r="N88" s="16" t="s">
        <v>84</v>
      </c>
      <c r="O88" s="16" t="s">
        <v>70</v>
      </c>
      <c r="P88" s="16" t="s">
        <v>71</v>
      </c>
      <c r="Q88" s="16" t="s">
        <v>79</v>
      </c>
      <c r="R88" s="16" t="s">
        <v>80</v>
      </c>
      <c r="S88" s="17">
        <v>80000000</v>
      </c>
      <c r="T88" s="17">
        <v>2085349.52</v>
      </c>
      <c r="U88" s="17">
        <v>189347.71</v>
      </c>
      <c r="V88" s="17"/>
      <c r="W88" s="17">
        <v>0</v>
      </c>
      <c r="X88" s="17">
        <v>1577897.71</v>
      </c>
      <c r="Y88" s="17">
        <v>282759.26</v>
      </c>
      <c r="Z88" s="18">
        <f t="shared" si="39"/>
        <v>2.6066868999999999E-2</v>
      </c>
      <c r="AA88" s="19">
        <v>0.3</v>
      </c>
      <c r="AB88" s="17">
        <v>0</v>
      </c>
      <c r="AC88" s="17">
        <f>AA88*U88</f>
        <v>56804.312999999995</v>
      </c>
      <c r="AD88" s="17">
        <f>7200/1.16</f>
        <v>6206.8965517241386</v>
      </c>
      <c r="AE88" s="17">
        <f t="shared" si="40"/>
        <v>63011.209551724132</v>
      </c>
      <c r="AF88" s="17">
        <f t="shared" si="37"/>
        <v>10081.793528275861</v>
      </c>
      <c r="AG88" s="17">
        <f t="shared" si="41"/>
        <v>73093.003079999995</v>
      </c>
      <c r="AH88" s="17">
        <f t="shared" si="32"/>
        <v>1260.2241910344826</v>
      </c>
      <c r="AI88" s="17">
        <v>0</v>
      </c>
      <c r="AJ88" s="17">
        <f t="shared" si="42"/>
        <v>1260.2241910344826</v>
      </c>
      <c r="AK88" s="20"/>
      <c r="AL88" s="17">
        <f t="shared" si="43"/>
        <v>61750.98536068965</v>
      </c>
      <c r="AM88" s="17" t="s">
        <v>80</v>
      </c>
      <c r="AN88" s="21">
        <v>0</v>
      </c>
      <c r="AO88" s="23">
        <f t="shared" si="44"/>
        <v>0</v>
      </c>
      <c r="AP88" s="17">
        <v>7765.8</v>
      </c>
      <c r="AQ88" s="16">
        <v>45188</v>
      </c>
      <c r="AR88" s="17">
        <f t="shared" si="36"/>
        <v>-7765.8</v>
      </c>
      <c r="AS88" s="17"/>
      <c r="AT88" s="17">
        <f>65893.00308+7500</f>
        <v>73393.003079999995</v>
      </c>
      <c r="AU88" s="17">
        <f t="shared" si="45"/>
        <v>73093.003079999995</v>
      </c>
      <c r="AV88" s="84">
        <f t="shared" si="46"/>
        <v>-300</v>
      </c>
      <c r="AW88" s="17" t="s">
        <v>80</v>
      </c>
      <c r="AX88" s="22">
        <v>44721</v>
      </c>
      <c r="AY88" s="22"/>
      <c r="AZ88" s="1" t="s">
        <v>162</v>
      </c>
      <c r="BA88" s="22" t="str">
        <f t="shared" si="48"/>
        <v>FIRE</v>
      </c>
      <c r="BB88" s="22"/>
      <c r="BC88" s="22"/>
      <c r="BD88" s="1" t="s">
        <v>390</v>
      </c>
    </row>
    <row r="89" spans="1:56" ht="14.25" customHeight="1" x14ac:dyDescent="0.2">
      <c r="A89" s="12" t="s">
        <v>56</v>
      </c>
      <c r="B89" s="1" t="s">
        <v>57</v>
      </c>
      <c r="C89" s="13">
        <v>44592</v>
      </c>
      <c r="D89" s="13">
        <v>44589</v>
      </c>
      <c r="E89" s="13">
        <v>44592</v>
      </c>
      <c r="F89" s="13">
        <v>44619</v>
      </c>
      <c r="G89" s="14" t="str">
        <f t="shared" si="38"/>
        <v>000-088/AIB RDC/2022</v>
      </c>
      <c r="H89" s="1">
        <v>0</v>
      </c>
      <c r="I89" s="1" t="s">
        <v>74</v>
      </c>
      <c r="J89" s="1" t="s">
        <v>276</v>
      </c>
      <c r="K89" s="1" t="s">
        <v>263</v>
      </c>
      <c r="L89" s="16"/>
      <c r="M89" s="16" t="s">
        <v>105</v>
      </c>
      <c r="N89" s="1" t="s">
        <v>106</v>
      </c>
      <c r="O89" s="16" t="s">
        <v>64</v>
      </c>
      <c r="P89" s="16" t="s">
        <v>65</v>
      </c>
      <c r="Q89" s="16" t="s">
        <v>107</v>
      </c>
      <c r="R89" s="16" t="s">
        <v>107</v>
      </c>
      <c r="S89" s="17">
        <v>5871.82</v>
      </c>
      <c r="T89" s="17">
        <v>147.5</v>
      </c>
      <c r="U89" s="17">
        <v>0</v>
      </c>
      <c r="V89" s="17"/>
      <c r="W89" s="17">
        <v>25</v>
      </c>
      <c r="X89" s="17">
        <v>100</v>
      </c>
      <c r="Y89" s="17">
        <v>20</v>
      </c>
      <c r="Z89" s="18">
        <f t="shared" si="39"/>
        <v>2.5119979835894153E-2</v>
      </c>
      <c r="AA89" s="19">
        <v>0.15</v>
      </c>
      <c r="AB89" s="17">
        <f t="shared" ref="AB89:AB101" si="49">(AA89*X89)</f>
        <v>15</v>
      </c>
      <c r="AC89" s="17">
        <v>0</v>
      </c>
      <c r="AD89" s="17">
        <v>0</v>
      </c>
      <c r="AE89" s="17">
        <f t="shared" si="40"/>
        <v>15</v>
      </c>
      <c r="AF89" s="17">
        <f t="shared" si="37"/>
        <v>2.4</v>
      </c>
      <c r="AG89" s="17">
        <f t="shared" si="41"/>
        <v>17.399999999999999</v>
      </c>
      <c r="AH89" s="17">
        <f t="shared" si="32"/>
        <v>0.3</v>
      </c>
      <c r="AI89" s="17">
        <v>0</v>
      </c>
      <c r="AJ89" s="17">
        <f t="shared" si="42"/>
        <v>0.3</v>
      </c>
      <c r="AK89" s="20"/>
      <c r="AL89" s="17">
        <f t="shared" si="43"/>
        <v>14.7</v>
      </c>
      <c r="AM89" s="17" t="s">
        <v>108</v>
      </c>
      <c r="AN89" s="21">
        <v>0.4</v>
      </c>
      <c r="AO89" s="17">
        <f t="shared" si="44"/>
        <v>5.88</v>
      </c>
      <c r="AP89" s="30">
        <v>5.88</v>
      </c>
      <c r="AQ89" s="29">
        <v>45229</v>
      </c>
      <c r="AR89" s="17">
        <f t="shared" si="36"/>
        <v>0</v>
      </c>
      <c r="AS89" s="17"/>
      <c r="AT89" s="17">
        <v>17.399999999999999</v>
      </c>
      <c r="AU89" s="17">
        <f t="shared" si="45"/>
        <v>17.399999999999999</v>
      </c>
      <c r="AV89" s="17">
        <f t="shared" si="46"/>
        <v>0</v>
      </c>
      <c r="AW89" s="17" t="str">
        <f t="shared" ref="AW89:AW152" si="50">Q89</f>
        <v>RAWSUR</v>
      </c>
      <c r="AX89" s="22">
        <v>44994</v>
      </c>
      <c r="AY89" s="22"/>
      <c r="AZ89" s="1" t="s">
        <v>110</v>
      </c>
      <c r="BA89" s="22" t="str">
        <f t="shared" si="48"/>
        <v>MARINE CARGO / GIT</v>
      </c>
      <c r="BB89" s="22"/>
      <c r="BC89" s="22"/>
      <c r="BD89" s="1" t="s">
        <v>275</v>
      </c>
    </row>
    <row r="90" spans="1:56" ht="14.25" customHeight="1" x14ac:dyDescent="0.2">
      <c r="A90" s="12" t="s">
        <v>56</v>
      </c>
      <c r="B90" s="1" t="s">
        <v>57</v>
      </c>
      <c r="C90" s="13">
        <v>44562</v>
      </c>
      <c r="D90" s="13">
        <v>44602</v>
      </c>
      <c r="E90" s="13">
        <v>44562</v>
      </c>
      <c r="F90" s="13">
        <v>44926</v>
      </c>
      <c r="G90" s="14" t="str">
        <f t="shared" si="38"/>
        <v>000-089/AIB RDC/2022</v>
      </c>
      <c r="H90" s="1">
        <v>1</v>
      </c>
      <c r="I90" s="1" t="s">
        <v>115</v>
      </c>
      <c r="J90" s="1" t="s">
        <v>116</v>
      </c>
      <c r="K90" s="1" t="s">
        <v>117</v>
      </c>
      <c r="L90" s="16" t="s">
        <v>118</v>
      </c>
      <c r="M90" s="16" t="s">
        <v>105</v>
      </c>
      <c r="N90" s="16" t="s">
        <v>119</v>
      </c>
      <c r="O90" s="16" t="s">
        <v>73</v>
      </c>
      <c r="P90" s="16" t="s">
        <v>73</v>
      </c>
      <c r="Q90" s="16" t="s">
        <v>86</v>
      </c>
      <c r="R90" s="16" t="s">
        <v>86</v>
      </c>
      <c r="S90" s="17"/>
      <c r="T90" s="17"/>
      <c r="U90" s="17"/>
      <c r="V90" s="17"/>
      <c r="W90" s="17">
        <v>0</v>
      </c>
      <c r="X90" s="17">
        <v>-775.01</v>
      </c>
      <c r="Y90" s="17"/>
      <c r="Z90" s="18" t="e">
        <f t="shared" si="39"/>
        <v>#DIV/0!</v>
      </c>
      <c r="AA90" s="19">
        <v>0.1</v>
      </c>
      <c r="AB90" s="17">
        <f t="shared" si="49"/>
        <v>-77.501000000000005</v>
      </c>
      <c r="AC90" s="17">
        <v>0</v>
      </c>
      <c r="AD90" s="17">
        <v>0</v>
      </c>
      <c r="AE90" s="17">
        <f t="shared" si="40"/>
        <v>-77.501000000000005</v>
      </c>
      <c r="AF90" s="17">
        <f t="shared" si="37"/>
        <v>-12.400160000000001</v>
      </c>
      <c r="AG90" s="17">
        <f t="shared" si="41"/>
        <v>-89.901160000000004</v>
      </c>
      <c r="AH90" s="17">
        <f t="shared" si="32"/>
        <v>-1.5500200000000002</v>
      </c>
      <c r="AI90" s="17">
        <v>0</v>
      </c>
      <c r="AJ90" s="17">
        <f t="shared" si="42"/>
        <v>-1.5500200000000002</v>
      </c>
      <c r="AK90" s="20"/>
      <c r="AL90" s="17">
        <f t="shared" si="43"/>
        <v>-75.950980000000001</v>
      </c>
      <c r="AM90" s="17" t="s">
        <v>87</v>
      </c>
      <c r="AN90" s="21">
        <v>0.35</v>
      </c>
      <c r="AO90" s="17">
        <f t="shared" si="44"/>
        <v>-26.582843</v>
      </c>
      <c r="AP90" s="17"/>
      <c r="AQ90" s="16"/>
      <c r="AR90" s="17">
        <f t="shared" si="36"/>
        <v>-26.582843</v>
      </c>
      <c r="AS90" s="17"/>
      <c r="AT90" s="17"/>
      <c r="AU90" s="17">
        <f t="shared" si="45"/>
        <v>-89.901160000000004</v>
      </c>
      <c r="AV90" s="84">
        <f t="shared" si="46"/>
        <v>-89.901160000000004</v>
      </c>
      <c r="AW90" s="17" t="str">
        <f t="shared" si="50"/>
        <v>SUNU</v>
      </c>
      <c r="AX90" s="22"/>
      <c r="AY90" s="22"/>
      <c r="AZ90" s="1" t="s">
        <v>68</v>
      </c>
      <c r="BA90" s="22" t="str">
        <f t="shared" si="48"/>
        <v>MOTOR TPL</v>
      </c>
      <c r="BB90" s="22"/>
      <c r="BC90" s="22"/>
      <c r="BD90" s="22"/>
    </row>
    <row r="91" spans="1:56" ht="14.25" customHeight="1" x14ac:dyDescent="0.2">
      <c r="A91" s="12" t="s">
        <v>56</v>
      </c>
      <c r="B91" s="1" t="s">
        <v>57</v>
      </c>
      <c r="C91" s="13">
        <v>44592</v>
      </c>
      <c r="D91" s="13">
        <v>44594</v>
      </c>
      <c r="E91" s="13">
        <v>44592</v>
      </c>
      <c r="F91" s="13">
        <v>44716</v>
      </c>
      <c r="G91" s="14" t="str">
        <f t="shared" si="38"/>
        <v>000-090/AIB RDC/2022</v>
      </c>
      <c r="H91" s="1">
        <v>0</v>
      </c>
      <c r="I91" s="1" t="s">
        <v>74</v>
      </c>
      <c r="J91" s="1" t="s">
        <v>277</v>
      </c>
      <c r="K91" s="16" t="s">
        <v>278</v>
      </c>
      <c r="L91" s="16" t="s">
        <v>94</v>
      </c>
      <c r="M91" s="16" t="s">
        <v>105</v>
      </c>
      <c r="N91" s="16" t="s">
        <v>209</v>
      </c>
      <c r="O91" s="16" t="s">
        <v>73</v>
      </c>
      <c r="P91" s="16" t="s">
        <v>73</v>
      </c>
      <c r="Q91" s="16" t="s">
        <v>79</v>
      </c>
      <c r="R91" s="16" t="s">
        <v>79</v>
      </c>
      <c r="S91" s="17">
        <v>0</v>
      </c>
      <c r="T91" s="17">
        <v>86.5</v>
      </c>
      <c r="U91" s="17">
        <v>0</v>
      </c>
      <c r="V91" s="17">
        <v>0</v>
      </c>
      <c r="W91" s="17">
        <v>10</v>
      </c>
      <c r="X91" s="17">
        <v>63.3</v>
      </c>
      <c r="Y91" s="17"/>
      <c r="Z91" s="18" t="e">
        <f t="shared" si="39"/>
        <v>#DIV/0!</v>
      </c>
      <c r="AA91" s="19">
        <v>0.125</v>
      </c>
      <c r="AB91" s="17">
        <f t="shared" si="49"/>
        <v>7.9124999999999996</v>
      </c>
      <c r="AC91" s="17">
        <v>0</v>
      </c>
      <c r="AD91" s="17">
        <v>0</v>
      </c>
      <c r="AE91" s="17">
        <f t="shared" si="40"/>
        <v>7.9124999999999996</v>
      </c>
      <c r="AF91" s="17">
        <f t="shared" si="37"/>
        <v>1.266</v>
      </c>
      <c r="AG91" s="17">
        <f t="shared" si="41"/>
        <v>9.1784999999999997</v>
      </c>
      <c r="AH91" s="17">
        <f t="shared" si="32"/>
        <v>0.15825</v>
      </c>
      <c r="AI91" s="17">
        <v>0</v>
      </c>
      <c r="AJ91" s="17">
        <f t="shared" si="42"/>
        <v>0.15825</v>
      </c>
      <c r="AK91" s="20" t="s">
        <v>142</v>
      </c>
      <c r="AL91" s="17">
        <f t="shared" si="43"/>
        <v>7.7542499999999999</v>
      </c>
      <c r="AM91" s="17"/>
      <c r="AN91" s="21"/>
      <c r="AO91" s="17">
        <f t="shared" si="44"/>
        <v>0</v>
      </c>
      <c r="AP91" s="17"/>
      <c r="AQ91" s="16"/>
      <c r="AR91" s="17">
        <f t="shared" si="36"/>
        <v>0</v>
      </c>
      <c r="AS91" s="17"/>
      <c r="AT91" s="17">
        <v>9.1784999999999997</v>
      </c>
      <c r="AU91" s="17">
        <f t="shared" si="45"/>
        <v>9.1784999999999997</v>
      </c>
      <c r="AV91" s="17">
        <f t="shared" si="46"/>
        <v>0</v>
      </c>
      <c r="AW91" s="17" t="str">
        <f t="shared" si="50"/>
        <v>MAYFAIR</v>
      </c>
      <c r="AX91" s="22">
        <v>44645</v>
      </c>
      <c r="AY91" s="22"/>
      <c r="AZ91" s="1" t="s">
        <v>68</v>
      </c>
      <c r="BA91" s="22" t="str">
        <f t="shared" si="48"/>
        <v>MOTOR TPL</v>
      </c>
      <c r="BB91" s="22"/>
      <c r="BC91" s="22"/>
      <c r="BD91" s="22"/>
    </row>
    <row r="92" spans="1:56" ht="14.25" customHeight="1" x14ac:dyDescent="0.2">
      <c r="A92" s="1" t="s">
        <v>56</v>
      </c>
      <c r="B92" s="1" t="s">
        <v>57</v>
      </c>
      <c r="C92" s="13">
        <v>44581</v>
      </c>
      <c r="D92" s="13">
        <v>44581</v>
      </c>
      <c r="E92" s="13">
        <v>44581</v>
      </c>
      <c r="F92" s="13">
        <v>44945</v>
      </c>
      <c r="G92" s="14" t="str">
        <f t="shared" si="38"/>
        <v>000-091/AIB RDC/2022</v>
      </c>
      <c r="H92" s="1">
        <v>11</v>
      </c>
      <c r="I92" s="1" t="s">
        <v>115</v>
      </c>
      <c r="J92" s="1" t="s">
        <v>221</v>
      </c>
      <c r="K92" s="1" t="s">
        <v>222</v>
      </c>
      <c r="L92" s="1" t="s">
        <v>160</v>
      </c>
      <c r="M92" s="1" t="s">
        <v>105</v>
      </c>
      <c r="N92" s="1" t="s">
        <v>184</v>
      </c>
      <c r="O92" s="1" t="s">
        <v>73</v>
      </c>
      <c r="P92" s="1" t="s">
        <v>73</v>
      </c>
      <c r="Q92" s="1" t="s">
        <v>130</v>
      </c>
      <c r="R92" s="1" t="s">
        <v>130</v>
      </c>
      <c r="S92" s="17">
        <v>0</v>
      </c>
      <c r="T92" s="17">
        <v>-86.54</v>
      </c>
      <c r="U92" s="17">
        <v>0</v>
      </c>
      <c r="V92" s="17">
        <v>0</v>
      </c>
      <c r="W92" s="17">
        <v>0</v>
      </c>
      <c r="X92" s="17">
        <v>-74.599999999999994</v>
      </c>
      <c r="Y92" s="17">
        <v>-11.94</v>
      </c>
      <c r="Z92" s="18" t="e">
        <f t="shared" si="39"/>
        <v>#DIV/0!</v>
      </c>
      <c r="AA92" s="19">
        <v>0.1</v>
      </c>
      <c r="AB92" s="17">
        <f t="shared" si="49"/>
        <v>-7.46</v>
      </c>
      <c r="AC92" s="17">
        <v>0</v>
      </c>
      <c r="AD92" s="17">
        <v>0</v>
      </c>
      <c r="AE92" s="17">
        <f t="shared" si="40"/>
        <v>-7.46</v>
      </c>
      <c r="AF92" s="17">
        <f t="shared" si="37"/>
        <v>-1.1936</v>
      </c>
      <c r="AG92" s="17">
        <f t="shared" si="41"/>
        <v>-8.6536000000000008</v>
      </c>
      <c r="AH92" s="17">
        <f t="shared" si="32"/>
        <v>-0.1492</v>
      </c>
      <c r="AI92" s="17">
        <v>0</v>
      </c>
      <c r="AJ92" s="17">
        <f t="shared" si="42"/>
        <v>-0.1492</v>
      </c>
      <c r="AK92" s="20"/>
      <c r="AL92" s="17">
        <f t="shared" si="43"/>
        <v>-7.3108000000000004</v>
      </c>
      <c r="AM92" s="17"/>
      <c r="AN92" s="21"/>
      <c r="AO92" s="17">
        <f t="shared" si="44"/>
        <v>0</v>
      </c>
      <c r="AP92" s="17"/>
      <c r="AQ92" s="16"/>
      <c r="AR92" s="17">
        <f t="shared" si="36"/>
        <v>0</v>
      </c>
      <c r="AS92" s="17"/>
      <c r="AT92" s="17">
        <v>-8.6536000000000008</v>
      </c>
      <c r="AU92" s="17">
        <f t="shared" si="45"/>
        <v>-8.6536000000000008</v>
      </c>
      <c r="AV92" s="17">
        <f t="shared" si="46"/>
        <v>0</v>
      </c>
      <c r="AW92" s="17" t="str">
        <f t="shared" si="50"/>
        <v>SFA</v>
      </c>
      <c r="AX92" s="22">
        <v>44676</v>
      </c>
      <c r="AY92" s="22"/>
      <c r="AZ92" s="1" t="s">
        <v>68</v>
      </c>
      <c r="BA92" s="22" t="str">
        <f t="shared" si="48"/>
        <v>MOTOR TPL</v>
      </c>
      <c r="BB92" s="22"/>
      <c r="BC92" s="22"/>
      <c r="BD92" s="22"/>
    </row>
    <row r="93" spans="1:56" ht="14.25" customHeight="1" x14ac:dyDescent="0.2">
      <c r="A93" s="1" t="s">
        <v>56</v>
      </c>
      <c r="B93" s="1" t="s">
        <v>57</v>
      </c>
      <c r="C93" s="13">
        <v>44562</v>
      </c>
      <c r="D93" s="13">
        <v>44687</v>
      </c>
      <c r="E93" s="13">
        <v>44562</v>
      </c>
      <c r="F93" s="13">
        <v>44926</v>
      </c>
      <c r="G93" s="14" t="str">
        <f t="shared" si="38"/>
        <v>000-092/AIB RDC/2022</v>
      </c>
      <c r="H93" s="1">
        <v>2</v>
      </c>
      <c r="I93" s="1" t="s">
        <v>58</v>
      </c>
      <c r="J93" s="1" t="s">
        <v>279</v>
      </c>
      <c r="K93" s="1" t="s">
        <v>117</v>
      </c>
      <c r="L93" s="1" t="s">
        <v>118</v>
      </c>
      <c r="M93" s="1" t="s">
        <v>84</v>
      </c>
      <c r="N93" s="1" t="s">
        <v>84</v>
      </c>
      <c r="O93" s="1" t="s">
        <v>64</v>
      </c>
      <c r="P93" s="1" t="s">
        <v>65</v>
      </c>
      <c r="Q93" s="1" t="s">
        <v>66</v>
      </c>
      <c r="R93" s="1" t="s">
        <v>66</v>
      </c>
      <c r="S93" s="17">
        <v>0</v>
      </c>
      <c r="T93" s="17">
        <v>2343.1999999999998</v>
      </c>
      <c r="U93" s="17">
        <v>0</v>
      </c>
      <c r="V93" s="17"/>
      <c r="W93" s="17">
        <v>20</v>
      </c>
      <c r="X93" s="17">
        <v>2000</v>
      </c>
      <c r="Y93" s="17">
        <v>323.2</v>
      </c>
      <c r="Z93" s="18" t="e">
        <f t="shared" si="39"/>
        <v>#DIV/0!</v>
      </c>
      <c r="AA93" s="19">
        <v>0.05</v>
      </c>
      <c r="AB93" s="17">
        <f t="shared" si="49"/>
        <v>100</v>
      </c>
      <c r="AC93" s="17">
        <v>0</v>
      </c>
      <c r="AD93" s="17">
        <v>0</v>
      </c>
      <c r="AE93" s="17">
        <f t="shared" si="40"/>
        <v>100</v>
      </c>
      <c r="AF93" s="17">
        <f t="shared" si="37"/>
        <v>16</v>
      </c>
      <c r="AG93" s="17">
        <f t="shared" si="41"/>
        <v>116</v>
      </c>
      <c r="AH93" s="17">
        <f t="shared" si="32"/>
        <v>2</v>
      </c>
      <c r="AI93" s="17">
        <v>0</v>
      </c>
      <c r="AJ93" s="17">
        <f t="shared" si="42"/>
        <v>2</v>
      </c>
      <c r="AK93" s="20"/>
      <c r="AL93" s="17">
        <f t="shared" si="43"/>
        <v>98</v>
      </c>
      <c r="AM93" s="17"/>
      <c r="AN93" s="21"/>
      <c r="AO93" s="17">
        <f t="shared" si="44"/>
        <v>0</v>
      </c>
      <c r="AP93" s="17"/>
      <c r="AQ93" s="16"/>
      <c r="AR93" s="17">
        <f t="shared" si="36"/>
        <v>0</v>
      </c>
      <c r="AS93" s="17"/>
      <c r="AT93" s="17">
        <v>116</v>
      </c>
      <c r="AU93" s="17">
        <f t="shared" si="45"/>
        <v>116</v>
      </c>
      <c r="AV93" s="17">
        <f t="shared" si="46"/>
        <v>0</v>
      </c>
      <c r="AW93" s="17" t="str">
        <f t="shared" si="50"/>
        <v>ACTIVA</v>
      </c>
      <c r="AX93" s="22">
        <v>44748</v>
      </c>
      <c r="AY93" s="22"/>
      <c r="AZ93" s="1" t="s">
        <v>100</v>
      </c>
      <c r="BA93" s="22" t="str">
        <f t="shared" si="48"/>
        <v>MARINE CARGO / GIT</v>
      </c>
      <c r="BB93" s="22"/>
      <c r="BC93" s="22"/>
      <c r="BD93" s="22"/>
    </row>
    <row r="94" spans="1:56" ht="14.25" customHeight="1" x14ac:dyDescent="0.2">
      <c r="A94" s="1" t="s">
        <v>229</v>
      </c>
      <c r="B94" s="1" t="s">
        <v>57</v>
      </c>
      <c r="C94" s="13">
        <v>44608</v>
      </c>
      <c r="D94" s="13">
        <v>44649</v>
      </c>
      <c r="E94" s="13">
        <v>44608</v>
      </c>
      <c r="F94" s="13">
        <v>44712</v>
      </c>
      <c r="G94" s="14" t="str">
        <f t="shared" si="38"/>
        <v>000-093/AIB RDC/2022</v>
      </c>
      <c r="H94" s="1">
        <v>0</v>
      </c>
      <c r="I94" s="1" t="s">
        <v>74</v>
      </c>
      <c r="J94" s="1" t="s">
        <v>280</v>
      </c>
      <c r="K94" s="1" t="s">
        <v>76</v>
      </c>
      <c r="L94" s="16"/>
      <c r="M94" s="1" t="s">
        <v>62</v>
      </c>
      <c r="N94" s="1" t="s">
        <v>78</v>
      </c>
      <c r="O94" s="1" t="s">
        <v>281</v>
      </c>
      <c r="P94" s="1" t="s">
        <v>166</v>
      </c>
      <c r="Q94" s="1" t="s">
        <v>79</v>
      </c>
      <c r="R94" s="1" t="s">
        <v>79</v>
      </c>
      <c r="S94" s="17"/>
      <c r="T94" s="17">
        <v>2122.9499999999998</v>
      </c>
      <c r="U94" s="17">
        <v>0</v>
      </c>
      <c r="V94" s="17">
        <v>0</v>
      </c>
      <c r="W94" s="17"/>
      <c r="X94" s="17">
        <v>1699.11</v>
      </c>
      <c r="Y94" s="17"/>
      <c r="Z94" s="18" t="e">
        <f t="shared" si="39"/>
        <v>#DIV/0!</v>
      </c>
      <c r="AA94" s="19">
        <v>0.15</v>
      </c>
      <c r="AB94" s="17">
        <f t="shared" si="49"/>
        <v>254.86649999999997</v>
      </c>
      <c r="AC94" s="17">
        <v>0</v>
      </c>
      <c r="AD94" s="17">
        <v>0</v>
      </c>
      <c r="AE94" s="17">
        <f t="shared" si="40"/>
        <v>254.86649999999997</v>
      </c>
      <c r="AF94" s="17">
        <f t="shared" si="37"/>
        <v>40.778639999999996</v>
      </c>
      <c r="AG94" s="17">
        <f t="shared" si="41"/>
        <v>295.64513999999997</v>
      </c>
      <c r="AH94" s="17">
        <f t="shared" si="32"/>
        <v>5.0973299999999995</v>
      </c>
      <c r="AI94" s="17">
        <v>0</v>
      </c>
      <c r="AJ94" s="17">
        <f t="shared" si="42"/>
        <v>5.0973299999999995</v>
      </c>
      <c r="AK94" s="20"/>
      <c r="AL94" s="17">
        <f t="shared" si="43"/>
        <v>249.76916999999997</v>
      </c>
      <c r="AM94" s="17" t="s">
        <v>80</v>
      </c>
      <c r="AN94" s="21">
        <v>0.3</v>
      </c>
      <c r="AO94" s="23">
        <f t="shared" si="44"/>
        <v>74.930750999999987</v>
      </c>
      <c r="AP94" s="17">
        <v>74.930750999999987</v>
      </c>
      <c r="AQ94" s="16">
        <v>45188</v>
      </c>
      <c r="AR94" s="17">
        <f t="shared" si="36"/>
        <v>0</v>
      </c>
      <c r="AS94" s="17"/>
      <c r="AT94" s="17">
        <v>295.64513999999997</v>
      </c>
      <c r="AU94" s="17">
        <f t="shared" si="45"/>
        <v>295.64513999999997</v>
      </c>
      <c r="AV94" s="17">
        <f t="shared" si="46"/>
        <v>0</v>
      </c>
      <c r="AW94" s="17" t="str">
        <f t="shared" si="50"/>
        <v>MAYFAIR</v>
      </c>
      <c r="AX94" s="22">
        <v>44699</v>
      </c>
      <c r="AY94" s="22"/>
      <c r="AZ94" s="1" t="s">
        <v>68</v>
      </c>
      <c r="BA94" s="22" t="str">
        <f t="shared" si="48"/>
        <v>TRC</v>
      </c>
      <c r="BB94" s="22"/>
      <c r="BC94" s="1" t="s">
        <v>79</v>
      </c>
      <c r="BD94" s="1"/>
    </row>
    <row r="95" spans="1:56" ht="14.25" customHeight="1" x14ac:dyDescent="0.2">
      <c r="A95" s="1" t="s">
        <v>229</v>
      </c>
      <c r="B95" s="1" t="s">
        <v>57</v>
      </c>
      <c r="C95" s="13">
        <v>44608</v>
      </c>
      <c r="D95" s="13">
        <v>44649</v>
      </c>
      <c r="E95" s="13">
        <v>44608</v>
      </c>
      <c r="F95" s="13">
        <v>44712</v>
      </c>
      <c r="G95" s="14" t="str">
        <f t="shared" si="38"/>
        <v>000-094/AIB RDC/2022</v>
      </c>
      <c r="H95" s="1">
        <v>1</v>
      </c>
      <c r="I95" s="1" t="s">
        <v>91</v>
      </c>
      <c r="J95" s="1" t="s">
        <v>282</v>
      </c>
      <c r="K95" s="1" t="s">
        <v>76</v>
      </c>
      <c r="L95" s="16"/>
      <c r="M95" s="1" t="s">
        <v>62</v>
      </c>
      <c r="N95" s="1" t="s">
        <v>78</v>
      </c>
      <c r="O95" s="1" t="s">
        <v>281</v>
      </c>
      <c r="P95" s="1" t="s">
        <v>166</v>
      </c>
      <c r="Q95" s="1" t="s">
        <v>79</v>
      </c>
      <c r="R95" s="1" t="s">
        <v>79</v>
      </c>
      <c r="S95" s="17"/>
      <c r="T95" s="17">
        <v>4518.28</v>
      </c>
      <c r="U95" s="17">
        <v>0</v>
      </c>
      <c r="V95" s="17">
        <v>0</v>
      </c>
      <c r="W95" s="17"/>
      <c r="X95" s="17">
        <v>3729.05</v>
      </c>
      <c r="Y95" s="17"/>
      <c r="Z95" s="18" t="e">
        <f t="shared" si="39"/>
        <v>#DIV/0!</v>
      </c>
      <c r="AA95" s="19">
        <v>0.15</v>
      </c>
      <c r="AB95" s="17">
        <f t="shared" si="49"/>
        <v>559.35749999999996</v>
      </c>
      <c r="AC95" s="17">
        <v>0</v>
      </c>
      <c r="AD95" s="17">
        <v>0</v>
      </c>
      <c r="AE95" s="17">
        <f t="shared" si="40"/>
        <v>559.35749999999996</v>
      </c>
      <c r="AF95" s="17">
        <f t="shared" si="37"/>
        <v>89.497199999999992</v>
      </c>
      <c r="AG95" s="17">
        <f t="shared" si="41"/>
        <v>648.85469999999998</v>
      </c>
      <c r="AH95" s="17">
        <f t="shared" si="32"/>
        <v>11.187149999999999</v>
      </c>
      <c r="AI95" s="17">
        <v>0</v>
      </c>
      <c r="AJ95" s="17">
        <f t="shared" si="42"/>
        <v>11.187149999999999</v>
      </c>
      <c r="AK95" s="20"/>
      <c r="AL95" s="17">
        <f t="shared" si="43"/>
        <v>548.17034999999998</v>
      </c>
      <c r="AM95" s="17" t="s">
        <v>80</v>
      </c>
      <c r="AN95" s="21">
        <v>0.3</v>
      </c>
      <c r="AO95" s="23">
        <f t="shared" si="44"/>
        <v>164.45110499999998</v>
      </c>
      <c r="AP95" s="17">
        <v>164.45110499999998</v>
      </c>
      <c r="AQ95" s="16">
        <v>45188</v>
      </c>
      <c r="AR95" s="17">
        <f t="shared" si="36"/>
        <v>0</v>
      </c>
      <c r="AS95" s="17"/>
      <c r="AT95" s="17">
        <v>648.85469999999998</v>
      </c>
      <c r="AU95" s="17">
        <f t="shared" si="45"/>
        <v>648.85469999999998</v>
      </c>
      <c r="AV95" s="17">
        <f t="shared" si="46"/>
        <v>0</v>
      </c>
      <c r="AW95" s="17" t="str">
        <f t="shared" si="50"/>
        <v>MAYFAIR</v>
      </c>
      <c r="AX95" s="22">
        <v>44772</v>
      </c>
      <c r="AY95" s="22"/>
      <c r="AZ95" s="1" t="s">
        <v>68</v>
      </c>
      <c r="BA95" s="22" t="str">
        <f t="shared" si="48"/>
        <v>TRC</v>
      </c>
      <c r="BB95" s="22"/>
      <c r="BC95" s="1" t="s">
        <v>79</v>
      </c>
      <c r="BD95" s="32" t="s">
        <v>283</v>
      </c>
    </row>
    <row r="96" spans="1:56" ht="14.25" customHeight="1" x14ac:dyDescent="0.2">
      <c r="A96" s="12" t="s">
        <v>229</v>
      </c>
      <c r="B96" s="1" t="s">
        <v>57</v>
      </c>
      <c r="C96" s="13">
        <v>44593</v>
      </c>
      <c r="D96" s="13">
        <v>44587</v>
      </c>
      <c r="E96" s="13">
        <v>44593</v>
      </c>
      <c r="F96" s="13">
        <v>44957</v>
      </c>
      <c r="G96" s="14" t="str">
        <f t="shared" si="38"/>
        <v>000-095/AIB RDC/2022</v>
      </c>
      <c r="H96" s="1">
        <v>0</v>
      </c>
      <c r="I96" s="1" t="s">
        <v>74</v>
      </c>
      <c r="J96" s="16" t="s">
        <v>284</v>
      </c>
      <c r="K96" s="16" t="s">
        <v>285</v>
      </c>
      <c r="L96" s="16" t="s">
        <v>83</v>
      </c>
      <c r="M96" s="16" t="s">
        <v>84</v>
      </c>
      <c r="N96" s="16" t="s">
        <v>209</v>
      </c>
      <c r="O96" s="16" t="s">
        <v>152</v>
      </c>
      <c r="P96" s="16" t="s">
        <v>153</v>
      </c>
      <c r="Q96" s="16" t="s">
        <v>66</v>
      </c>
      <c r="R96" s="16" t="s">
        <v>66</v>
      </c>
      <c r="S96" s="17">
        <v>7297046</v>
      </c>
      <c r="T96" s="17">
        <v>365739.3</v>
      </c>
      <c r="U96" s="17">
        <v>0</v>
      </c>
      <c r="V96" s="17"/>
      <c r="W96" s="17"/>
      <c r="X96" s="17">
        <v>312170.8</v>
      </c>
      <c r="Y96" s="17"/>
      <c r="Z96" s="18">
        <f t="shared" si="39"/>
        <v>5.0121556037881626E-2</v>
      </c>
      <c r="AA96" s="19">
        <v>0.14089511166744498</v>
      </c>
      <c r="AB96" s="17">
        <f t="shared" si="49"/>
        <v>43983.339725315629</v>
      </c>
      <c r="AC96" s="17">
        <v>0</v>
      </c>
      <c r="AD96" s="17">
        <f>3%*X96</f>
        <v>9365.1239999999998</v>
      </c>
      <c r="AE96" s="17">
        <f t="shared" si="40"/>
        <v>53348.463725315625</v>
      </c>
      <c r="AF96" s="17">
        <f t="shared" si="37"/>
        <v>8535.7541960505005</v>
      </c>
      <c r="AG96" s="17">
        <f t="shared" si="41"/>
        <v>61884.217921366129</v>
      </c>
      <c r="AH96" s="17">
        <f t="shared" si="32"/>
        <v>1066.9692745063126</v>
      </c>
      <c r="AI96" s="17">
        <v>0</v>
      </c>
      <c r="AJ96" s="17">
        <f t="shared" si="42"/>
        <v>1066.9692745063126</v>
      </c>
      <c r="AK96" s="20" t="s">
        <v>67</v>
      </c>
      <c r="AL96" s="17">
        <f t="shared" si="43"/>
        <v>52281.49445080931</v>
      </c>
      <c r="AM96" s="17" t="s">
        <v>198</v>
      </c>
      <c r="AN96" s="21"/>
      <c r="AO96" s="17">
        <f t="shared" si="44"/>
        <v>0</v>
      </c>
      <c r="AP96" s="17"/>
      <c r="AQ96" s="16"/>
      <c r="AR96" s="17">
        <f t="shared" si="36"/>
        <v>0</v>
      </c>
      <c r="AS96" s="17"/>
      <c r="AT96" s="17">
        <v>61884.217921366129</v>
      </c>
      <c r="AU96" s="17">
        <f t="shared" si="45"/>
        <v>61884.217921366129</v>
      </c>
      <c r="AV96" s="17">
        <f t="shared" si="46"/>
        <v>0</v>
      </c>
      <c r="AW96" s="17" t="str">
        <f t="shared" si="50"/>
        <v>ACTIVA</v>
      </c>
      <c r="AX96" s="22">
        <v>44643</v>
      </c>
      <c r="AY96" s="22"/>
      <c r="AZ96" s="1" t="s">
        <v>68</v>
      </c>
      <c r="BA96" s="22" t="str">
        <f t="shared" si="48"/>
        <v>COMP MOTOR</v>
      </c>
      <c r="BB96" s="22"/>
      <c r="BC96" s="22"/>
      <c r="BD96" s="22"/>
    </row>
    <row r="97" spans="1:56" ht="14.25" customHeight="1" x14ac:dyDescent="0.2">
      <c r="A97" s="12" t="s">
        <v>229</v>
      </c>
      <c r="B97" s="1" t="s">
        <v>57</v>
      </c>
      <c r="C97" s="13">
        <v>44614</v>
      </c>
      <c r="D97" s="13">
        <v>44614</v>
      </c>
      <c r="E97" s="13">
        <v>44593</v>
      </c>
      <c r="F97" s="13">
        <v>44957</v>
      </c>
      <c r="G97" s="14" t="str">
        <f t="shared" si="38"/>
        <v>000-096/AIB RDC/2022</v>
      </c>
      <c r="H97" s="1">
        <v>1</v>
      </c>
      <c r="I97" s="1" t="s">
        <v>91</v>
      </c>
      <c r="J97" s="16" t="s">
        <v>284</v>
      </c>
      <c r="K97" s="16" t="s">
        <v>285</v>
      </c>
      <c r="L97" s="16" t="s">
        <v>83</v>
      </c>
      <c r="M97" s="16" t="s">
        <v>84</v>
      </c>
      <c r="N97" s="16" t="s">
        <v>209</v>
      </c>
      <c r="O97" s="16" t="s">
        <v>152</v>
      </c>
      <c r="P97" s="16" t="s">
        <v>153</v>
      </c>
      <c r="Q97" s="16" t="s">
        <v>66</v>
      </c>
      <c r="R97" s="16" t="s">
        <v>66</v>
      </c>
      <c r="S97" s="17">
        <v>40827</v>
      </c>
      <c r="T97" s="17">
        <v>1984.98</v>
      </c>
      <c r="U97" s="17">
        <v>0</v>
      </c>
      <c r="V97" s="17"/>
      <c r="W97" s="17"/>
      <c r="X97" s="17">
        <v>1694.25</v>
      </c>
      <c r="Y97" s="17"/>
      <c r="Z97" s="18">
        <f t="shared" si="39"/>
        <v>4.8619296054081856E-2</v>
      </c>
      <c r="AA97" s="19">
        <v>0.14782352073188726</v>
      </c>
      <c r="AB97" s="17">
        <f t="shared" si="49"/>
        <v>250.45</v>
      </c>
      <c r="AC97" s="17">
        <v>0</v>
      </c>
      <c r="AD97" s="17">
        <f>3%*X97</f>
        <v>50.827500000000001</v>
      </c>
      <c r="AE97" s="17">
        <f t="shared" si="40"/>
        <v>301.27749999999997</v>
      </c>
      <c r="AF97" s="17">
        <f t="shared" si="37"/>
        <v>48.2044</v>
      </c>
      <c r="AG97" s="17">
        <f t="shared" si="41"/>
        <v>349.4819</v>
      </c>
      <c r="AH97" s="17">
        <f t="shared" si="32"/>
        <v>6.02555</v>
      </c>
      <c r="AI97" s="17">
        <v>0</v>
      </c>
      <c r="AJ97" s="17">
        <f t="shared" si="42"/>
        <v>6.02555</v>
      </c>
      <c r="AK97" s="20" t="s">
        <v>142</v>
      </c>
      <c r="AL97" s="17">
        <f t="shared" si="43"/>
        <v>295.25194999999997</v>
      </c>
      <c r="AM97" s="17" t="s">
        <v>198</v>
      </c>
      <c r="AN97" s="21"/>
      <c r="AO97" s="17">
        <f t="shared" si="44"/>
        <v>0</v>
      </c>
      <c r="AP97" s="17"/>
      <c r="AQ97" s="16"/>
      <c r="AR97" s="17">
        <f t="shared" si="36"/>
        <v>0</v>
      </c>
      <c r="AS97" s="17"/>
      <c r="AT97" s="17">
        <v>349.4819</v>
      </c>
      <c r="AU97" s="17">
        <f t="shared" si="45"/>
        <v>349.4819</v>
      </c>
      <c r="AV97" s="17">
        <f t="shared" si="46"/>
        <v>0</v>
      </c>
      <c r="AW97" s="17" t="str">
        <f t="shared" si="50"/>
        <v>ACTIVA</v>
      </c>
      <c r="AX97" s="22">
        <v>44650</v>
      </c>
      <c r="AY97" s="22"/>
      <c r="AZ97" s="1" t="s">
        <v>68</v>
      </c>
      <c r="BA97" s="22" t="str">
        <f t="shared" si="48"/>
        <v>COMP MOTOR</v>
      </c>
      <c r="BB97" s="22"/>
      <c r="BC97" s="22"/>
      <c r="BD97" s="22"/>
    </row>
    <row r="98" spans="1:56" ht="14.25" customHeight="1" x14ac:dyDescent="0.2">
      <c r="A98" s="12" t="s">
        <v>229</v>
      </c>
      <c r="B98" s="1" t="s">
        <v>57</v>
      </c>
      <c r="C98" s="13">
        <v>44595</v>
      </c>
      <c r="D98" s="13">
        <v>44596</v>
      </c>
      <c r="E98" s="13">
        <v>44593</v>
      </c>
      <c r="F98" s="13">
        <v>44957</v>
      </c>
      <c r="G98" s="14" t="str">
        <f t="shared" si="38"/>
        <v>000-097/AIB RDC/2022</v>
      </c>
      <c r="H98" s="1">
        <v>0</v>
      </c>
      <c r="I98" s="1" t="s">
        <v>74</v>
      </c>
      <c r="J98" s="16" t="s">
        <v>286</v>
      </c>
      <c r="K98" s="1" t="s">
        <v>287</v>
      </c>
      <c r="L98" s="1" t="s">
        <v>288</v>
      </c>
      <c r="M98" s="16" t="s">
        <v>84</v>
      </c>
      <c r="N98" s="16" t="s">
        <v>209</v>
      </c>
      <c r="O98" s="16" t="s">
        <v>152</v>
      </c>
      <c r="P98" s="16" t="s">
        <v>153</v>
      </c>
      <c r="Q98" s="16" t="s">
        <v>130</v>
      </c>
      <c r="R98" s="16" t="s">
        <v>130</v>
      </c>
      <c r="S98" s="17">
        <v>51127</v>
      </c>
      <c r="T98" s="17">
        <v>2733.55</v>
      </c>
      <c r="U98" s="17">
        <v>0</v>
      </c>
      <c r="V98" s="17"/>
      <c r="W98" s="17"/>
      <c r="X98" s="17">
        <v>2282.33</v>
      </c>
      <c r="Y98" s="17"/>
      <c r="Z98" s="18">
        <f t="shared" si="39"/>
        <v>5.3465879085414753E-2</v>
      </c>
      <c r="AA98" s="19">
        <v>0.15</v>
      </c>
      <c r="AB98" s="17">
        <f t="shared" si="49"/>
        <v>342.34949999999998</v>
      </c>
      <c r="AC98" s="17">
        <v>0</v>
      </c>
      <c r="AD98" s="17">
        <v>0</v>
      </c>
      <c r="AE98" s="17">
        <f t="shared" si="40"/>
        <v>342.34949999999998</v>
      </c>
      <c r="AF98" s="17">
        <f t="shared" si="37"/>
        <v>54.775919999999999</v>
      </c>
      <c r="AG98" s="17">
        <f t="shared" si="41"/>
        <v>397.12541999999996</v>
      </c>
      <c r="AH98" s="17">
        <f t="shared" si="32"/>
        <v>6.8469899999999999</v>
      </c>
      <c r="AI98" s="17">
        <v>0</v>
      </c>
      <c r="AJ98" s="17">
        <f t="shared" si="42"/>
        <v>6.8469899999999999</v>
      </c>
      <c r="AK98" s="20" t="s">
        <v>142</v>
      </c>
      <c r="AL98" s="17">
        <f t="shared" si="43"/>
        <v>335.50250999999997</v>
      </c>
      <c r="AM98" s="17" t="s">
        <v>289</v>
      </c>
      <c r="AN98" s="21">
        <v>0.5</v>
      </c>
      <c r="AO98" s="17">
        <f t="shared" si="44"/>
        <v>167.75125499999999</v>
      </c>
      <c r="AP98" s="17">
        <v>167.75125499999999</v>
      </c>
      <c r="AQ98" s="16">
        <v>44867</v>
      </c>
      <c r="AR98" s="17">
        <f t="shared" si="36"/>
        <v>0</v>
      </c>
      <c r="AS98" s="17" t="s">
        <v>290</v>
      </c>
      <c r="AT98" s="17">
        <v>397.12541999999996</v>
      </c>
      <c r="AU98" s="17">
        <f t="shared" si="45"/>
        <v>397.12541999999996</v>
      </c>
      <c r="AV98" s="17">
        <f t="shared" si="46"/>
        <v>0</v>
      </c>
      <c r="AW98" s="17" t="str">
        <f t="shared" si="50"/>
        <v>SFA</v>
      </c>
      <c r="AX98" s="22">
        <v>44649</v>
      </c>
      <c r="AY98" s="22"/>
      <c r="AZ98" s="1" t="s">
        <v>68</v>
      </c>
      <c r="BA98" s="22" t="str">
        <f t="shared" si="48"/>
        <v>COMP MOTOR</v>
      </c>
      <c r="BB98" s="22"/>
      <c r="BC98" s="22"/>
      <c r="BD98" s="22"/>
    </row>
    <row r="99" spans="1:56" ht="14.25" customHeight="1" x14ac:dyDescent="0.2">
      <c r="A99" s="12" t="s">
        <v>229</v>
      </c>
      <c r="B99" s="1" t="s">
        <v>57</v>
      </c>
      <c r="C99" s="13">
        <v>44593</v>
      </c>
      <c r="D99" s="13">
        <v>44685</v>
      </c>
      <c r="E99" s="13">
        <v>44593</v>
      </c>
      <c r="F99" s="13">
        <v>44926</v>
      </c>
      <c r="G99" s="14" t="str">
        <f t="shared" si="38"/>
        <v>000-098/AIB RDC/2022</v>
      </c>
      <c r="H99" s="1">
        <v>3</v>
      </c>
      <c r="I99" s="1" t="s">
        <v>91</v>
      </c>
      <c r="J99" s="1" t="s">
        <v>92</v>
      </c>
      <c r="K99" s="16" t="s">
        <v>291</v>
      </c>
      <c r="L99" s="16"/>
      <c r="M99" s="16" t="s">
        <v>95</v>
      </c>
      <c r="N99" s="16" t="s">
        <v>209</v>
      </c>
      <c r="O99" s="16" t="s">
        <v>97</v>
      </c>
      <c r="P99" s="16" t="s">
        <v>98</v>
      </c>
      <c r="Q99" s="1" t="s">
        <v>99</v>
      </c>
      <c r="R99" s="16" t="s">
        <v>99</v>
      </c>
      <c r="S99" s="17">
        <v>0</v>
      </c>
      <c r="T99" s="17">
        <v>17140</v>
      </c>
      <c r="U99" s="17">
        <v>0</v>
      </c>
      <c r="V99" s="17"/>
      <c r="W99" s="17"/>
      <c r="X99" s="17">
        <v>12169.95</v>
      </c>
      <c r="Y99" s="17"/>
      <c r="Z99" s="18" t="e">
        <f t="shared" si="39"/>
        <v>#DIV/0!</v>
      </c>
      <c r="AA99" s="19">
        <v>0.05</v>
      </c>
      <c r="AB99" s="17">
        <f t="shared" si="49"/>
        <v>608.49750000000006</v>
      </c>
      <c r="AC99" s="17">
        <v>0</v>
      </c>
      <c r="AD99" s="17">
        <v>0</v>
      </c>
      <c r="AE99" s="17">
        <f t="shared" si="40"/>
        <v>608.49750000000006</v>
      </c>
      <c r="AF99" s="17">
        <v>0</v>
      </c>
      <c r="AG99" s="17">
        <f t="shared" si="41"/>
        <v>608.49750000000006</v>
      </c>
      <c r="AH99" s="17">
        <f t="shared" si="32"/>
        <v>12.169950000000002</v>
      </c>
      <c r="AI99" s="17">
        <v>0</v>
      </c>
      <c r="AJ99" s="17">
        <f t="shared" si="42"/>
        <v>12.169950000000002</v>
      </c>
      <c r="AK99" s="20"/>
      <c r="AL99" s="17">
        <f t="shared" si="43"/>
        <v>596.32755000000009</v>
      </c>
      <c r="AM99" s="17" t="s">
        <v>87</v>
      </c>
      <c r="AN99" s="21">
        <v>0.35</v>
      </c>
      <c r="AO99" s="17">
        <f t="shared" si="44"/>
        <v>208.71464250000002</v>
      </c>
      <c r="AP99" s="17"/>
      <c r="AQ99" s="16"/>
      <c r="AR99" s="17">
        <f t="shared" si="36"/>
        <v>208.71464250000002</v>
      </c>
      <c r="AS99" s="17"/>
      <c r="AT99" s="17">
        <v>608.49750000000006</v>
      </c>
      <c r="AU99" s="17">
        <f t="shared" si="45"/>
        <v>608.49750000000006</v>
      </c>
      <c r="AV99" s="17">
        <f t="shared" si="46"/>
        <v>0</v>
      </c>
      <c r="AW99" s="17" t="str">
        <f t="shared" si="50"/>
        <v>ACTIVA/GGA</v>
      </c>
      <c r="AX99" s="22">
        <v>44714</v>
      </c>
      <c r="AY99" s="22"/>
      <c r="AZ99" s="1" t="s">
        <v>68</v>
      </c>
      <c r="BA99" s="22" t="str">
        <f t="shared" si="48"/>
        <v>MEDICAL</v>
      </c>
      <c r="BB99" s="22"/>
      <c r="BC99" s="22"/>
      <c r="BD99" s="22"/>
    </row>
    <row r="100" spans="1:56" ht="14.25" customHeight="1" x14ac:dyDescent="0.2">
      <c r="A100" s="12" t="s">
        <v>229</v>
      </c>
      <c r="B100" s="1" t="s">
        <v>57</v>
      </c>
      <c r="C100" s="13">
        <v>44593</v>
      </c>
      <c r="D100" s="13">
        <v>44589</v>
      </c>
      <c r="E100" s="13">
        <v>44593</v>
      </c>
      <c r="F100" s="13">
        <v>44682</v>
      </c>
      <c r="G100" s="14" t="str">
        <f t="shared" si="38"/>
        <v>000-099/AIB RDC/2022</v>
      </c>
      <c r="H100" s="1">
        <v>1</v>
      </c>
      <c r="I100" s="1" t="s">
        <v>217</v>
      </c>
      <c r="J100" s="1" t="s">
        <v>292</v>
      </c>
      <c r="K100" s="16" t="s">
        <v>255</v>
      </c>
      <c r="L100" s="1" t="s">
        <v>256</v>
      </c>
      <c r="M100" s="16" t="s">
        <v>62</v>
      </c>
      <c r="N100" s="16" t="s">
        <v>209</v>
      </c>
      <c r="O100" s="16" t="s">
        <v>70</v>
      </c>
      <c r="P100" s="16" t="s">
        <v>71</v>
      </c>
      <c r="Q100" s="16" t="s">
        <v>107</v>
      </c>
      <c r="R100" s="16" t="s">
        <v>107</v>
      </c>
      <c r="S100" s="17">
        <v>0</v>
      </c>
      <c r="T100" s="17">
        <v>6587.45</v>
      </c>
      <c r="U100" s="17">
        <v>0</v>
      </c>
      <c r="V100" s="17">
        <v>0</v>
      </c>
      <c r="W100" s="17"/>
      <c r="X100" s="17">
        <v>4530.09</v>
      </c>
      <c r="Y100" s="17"/>
      <c r="Z100" s="18" t="e">
        <f t="shared" si="39"/>
        <v>#DIV/0!</v>
      </c>
      <c r="AA100" s="19">
        <v>0.15</v>
      </c>
      <c r="AB100" s="17">
        <f t="shared" si="49"/>
        <v>679.51350000000002</v>
      </c>
      <c r="AC100" s="17">
        <v>0</v>
      </c>
      <c r="AD100" s="17">
        <v>0</v>
      </c>
      <c r="AE100" s="17">
        <f t="shared" si="40"/>
        <v>679.51350000000002</v>
      </c>
      <c r="AF100" s="17">
        <f t="shared" ref="AF100:AF131" si="51">16%*AE100</f>
        <v>108.72216</v>
      </c>
      <c r="AG100" s="17">
        <f t="shared" si="41"/>
        <v>788.23566000000005</v>
      </c>
      <c r="AH100" s="17">
        <f t="shared" si="32"/>
        <v>13.59027</v>
      </c>
      <c r="AI100" s="17">
        <v>0</v>
      </c>
      <c r="AJ100" s="17">
        <f t="shared" si="42"/>
        <v>13.59027</v>
      </c>
      <c r="AK100" s="20" t="s">
        <v>67</v>
      </c>
      <c r="AL100" s="17">
        <f t="shared" si="43"/>
        <v>665.92322999999999</v>
      </c>
      <c r="AM100" s="17" t="s">
        <v>87</v>
      </c>
      <c r="AN100" s="21">
        <v>0.35</v>
      </c>
      <c r="AO100" s="17">
        <f t="shared" si="44"/>
        <v>233.07313049999999</v>
      </c>
      <c r="AP100" s="17">
        <v>233.07313049999999</v>
      </c>
      <c r="AQ100" s="16">
        <v>45070</v>
      </c>
      <c r="AR100" s="17">
        <f t="shared" si="36"/>
        <v>0</v>
      </c>
      <c r="AS100" s="17"/>
      <c r="AT100" s="17">
        <v>788.23566000000005</v>
      </c>
      <c r="AU100" s="17">
        <f t="shared" si="45"/>
        <v>788.23566000000005</v>
      </c>
      <c r="AV100" s="17">
        <f t="shared" si="46"/>
        <v>0</v>
      </c>
      <c r="AW100" s="17" t="str">
        <f t="shared" si="50"/>
        <v>RAWSUR</v>
      </c>
      <c r="AX100" s="22">
        <v>44635</v>
      </c>
      <c r="AY100" s="22"/>
      <c r="AZ100" s="1" t="s">
        <v>68</v>
      </c>
      <c r="BA100" s="22" t="str">
        <f t="shared" si="48"/>
        <v>FIRE</v>
      </c>
      <c r="BB100" s="1" t="s">
        <v>293</v>
      </c>
      <c r="BC100" s="1" t="s">
        <v>107</v>
      </c>
      <c r="BD100" s="1"/>
    </row>
    <row r="101" spans="1:56" ht="14.25" customHeight="1" x14ac:dyDescent="0.2">
      <c r="A101" s="1" t="s">
        <v>229</v>
      </c>
      <c r="B101" s="1" t="s">
        <v>57</v>
      </c>
      <c r="C101" s="13">
        <v>44593</v>
      </c>
      <c r="D101" s="13">
        <v>44589</v>
      </c>
      <c r="E101" s="13">
        <v>44593</v>
      </c>
      <c r="F101" s="13">
        <v>44682</v>
      </c>
      <c r="G101" s="14" t="str">
        <f t="shared" si="38"/>
        <v>000-100/AIB RDC/2022</v>
      </c>
      <c r="H101" s="1">
        <v>1</v>
      </c>
      <c r="I101" s="1" t="s">
        <v>217</v>
      </c>
      <c r="J101" s="2" t="s">
        <v>294</v>
      </c>
      <c r="K101" s="33" t="s">
        <v>255</v>
      </c>
      <c r="L101" s="1" t="s">
        <v>256</v>
      </c>
      <c r="M101" s="33" t="s">
        <v>62</v>
      </c>
      <c r="N101" s="33" t="s">
        <v>106</v>
      </c>
      <c r="O101" s="33" t="s">
        <v>172</v>
      </c>
      <c r="P101" s="33" t="s">
        <v>90</v>
      </c>
      <c r="Q101" s="33" t="s">
        <v>107</v>
      </c>
      <c r="R101" s="33" t="s">
        <v>107</v>
      </c>
      <c r="S101" s="30">
        <v>0</v>
      </c>
      <c r="T101" s="34">
        <v>4731.07</v>
      </c>
      <c r="U101" s="34">
        <v>0</v>
      </c>
      <c r="V101" s="17">
        <v>0</v>
      </c>
      <c r="W101" s="17"/>
      <c r="X101" s="34">
        <v>3746.25</v>
      </c>
      <c r="Y101" s="34"/>
      <c r="Z101" s="18" t="e">
        <f t="shared" si="39"/>
        <v>#DIV/0!</v>
      </c>
      <c r="AA101" s="19">
        <v>0.1</v>
      </c>
      <c r="AB101" s="17">
        <f t="shared" si="49"/>
        <v>374.625</v>
      </c>
      <c r="AC101" s="17">
        <v>0</v>
      </c>
      <c r="AD101" s="17">
        <v>0</v>
      </c>
      <c r="AE101" s="17">
        <f t="shared" si="40"/>
        <v>374.625</v>
      </c>
      <c r="AF101" s="17">
        <f t="shared" si="51"/>
        <v>59.94</v>
      </c>
      <c r="AG101" s="17">
        <f t="shared" si="41"/>
        <v>434.565</v>
      </c>
      <c r="AH101" s="17">
        <f t="shared" ref="AH101:AH164" si="52">2%*AE101</f>
        <v>7.4924999999999997</v>
      </c>
      <c r="AI101" s="17">
        <v>0</v>
      </c>
      <c r="AJ101" s="17">
        <f t="shared" si="42"/>
        <v>7.4924999999999997</v>
      </c>
      <c r="AK101" s="20" t="s">
        <v>67</v>
      </c>
      <c r="AL101" s="17">
        <f t="shared" si="43"/>
        <v>367.13249999999999</v>
      </c>
      <c r="AM101" s="17" t="s">
        <v>87</v>
      </c>
      <c r="AN101" s="21">
        <v>0.35</v>
      </c>
      <c r="AO101" s="17">
        <f t="shared" si="44"/>
        <v>128.496375</v>
      </c>
      <c r="AP101" s="17">
        <v>128.496375</v>
      </c>
      <c r="AQ101" s="16">
        <v>45070</v>
      </c>
      <c r="AR101" s="17">
        <f t="shared" si="36"/>
        <v>0</v>
      </c>
      <c r="AS101" s="17"/>
      <c r="AT101" s="17">
        <v>434.565</v>
      </c>
      <c r="AU101" s="17">
        <f t="shared" si="45"/>
        <v>434.565</v>
      </c>
      <c r="AV101" s="17">
        <f t="shared" si="46"/>
        <v>0</v>
      </c>
      <c r="AW101" s="17" t="str">
        <f t="shared" si="50"/>
        <v>RAWSUR</v>
      </c>
      <c r="AX101" s="22">
        <v>44635</v>
      </c>
      <c r="AY101" s="22"/>
      <c r="AZ101" s="1" t="s">
        <v>68</v>
      </c>
      <c r="BA101" s="22" t="str">
        <f t="shared" si="48"/>
        <v>PUBLIC LIABILITY</v>
      </c>
      <c r="BB101" s="1" t="s">
        <v>295</v>
      </c>
      <c r="BC101" s="1" t="s">
        <v>107</v>
      </c>
      <c r="BD101" s="1"/>
    </row>
    <row r="102" spans="1:56" ht="14.25" customHeight="1" x14ac:dyDescent="0.2">
      <c r="A102" s="12" t="s">
        <v>229</v>
      </c>
      <c r="B102" s="1" t="s">
        <v>57</v>
      </c>
      <c r="C102" s="13">
        <v>44593</v>
      </c>
      <c r="D102" s="13">
        <v>44682</v>
      </c>
      <c r="E102" s="13">
        <v>44593</v>
      </c>
      <c r="F102" s="13">
        <v>44682</v>
      </c>
      <c r="G102" s="14" t="str">
        <f t="shared" si="38"/>
        <v>000-101/AIB RDC/2022</v>
      </c>
      <c r="H102" s="1">
        <v>1</v>
      </c>
      <c r="I102" s="1" t="s">
        <v>217</v>
      </c>
      <c r="J102" s="1" t="s">
        <v>296</v>
      </c>
      <c r="K102" s="16" t="s">
        <v>255</v>
      </c>
      <c r="L102" s="1" t="s">
        <v>256</v>
      </c>
      <c r="M102" s="16" t="s">
        <v>62</v>
      </c>
      <c r="N102" s="16" t="s">
        <v>209</v>
      </c>
      <c r="O102" s="16" t="s">
        <v>233</v>
      </c>
      <c r="P102" s="16" t="s">
        <v>234</v>
      </c>
      <c r="Q102" s="16" t="s">
        <v>107</v>
      </c>
      <c r="R102" s="16" t="s">
        <v>107</v>
      </c>
      <c r="S102" s="17">
        <v>0</v>
      </c>
      <c r="T102" s="17">
        <v>6770.39</v>
      </c>
      <c r="U102" s="17">
        <v>0</v>
      </c>
      <c r="V102" s="17">
        <v>0</v>
      </c>
      <c r="W102" s="17">
        <v>25</v>
      </c>
      <c r="X102" s="17">
        <v>5713.04</v>
      </c>
      <c r="Y102" s="17">
        <v>918.09</v>
      </c>
      <c r="Z102" s="18" t="e">
        <f t="shared" si="39"/>
        <v>#DIV/0!</v>
      </c>
      <c r="AA102" s="19">
        <v>0.102844151842041</v>
      </c>
      <c r="AB102" s="17"/>
      <c r="AC102" s="17">
        <f>AA102*X102</f>
        <v>587.55275323965395</v>
      </c>
      <c r="AD102" s="17">
        <v>0</v>
      </c>
      <c r="AE102" s="17">
        <f t="shared" si="40"/>
        <v>587.55275323965395</v>
      </c>
      <c r="AF102" s="17">
        <f t="shared" si="51"/>
        <v>94.008440518344628</v>
      </c>
      <c r="AG102" s="17">
        <f t="shared" si="41"/>
        <v>681.56119375799858</v>
      </c>
      <c r="AH102" s="17">
        <f t="shared" si="52"/>
        <v>11.751055064793078</v>
      </c>
      <c r="AI102" s="17">
        <v>0</v>
      </c>
      <c r="AJ102" s="17">
        <f t="shared" si="42"/>
        <v>11.751055064793078</v>
      </c>
      <c r="AK102" s="20"/>
      <c r="AL102" s="17">
        <f t="shared" si="43"/>
        <v>575.80169817486092</v>
      </c>
      <c r="AM102" s="17" t="s">
        <v>87</v>
      </c>
      <c r="AN102" s="21">
        <v>0.35</v>
      </c>
      <c r="AO102" s="17">
        <f t="shared" si="44"/>
        <v>201.53059436120131</v>
      </c>
      <c r="AP102" s="17">
        <v>201.53059436120131</v>
      </c>
      <c r="AQ102" s="16">
        <v>45070</v>
      </c>
      <c r="AR102" s="17">
        <f t="shared" si="36"/>
        <v>0</v>
      </c>
      <c r="AS102" s="17"/>
      <c r="AT102" s="17">
        <v>681.56119375799858</v>
      </c>
      <c r="AU102" s="17">
        <f t="shared" si="45"/>
        <v>681.56119375799858</v>
      </c>
      <c r="AV102" s="17">
        <f t="shared" si="46"/>
        <v>0</v>
      </c>
      <c r="AW102" s="17" t="str">
        <f t="shared" si="50"/>
        <v>RAWSUR</v>
      </c>
      <c r="AX102" s="22">
        <v>44747</v>
      </c>
      <c r="AY102" s="22"/>
      <c r="AZ102" s="1" t="s">
        <v>68</v>
      </c>
      <c r="BA102" s="22" t="str">
        <f t="shared" si="48"/>
        <v>PVT</v>
      </c>
      <c r="BB102" s="1" t="s">
        <v>297</v>
      </c>
      <c r="BC102" s="1" t="s">
        <v>107</v>
      </c>
      <c r="BD102" s="1"/>
    </row>
    <row r="103" spans="1:56" ht="14.25" customHeight="1" x14ac:dyDescent="0.2">
      <c r="A103" s="12" t="s">
        <v>229</v>
      </c>
      <c r="B103" s="1" t="s">
        <v>57</v>
      </c>
      <c r="C103" s="13">
        <v>44614</v>
      </c>
      <c r="D103" s="13">
        <v>44614</v>
      </c>
      <c r="E103" s="13">
        <v>44594</v>
      </c>
      <c r="F103" s="13">
        <v>44957</v>
      </c>
      <c r="G103" s="14" t="str">
        <f t="shared" si="38"/>
        <v>000-102/AIB RDC/2022</v>
      </c>
      <c r="H103" s="1">
        <v>2</v>
      </c>
      <c r="I103" s="1" t="s">
        <v>91</v>
      </c>
      <c r="J103" s="1" t="s">
        <v>284</v>
      </c>
      <c r="K103" s="16" t="s">
        <v>285</v>
      </c>
      <c r="L103" s="16" t="s">
        <v>83</v>
      </c>
      <c r="M103" s="16" t="s">
        <v>84</v>
      </c>
      <c r="N103" s="16" t="s">
        <v>209</v>
      </c>
      <c r="O103" s="16" t="s">
        <v>152</v>
      </c>
      <c r="P103" s="16" t="s">
        <v>153</v>
      </c>
      <c r="Q103" s="16" t="s">
        <v>66</v>
      </c>
      <c r="R103" s="16" t="s">
        <v>66</v>
      </c>
      <c r="S103" s="17">
        <v>219927</v>
      </c>
      <c r="T103" s="17">
        <v>10853.46</v>
      </c>
      <c r="U103" s="17">
        <v>0</v>
      </c>
      <c r="V103" s="17"/>
      <c r="W103" s="17"/>
      <c r="X103" s="17">
        <v>9263.7999999999993</v>
      </c>
      <c r="Y103" s="17"/>
      <c r="Z103" s="18">
        <f t="shared" si="39"/>
        <v>4.9350284412555068E-2</v>
      </c>
      <c r="AA103" s="19">
        <v>0.14842937023683586</v>
      </c>
      <c r="AB103" s="17">
        <f t="shared" ref="AB103:AB134" si="53">(AA103*X103)</f>
        <v>1375.02</v>
      </c>
      <c r="AC103" s="17">
        <v>0</v>
      </c>
      <c r="AD103" s="17">
        <f>3%*X103</f>
        <v>277.91399999999999</v>
      </c>
      <c r="AE103" s="17">
        <f t="shared" si="40"/>
        <v>1652.934</v>
      </c>
      <c r="AF103" s="17">
        <f t="shared" si="51"/>
        <v>264.46944000000002</v>
      </c>
      <c r="AG103" s="17">
        <f t="shared" si="41"/>
        <v>1917.40344</v>
      </c>
      <c r="AH103" s="17">
        <f t="shared" si="52"/>
        <v>33.058680000000003</v>
      </c>
      <c r="AI103" s="17">
        <v>0</v>
      </c>
      <c r="AJ103" s="17">
        <f t="shared" si="42"/>
        <v>33.058680000000003</v>
      </c>
      <c r="AK103" s="20" t="s">
        <v>142</v>
      </c>
      <c r="AL103" s="17">
        <f t="shared" si="43"/>
        <v>1619.8753199999999</v>
      </c>
      <c r="AM103" s="17" t="s">
        <v>198</v>
      </c>
      <c r="AN103" s="21"/>
      <c r="AO103" s="17">
        <f t="shared" si="44"/>
        <v>0</v>
      </c>
      <c r="AP103" s="17"/>
      <c r="AQ103" s="16"/>
      <c r="AR103" s="17">
        <f t="shared" si="36"/>
        <v>0</v>
      </c>
      <c r="AS103" s="17"/>
      <c r="AT103" s="17">
        <v>1917.40344</v>
      </c>
      <c r="AU103" s="17">
        <f t="shared" si="45"/>
        <v>1917.40344</v>
      </c>
      <c r="AV103" s="17">
        <f t="shared" si="46"/>
        <v>0</v>
      </c>
      <c r="AW103" s="17" t="str">
        <f t="shared" si="50"/>
        <v>ACTIVA</v>
      </c>
      <c r="AX103" s="22">
        <v>44650</v>
      </c>
      <c r="AY103" s="22"/>
      <c r="AZ103" s="1" t="s">
        <v>68</v>
      </c>
      <c r="BA103" s="22" t="str">
        <f t="shared" si="48"/>
        <v>COMP MOTOR</v>
      </c>
      <c r="BB103" s="22"/>
      <c r="BC103" s="22"/>
      <c r="BD103" s="22"/>
    </row>
    <row r="104" spans="1:56" ht="14.25" customHeight="1" x14ac:dyDescent="0.2">
      <c r="A104" s="12" t="s">
        <v>229</v>
      </c>
      <c r="B104" s="1" t="s">
        <v>57</v>
      </c>
      <c r="C104" s="13">
        <v>44599</v>
      </c>
      <c r="D104" s="13">
        <v>44599</v>
      </c>
      <c r="E104" s="13">
        <v>44562</v>
      </c>
      <c r="F104" s="13">
        <v>44926</v>
      </c>
      <c r="G104" s="14" t="str">
        <f t="shared" si="38"/>
        <v>000-103/AIB RDC/2022</v>
      </c>
      <c r="H104" s="1">
        <v>0</v>
      </c>
      <c r="I104" s="1" t="s">
        <v>74</v>
      </c>
      <c r="J104" s="1" t="s">
        <v>298</v>
      </c>
      <c r="K104" s="16" t="s">
        <v>82</v>
      </c>
      <c r="L104" s="16" t="s">
        <v>83</v>
      </c>
      <c r="M104" s="16" t="s">
        <v>84</v>
      </c>
      <c r="N104" s="16" t="s">
        <v>209</v>
      </c>
      <c r="O104" s="16" t="s">
        <v>172</v>
      </c>
      <c r="P104" s="16" t="s">
        <v>90</v>
      </c>
      <c r="Q104" s="16" t="s">
        <v>130</v>
      </c>
      <c r="R104" s="16" t="s">
        <v>130</v>
      </c>
      <c r="S104" s="17">
        <v>0</v>
      </c>
      <c r="T104" s="17">
        <v>6338.58</v>
      </c>
      <c r="U104" s="17">
        <v>0</v>
      </c>
      <c r="V104" s="17"/>
      <c r="W104" s="17"/>
      <c r="X104" s="17">
        <v>5335</v>
      </c>
      <c r="Y104" s="17"/>
      <c r="Z104" s="18" t="e">
        <f t="shared" si="39"/>
        <v>#DIV/0!</v>
      </c>
      <c r="AA104" s="19">
        <v>0.1</v>
      </c>
      <c r="AB104" s="17">
        <f t="shared" si="53"/>
        <v>533.5</v>
      </c>
      <c r="AC104" s="17">
        <v>0</v>
      </c>
      <c r="AD104" s="17">
        <v>0</v>
      </c>
      <c r="AE104" s="17">
        <f t="shared" si="40"/>
        <v>533.5</v>
      </c>
      <c r="AF104" s="17">
        <f t="shared" si="51"/>
        <v>85.36</v>
      </c>
      <c r="AG104" s="17">
        <f t="shared" si="41"/>
        <v>618.86</v>
      </c>
      <c r="AH104" s="17">
        <f t="shared" si="52"/>
        <v>10.67</v>
      </c>
      <c r="AI104" s="17">
        <v>0</v>
      </c>
      <c r="AJ104" s="17">
        <f t="shared" si="42"/>
        <v>10.67</v>
      </c>
      <c r="AK104" s="20" t="s">
        <v>142</v>
      </c>
      <c r="AL104" s="17">
        <f t="shared" si="43"/>
        <v>522.83000000000004</v>
      </c>
      <c r="AM104" s="17" t="s">
        <v>87</v>
      </c>
      <c r="AN104" s="21">
        <v>0.35</v>
      </c>
      <c r="AO104" s="17">
        <f t="shared" si="44"/>
        <v>182.9905</v>
      </c>
      <c r="AP104" s="17"/>
      <c r="AQ104" s="16"/>
      <c r="AR104" s="17">
        <f t="shared" si="36"/>
        <v>182.9905</v>
      </c>
      <c r="AS104" s="17"/>
      <c r="AT104" s="17">
        <v>618.86</v>
      </c>
      <c r="AU104" s="17">
        <f t="shared" si="45"/>
        <v>618.86</v>
      </c>
      <c r="AV104" s="17">
        <f t="shared" si="46"/>
        <v>0</v>
      </c>
      <c r="AW104" s="17" t="str">
        <f t="shared" si="50"/>
        <v>SFA</v>
      </c>
      <c r="AX104" s="22">
        <v>44649</v>
      </c>
      <c r="AY104" s="22"/>
      <c r="AZ104" s="1" t="s">
        <v>100</v>
      </c>
      <c r="BA104" s="22" t="str">
        <f t="shared" si="48"/>
        <v>PUBLIC LIABILITY</v>
      </c>
      <c r="BB104" s="22"/>
      <c r="BC104" s="22"/>
      <c r="BD104" s="22"/>
    </row>
    <row r="105" spans="1:56" ht="14.25" customHeight="1" x14ac:dyDescent="0.2">
      <c r="A105" s="12" t="s">
        <v>229</v>
      </c>
      <c r="B105" s="1" t="s">
        <v>57</v>
      </c>
      <c r="C105" s="13">
        <v>44595</v>
      </c>
      <c r="D105" s="13">
        <v>44595</v>
      </c>
      <c r="E105" s="13">
        <v>44595</v>
      </c>
      <c r="F105" s="13">
        <v>44848</v>
      </c>
      <c r="G105" s="14" t="str">
        <f t="shared" si="38"/>
        <v>000-104/AIB RDC/2022</v>
      </c>
      <c r="H105" s="1">
        <v>8</v>
      </c>
      <c r="I105" s="1" t="s">
        <v>91</v>
      </c>
      <c r="J105" s="1" t="s">
        <v>299</v>
      </c>
      <c r="K105" s="16" t="s">
        <v>300</v>
      </c>
      <c r="L105" s="16" t="s">
        <v>214</v>
      </c>
      <c r="M105" s="16" t="s">
        <v>62</v>
      </c>
      <c r="N105" s="16" t="s">
        <v>209</v>
      </c>
      <c r="O105" s="16" t="s">
        <v>73</v>
      </c>
      <c r="P105" s="16" t="s">
        <v>73</v>
      </c>
      <c r="Q105" s="16" t="s">
        <v>130</v>
      </c>
      <c r="R105" s="16" t="s">
        <v>130</v>
      </c>
      <c r="S105" s="17">
        <v>1000000</v>
      </c>
      <c r="T105" s="17">
        <v>5609.05</v>
      </c>
      <c r="U105" s="17">
        <v>0</v>
      </c>
      <c r="V105" s="17"/>
      <c r="W105" s="17">
        <v>70.25</v>
      </c>
      <c r="X105" s="17">
        <v>4683.18</v>
      </c>
      <c r="Y105" s="17">
        <v>760.55</v>
      </c>
      <c r="Z105" s="18">
        <f t="shared" si="39"/>
        <v>5.60905E-3</v>
      </c>
      <c r="AA105" s="19">
        <v>0.1</v>
      </c>
      <c r="AB105" s="17">
        <f t="shared" si="53"/>
        <v>468.31800000000004</v>
      </c>
      <c r="AC105" s="17">
        <v>0</v>
      </c>
      <c r="AD105" s="17">
        <v>0</v>
      </c>
      <c r="AE105" s="17">
        <f t="shared" si="40"/>
        <v>468.31800000000004</v>
      </c>
      <c r="AF105" s="17">
        <f t="shared" si="51"/>
        <v>74.930880000000002</v>
      </c>
      <c r="AG105" s="17">
        <f t="shared" si="41"/>
        <v>543.2488800000001</v>
      </c>
      <c r="AH105" s="17">
        <f t="shared" si="52"/>
        <v>9.3663600000000002</v>
      </c>
      <c r="AI105" s="17">
        <v>0</v>
      </c>
      <c r="AJ105" s="17">
        <f t="shared" si="42"/>
        <v>9.3663600000000002</v>
      </c>
      <c r="AK105" s="20" t="s">
        <v>142</v>
      </c>
      <c r="AL105" s="17">
        <f t="shared" si="43"/>
        <v>458.95164000000005</v>
      </c>
      <c r="AM105" s="17"/>
      <c r="AN105" s="21"/>
      <c r="AO105" s="17">
        <f t="shared" si="44"/>
        <v>0</v>
      </c>
      <c r="AP105" s="17"/>
      <c r="AQ105" s="16"/>
      <c r="AR105" s="17">
        <f t="shared" si="36"/>
        <v>0</v>
      </c>
      <c r="AS105" s="17"/>
      <c r="AT105" s="17">
        <v>543.2488800000001</v>
      </c>
      <c r="AU105" s="17">
        <f t="shared" si="45"/>
        <v>543.2488800000001</v>
      </c>
      <c r="AV105" s="17">
        <f t="shared" si="46"/>
        <v>0</v>
      </c>
      <c r="AW105" s="17" t="str">
        <f t="shared" si="50"/>
        <v>SFA</v>
      </c>
      <c r="AX105" s="22">
        <v>44649</v>
      </c>
      <c r="AY105" s="22"/>
      <c r="AZ105" s="1" t="s">
        <v>68</v>
      </c>
      <c r="BA105" s="22" t="str">
        <f t="shared" si="48"/>
        <v>MOTOR TPL</v>
      </c>
      <c r="BB105" s="22"/>
      <c r="BC105" s="1" t="s">
        <v>130</v>
      </c>
      <c r="BD105" s="1"/>
    </row>
    <row r="106" spans="1:56" ht="14.25" customHeight="1" x14ac:dyDescent="0.2">
      <c r="A106" s="1" t="s">
        <v>229</v>
      </c>
      <c r="B106" s="1" t="s">
        <v>57</v>
      </c>
      <c r="C106" s="13">
        <v>44595</v>
      </c>
      <c r="D106" s="13">
        <v>44627</v>
      </c>
      <c r="E106" s="13">
        <v>44595</v>
      </c>
      <c r="F106" s="13">
        <v>44959</v>
      </c>
      <c r="G106" s="14" t="str">
        <f t="shared" si="38"/>
        <v>000-105/AIB RDC/2022</v>
      </c>
      <c r="H106" s="1">
        <v>1</v>
      </c>
      <c r="I106" s="31" t="s">
        <v>58</v>
      </c>
      <c r="J106" s="31" t="s">
        <v>301</v>
      </c>
      <c r="K106" s="16" t="s">
        <v>302</v>
      </c>
      <c r="L106" s="16" t="s">
        <v>303</v>
      </c>
      <c r="M106" s="16" t="s">
        <v>62</v>
      </c>
      <c r="N106" s="16" t="s">
        <v>209</v>
      </c>
      <c r="O106" s="16" t="s">
        <v>192</v>
      </c>
      <c r="P106" s="16" t="s">
        <v>98</v>
      </c>
      <c r="Q106" s="16" t="s">
        <v>107</v>
      </c>
      <c r="R106" s="16" t="s">
        <v>107</v>
      </c>
      <c r="S106" s="17">
        <v>400000</v>
      </c>
      <c r="T106" s="17">
        <v>25218.16</v>
      </c>
      <c r="U106" s="17">
        <v>0</v>
      </c>
      <c r="V106" s="17"/>
      <c r="W106" s="17">
        <v>100</v>
      </c>
      <c r="X106" s="17">
        <v>21271.32</v>
      </c>
      <c r="Y106" s="17">
        <v>3419.41</v>
      </c>
      <c r="Z106" s="18">
        <f t="shared" si="39"/>
        <v>6.3045400000000001E-2</v>
      </c>
      <c r="AA106" s="19">
        <v>0.1</v>
      </c>
      <c r="AB106" s="17">
        <f t="shared" si="53"/>
        <v>2127.1320000000001</v>
      </c>
      <c r="AC106" s="17">
        <v>0</v>
      </c>
      <c r="AD106" s="17">
        <v>0</v>
      </c>
      <c r="AE106" s="17">
        <f t="shared" si="40"/>
        <v>2127.1320000000001</v>
      </c>
      <c r="AF106" s="17">
        <f t="shared" si="51"/>
        <v>340.34111999999999</v>
      </c>
      <c r="AG106" s="17">
        <f t="shared" si="41"/>
        <v>2467.4731200000001</v>
      </c>
      <c r="AH106" s="17">
        <f t="shared" si="52"/>
        <v>42.542639999999999</v>
      </c>
      <c r="AI106" s="17">
        <v>0</v>
      </c>
      <c r="AJ106" s="17">
        <f t="shared" si="42"/>
        <v>42.542639999999999</v>
      </c>
      <c r="AK106" s="20"/>
      <c r="AL106" s="17">
        <f t="shared" si="43"/>
        <v>2084.5893599999999</v>
      </c>
      <c r="AM106" s="17"/>
      <c r="AN106" s="21"/>
      <c r="AO106" s="17">
        <f t="shared" si="44"/>
        <v>0</v>
      </c>
      <c r="AP106" s="17"/>
      <c r="AQ106" s="16"/>
      <c r="AR106" s="17">
        <f t="shared" si="36"/>
        <v>0</v>
      </c>
      <c r="AS106" s="17"/>
      <c r="AT106" s="17">
        <v>2467.4731200000001</v>
      </c>
      <c r="AU106" s="17">
        <f t="shared" si="45"/>
        <v>2467.4731200000001</v>
      </c>
      <c r="AV106" s="17">
        <f t="shared" si="46"/>
        <v>0</v>
      </c>
      <c r="AW106" s="17" t="str">
        <f t="shared" si="50"/>
        <v>RAWSUR</v>
      </c>
      <c r="AX106" s="22">
        <v>44701</v>
      </c>
      <c r="AY106" s="22"/>
      <c r="AZ106" s="1" t="s">
        <v>68</v>
      </c>
      <c r="BA106" s="22" t="str">
        <f t="shared" si="48"/>
        <v>GPA</v>
      </c>
      <c r="BB106" s="22"/>
      <c r="BC106" s="22"/>
      <c r="BD106" s="22"/>
    </row>
    <row r="107" spans="1:56" ht="14.25" customHeight="1" x14ac:dyDescent="0.2">
      <c r="A107" s="12" t="s">
        <v>229</v>
      </c>
      <c r="B107" s="1" t="s">
        <v>57</v>
      </c>
      <c r="C107" s="13">
        <v>44595</v>
      </c>
      <c r="D107" s="13">
        <v>44718</v>
      </c>
      <c r="E107" s="13">
        <v>44595</v>
      </c>
      <c r="F107" s="13">
        <v>44960</v>
      </c>
      <c r="G107" s="14" t="str">
        <f t="shared" si="38"/>
        <v>000-106/AIB RDC/2022</v>
      </c>
      <c r="H107" s="1">
        <v>2</v>
      </c>
      <c r="I107" s="1" t="s">
        <v>91</v>
      </c>
      <c r="J107" s="1" t="s">
        <v>252</v>
      </c>
      <c r="K107" s="16" t="s">
        <v>253</v>
      </c>
      <c r="L107" s="16" t="s">
        <v>128</v>
      </c>
      <c r="M107" s="16" t="s">
        <v>62</v>
      </c>
      <c r="N107" s="16" t="s">
        <v>209</v>
      </c>
      <c r="O107" s="16" t="s">
        <v>73</v>
      </c>
      <c r="P107" s="16" t="s">
        <v>73</v>
      </c>
      <c r="Q107" s="16" t="s">
        <v>66</v>
      </c>
      <c r="R107" s="16" t="s">
        <v>66</v>
      </c>
      <c r="S107" s="17">
        <v>0</v>
      </c>
      <c r="T107" s="17">
        <v>303.27</v>
      </c>
      <c r="U107" s="17">
        <v>0</v>
      </c>
      <c r="V107" s="17"/>
      <c r="W107" s="17">
        <v>2.59</v>
      </c>
      <c r="X107" s="17">
        <v>258.85000000000002</v>
      </c>
      <c r="Y107" s="17">
        <v>41.83</v>
      </c>
      <c r="Z107" s="18" t="e">
        <f t="shared" si="39"/>
        <v>#DIV/0!</v>
      </c>
      <c r="AA107" s="19">
        <v>0.11064322966969287</v>
      </c>
      <c r="AB107" s="17">
        <f t="shared" si="53"/>
        <v>28.64</v>
      </c>
      <c r="AC107" s="17">
        <v>0</v>
      </c>
      <c r="AD107" s="17">
        <v>0</v>
      </c>
      <c r="AE107" s="17">
        <f t="shared" si="40"/>
        <v>28.64</v>
      </c>
      <c r="AF107" s="17">
        <f t="shared" si="51"/>
        <v>4.5823999999999998</v>
      </c>
      <c r="AG107" s="17">
        <f t="shared" si="41"/>
        <v>33.2224</v>
      </c>
      <c r="AH107" s="17">
        <f t="shared" si="52"/>
        <v>0.57279999999999998</v>
      </c>
      <c r="AI107" s="17">
        <v>0</v>
      </c>
      <c r="AJ107" s="17">
        <f t="shared" si="42"/>
        <v>0.57279999999999998</v>
      </c>
      <c r="AK107" s="20" t="s">
        <v>142</v>
      </c>
      <c r="AL107" s="17">
        <f t="shared" si="43"/>
        <v>28.0672</v>
      </c>
      <c r="AM107" s="17"/>
      <c r="AN107" s="21"/>
      <c r="AO107" s="17">
        <f t="shared" si="44"/>
        <v>0</v>
      </c>
      <c r="AP107" s="17"/>
      <c r="AQ107" s="16"/>
      <c r="AR107" s="17">
        <f t="shared" si="36"/>
        <v>0</v>
      </c>
      <c r="AS107" s="17"/>
      <c r="AT107" s="17">
        <v>33.2224</v>
      </c>
      <c r="AU107" s="17">
        <f t="shared" si="45"/>
        <v>33.2224</v>
      </c>
      <c r="AV107" s="17">
        <f t="shared" si="46"/>
        <v>0</v>
      </c>
      <c r="AW107" s="17" t="str">
        <f t="shared" si="50"/>
        <v>ACTIVA</v>
      </c>
      <c r="AX107" s="22">
        <v>44650</v>
      </c>
      <c r="AY107" s="22"/>
      <c r="AZ107" s="1" t="s">
        <v>68</v>
      </c>
      <c r="BA107" s="22" t="str">
        <f t="shared" si="48"/>
        <v>MOTOR TPL</v>
      </c>
      <c r="BB107" s="22"/>
      <c r="BC107" s="22"/>
      <c r="BD107" s="22"/>
    </row>
    <row r="108" spans="1:56" ht="14.25" customHeight="1" x14ac:dyDescent="0.2">
      <c r="A108" s="12" t="s">
        <v>229</v>
      </c>
      <c r="B108" s="1" t="s">
        <v>57</v>
      </c>
      <c r="C108" s="13">
        <v>44595</v>
      </c>
      <c r="D108" s="13">
        <v>44595</v>
      </c>
      <c r="E108" s="13">
        <v>44595</v>
      </c>
      <c r="F108" s="13">
        <v>44945</v>
      </c>
      <c r="G108" s="14" t="str">
        <f t="shared" si="38"/>
        <v>000-107/AIB RDC/2022</v>
      </c>
      <c r="H108" s="1">
        <v>12</v>
      </c>
      <c r="I108" s="1" t="s">
        <v>115</v>
      </c>
      <c r="J108" s="1" t="s">
        <v>221</v>
      </c>
      <c r="K108" s="16" t="s">
        <v>222</v>
      </c>
      <c r="L108" s="1" t="s">
        <v>160</v>
      </c>
      <c r="M108" s="16" t="s">
        <v>105</v>
      </c>
      <c r="N108" s="16" t="s">
        <v>209</v>
      </c>
      <c r="O108" s="16" t="s">
        <v>73</v>
      </c>
      <c r="P108" s="16" t="s">
        <v>73</v>
      </c>
      <c r="Q108" s="16" t="s">
        <v>130</v>
      </c>
      <c r="R108" s="16" t="s">
        <v>130</v>
      </c>
      <c r="S108" s="17">
        <v>0</v>
      </c>
      <c r="T108" s="17">
        <v>-1023.73</v>
      </c>
      <c r="U108" s="17">
        <v>0</v>
      </c>
      <c r="V108" s="17">
        <v>0</v>
      </c>
      <c r="W108" s="17">
        <v>0</v>
      </c>
      <c r="X108" s="17">
        <v>-882.53</v>
      </c>
      <c r="Y108" s="17">
        <v>-141.19999999999999</v>
      </c>
      <c r="Z108" s="18" t="e">
        <f t="shared" si="39"/>
        <v>#DIV/0!</v>
      </c>
      <c r="AA108" s="19">
        <v>0.1</v>
      </c>
      <c r="AB108" s="17">
        <f t="shared" si="53"/>
        <v>-88.253</v>
      </c>
      <c r="AC108" s="17">
        <v>0</v>
      </c>
      <c r="AD108" s="17">
        <v>0</v>
      </c>
      <c r="AE108" s="17">
        <f t="shared" si="40"/>
        <v>-88.253</v>
      </c>
      <c r="AF108" s="17">
        <f t="shared" si="51"/>
        <v>-14.120480000000001</v>
      </c>
      <c r="AG108" s="17">
        <f t="shared" si="41"/>
        <v>-102.37348</v>
      </c>
      <c r="AH108" s="17">
        <f t="shared" si="52"/>
        <v>-1.7650600000000001</v>
      </c>
      <c r="AI108" s="17">
        <v>0</v>
      </c>
      <c r="AJ108" s="17">
        <f t="shared" si="42"/>
        <v>-1.7650600000000001</v>
      </c>
      <c r="AK108" s="20"/>
      <c r="AL108" s="17">
        <f t="shared" si="43"/>
        <v>-86.487939999999995</v>
      </c>
      <c r="AM108" s="17"/>
      <c r="AN108" s="21"/>
      <c r="AO108" s="17">
        <f t="shared" si="44"/>
        <v>0</v>
      </c>
      <c r="AP108" s="17"/>
      <c r="AQ108" s="16"/>
      <c r="AR108" s="17">
        <f t="shared" si="36"/>
        <v>0</v>
      </c>
      <c r="AS108" s="17"/>
      <c r="AT108" s="17">
        <v>-102.37348</v>
      </c>
      <c r="AU108" s="17">
        <f t="shared" si="45"/>
        <v>-102.37348</v>
      </c>
      <c r="AV108" s="17">
        <f t="shared" si="46"/>
        <v>0</v>
      </c>
      <c r="AW108" s="17" t="str">
        <f t="shared" si="50"/>
        <v>SFA</v>
      </c>
      <c r="AX108" s="22">
        <v>44676</v>
      </c>
      <c r="AY108" s="22"/>
      <c r="AZ108" s="1" t="s">
        <v>68</v>
      </c>
      <c r="BA108" s="22" t="str">
        <f t="shared" si="48"/>
        <v>MOTOR TPL</v>
      </c>
      <c r="BB108" s="22"/>
      <c r="BC108" s="22"/>
      <c r="BD108" s="22"/>
    </row>
    <row r="109" spans="1:56" ht="14.25" customHeight="1" x14ac:dyDescent="0.2">
      <c r="A109" s="12" t="s">
        <v>229</v>
      </c>
      <c r="B109" s="1" t="s">
        <v>57</v>
      </c>
      <c r="C109" s="13">
        <v>44614</v>
      </c>
      <c r="D109" s="13">
        <v>44614</v>
      </c>
      <c r="E109" s="13">
        <v>44596</v>
      </c>
      <c r="F109" s="13">
        <v>44957</v>
      </c>
      <c r="G109" s="14" t="str">
        <f t="shared" si="38"/>
        <v>000-108/AIB RDC/2022</v>
      </c>
      <c r="H109" s="1">
        <v>3</v>
      </c>
      <c r="I109" s="1" t="s">
        <v>91</v>
      </c>
      <c r="J109" s="1" t="s">
        <v>284</v>
      </c>
      <c r="K109" s="16" t="s">
        <v>285</v>
      </c>
      <c r="L109" s="16" t="s">
        <v>83</v>
      </c>
      <c r="M109" s="16" t="s">
        <v>84</v>
      </c>
      <c r="N109" s="16" t="s">
        <v>209</v>
      </c>
      <c r="O109" s="16" t="s">
        <v>152</v>
      </c>
      <c r="P109" s="16" t="s">
        <v>153</v>
      </c>
      <c r="Q109" s="16" t="s">
        <v>66</v>
      </c>
      <c r="R109" s="16" t="s">
        <v>66</v>
      </c>
      <c r="S109" s="17">
        <v>204715</v>
      </c>
      <c r="T109" s="17">
        <v>9866.9</v>
      </c>
      <c r="U109" s="17">
        <v>0</v>
      </c>
      <c r="V109" s="17"/>
      <c r="W109" s="17"/>
      <c r="X109" s="17">
        <v>8421.73</v>
      </c>
      <c r="Y109" s="17"/>
      <c r="Z109" s="18">
        <f t="shared" si="39"/>
        <v>4.8198226803116528E-2</v>
      </c>
      <c r="AA109" s="19">
        <v>0.14547486086587913</v>
      </c>
      <c r="AB109" s="17">
        <f t="shared" si="53"/>
        <v>1225.1500000000001</v>
      </c>
      <c r="AC109" s="17">
        <v>0</v>
      </c>
      <c r="AD109" s="17">
        <f>3%*X109</f>
        <v>252.65189999999998</v>
      </c>
      <c r="AE109" s="17">
        <f t="shared" si="40"/>
        <v>1477.8019000000002</v>
      </c>
      <c r="AF109" s="17">
        <f t="shared" si="51"/>
        <v>236.44830400000004</v>
      </c>
      <c r="AG109" s="17">
        <f t="shared" si="41"/>
        <v>1714.2502040000002</v>
      </c>
      <c r="AH109" s="17">
        <f t="shared" si="52"/>
        <v>29.556038000000004</v>
      </c>
      <c r="AI109" s="17">
        <v>0</v>
      </c>
      <c r="AJ109" s="17">
        <f t="shared" si="42"/>
        <v>29.556038000000004</v>
      </c>
      <c r="AK109" s="20" t="s">
        <v>142</v>
      </c>
      <c r="AL109" s="17">
        <f t="shared" si="43"/>
        <v>1448.2458620000002</v>
      </c>
      <c r="AM109" s="17" t="s">
        <v>198</v>
      </c>
      <c r="AN109" s="21"/>
      <c r="AO109" s="17">
        <f t="shared" si="44"/>
        <v>0</v>
      </c>
      <c r="AP109" s="17"/>
      <c r="AQ109" s="16"/>
      <c r="AR109" s="17">
        <f t="shared" si="36"/>
        <v>0</v>
      </c>
      <c r="AS109" s="17"/>
      <c r="AT109" s="17">
        <v>1714.2502040000002</v>
      </c>
      <c r="AU109" s="17">
        <f t="shared" si="45"/>
        <v>1714.2502040000002</v>
      </c>
      <c r="AV109" s="17">
        <f t="shared" si="46"/>
        <v>0</v>
      </c>
      <c r="AW109" s="17" t="str">
        <f t="shared" si="50"/>
        <v>ACTIVA</v>
      </c>
      <c r="AX109" s="22">
        <v>44650</v>
      </c>
      <c r="AY109" s="22"/>
      <c r="AZ109" s="1" t="s">
        <v>68</v>
      </c>
      <c r="BA109" s="22" t="str">
        <f t="shared" si="48"/>
        <v>COMP MOTOR</v>
      </c>
      <c r="BB109" s="22"/>
      <c r="BC109" s="22"/>
      <c r="BD109" s="22"/>
    </row>
    <row r="110" spans="1:56" ht="14.25" customHeight="1" x14ac:dyDescent="0.2">
      <c r="A110" s="1" t="s">
        <v>847</v>
      </c>
      <c r="B110" s="1" t="s">
        <v>57</v>
      </c>
      <c r="C110" s="13">
        <v>44904</v>
      </c>
      <c r="D110" s="13">
        <v>44882</v>
      </c>
      <c r="E110" s="13">
        <v>44866</v>
      </c>
      <c r="F110" s="13">
        <v>45230</v>
      </c>
      <c r="G110" s="14" t="str">
        <f t="shared" si="38"/>
        <v>000-109/AIB RDC/2022</v>
      </c>
      <c r="H110" s="1">
        <v>2</v>
      </c>
      <c r="I110" s="1" t="s">
        <v>58</v>
      </c>
      <c r="J110" s="1" t="s">
        <v>1062</v>
      </c>
      <c r="K110" s="16" t="s">
        <v>168</v>
      </c>
      <c r="L110" s="1" t="s">
        <v>169</v>
      </c>
      <c r="M110" s="16" t="s">
        <v>84</v>
      </c>
      <c r="N110" s="16" t="s">
        <v>85</v>
      </c>
      <c r="O110" s="1" t="s">
        <v>1063</v>
      </c>
      <c r="P110" s="1" t="s">
        <v>90</v>
      </c>
      <c r="Q110" s="1" t="s">
        <v>107</v>
      </c>
      <c r="R110" s="1" t="s">
        <v>107</v>
      </c>
      <c r="S110" s="17">
        <v>0</v>
      </c>
      <c r="T110" s="17">
        <v>32915.06</v>
      </c>
      <c r="U110" s="17">
        <v>4169.12</v>
      </c>
      <c r="V110" s="17">
        <v>0</v>
      </c>
      <c r="W110" s="17">
        <v>100</v>
      </c>
      <c r="X110" s="17">
        <v>23625</v>
      </c>
      <c r="Y110" s="17">
        <v>4463.0600000000004</v>
      </c>
      <c r="Z110" s="18" t="e">
        <f t="shared" si="39"/>
        <v>#DIV/0!</v>
      </c>
      <c r="AA110" s="19">
        <v>0</v>
      </c>
      <c r="AB110" s="17">
        <f t="shared" si="53"/>
        <v>0</v>
      </c>
      <c r="AC110" s="17">
        <f>30%*U110</f>
        <v>1250.7359999999999</v>
      </c>
      <c r="AD110" s="17">
        <v>969.83</v>
      </c>
      <c r="AE110" s="17">
        <f t="shared" si="40"/>
        <v>2220.5659999999998</v>
      </c>
      <c r="AF110" s="17">
        <f t="shared" si="51"/>
        <v>355.29055999999997</v>
      </c>
      <c r="AG110" s="17">
        <f t="shared" si="41"/>
        <v>2575.8565599999997</v>
      </c>
      <c r="AH110" s="17">
        <f t="shared" si="52"/>
        <v>44.411319999999996</v>
      </c>
      <c r="AI110" s="17"/>
      <c r="AJ110" s="17">
        <f t="shared" si="42"/>
        <v>44.411319999999996</v>
      </c>
      <c r="AK110" s="20"/>
      <c r="AL110" s="17">
        <f t="shared" si="43"/>
        <v>2176.1546799999996</v>
      </c>
      <c r="AM110" s="17"/>
      <c r="AN110" s="21"/>
      <c r="AO110" s="17">
        <f t="shared" si="44"/>
        <v>0</v>
      </c>
      <c r="AP110" s="27"/>
      <c r="AQ110" s="16"/>
      <c r="AR110" s="17">
        <f t="shared" si="36"/>
        <v>0</v>
      </c>
      <c r="AS110" s="17"/>
      <c r="AT110" s="17">
        <f>644.02+643.96+644.02</f>
        <v>1932</v>
      </c>
      <c r="AU110" s="17">
        <f t="shared" si="45"/>
        <v>2575.8565599999997</v>
      </c>
      <c r="AV110" s="84">
        <f t="shared" si="46"/>
        <v>643.85655999999972</v>
      </c>
      <c r="AW110" s="17" t="str">
        <f t="shared" si="50"/>
        <v>RAWSUR</v>
      </c>
      <c r="AX110" s="22">
        <v>45072</v>
      </c>
      <c r="AY110" s="22"/>
      <c r="AZ110" s="1"/>
      <c r="BA110" s="22" t="str">
        <f t="shared" si="48"/>
        <v>OWNERS LIABILITY</v>
      </c>
      <c r="BB110" s="54"/>
      <c r="BC110" s="22"/>
      <c r="BD110" s="1" t="s">
        <v>549</v>
      </c>
    </row>
    <row r="111" spans="1:56" ht="14.25" customHeight="1" x14ac:dyDescent="0.2">
      <c r="A111" s="12" t="s">
        <v>229</v>
      </c>
      <c r="B111" s="1" t="s">
        <v>57</v>
      </c>
      <c r="C111" s="13">
        <v>44597</v>
      </c>
      <c r="D111" s="13">
        <v>44597</v>
      </c>
      <c r="E111" s="13">
        <v>44597</v>
      </c>
      <c r="F111" s="13">
        <v>44961</v>
      </c>
      <c r="G111" s="14" t="str">
        <f t="shared" si="38"/>
        <v>000-110/AIB RDC/2022</v>
      </c>
      <c r="H111" s="1">
        <v>0</v>
      </c>
      <c r="I111" s="1" t="s">
        <v>74</v>
      </c>
      <c r="J111" s="16" t="s">
        <v>305</v>
      </c>
      <c r="K111" s="1" t="s">
        <v>144</v>
      </c>
      <c r="L111" s="16" t="s">
        <v>83</v>
      </c>
      <c r="M111" s="16" t="s">
        <v>84</v>
      </c>
      <c r="N111" s="16" t="s">
        <v>209</v>
      </c>
      <c r="O111" s="16" t="s">
        <v>152</v>
      </c>
      <c r="P111" s="16" t="s">
        <v>153</v>
      </c>
      <c r="Q111" s="16" t="s">
        <v>130</v>
      </c>
      <c r="R111" s="16" t="s">
        <v>130</v>
      </c>
      <c r="S111" s="17">
        <v>0</v>
      </c>
      <c r="T111" s="17">
        <v>4877.1000000000004</v>
      </c>
      <c r="U111" s="17">
        <v>0</v>
      </c>
      <c r="V111" s="17"/>
      <c r="W111" s="17">
        <v>61.08</v>
      </c>
      <c r="X111" s="17">
        <v>4072.06</v>
      </c>
      <c r="Y111" s="17">
        <v>661.3</v>
      </c>
      <c r="Z111" s="18" t="e">
        <f t="shared" si="39"/>
        <v>#DIV/0!</v>
      </c>
      <c r="AA111" s="19">
        <v>0.15</v>
      </c>
      <c r="AB111" s="17">
        <f t="shared" si="53"/>
        <v>610.80899999999997</v>
      </c>
      <c r="AC111" s="17">
        <v>0</v>
      </c>
      <c r="AD111" s="17">
        <v>0</v>
      </c>
      <c r="AE111" s="17">
        <f t="shared" si="40"/>
        <v>610.80899999999997</v>
      </c>
      <c r="AF111" s="17">
        <f t="shared" si="51"/>
        <v>97.729439999999997</v>
      </c>
      <c r="AG111" s="17">
        <f t="shared" si="41"/>
        <v>708.53843999999992</v>
      </c>
      <c r="AH111" s="17">
        <f t="shared" si="52"/>
        <v>12.21618</v>
      </c>
      <c r="AI111" s="17">
        <v>0</v>
      </c>
      <c r="AJ111" s="17">
        <f t="shared" si="42"/>
        <v>12.21618</v>
      </c>
      <c r="AK111" s="20" t="s">
        <v>142</v>
      </c>
      <c r="AL111" s="17">
        <f t="shared" si="43"/>
        <v>598.59281999999996</v>
      </c>
      <c r="AM111" s="17" t="s">
        <v>87</v>
      </c>
      <c r="AN111" s="21">
        <v>0.35</v>
      </c>
      <c r="AO111" s="17">
        <f t="shared" si="44"/>
        <v>209.50748699999997</v>
      </c>
      <c r="AP111" s="17"/>
      <c r="AQ111" s="16"/>
      <c r="AR111" s="17">
        <f t="shared" si="36"/>
        <v>209.50748699999997</v>
      </c>
      <c r="AS111" s="17"/>
      <c r="AT111" s="17">
        <v>708.53843999999992</v>
      </c>
      <c r="AU111" s="17">
        <f t="shared" si="45"/>
        <v>708.53843999999992</v>
      </c>
      <c r="AV111" s="17">
        <f t="shared" si="46"/>
        <v>0</v>
      </c>
      <c r="AW111" s="17" t="str">
        <f t="shared" si="50"/>
        <v>SFA</v>
      </c>
      <c r="AX111" s="22">
        <v>44649</v>
      </c>
      <c r="AY111" s="22"/>
      <c r="AZ111" s="1" t="s">
        <v>68</v>
      </c>
      <c r="BA111" s="22" t="str">
        <f t="shared" si="48"/>
        <v>COMP MOTOR</v>
      </c>
      <c r="BB111" s="22"/>
      <c r="BC111" s="22"/>
      <c r="BD111" s="22"/>
    </row>
    <row r="112" spans="1:56" ht="14.25" customHeight="1" x14ac:dyDescent="0.2">
      <c r="A112" s="12" t="s">
        <v>229</v>
      </c>
      <c r="B112" s="1" t="s">
        <v>57</v>
      </c>
      <c r="C112" s="13">
        <v>44596</v>
      </c>
      <c r="D112" s="13">
        <v>44596</v>
      </c>
      <c r="E112" s="13">
        <v>44597</v>
      </c>
      <c r="F112" s="13">
        <v>44961</v>
      </c>
      <c r="G112" s="14" t="str">
        <f t="shared" si="38"/>
        <v>000-111/AIB RDC/2022</v>
      </c>
      <c r="H112" s="1">
        <v>0</v>
      </c>
      <c r="I112" s="1" t="s">
        <v>74</v>
      </c>
      <c r="J112" s="1" t="s">
        <v>306</v>
      </c>
      <c r="K112" s="16" t="s">
        <v>307</v>
      </c>
      <c r="L112" s="16" t="s">
        <v>94</v>
      </c>
      <c r="M112" s="16" t="s">
        <v>105</v>
      </c>
      <c r="N112" s="16" t="s">
        <v>209</v>
      </c>
      <c r="O112" s="16" t="s">
        <v>308</v>
      </c>
      <c r="P112" s="16" t="s">
        <v>71</v>
      </c>
      <c r="Q112" s="16" t="s">
        <v>79</v>
      </c>
      <c r="R112" s="16" t="s">
        <v>79</v>
      </c>
      <c r="S112" s="17"/>
      <c r="T112" s="17">
        <v>487</v>
      </c>
      <c r="U112" s="17"/>
      <c r="V112" s="17"/>
      <c r="W112" s="17"/>
      <c r="X112" s="17">
        <v>393</v>
      </c>
      <c r="Y112" s="17"/>
      <c r="Z112" s="18" t="e">
        <f t="shared" si="39"/>
        <v>#DIV/0!</v>
      </c>
      <c r="AA112" s="19">
        <v>0.2</v>
      </c>
      <c r="AB112" s="17">
        <f t="shared" si="53"/>
        <v>78.600000000000009</v>
      </c>
      <c r="AC112" s="17">
        <v>0</v>
      </c>
      <c r="AD112" s="17">
        <v>0</v>
      </c>
      <c r="AE112" s="17">
        <f t="shared" si="40"/>
        <v>78.600000000000009</v>
      </c>
      <c r="AF112" s="17">
        <f t="shared" si="51"/>
        <v>12.576000000000002</v>
      </c>
      <c r="AG112" s="17">
        <f t="shared" si="41"/>
        <v>91.176000000000016</v>
      </c>
      <c r="AH112" s="17">
        <f t="shared" si="52"/>
        <v>1.5720000000000003</v>
      </c>
      <c r="AI112" s="17">
        <v>0</v>
      </c>
      <c r="AJ112" s="17">
        <f t="shared" si="42"/>
        <v>1.5720000000000003</v>
      </c>
      <c r="AK112" s="20" t="s">
        <v>142</v>
      </c>
      <c r="AL112" s="17">
        <f t="shared" si="43"/>
        <v>77.028000000000006</v>
      </c>
      <c r="AM112" s="17"/>
      <c r="AN112" s="21"/>
      <c r="AO112" s="17">
        <f t="shared" si="44"/>
        <v>0</v>
      </c>
      <c r="AP112" s="17"/>
      <c r="AQ112" s="16"/>
      <c r="AR112" s="17">
        <f t="shared" si="36"/>
        <v>0</v>
      </c>
      <c r="AS112" s="17"/>
      <c r="AT112" s="17">
        <v>91.176000000000016</v>
      </c>
      <c r="AU112" s="17">
        <f t="shared" si="45"/>
        <v>91.176000000000016</v>
      </c>
      <c r="AV112" s="17">
        <f t="shared" si="46"/>
        <v>0</v>
      </c>
      <c r="AW112" s="17" t="str">
        <f t="shared" si="50"/>
        <v>MAYFAIR</v>
      </c>
      <c r="AX112" s="22">
        <v>44645</v>
      </c>
      <c r="AY112" s="22"/>
      <c r="AZ112" s="1" t="s">
        <v>68</v>
      </c>
      <c r="BA112" s="22" t="str">
        <f t="shared" si="48"/>
        <v>FIRE/HOME</v>
      </c>
      <c r="BB112" s="22"/>
      <c r="BC112" s="22"/>
      <c r="BD112" s="22"/>
    </row>
    <row r="113" spans="1:56" ht="14.25" customHeight="1" x14ac:dyDescent="0.2">
      <c r="A113" s="12" t="s">
        <v>229</v>
      </c>
      <c r="B113" s="1" t="s">
        <v>57</v>
      </c>
      <c r="C113" s="13">
        <v>44597</v>
      </c>
      <c r="D113" s="13">
        <v>44597</v>
      </c>
      <c r="E113" s="13">
        <v>44597</v>
      </c>
      <c r="F113" s="13">
        <v>44945</v>
      </c>
      <c r="G113" s="14" t="str">
        <f t="shared" si="38"/>
        <v>000-112/AIB RDC/2022</v>
      </c>
      <c r="H113" s="1">
        <v>13</v>
      </c>
      <c r="I113" s="1" t="s">
        <v>91</v>
      </c>
      <c r="J113" s="1" t="s">
        <v>221</v>
      </c>
      <c r="K113" s="16" t="s">
        <v>222</v>
      </c>
      <c r="L113" s="1" t="s">
        <v>160</v>
      </c>
      <c r="M113" s="16" t="s">
        <v>105</v>
      </c>
      <c r="N113" s="16" t="s">
        <v>209</v>
      </c>
      <c r="O113" s="16" t="s">
        <v>73</v>
      </c>
      <c r="P113" s="16" t="s">
        <v>73</v>
      </c>
      <c r="Q113" s="16" t="s">
        <v>130</v>
      </c>
      <c r="R113" s="16" t="s">
        <v>130</v>
      </c>
      <c r="S113" s="17">
        <v>0</v>
      </c>
      <c r="T113" s="17">
        <v>804.85</v>
      </c>
      <c r="U113" s="17">
        <v>0</v>
      </c>
      <c r="V113" s="17">
        <v>0</v>
      </c>
      <c r="W113" s="17">
        <v>10.08</v>
      </c>
      <c r="X113" s="17">
        <v>672</v>
      </c>
      <c r="Y113" s="17">
        <v>109.13</v>
      </c>
      <c r="Z113" s="18" t="e">
        <f t="shared" si="39"/>
        <v>#DIV/0!</v>
      </c>
      <c r="AA113" s="19">
        <v>0.1</v>
      </c>
      <c r="AB113" s="17">
        <f t="shared" si="53"/>
        <v>67.2</v>
      </c>
      <c r="AC113" s="17">
        <v>0</v>
      </c>
      <c r="AD113" s="17">
        <v>0</v>
      </c>
      <c r="AE113" s="17">
        <f t="shared" si="40"/>
        <v>67.2</v>
      </c>
      <c r="AF113" s="17">
        <f t="shared" si="51"/>
        <v>10.752000000000001</v>
      </c>
      <c r="AG113" s="17">
        <f t="shared" si="41"/>
        <v>77.951999999999998</v>
      </c>
      <c r="AH113" s="17">
        <f t="shared" si="52"/>
        <v>1.3440000000000001</v>
      </c>
      <c r="AI113" s="17">
        <v>0</v>
      </c>
      <c r="AJ113" s="17">
        <f t="shared" si="42"/>
        <v>1.3440000000000001</v>
      </c>
      <c r="AK113" s="20"/>
      <c r="AL113" s="17">
        <f t="shared" si="43"/>
        <v>65.856000000000009</v>
      </c>
      <c r="AM113" s="17"/>
      <c r="AN113" s="21"/>
      <c r="AO113" s="17">
        <f t="shared" si="44"/>
        <v>0</v>
      </c>
      <c r="AP113" s="17"/>
      <c r="AQ113" s="16"/>
      <c r="AR113" s="17">
        <f t="shared" si="36"/>
        <v>0</v>
      </c>
      <c r="AS113" s="17"/>
      <c r="AT113" s="17">
        <v>77.951999999999998</v>
      </c>
      <c r="AU113" s="17">
        <f t="shared" si="45"/>
        <v>77.951999999999998</v>
      </c>
      <c r="AV113" s="17">
        <f t="shared" si="46"/>
        <v>0</v>
      </c>
      <c r="AW113" s="17" t="str">
        <f t="shared" si="50"/>
        <v>SFA</v>
      </c>
      <c r="AX113" s="22">
        <v>44676</v>
      </c>
      <c r="AY113" s="22"/>
      <c r="AZ113" s="1" t="s">
        <v>68</v>
      </c>
      <c r="BA113" s="22" t="str">
        <f t="shared" si="48"/>
        <v>MOTOR TPL</v>
      </c>
      <c r="BB113" s="22"/>
      <c r="BC113" s="22"/>
      <c r="BD113" s="22"/>
    </row>
    <row r="114" spans="1:56" ht="14.25" customHeight="1" x14ac:dyDescent="0.2">
      <c r="A114" s="12" t="s">
        <v>229</v>
      </c>
      <c r="B114" s="1" t="s">
        <v>57</v>
      </c>
      <c r="C114" s="13">
        <v>44598</v>
      </c>
      <c r="D114" s="13">
        <v>44598</v>
      </c>
      <c r="E114" s="13">
        <v>44598</v>
      </c>
      <c r="F114" s="13">
        <v>44717</v>
      </c>
      <c r="G114" s="14" t="str">
        <f t="shared" si="38"/>
        <v>000-113/AIB RDC/2022</v>
      </c>
      <c r="H114" s="1">
        <v>2</v>
      </c>
      <c r="I114" s="1" t="s">
        <v>91</v>
      </c>
      <c r="J114" s="1" t="s">
        <v>309</v>
      </c>
      <c r="K114" s="16" t="s">
        <v>253</v>
      </c>
      <c r="L114" s="16" t="s">
        <v>128</v>
      </c>
      <c r="M114" s="16" t="s">
        <v>62</v>
      </c>
      <c r="N114" s="16" t="s">
        <v>209</v>
      </c>
      <c r="O114" s="16" t="s">
        <v>70</v>
      </c>
      <c r="P114" s="16" t="s">
        <v>71</v>
      </c>
      <c r="Q114" s="16" t="s">
        <v>86</v>
      </c>
      <c r="R114" s="16" t="s">
        <v>86</v>
      </c>
      <c r="S114" s="17">
        <v>250240.8</v>
      </c>
      <c r="T114" s="17">
        <v>1518.84</v>
      </c>
      <c r="U114" s="17">
        <v>0</v>
      </c>
      <c r="V114" s="17"/>
      <c r="W114" s="17"/>
      <c r="X114" s="17">
        <v>1296.3900000000001</v>
      </c>
      <c r="Y114" s="17"/>
      <c r="Z114" s="18">
        <f t="shared" si="39"/>
        <v>6.0695138442652041E-3</v>
      </c>
      <c r="AA114" s="19">
        <v>0.1</v>
      </c>
      <c r="AB114" s="17">
        <f t="shared" si="53"/>
        <v>129.63900000000001</v>
      </c>
      <c r="AC114" s="17">
        <v>0</v>
      </c>
      <c r="AD114" s="17">
        <v>0</v>
      </c>
      <c r="AE114" s="17">
        <f t="shared" si="40"/>
        <v>129.63900000000001</v>
      </c>
      <c r="AF114" s="17">
        <f t="shared" si="51"/>
        <v>20.742240000000002</v>
      </c>
      <c r="AG114" s="17">
        <f t="shared" si="41"/>
        <v>150.38124000000002</v>
      </c>
      <c r="AH114" s="17">
        <f t="shared" si="52"/>
        <v>2.5927800000000003</v>
      </c>
      <c r="AI114" s="17">
        <v>0</v>
      </c>
      <c r="AJ114" s="17">
        <f t="shared" si="42"/>
        <v>2.5927800000000003</v>
      </c>
      <c r="AK114" s="20"/>
      <c r="AL114" s="17">
        <f t="shared" si="43"/>
        <v>127.04622000000001</v>
      </c>
      <c r="AM114" s="17"/>
      <c r="AN114" s="21"/>
      <c r="AO114" s="17">
        <f t="shared" si="44"/>
        <v>0</v>
      </c>
      <c r="AP114" s="17"/>
      <c r="AQ114" s="16"/>
      <c r="AR114" s="17">
        <f t="shared" si="36"/>
        <v>0</v>
      </c>
      <c r="AS114" s="17"/>
      <c r="AT114" s="17">
        <v>150.38124000000002</v>
      </c>
      <c r="AU114" s="17">
        <f t="shared" si="45"/>
        <v>150.38124000000002</v>
      </c>
      <c r="AV114" s="17">
        <f t="shared" si="46"/>
        <v>0</v>
      </c>
      <c r="AW114" s="17" t="str">
        <f t="shared" si="50"/>
        <v>SUNU</v>
      </c>
      <c r="AX114" s="22">
        <v>44713</v>
      </c>
      <c r="AY114" s="22"/>
      <c r="AZ114" s="1" t="s">
        <v>68</v>
      </c>
      <c r="BA114" s="22" t="str">
        <f t="shared" si="48"/>
        <v>FIRE</v>
      </c>
      <c r="BB114" s="22"/>
      <c r="BC114" s="22"/>
      <c r="BD114" s="22"/>
    </row>
    <row r="115" spans="1:56" ht="14.25" customHeight="1" x14ac:dyDescent="0.2">
      <c r="A115" s="12" t="s">
        <v>229</v>
      </c>
      <c r="B115" s="1" t="s">
        <v>57</v>
      </c>
      <c r="C115" s="13">
        <v>44606</v>
      </c>
      <c r="D115" s="13">
        <v>44606</v>
      </c>
      <c r="E115" s="13">
        <v>44601</v>
      </c>
      <c r="F115" s="13">
        <v>44879</v>
      </c>
      <c r="G115" s="14" t="str">
        <f t="shared" si="38"/>
        <v>000-114/AIB RDC/2022</v>
      </c>
      <c r="H115" s="1">
        <v>1</v>
      </c>
      <c r="I115" s="1" t="s">
        <v>310</v>
      </c>
      <c r="J115" s="1" t="s">
        <v>311</v>
      </c>
      <c r="K115" s="16" t="s">
        <v>312</v>
      </c>
      <c r="L115" s="16"/>
      <c r="M115" s="16" t="s">
        <v>95</v>
      </c>
      <c r="N115" s="16" t="s">
        <v>209</v>
      </c>
      <c r="O115" s="16" t="s">
        <v>70</v>
      </c>
      <c r="P115" s="16" t="s">
        <v>71</v>
      </c>
      <c r="Q115" s="16" t="s">
        <v>130</v>
      </c>
      <c r="R115" s="16" t="s">
        <v>130</v>
      </c>
      <c r="S115" s="17"/>
      <c r="T115" s="17">
        <v>-5202.24</v>
      </c>
      <c r="U115" s="17">
        <v>0</v>
      </c>
      <c r="V115" s="17"/>
      <c r="W115" s="17"/>
      <c r="X115" s="17">
        <v>-4484.6899999999996</v>
      </c>
      <c r="Y115" s="17"/>
      <c r="Z115" s="18" t="e">
        <f t="shared" si="39"/>
        <v>#DIV/0!</v>
      </c>
      <c r="AA115" s="19">
        <v>0.15</v>
      </c>
      <c r="AB115" s="17">
        <f t="shared" si="53"/>
        <v>-672.70349999999996</v>
      </c>
      <c r="AC115" s="17">
        <v>0</v>
      </c>
      <c r="AD115" s="17">
        <v>0</v>
      </c>
      <c r="AE115" s="17">
        <f t="shared" si="40"/>
        <v>-672.70349999999996</v>
      </c>
      <c r="AF115" s="17">
        <f t="shared" si="51"/>
        <v>-107.63256</v>
      </c>
      <c r="AG115" s="17">
        <f t="shared" si="41"/>
        <v>-780.33605999999997</v>
      </c>
      <c r="AH115" s="17">
        <f t="shared" si="52"/>
        <v>-13.45407</v>
      </c>
      <c r="AI115" s="17">
        <v>0</v>
      </c>
      <c r="AJ115" s="17">
        <f t="shared" si="42"/>
        <v>-13.45407</v>
      </c>
      <c r="AK115" s="20" t="s">
        <v>142</v>
      </c>
      <c r="AL115" s="17">
        <f t="shared" si="43"/>
        <v>-659.24942999999996</v>
      </c>
      <c r="AM115" s="17"/>
      <c r="AN115" s="21"/>
      <c r="AO115" s="17">
        <f t="shared" si="44"/>
        <v>0</v>
      </c>
      <c r="AP115" s="17"/>
      <c r="AQ115" s="16"/>
      <c r="AR115" s="17">
        <f t="shared" si="36"/>
        <v>0</v>
      </c>
      <c r="AS115" s="17"/>
      <c r="AT115" s="17">
        <v>-780.33605999999997</v>
      </c>
      <c r="AU115" s="17">
        <f t="shared" si="45"/>
        <v>-780.33605999999997</v>
      </c>
      <c r="AV115" s="17">
        <f t="shared" si="46"/>
        <v>0</v>
      </c>
      <c r="AW115" s="17" t="str">
        <f t="shared" si="50"/>
        <v>SFA</v>
      </c>
      <c r="AX115" s="22">
        <v>44649</v>
      </c>
      <c r="AY115" s="22"/>
      <c r="AZ115" s="1" t="s">
        <v>162</v>
      </c>
      <c r="BA115" s="22" t="str">
        <f t="shared" si="48"/>
        <v>FIRE</v>
      </c>
      <c r="BB115" s="22"/>
      <c r="BC115" s="22"/>
      <c r="BD115" s="22"/>
    </row>
    <row r="116" spans="1:56" ht="14.25" customHeight="1" x14ac:dyDescent="0.2">
      <c r="A116" s="12" t="s">
        <v>229</v>
      </c>
      <c r="B116" s="1" t="s">
        <v>57</v>
      </c>
      <c r="C116" s="13">
        <v>44614</v>
      </c>
      <c r="D116" s="13">
        <v>44614</v>
      </c>
      <c r="E116" s="13">
        <v>44602</v>
      </c>
      <c r="F116" s="13">
        <v>44957</v>
      </c>
      <c r="G116" s="14" t="str">
        <f t="shared" si="38"/>
        <v>000-115/AIB RDC/2022</v>
      </c>
      <c r="H116" s="1">
        <v>4</v>
      </c>
      <c r="I116" s="1" t="s">
        <v>91</v>
      </c>
      <c r="J116" s="1" t="s">
        <v>284</v>
      </c>
      <c r="K116" s="16" t="s">
        <v>285</v>
      </c>
      <c r="L116" s="16" t="s">
        <v>83</v>
      </c>
      <c r="M116" s="16" t="s">
        <v>84</v>
      </c>
      <c r="N116" s="16" t="s">
        <v>209</v>
      </c>
      <c r="O116" s="16" t="s">
        <v>152</v>
      </c>
      <c r="P116" s="16" t="s">
        <v>153</v>
      </c>
      <c r="Q116" s="16" t="s">
        <v>66</v>
      </c>
      <c r="R116" s="16" t="s">
        <v>66</v>
      </c>
      <c r="S116" s="17">
        <v>83917</v>
      </c>
      <c r="T116" s="17">
        <v>3962.57</v>
      </c>
      <c r="U116" s="17">
        <v>0</v>
      </c>
      <c r="V116" s="17"/>
      <c r="W116" s="17"/>
      <c r="X116" s="17">
        <v>3382.19</v>
      </c>
      <c r="Y116" s="17"/>
      <c r="Z116" s="18">
        <f t="shared" si="39"/>
        <v>4.722011034712871E-2</v>
      </c>
      <c r="AA116" s="19">
        <v>0.14547379065043656</v>
      </c>
      <c r="AB116" s="17">
        <f t="shared" si="53"/>
        <v>492.02000000000004</v>
      </c>
      <c r="AC116" s="17">
        <v>0</v>
      </c>
      <c r="AD116" s="17">
        <f>3%*X116</f>
        <v>101.4657</v>
      </c>
      <c r="AE116" s="17">
        <f t="shared" si="40"/>
        <v>593.48570000000007</v>
      </c>
      <c r="AF116" s="17">
        <f t="shared" si="51"/>
        <v>94.957712000000015</v>
      </c>
      <c r="AG116" s="17">
        <f t="shared" si="41"/>
        <v>688.44341200000008</v>
      </c>
      <c r="AH116" s="17">
        <f t="shared" si="52"/>
        <v>11.869714000000002</v>
      </c>
      <c r="AI116" s="17">
        <v>0</v>
      </c>
      <c r="AJ116" s="17">
        <f t="shared" si="42"/>
        <v>11.869714000000002</v>
      </c>
      <c r="AK116" s="20" t="s">
        <v>142</v>
      </c>
      <c r="AL116" s="17">
        <f t="shared" si="43"/>
        <v>581.61598600000002</v>
      </c>
      <c r="AM116" s="17" t="s">
        <v>198</v>
      </c>
      <c r="AN116" s="21"/>
      <c r="AO116" s="17">
        <f t="shared" si="44"/>
        <v>0</v>
      </c>
      <c r="AP116" s="17"/>
      <c r="AQ116" s="16"/>
      <c r="AR116" s="17">
        <f t="shared" si="36"/>
        <v>0</v>
      </c>
      <c r="AS116" s="17"/>
      <c r="AT116" s="17">
        <v>688.44341200000008</v>
      </c>
      <c r="AU116" s="17">
        <f t="shared" si="45"/>
        <v>688.44341200000008</v>
      </c>
      <c r="AV116" s="17">
        <f t="shared" si="46"/>
        <v>0</v>
      </c>
      <c r="AW116" s="17" t="str">
        <f t="shared" si="50"/>
        <v>ACTIVA</v>
      </c>
      <c r="AX116" s="22">
        <v>44650</v>
      </c>
      <c r="AY116" s="22"/>
      <c r="AZ116" s="1" t="s">
        <v>68</v>
      </c>
      <c r="BA116" s="22" t="str">
        <f t="shared" si="48"/>
        <v>COMP MOTOR</v>
      </c>
      <c r="BB116" s="22"/>
      <c r="BC116" s="22"/>
      <c r="BD116" s="22"/>
    </row>
    <row r="117" spans="1:56" ht="14.25" customHeight="1" x14ac:dyDescent="0.2">
      <c r="A117" s="12" t="s">
        <v>229</v>
      </c>
      <c r="B117" s="1" t="s">
        <v>57</v>
      </c>
      <c r="C117" s="13">
        <v>44602</v>
      </c>
      <c r="D117" s="13">
        <v>44602</v>
      </c>
      <c r="E117" s="13">
        <v>44602</v>
      </c>
      <c r="F117" s="13">
        <v>44966</v>
      </c>
      <c r="G117" s="14" t="str">
        <f t="shared" si="38"/>
        <v>000-116/AIB RDC/2022</v>
      </c>
      <c r="H117" s="1">
        <v>1</v>
      </c>
      <c r="I117" s="1" t="s">
        <v>58</v>
      </c>
      <c r="J117" s="1" t="s">
        <v>313</v>
      </c>
      <c r="K117" s="16" t="s">
        <v>314</v>
      </c>
      <c r="L117" s="16"/>
      <c r="M117" s="16" t="s">
        <v>62</v>
      </c>
      <c r="N117" s="16" t="s">
        <v>209</v>
      </c>
      <c r="O117" s="16" t="s">
        <v>70</v>
      </c>
      <c r="P117" s="16" t="s">
        <v>71</v>
      </c>
      <c r="Q117" s="16" t="s">
        <v>79</v>
      </c>
      <c r="R117" s="16" t="s">
        <v>79</v>
      </c>
      <c r="S117" s="17">
        <v>532500</v>
      </c>
      <c r="T117" s="17">
        <v>5197.8999999999996</v>
      </c>
      <c r="U117" s="17">
        <v>0</v>
      </c>
      <c r="V117" s="17"/>
      <c r="W117" s="17"/>
      <c r="X117" s="17">
        <v>4385</v>
      </c>
      <c r="Y117" s="17"/>
      <c r="Z117" s="18">
        <f t="shared" si="39"/>
        <v>9.7613145539906104E-3</v>
      </c>
      <c r="AA117" s="19">
        <v>0.2</v>
      </c>
      <c r="AB117" s="17">
        <f t="shared" si="53"/>
        <v>877</v>
      </c>
      <c r="AC117" s="17">
        <v>0</v>
      </c>
      <c r="AD117" s="17">
        <v>0</v>
      </c>
      <c r="AE117" s="17">
        <f t="shared" si="40"/>
        <v>877</v>
      </c>
      <c r="AF117" s="17">
        <f t="shared" si="51"/>
        <v>140.32</v>
      </c>
      <c r="AG117" s="17">
        <f t="shared" si="41"/>
        <v>1017.3199999999999</v>
      </c>
      <c r="AH117" s="17">
        <f t="shared" si="52"/>
        <v>17.54</v>
      </c>
      <c r="AI117" s="17">
        <v>0</v>
      </c>
      <c r="AJ117" s="17">
        <f t="shared" si="42"/>
        <v>17.54</v>
      </c>
      <c r="AK117" s="20" t="s">
        <v>142</v>
      </c>
      <c r="AL117" s="17">
        <f t="shared" si="43"/>
        <v>859.46</v>
      </c>
      <c r="AM117" s="17"/>
      <c r="AN117" s="21"/>
      <c r="AO117" s="17">
        <f t="shared" si="44"/>
        <v>0</v>
      </c>
      <c r="AP117" s="17"/>
      <c r="AQ117" s="16"/>
      <c r="AR117" s="17">
        <f t="shared" si="36"/>
        <v>0</v>
      </c>
      <c r="AS117" s="17"/>
      <c r="AT117" s="17">
        <v>1017.3199999999999</v>
      </c>
      <c r="AU117" s="17">
        <f t="shared" si="45"/>
        <v>1017.3199999999999</v>
      </c>
      <c r="AV117" s="17">
        <f t="shared" si="46"/>
        <v>0</v>
      </c>
      <c r="AW117" s="17" t="str">
        <f t="shared" si="50"/>
        <v>MAYFAIR</v>
      </c>
      <c r="AX117" s="22">
        <v>44645</v>
      </c>
      <c r="AY117" s="22"/>
      <c r="AZ117" s="1" t="s">
        <v>68</v>
      </c>
      <c r="BA117" s="22" t="str">
        <f t="shared" si="48"/>
        <v>FIRE</v>
      </c>
      <c r="BB117" s="22"/>
      <c r="BC117" s="22"/>
      <c r="BD117" s="22"/>
    </row>
    <row r="118" spans="1:56" ht="14.25" customHeight="1" x14ac:dyDescent="0.2">
      <c r="A118" s="12" t="s">
        <v>229</v>
      </c>
      <c r="B118" s="1" t="s">
        <v>57</v>
      </c>
      <c r="C118" s="13">
        <v>44602</v>
      </c>
      <c r="D118" s="13">
        <v>44602</v>
      </c>
      <c r="E118" s="13">
        <v>44602</v>
      </c>
      <c r="F118" s="13">
        <v>44629</v>
      </c>
      <c r="G118" s="14" t="str">
        <f t="shared" si="38"/>
        <v>000-117/AIB RDC/2022</v>
      </c>
      <c r="H118" s="1">
        <v>0</v>
      </c>
      <c r="I118" s="1" t="s">
        <v>74</v>
      </c>
      <c r="J118" s="1" t="s">
        <v>315</v>
      </c>
      <c r="K118" s="16" t="s">
        <v>316</v>
      </c>
      <c r="L118" s="16"/>
      <c r="M118" s="16" t="s">
        <v>105</v>
      </c>
      <c r="N118" s="16" t="s">
        <v>209</v>
      </c>
      <c r="O118" s="16" t="s">
        <v>64</v>
      </c>
      <c r="P118" s="16" t="s">
        <v>65</v>
      </c>
      <c r="Q118" s="16" t="s">
        <v>107</v>
      </c>
      <c r="R118" s="16" t="s">
        <v>107</v>
      </c>
      <c r="S118" s="17">
        <v>6527</v>
      </c>
      <c r="T118" s="17">
        <v>129.80000000000001</v>
      </c>
      <c r="U118" s="17"/>
      <c r="V118" s="17"/>
      <c r="W118" s="17"/>
      <c r="X118" s="17">
        <v>100</v>
      </c>
      <c r="Y118" s="17"/>
      <c r="Z118" s="18">
        <f t="shared" si="39"/>
        <v>1.9886624789336605E-2</v>
      </c>
      <c r="AA118" s="19">
        <v>0.15</v>
      </c>
      <c r="AB118" s="17">
        <f t="shared" si="53"/>
        <v>15</v>
      </c>
      <c r="AC118" s="17">
        <v>0</v>
      </c>
      <c r="AD118" s="17">
        <v>0</v>
      </c>
      <c r="AE118" s="17">
        <f t="shared" si="40"/>
        <v>15</v>
      </c>
      <c r="AF118" s="17">
        <f t="shared" si="51"/>
        <v>2.4</v>
      </c>
      <c r="AG118" s="17">
        <f t="shared" si="41"/>
        <v>17.399999999999999</v>
      </c>
      <c r="AH118" s="17">
        <f t="shared" si="52"/>
        <v>0.3</v>
      </c>
      <c r="AI118" s="17">
        <v>0</v>
      </c>
      <c r="AJ118" s="17">
        <f t="shared" si="42"/>
        <v>0.3</v>
      </c>
      <c r="AK118" s="20"/>
      <c r="AL118" s="17">
        <f t="shared" si="43"/>
        <v>14.7</v>
      </c>
      <c r="AM118" s="17" t="s">
        <v>108</v>
      </c>
      <c r="AN118" s="21">
        <v>0.4</v>
      </c>
      <c r="AO118" s="17">
        <f t="shared" si="44"/>
        <v>5.88</v>
      </c>
      <c r="AP118" s="17">
        <v>5.88</v>
      </c>
      <c r="AQ118" s="16">
        <v>44834</v>
      </c>
      <c r="AR118" s="17">
        <f t="shared" si="36"/>
        <v>0</v>
      </c>
      <c r="AS118" s="17" t="s">
        <v>109</v>
      </c>
      <c r="AT118" s="17">
        <v>17.399999999999999</v>
      </c>
      <c r="AU118" s="17">
        <f t="shared" si="45"/>
        <v>17.399999999999999</v>
      </c>
      <c r="AV118" s="17">
        <f t="shared" si="46"/>
        <v>0</v>
      </c>
      <c r="AW118" s="17" t="str">
        <f t="shared" si="50"/>
        <v>RAWSUR</v>
      </c>
      <c r="AX118" s="22">
        <v>44679</v>
      </c>
      <c r="AY118" s="22"/>
      <c r="AZ118" s="1" t="s">
        <v>110</v>
      </c>
      <c r="BA118" s="22" t="str">
        <f t="shared" si="48"/>
        <v>MARINE CARGO / GIT</v>
      </c>
      <c r="BB118" s="22"/>
      <c r="BC118" s="22"/>
      <c r="BD118" s="22"/>
    </row>
    <row r="119" spans="1:56" ht="14.25" customHeight="1" x14ac:dyDescent="0.2">
      <c r="A119" s="12" t="s">
        <v>229</v>
      </c>
      <c r="B119" s="1" t="s">
        <v>57</v>
      </c>
      <c r="C119" s="13">
        <v>44594</v>
      </c>
      <c r="D119" s="13">
        <v>44594</v>
      </c>
      <c r="E119" s="13">
        <v>44602</v>
      </c>
      <c r="F119" s="13">
        <v>44660</v>
      </c>
      <c r="G119" s="14" t="str">
        <f t="shared" si="38"/>
        <v>000-118/AIB RDC/2022</v>
      </c>
      <c r="H119" s="1">
        <v>0</v>
      </c>
      <c r="I119" s="1" t="s">
        <v>74</v>
      </c>
      <c r="J119" s="1" t="s">
        <v>317</v>
      </c>
      <c r="K119" s="16" t="s">
        <v>104</v>
      </c>
      <c r="L119" s="16"/>
      <c r="M119" s="16" t="s">
        <v>105</v>
      </c>
      <c r="N119" s="16" t="s">
        <v>209</v>
      </c>
      <c r="O119" s="16" t="s">
        <v>64</v>
      </c>
      <c r="P119" s="16" t="s">
        <v>65</v>
      </c>
      <c r="Q119" s="16" t="s">
        <v>107</v>
      </c>
      <c r="R119" s="16" t="s">
        <v>107</v>
      </c>
      <c r="S119" s="17">
        <v>889</v>
      </c>
      <c r="T119" s="17">
        <v>129.80000000000001</v>
      </c>
      <c r="U119" s="17"/>
      <c r="V119" s="17"/>
      <c r="W119" s="17"/>
      <c r="X119" s="17">
        <v>100</v>
      </c>
      <c r="Y119" s="17"/>
      <c r="Z119" s="18">
        <f t="shared" si="39"/>
        <v>0.14600674915635548</v>
      </c>
      <c r="AA119" s="19">
        <v>0.15</v>
      </c>
      <c r="AB119" s="17">
        <f t="shared" si="53"/>
        <v>15</v>
      </c>
      <c r="AC119" s="17">
        <v>0</v>
      </c>
      <c r="AD119" s="17">
        <v>0</v>
      </c>
      <c r="AE119" s="17">
        <f t="shared" si="40"/>
        <v>15</v>
      </c>
      <c r="AF119" s="17">
        <f t="shared" si="51"/>
        <v>2.4</v>
      </c>
      <c r="AG119" s="17">
        <f t="shared" si="41"/>
        <v>17.399999999999999</v>
      </c>
      <c r="AH119" s="17">
        <f t="shared" si="52"/>
        <v>0.3</v>
      </c>
      <c r="AI119" s="17">
        <v>0</v>
      </c>
      <c r="AJ119" s="17">
        <f t="shared" si="42"/>
        <v>0.3</v>
      </c>
      <c r="AK119" s="20"/>
      <c r="AL119" s="17">
        <f t="shared" si="43"/>
        <v>14.7</v>
      </c>
      <c r="AM119" s="17" t="s">
        <v>108</v>
      </c>
      <c r="AN119" s="21">
        <v>0.4</v>
      </c>
      <c r="AO119" s="17">
        <f t="shared" si="44"/>
        <v>5.88</v>
      </c>
      <c r="AP119" s="30">
        <v>5.88</v>
      </c>
      <c r="AQ119" s="29">
        <v>45229</v>
      </c>
      <c r="AR119" s="17">
        <f t="shared" si="36"/>
        <v>0</v>
      </c>
      <c r="AS119" s="17"/>
      <c r="AT119" s="17">
        <v>17.399999999999999</v>
      </c>
      <c r="AU119" s="17">
        <f t="shared" si="45"/>
        <v>17.399999999999999</v>
      </c>
      <c r="AV119" s="17">
        <f t="shared" si="46"/>
        <v>0</v>
      </c>
      <c r="AW119" s="17" t="str">
        <f t="shared" si="50"/>
        <v>RAWSUR</v>
      </c>
      <c r="AX119" s="22">
        <v>44994</v>
      </c>
      <c r="AY119" s="22"/>
      <c r="AZ119" s="1" t="s">
        <v>110</v>
      </c>
      <c r="BA119" s="22" t="str">
        <f t="shared" si="48"/>
        <v>MARINE CARGO / GIT</v>
      </c>
      <c r="BB119" s="22"/>
      <c r="BC119" s="22"/>
      <c r="BD119" s="1" t="s">
        <v>275</v>
      </c>
    </row>
    <row r="120" spans="1:56" ht="14.25" customHeight="1" x14ac:dyDescent="0.2">
      <c r="A120" s="35" t="s">
        <v>229</v>
      </c>
      <c r="B120" s="28" t="s">
        <v>57</v>
      </c>
      <c r="C120" s="36">
        <v>44602</v>
      </c>
      <c r="D120" s="36">
        <v>44606</v>
      </c>
      <c r="E120" s="36">
        <v>44602</v>
      </c>
      <c r="F120" s="36">
        <v>44966</v>
      </c>
      <c r="G120" s="37" t="str">
        <f t="shared" si="38"/>
        <v>000-119/AIB RDC/2022</v>
      </c>
      <c r="H120" s="28">
        <v>1</v>
      </c>
      <c r="I120" s="28" t="s">
        <v>91</v>
      </c>
      <c r="J120" s="28" t="s">
        <v>318</v>
      </c>
      <c r="K120" s="28" t="s">
        <v>117</v>
      </c>
      <c r="L120" s="28" t="s">
        <v>118</v>
      </c>
      <c r="M120" s="29" t="s">
        <v>105</v>
      </c>
      <c r="N120" s="29" t="s">
        <v>209</v>
      </c>
      <c r="O120" s="29" t="s">
        <v>64</v>
      </c>
      <c r="P120" s="29" t="s">
        <v>65</v>
      </c>
      <c r="Q120" s="29" t="s">
        <v>66</v>
      </c>
      <c r="R120" s="29" t="s">
        <v>66</v>
      </c>
      <c r="S120" s="23">
        <v>0</v>
      </c>
      <c r="T120" s="23">
        <v>17.399999999999999</v>
      </c>
      <c r="U120" s="23">
        <v>0</v>
      </c>
      <c r="V120" s="23">
        <v>0</v>
      </c>
      <c r="W120" s="23">
        <v>5</v>
      </c>
      <c r="X120" s="23">
        <v>10</v>
      </c>
      <c r="Y120" s="23">
        <v>2.4</v>
      </c>
      <c r="Z120" s="38" t="e">
        <f t="shared" si="39"/>
        <v>#DIV/0!</v>
      </c>
      <c r="AA120" s="39">
        <v>0.15</v>
      </c>
      <c r="AB120" s="23">
        <f t="shared" si="53"/>
        <v>1.5</v>
      </c>
      <c r="AC120" s="23">
        <v>0</v>
      </c>
      <c r="AD120" s="23">
        <v>0</v>
      </c>
      <c r="AE120" s="23">
        <f t="shared" si="40"/>
        <v>1.5</v>
      </c>
      <c r="AF120" s="23">
        <f t="shared" si="51"/>
        <v>0.24</v>
      </c>
      <c r="AG120" s="23">
        <f t="shared" si="41"/>
        <v>1.74</v>
      </c>
      <c r="AH120" s="23">
        <f t="shared" si="52"/>
        <v>0.03</v>
      </c>
      <c r="AI120" s="23">
        <v>0</v>
      </c>
      <c r="AJ120" s="23">
        <f t="shared" si="42"/>
        <v>0.03</v>
      </c>
      <c r="AK120" s="40"/>
      <c r="AL120" s="23">
        <f t="shared" si="43"/>
        <v>1.47</v>
      </c>
      <c r="AM120" s="23"/>
      <c r="AN120" s="41"/>
      <c r="AO120" s="23">
        <f t="shared" si="44"/>
        <v>0</v>
      </c>
      <c r="AP120" s="23"/>
      <c r="AQ120" s="29"/>
      <c r="AR120" s="23">
        <f t="shared" si="36"/>
        <v>0</v>
      </c>
      <c r="AS120" s="23"/>
      <c r="AT120" s="23">
        <v>1.74</v>
      </c>
      <c r="AU120" s="23">
        <f t="shared" si="45"/>
        <v>1.74</v>
      </c>
      <c r="AV120" s="23">
        <f t="shared" si="46"/>
        <v>0</v>
      </c>
      <c r="AW120" s="23" t="str">
        <f t="shared" si="50"/>
        <v>ACTIVA</v>
      </c>
      <c r="AX120" s="42">
        <v>45152</v>
      </c>
      <c r="AY120" s="42"/>
      <c r="AZ120" s="42"/>
      <c r="BA120" s="42" t="str">
        <f t="shared" si="48"/>
        <v>MARINE CARGO / GIT</v>
      </c>
      <c r="BB120" s="42"/>
      <c r="BC120" s="42"/>
      <c r="BD120" s="42"/>
    </row>
    <row r="121" spans="1:56" ht="14.25" customHeight="1" x14ac:dyDescent="0.2">
      <c r="A121" s="1" t="s">
        <v>667</v>
      </c>
      <c r="B121" s="1" t="s">
        <v>273</v>
      </c>
      <c r="C121" s="13">
        <v>44841</v>
      </c>
      <c r="D121" s="13">
        <v>44841</v>
      </c>
      <c r="E121" s="13">
        <v>44841</v>
      </c>
      <c r="F121" s="13">
        <v>44871</v>
      </c>
      <c r="G121" s="14" t="str">
        <f t="shared" si="38"/>
        <v>000-120/AIB RDC/2022</v>
      </c>
      <c r="H121" s="1">
        <v>0</v>
      </c>
      <c r="I121" s="1" t="s">
        <v>74</v>
      </c>
      <c r="J121" s="1" t="s">
        <v>929</v>
      </c>
      <c r="K121" s="1" t="s">
        <v>637</v>
      </c>
      <c r="L121" s="1" t="s">
        <v>420</v>
      </c>
      <c r="M121" s="1" t="s">
        <v>706</v>
      </c>
      <c r="N121" s="1" t="s">
        <v>209</v>
      </c>
      <c r="O121" s="1" t="s">
        <v>64</v>
      </c>
      <c r="P121" s="1" t="s">
        <v>65</v>
      </c>
      <c r="Q121" s="1" t="s">
        <v>79</v>
      </c>
      <c r="R121" s="1" t="s">
        <v>79</v>
      </c>
      <c r="S121" s="17">
        <v>57091.67</v>
      </c>
      <c r="T121" s="17">
        <v>180</v>
      </c>
      <c r="U121" s="17">
        <v>0</v>
      </c>
      <c r="V121" s="17">
        <v>0</v>
      </c>
      <c r="W121" s="17">
        <v>50</v>
      </c>
      <c r="X121" s="17">
        <v>103</v>
      </c>
      <c r="Y121" s="17">
        <v>24</v>
      </c>
      <c r="Z121" s="18">
        <f t="shared" si="39"/>
        <v>3.1528242211166708E-3</v>
      </c>
      <c r="AA121" s="19">
        <v>0.15</v>
      </c>
      <c r="AB121" s="17">
        <f t="shared" si="53"/>
        <v>15.45</v>
      </c>
      <c r="AC121" s="17">
        <v>0</v>
      </c>
      <c r="AD121" s="17">
        <v>0</v>
      </c>
      <c r="AE121" s="17">
        <f t="shared" si="40"/>
        <v>15.45</v>
      </c>
      <c r="AF121" s="17">
        <f t="shared" si="51"/>
        <v>2.472</v>
      </c>
      <c r="AG121" s="17">
        <f t="shared" si="41"/>
        <v>17.922000000000001</v>
      </c>
      <c r="AH121" s="17">
        <f t="shared" si="52"/>
        <v>0.309</v>
      </c>
      <c r="AI121" s="17"/>
      <c r="AJ121" s="17">
        <f t="shared" si="42"/>
        <v>0.309</v>
      </c>
      <c r="AK121" s="20"/>
      <c r="AL121" s="17">
        <f t="shared" si="43"/>
        <v>15.141</v>
      </c>
      <c r="AM121" s="17"/>
      <c r="AN121" s="21"/>
      <c r="AO121" s="17">
        <f t="shared" si="44"/>
        <v>0</v>
      </c>
      <c r="AP121" s="27"/>
      <c r="AQ121" s="16"/>
      <c r="AR121" s="17">
        <f t="shared" si="36"/>
        <v>0</v>
      </c>
      <c r="AS121" s="17"/>
      <c r="AT121" s="17"/>
      <c r="AU121" s="17">
        <f t="shared" si="45"/>
        <v>17.922000000000001</v>
      </c>
      <c r="AV121" s="84">
        <f t="shared" si="46"/>
        <v>17.922000000000001</v>
      </c>
      <c r="AW121" s="17" t="str">
        <f t="shared" si="50"/>
        <v>MAYFAIR</v>
      </c>
      <c r="AX121" s="22"/>
      <c r="AY121" s="22"/>
      <c r="AZ121" s="1" t="s">
        <v>110</v>
      </c>
      <c r="BA121" s="22" t="str">
        <f t="shared" si="48"/>
        <v>MARINE CARGO / GIT</v>
      </c>
      <c r="BB121" s="54"/>
      <c r="BC121" s="22"/>
      <c r="BD121" s="1" t="s">
        <v>930</v>
      </c>
    </row>
    <row r="122" spans="1:56" ht="14.25" customHeight="1" x14ac:dyDescent="0.2">
      <c r="A122" s="12" t="s">
        <v>229</v>
      </c>
      <c r="B122" s="1" t="s">
        <v>57</v>
      </c>
      <c r="C122" s="13">
        <v>44603</v>
      </c>
      <c r="D122" s="13">
        <v>44606</v>
      </c>
      <c r="E122" s="13">
        <v>44603</v>
      </c>
      <c r="F122" s="13">
        <v>44967</v>
      </c>
      <c r="G122" s="14" t="str">
        <f t="shared" si="38"/>
        <v>000-121/AIB RDC/2022</v>
      </c>
      <c r="H122" s="1">
        <v>0</v>
      </c>
      <c r="I122" s="1" t="s">
        <v>74</v>
      </c>
      <c r="J122" s="16" t="s">
        <v>320</v>
      </c>
      <c r="K122" s="1" t="s">
        <v>321</v>
      </c>
      <c r="L122" s="16" t="s">
        <v>137</v>
      </c>
      <c r="M122" s="16" t="s">
        <v>84</v>
      </c>
      <c r="N122" s="16" t="s">
        <v>209</v>
      </c>
      <c r="O122" s="16" t="s">
        <v>70</v>
      </c>
      <c r="P122" s="16" t="s">
        <v>71</v>
      </c>
      <c r="Q122" s="16" t="s">
        <v>130</v>
      </c>
      <c r="R122" s="16" t="s">
        <v>130</v>
      </c>
      <c r="S122" s="17">
        <v>1601011.76</v>
      </c>
      <c r="T122" s="17">
        <v>1818.33</v>
      </c>
      <c r="U122" s="17">
        <v>0</v>
      </c>
      <c r="V122" s="17"/>
      <c r="W122" s="17"/>
      <c r="X122" s="17">
        <v>1520.96</v>
      </c>
      <c r="Y122" s="17"/>
      <c r="Z122" s="18">
        <f t="shared" si="39"/>
        <v>1.1357380660339434E-3</v>
      </c>
      <c r="AA122" s="19">
        <v>0.1</v>
      </c>
      <c r="AB122" s="17">
        <f t="shared" si="53"/>
        <v>152.096</v>
      </c>
      <c r="AC122" s="17">
        <v>0</v>
      </c>
      <c r="AD122" s="17">
        <v>0</v>
      </c>
      <c r="AE122" s="17">
        <f t="shared" si="40"/>
        <v>152.096</v>
      </c>
      <c r="AF122" s="17">
        <f t="shared" si="51"/>
        <v>24.335360000000001</v>
      </c>
      <c r="AG122" s="17">
        <f t="shared" si="41"/>
        <v>176.43136000000001</v>
      </c>
      <c r="AH122" s="17">
        <f t="shared" si="52"/>
        <v>3.0419200000000002</v>
      </c>
      <c r="AI122" s="17">
        <v>0</v>
      </c>
      <c r="AJ122" s="17">
        <f t="shared" si="42"/>
        <v>3.0419200000000002</v>
      </c>
      <c r="AK122" s="20" t="s">
        <v>142</v>
      </c>
      <c r="AL122" s="17">
        <f t="shared" si="43"/>
        <v>149.05408</v>
      </c>
      <c r="AM122" s="17" t="s">
        <v>289</v>
      </c>
      <c r="AN122" s="21">
        <v>0.5</v>
      </c>
      <c r="AO122" s="17">
        <f t="shared" si="44"/>
        <v>74.52704</v>
      </c>
      <c r="AP122" s="17">
        <v>74.52704</v>
      </c>
      <c r="AQ122" s="16">
        <v>44867</v>
      </c>
      <c r="AR122" s="17">
        <f t="shared" si="36"/>
        <v>0</v>
      </c>
      <c r="AS122" s="17" t="s">
        <v>290</v>
      </c>
      <c r="AT122" s="17">
        <v>176.43136000000001</v>
      </c>
      <c r="AU122" s="17">
        <f t="shared" si="45"/>
        <v>176.43136000000001</v>
      </c>
      <c r="AV122" s="17">
        <f t="shared" si="46"/>
        <v>0</v>
      </c>
      <c r="AW122" s="17" t="str">
        <f t="shared" si="50"/>
        <v>SFA</v>
      </c>
      <c r="AX122" s="22">
        <v>44649</v>
      </c>
      <c r="AY122" s="22"/>
      <c r="AZ122" s="22"/>
      <c r="BA122" s="22" t="str">
        <f t="shared" si="48"/>
        <v>FIRE</v>
      </c>
      <c r="BB122" s="22"/>
      <c r="BC122" s="22"/>
      <c r="BD122" s="22"/>
    </row>
    <row r="123" spans="1:56" ht="14.25" customHeight="1" x14ac:dyDescent="0.2">
      <c r="A123" s="35" t="s">
        <v>229</v>
      </c>
      <c r="B123" s="28" t="s">
        <v>57</v>
      </c>
      <c r="C123" s="36">
        <v>44615</v>
      </c>
      <c r="D123" s="36">
        <v>44950</v>
      </c>
      <c r="E123" s="36">
        <v>44615</v>
      </c>
      <c r="F123" s="36">
        <v>44617</v>
      </c>
      <c r="G123" s="37" t="str">
        <f t="shared" si="38"/>
        <v>000-122/AIB RDC/2022</v>
      </c>
      <c r="H123" s="28">
        <v>0</v>
      </c>
      <c r="I123" s="28" t="s">
        <v>74</v>
      </c>
      <c r="J123" s="28" t="s">
        <v>322</v>
      </c>
      <c r="K123" s="29" t="s">
        <v>181</v>
      </c>
      <c r="L123" s="29"/>
      <c r="M123" s="29" t="s">
        <v>105</v>
      </c>
      <c r="N123" s="29" t="s">
        <v>209</v>
      </c>
      <c r="O123" s="29" t="s">
        <v>64</v>
      </c>
      <c r="P123" s="29" t="s">
        <v>65</v>
      </c>
      <c r="Q123" s="29" t="s">
        <v>130</v>
      </c>
      <c r="R123" s="29" t="s">
        <v>130</v>
      </c>
      <c r="S123" s="23">
        <v>3668</v>
      </c>
      <c r="T123" s="23">
        <v>318.60000000000002</v>
      </c>
      <c r="U123" s="23">
        <v>0</v>
      </c>
      <c r="V123" s="23">
        <v>0</v>
      </c>
      <c r="W123" s="23">
        <v>20</v>
      </c>
      <c r="X123" s="23">
        <v>250</v>
      </c>
      <c r="Y123" s="23">
        <v>43.2</v>
      </c>
      <c r="Z123" s="38">
        <f t="shared" si="39"/>
        <v>8.6859323882224657E-2</v>
      </c>
      <c r="AA123" s="39">
        <v>0.15</v>
      </c>
      <c r="AB123" s="23">
        <f t="shared" si="53"/>
        <v>37.5</v>
      </c>
      <c r="AC123" s="23">
        <v>0</v>
      </c>
      <c r="AD123" s="23">
        <v>0</v>
      </c>
      <c r="AE123" s="23">
        <f t="shared" si="40"/>
        <v>37.5</v>
      </c>
      <c r="AF123" s="23">
        <f t="shared" si="51"/>
        <v>6</v>
      </c>
      <c r="AG123" s="23">
        <f t="shared" si="41"/>
        <v>43.5</v>
      </c>
      <c r="AH123" s="23">
        <f t="shared" si="52"/>
        <v>0.75</v>
      </c>
      <c r="AI123" s="23">
        <v>0</v>
      </c>
      <c r="AJ123" s="23">
        <f t="shared" si="42"/>
        <v>0.75</v>
      </c>
      <c r="AK123" s="40"/>
      <c r="AL123" s="23">
        <f t="shared" si="43"/>
        <v>36.75</v>
      </c>
      <c r="AM123" s="23" t="s">
        <v>108</v>
      </c>
      <c r="AN123" s="41">
        <v>0.4</v>
      </c>
      <c r="AO123" s="23">
        <f t="shared" si="44"/>
        <v>14.700000000000001</v>
      </c>
      <c r="AP123" s="30">
        <v>14.700000000000001</v>
      </c>
      <c r="AQ123" s="29">
        <v>45229</v>
      </c>
      <c r="AR123" s="23">
        <f t="shared" si="36"/>
        <v>0</v>
      </c>
      <c r="AS123" s="23"/>
      <c r="AT123" s="23">
        <v>43.5</v>
      </c>
      <c r="AU123" s="23">
        <f t="shared" si="45"/>
        <v>43.5</v>
      </c>
      <c r="AV123" s="23">
        <f t="shared" si="46"/>
        <v>0</v>
      </c>
      <c r="AW123" s="23" t="str">
        <f t="shared" si="50"/>
        <v>SFA</v>
      </c>
      <c r="AX123" s="42">
        <v>44984</v>
      </c>
      <c r="AY123" s="42"/>
      <c r="AZ123" s="28" t="s">
        <v>110</v>
      </c>
      <c r="BA123" s="42" t="str">
        <f t="shared" si="48"/>
        <v>MARINE CARGO / GIT</v>
      </c>
      <c r="BB123" s="42"/>
      <c r="BC123" s="42"/>
      <c r="BD123" s="28" t="s">
        <v>275</v>
      </c>
    </row>
    <row r="124" spans="1:56" ht="14.25" customHeight="1" x14ac:dyDescent="0.2">
      <c r="A124" s="63" t="s">
        <v>992</v>
      </c>
      <c r="B124" s="63" t="s">
        <v>273</v>
      </c>
      <c r="C124" s="64">
        <v>44904</v>
      </c>
      <c r="D124" s="64">
        <v>44904</v>
      </c>
      <c r="E124" s="64">
        <v>44904</v>
      </c>
      <c r="F124" s="64">
        <v>44957</v>
      </c>
      <c r="G124" s="65" t="str">
        <f t="shared" si="38"/>
        <v>000-123/AIB RDC/2022</v>
      </c>
      <c r="H124" s="66">
        <v>26</v>
      </c>
      <c r="I124" s="67" t="s">
        <v>91</v>
      </c>
      <c r="J124" s="63" t="s">
        <v>284</v>
      </c>
      <c r="K124" s="63" t="s">
        <v>285</v>
      </c>
      <c r="L124" s="63" t="s">
        <v>83</v>
      </c>
      <c r="M124" s="63" t="s">
        <v>84</v>
      </c>
      <c r="N124" s="63" t="s">
        <v>694</v>
      </c>
      <c r="O124" s="63" t="s">
        <v>152</v>
      </c>
      <c r="P124" s="63" t="s">
        <v>153</v>
      </c>
      <c r="Q124" s="63" t="s">
        <v>66</v>
      </c>
      <c r="R124" s="63" t="s">
        <v>66</v>
      </c>
      <c r="S124" s="59">
        <v>63974</v>
      </c>
      <c r="T124" s="59">
        <v>818.09</v>
      </c>
      <c r="U124" s="59">
        <v>0</v>
      </c>
      <c r="V124" s="59">
        <v>0</v>
      </c>
      <c r="W124" s="59">
        <v>10</v>
      </c>
      <c r="X124" s="59">
        <v>696.63</v>
      </c>
      <c r="Y124" s="59">
        <v>111.46</v>
      </c>
      <c r="Z124" s="68">
        <f t="shared" si="39"/>
        <v>1.2787851314596555E-2</v>
      </c>
      <c r="AA124" s="69">
        <v>0.15</v>
      </c>
      <c r="AB124" s="59">
        <f t="shared" si="53"/>
        <v>104.4945</v>
      </c>
      <c r="AC124" s="59">
        <v>0</v>
      </c>
      <c r="AD124" s="59">
        <f>3%*X124</f>
        <v>20.898899999999998</v>
      </c>
      <c r="AE124" s="59">
        <f t="shared" si="40"/>
        <v>125.3934</v>
      </c>
      <c r="AF124" s="59">
        <f t="shared" si="51"/>
        <v>20.062944000000002</v>
      </c>
      <c r="AG124" s="59">
        <f t="shared" si="41"/>
        <v>145.456344</v>
      </c>
      <c r="AH124" s="59">
        <f t="shared" si="52"/>
        <v>2.5078680000000002</v>
      </c>
      <c r="AI124" s="59">
        <v>0</v>
      </c>
      <c r="AJ124" s="59">
        <f t="shared" si="42"/>
        <v>2.5078680000000002</v>
      </c>
      <c r="AK124" s="70"/>
      <c r="AL124" s="59">
        <f t="shared" si="43"/>
        <v>122.885532</v>
      </c>
      <c r="AM124" s="59" t="s">
        <v>198</v>
      </c>
      <c r="AN124" s="71"/>
      <c r="AO124" s="59">
        <f t="shared" si="44"/>
        <v>0</v>
      </c>
      <c r="AP124" s="72"/>
      <c r="AQ124" s="73"/>
      <c r="AR124" s="59">
        <f t="shared" ref="AR124:AR187" si="54">AO124-AP124</f>
        <v>0</v>
      </c>
      <c r="AS124" s="59"/>
      <c r="AT124" s="59">
        <v>121.21</v>
      </c>
      <c r="AU124" s="59">
        <f t="shared" si="45"/>
        <v>145.456344</v>
      </c>
      <c r="AV124" s="86">
        <f t="shared" si="46"/>
        <v>24.246344000000008</v>
      </c>
      <c r="AW124" s="59" t="str">
        <f t="shared" si="50"/>
        <v>ACTIVA</v>
      </c>
      <c r="AX124" s="42">
        <v>45152</v>
      </c>
      <c r="AY124" s="74"/>
      <c r="AZ124" s="63" t="s">
        <v>68</v>
      </c>
      <c r="BA124" s="74" t="str">
        <f t="shared" si="48"/>
        <v>COMP MOTOR</v>
      </c>
      <c r="BB124" s="75"/>
      <c r="BC124" s="74"/>
      <c r="BD124" s="63" t="s">
        <v>930</v>
      </c>
    </row>
    <row r="125" spans="1:56" ht="14.25" customHeight="1" x14ac:dyDescent="0.2">
      <c r="A125" s="1" t="s">
        <v>324</v>
      </c>
      <c r="B125" s="1" t="s">
        <v>57</v>
      </c>
      <c r="C125" s="13">
        <v>44603</v>
      </c>
      <c r="D125" s="13">
        <v>44627</v>
      </c>
      <c r="E125" s="13">
        <v>44621</v>
      </c>
      <c r="F125" s="13">
        <v>44712</v>
      </c>
      <c r="G125" s="14" t="str">
        <f t="shared" si="38"/>
        <v>000-124/AIB RDC/2022</v>
      </c>
      <c r="H125" s="1">
        <v>0</v>
      </c>
      <c r="I125" s="1" t="s">
        <v>74</v>
      </c>
      <c r="J125" s="1" t="s">
        <v>325</v>
      </c>
      <c r="K125" s="1" t="s">
        <v>263</v>
      </c>
      <c r="L125" s="16"/>
      <c r="M125" s="16" t="s">
        <v>105</v>
      </c>
      <c r="N125" s="1" t="s">
        <v>106</v>
      </c>
      <c r="O125" s="16" t="s">
        <v>64</v>
      </c>
      <c r="P125" s="16" t="s">
        <v>65</v>
      </c>
      <c r="Q125" s="16" t="s">
        <v>107</v>
      </c>
      <c r="R125" s="16" t="s">
        <v>107</v>
      </c>
      <c r="S125" s="17">
        <v>15000</v>
      </c>
      <c r="T125" s="17">
        <v>129.80000000000001</v>
      </c>
      <c r="U125" s="17">
        <v>0</v>
      </c>
      <c r="V125" s="17"/>
      <c r="W125" s="17"/>
      <c r="X125" s="17">
        <v>100</v>
      </c>
      <c r="Y125" s="17"/>
      <c r="Z125" s="18">
        <f t="shared" si="39"/>
        <v>8.6533333333333341E-3</v>
      </c>
      <c r="AA125" s="19">
        <v>0.15</v>
      </c>
      <c r="AB125" s="17">
        <f t="shared" si="53"/>
        <v>15</v>
      </c>
      <c r="AC125" s="17">
        <v>0</v>
      </c>
      <c r="AD125" s="17">
        <v>0</v>
      </c>
      <c r="AE125" s="17">
        <f t="shared" si="40"/>
        <v>15</v>
      </c>
      <c r="AF125" s="17">
        <f t="shared" si="51"/>
        <v>2.4</v>
      </c>
      <c r="AG125" s="17">
        <f t="shared" si="41"/>
        <v>17.399999999999999</v>
      </c>
      <c r="AH125" s="17">
        <f t="shared" si="52"/>
        <v>0.3</v>
      </c>
      <c r="AI125" s="17">
        <v>0</v>
      </c>
      <c r="AJ125" s="17">
        <f t="shared" si="42"/>
        <v>0.3</v>
      </c>
      <c r="AK125" s="20"/>
      <c r="AL125" s="17">
        <f t="shared" si="43"/>
        <v>14.7</v>
      </c>
      <c r="AM125" s="17" t="s">
        <v>108</v>
      </c>
      <c r="AN125" s="21">
        <v>0.4</v>
      </c>
      <c r="AO125" s="17">
        <f t="shared" si="44"/>
        <v>5.88</v>
      </c>
      <c r="AP125" s="30">
        <v>5.88</v>
      </c>
      <c r="AQ125" s="29">
        <v>45229</v>
      </c>
      <c r="AR125" s="17">
        <f t="shared" si="54"/>
        <v>0</v>
      </c>
      <c r="AS125" s="17"/>
      <c r="AT125" s="17">
        <v>17.399999999999999</v>
      </c>
      <c r="AU125" s="17">
        <f t="shared" si="45"/>
        <v>17.399999999999999</v>
      </c>
      <c r="AV125" s="17">
        <f t="shared" si="46"/>
        <v>0</v>
      </c>
      <c r="AW125" s="17" t="str">
        <f t="shared" si="50"/>
        <v>RAWSUR</v>
      </c>
      <c r="AX125" s="22">
        <v>44994</v>
      </c>
      <c r="AY125" s="22"/>
      <c r="AZ125" s="1" t="s">
        <v>110</v>
      </c>
      <c r="BA125" s="22" t="str">
        <f t="shared" si="48"/>
        <v>MARINE CARGO / GIT</v>
      </c>
      <c r="BB125" s="22"/>
      <c r="BC125" s="22"/>
      <c r="BD125" s="1" t="s">
        <v>275</v>
      </c>
    </row>
    <row r="126" spans="1:56" ht="14.25" customHeight="1" x14ac:dyDescent="0.2">
      <c r="A126" s="12" t="s">
        <v>229</v>
      </c>
      <c r="B126" s="1" t="s">
        <v>57</v>
      </c>
      <c r="C126" s="13">
        <v>44602</v>
      </c>
      <c r="D126" s="13">
        <v>44602</v>
      </c>
      <c r="E126" s="13">
        <v>44603</v>
      </c>
      <c r="F126" s="13">
        <v>44691</v>
      </c>
      <c r="G126" s="14" t="str">
        <f t="shared" si="38"/>
        <v>000-125/AIB RDC/2022</v>
      </c>
      <c r="H126" s="1">
        <v>0</v>
      </c>
      <c r="I126" s="1" t="s">
        <v>74</v>
      </c>
      <c r="J126" s="1" t="s">
        <v>326</v>
      </c>
      <c r="K126" s="1" t="s">
        <v>263</v>
      </c>
      <c r="L126" s="16"/>
      <c r="M126" s="16" t="s">
        <v>105</v>
      </c>
      <c r="N126" s="1" t="s">
        <v>106</v>
      </c>
      <c r="O126" s="16" t="s">
        <v>64</v>
      </c>
      <c r="P126" s="16" t="s">
        <v>65</v>
      </c>
      <c r="Q126" s="16" t="s">
        <v>107</v>
      </c>
      <c r="R126" s="16" t="s">
        <v>107</v>
      </c>
      <c r="S126" s="17">
        <v>92689</v>
      </c>
      <c r="T126" s="17">
        <v>466.99</v>
      </c>
      <c r="U126" s="17">
        <v>0</v>
      </c>
      <c r="V126" s="17"/>
      <c r="W126" s="17"/>
      <c r="X126" s="17">
        <v>370.75</v>
      </c>
      <c r="Y126" s="17"/>
      <c r="Z126" s="18">
        <f t="shared" si="39"/>
        <v>5.0382461780793843E-3</v>
      </c>
      <c r="AA126" s="19">
        <v>0.15</v>
      </c>
      <c r="AB126" s="17">
        <f t="shared" si="53"/>
        <v>55.612499999999997</v>
      </c>
      <c r="AC126" s="17">
        <v>0</v>
      </c>
      <c r="AD126" s="17">
        <v>0</v>
      </c>
      <c r="AE126" s="17">
        <f t="shared" si="40"/>
        <v>55.612499999999997</v>
      </c>
      <c r="AF126" s="17">
        <f t="shared" si="51"/>
        <v>8.8979999999999997</v>
      </c>
      <c r="AG126" s="17">
        <f t="shared" si="41"/>
        <v>64.510499999999993</v>
      </c>
      <c r="AH126" s="17">
        <f t="shared" si="52"/>
        <v>1.11225</v>
      </c>
      <c r="AI126" s="17">
        <v>0</v>
      </c>
      <c r="AJ126" s="17">
        <f t="shared" si="42"/>
        <v>1.11225</v>
      </c>
      <c r="AK126" s="20"/>
      <c r="AL126" s="17">
        <f t="shared" si="43"/>
        <v>54.500249999999994</v>
      </c>
      <c r="AM126" s="17" t="s">
        <v>108</v>
      </c>
      <c r="AN126" s="21">
        <v>0.4</v>
      </c>
      <c r="AO126" s="17">
        <f t="shared" si="44"/>
        <v>21.8001</v>
      </c>
      <c r="AP126" s="30">
        <v>21.8001</v>
      </c>
      <c r="AQ126" s="29">
        <v>45229</v>
      </c>
      <c r="AR126" s="17">
        <f t="shared" si="54"/>
        <v>0</v>
      </c>
      <c r="AS126" s="17"/>
      <c r="AT126" s="17">
        <v>64.510499999999993</v>
      </c>
      <c r="AU126" s="17">
        <f t="shared" si="45"/>
        <v>64.510499999999993</v>
      </c>
      <c r="AV126" s="17">
        <f t="shared" si="46"/>
        <v>0</v>
      </c>
      <c r="AW126" s="17" t="str">
        <f t="shared" si="50"/>
        <v>RAWSUR</v>
      </c>
      <c r="AX126" s="22">
        <v>44994</v>
      </c>
      <c r="AY126" s="22"/>
      <c r="AZ126" s="1" t="s">
        <v>110</v>
      </c>
      <c r="BA126" s="22" t="str">
        <f t="shared" si="48"/>
        <v>MARINE CARGO / GIT</v>
      </c>
      <c r="BB126" s="22"/>
      <c r="BC126" s="22"/>
      <c r="BD126" s="1" t="s">
        <v>275</v>
      </c>
    </row>
    <row r="127" spans="1:56" ht="14.25" customHeight="1" x14ac:dyDescent="0.2">
      <c r="A127" s="12" t="s">
        <v>229</v>
      </c>
      <c r="B127" s="1" t="s">
        <v>57</v>
      </c>
      <c r="C127" s="13">
        <v>44603</v>
      </c>
      <c r="D127" s="13">
        <v>44607</v>
      </c>
      <c r="E127" s="13">
        <v>44603</v>
      </c>
      <c r="F127" s="13">
        <v>44632</v>
      </c>
      <c r="G127" s="14" t="str">
        <f t="shared" si="38"/>
        <v>000-126/AIB RDC/2022</v>
      </c>
      <c r="H127" s="1">
        <v>0</v>
      </c>
      <c r="I127" s="1" t="s">
        <v>74</v>
      </c>
      <c r="J127" s="1" t="s">
        <v>327</v>
      </c>
      <c r="K127" s="16" t="s">
        <v>261</v>
      </c>
      <c r="L127" s="16"/>
      <c r="M127" s="16" t="s">
        <v>105</v>
      </c>
      <c r="N127" s="1" t="s">
        <v>106</v>
      </c>
      <c r="O127" s="16" t="s">
        <v>64</v>
      </c>
      <c r="P127" s="16" t="s">
        <v>65</v>
      </c>
      <c r="Q127" s="16" t="s">
        <v>130</v>
      </c>
      <c r="R127" s="16" t="s">
        <v>130</v>
      </c>
      <c r="S127" s="17">
        <v>209061.54</v>
      </c>
      <c r="T127" s="17">
        <v>584.83000000000004</v>
      </c>
      <c r="U127" s="17">
        <v>0</v>
      </c>
      <c r="V127" s="17"/>
      <c r="W127" s="17"/>
      <c r="X127" s="17">
        <v>475.62</v>
      </c>
      <c r="Y127" s="17"/>
      <c r="Z127" s="18">
        <f t="shared" si="39"/>
        <v>2.7974059695532712E-3</v>
      </c>
      <c r="AA127" s="19">
        <v>0.15</v>
      </c>
      <c r="AB127" s="17">
        <f t="shared" si="53"/>
        <v>71.343000000000004</v>
      </c>
      <c r="AC127" s="17">
        <v>0</v>
      </c>
      <c r="AD127" s="17">
        <v>0</v>
      </c>
      <c r="AE127" s="17">
        <f t="shared" si="40"/>
        <v>71.343000000000004</v>
      </c>
      <c r="AF127" s="17">
        <f t="shared" si="51"/>
        <v>11.41488</v>
      </c>
      <c r="AG127" s="17">
        <f t="shared" si="41"/>
        <v>82.75788</v>
      </c>
      <c r="AH127" s="17">
        <f t="shared" si="52"/>
        <v>1.42686</v>
      </c>
      <c r="AI127" s="17">
        <v>0</v>
      </c>
      <c r="AJ127" s="17">
        <f t="shared" si="42"/>
        <v>1.42686</v>
      </c>
      <c r="AK127" s="20" t="s">
        <v>142</v>
      </c>
      <c r="AL127" s="17">
        <f t="shared" si="43"/>
        <v>69.916139999999999</v>
      </c>
      <c r="AM127" s="17" t="s">
        <v>108</v>
      </c>
      <c r="AN127" s="21">
        <v>0.4</v>
      </c>
      <c r="AO127" s="17">
        <f t="shared" si="44"/>
        <v>27.966456000000001</v>
      </c>
      <c r="AP127" s="17">
        <v>27.966456000000001</v>
      </c>
      <c r="AQ127" s="16">
        <v>44834</v>
      </c>
      <c r="AR127" s="17">
        <f t="shared" si="54"/>
        <v>0</v>
      </c>
      <c r="AS127" s="17" t="s">
        <v>109</v>
      </c>
      <c r="AT127" s="17">
        <v>82.75788</v>
      </c>
      <c r="AU127" s="17">
        <f t="shared" si="45"/>
        <v>82.75788</v>
      </c>
      <c r="AV127" s="17">
        <f t="shared" si="46"/>
        <v>0</v>
      </c>
      <c r="AW127" s="17" t="str">
        <f t="shared" si="50"/>
        <v>SFA</v>
      </c>
      <c r="AX127" s="22">
        <v>44649</v>
      </c>
      <c r="AY127" s="22"/>
      <c r="AZ127" s="1" t="s">
        <v>110</v>
      </c>
      <c r="BA127" s="22" t="str">
        <f t="shared" si="48"/>
        <v>MARINE CARGO / GIT</v>
      </c>
      <c r="BB127" s="22"/>
      <c r="BC127" s="22"/>
      <c r="BD127" s="22"/>
    </row>
    <row r="128" spans="1:56" ht="14.25" customHeight="1" x14ac:dyDescent="0.2">
      <c r="A128" s="12" t="s">
        <v>229</v>
      </c>
      <c r="B128" s="1" t="s">
        <v>57</v>
      </c>
      <c r="C128" s="13">
        <v>44603</v>
      </c>
      <c r="D128" s="13">
        <v>44609</v>
      </c>
      <c r="E128" s="13">
        <v>44603</v>
      </c>
      <c r="F128" s="13">
        <v>44632</v>
      </c>
      <c r="G128" s="14" t="str">
        <f t="shared" si="38"/>
        <v>000-127/AIB RDC/2022</v>
      </c>
      <c r="H128" s="1">
        <v>0</v>
      </c>
      <c r="I128" s="1" t="s">
        <v>74</v>
      </c>
      <c r="J128" s="1" t="s">
        <v>328</v>
      </c>
      <c r="K128" s="16" t="s">
        <v>261</v>
      </c>
      <c r="L128" s="16"/>
      <c r="M128" s="16" t="s">
        <v>105</v>
      </c>
      <c r="N128" s="1" t="s">
        <v>106</v>
      </c>
      <c r="O128" s="16" t="s">
        <v>64</v>
      </c>
      <c r="P128" s="16" t="s">
        <v>65</v>
      </c>
      <c r="Q128" s="16" t="s">
        <v>130</v>
      </c>
      <c r="R128" s="16" t="s">
        <v>130</v>
      </c>
      <c r="S128" s="17">
        <v>147119.37</v>
      </c>
      <c r="T128" s="17">
        <v>554.6</v>
      </c>
      <c r="U128" s="17">
        <v>0</v>
      </c>
      <c r="V128" s="17"/>
      <c r="W128" s="17"/>
      <c r="X128" s="17">
        <v>450</v>
      </c>
      <c r="Y128" s="17"/>
      <c r="Z128" s="18">
        <f t="shared" si="39"/>
        <v>3.7697279426903477E-3</v>
      </c>
      <c r="AA128" s="19">
        <v>0.15</v>
      </c>
      <c r="AB128" s="17">
        <f t="shared" si="53"/>
        <v>67.5</v>
      </c>
      <c r="AC128" s="17">
        <v>0</v>
      </c>
      <c r="AD128" s="17">
        <v>0</v>
      </c>
      <c r="AE128" s="17">
        <f t="shared" si="40"/>
        <v>67.5</v>
      </c>
      <c r="AF128" s="17">
        <f t="shared" si="51"/>
        <v>10.8</v>
      </c>
      <c r="AG128" s="17">
        <f t="shared" si="41"/>
        <v>78.3</v>
      </c>
      <c r="AH128" s="17">
        <f t="shared" si="52"/>
        <v>1.35</v>
      </c>
      <c r="AI128" s="17">
        <v>0</v>
      </c>
      <c r="AJ128" s="17">
        <f t="shared" si="42"/>
        <v>1.35</v>
      </c>
      <c r="AK128" s="20" t="s">
        <v>142</v>
      </c>
      <c r="AL128" s="17">
        <f t="shared" si="43"/>
        <v>66.150000000000006</v>
      </c>
      <c r="AM128" s="17" t="s">
        <v>108</v>
      </c>
      <c r="AN128" s="21">
        <v>0.4</v>
      </c>
      <c r="AO128" s="17">
        <f t="shared" si="44"/>
        <v>26.460000000000004</v>
      </c>
      <c r="AP128" s="17">
        <v>26.460000000000004</v>
      </c>
      <c r="AQ128" s="16">
        <v>44834</v>
      </c>
      <c r="AR128" s="17">
        <f t="shared" si="54"/>
        <v>0</v>
      </c>
      <c r="AS128" s="17" t="s">
        <v>109</v>
      </c>
      <c r="AT128" s="17">
        <v>78.3</v>
      </c>
      <c r="AU128" s="17">
        <f t="shared" si="45"/>
        <v>78.3</v>
      </c>
      <c r="AV128" s="17">
        <f t="shared" si="46"/>
        <v>0</v>
      </c>
      <c r="AW128" s="17" t="str">
        <f t="shared" si="50"/>
        <v>SFA</v>
      </c>
      <c r="AX128" s="22">
        <v>44649</v>
      </c>
      <c r="AY128" s="22"/>
      <c r="AZ128" s="1" t="s">
        <v>110</v>
      </c>
      <c r="BA128" s="22" t="str">
        <f t="shared" si="48"/>
        <v>MARINE CARGO / GIT</v>
      </c>
      <c r="BB128" s="22"/>
      <c r="BC128" s="22"/>
      <c r="BD128" s="22"/>
    </row>
    <row r="129" spans="1:56" ht="14.25" customHeight="1" x14ac:dyDescent="0.2">
      <c r="A129" s="12" t="s">
        <v>229</v>
      </c>
      <c r="B129" s="1" t="s">
        <v>57</v>
      </c>
      <c r="C129" s="13">
        <v>44602</v>
      </c>
      <c r="D129" s="13">
        <v>44602</v>
      </c>
      <c r="E129" s="13">
        <v>44604</v>
      </c>
      <c r="F129" s="13">
        <v>44631</v>
      </c>
      <c r="G129" s="14" t="str">
        <f t="shared" si="38"/>
        <v>000-128/AIB RDC/2022</v>
      </c>
      <c r="H129" s="1">
        <v>0</v>
      </c>
      <c r="I129" s="1" t="s">
        <v>74</v>
      </c>
      <c r="J129" s="1" t="s">
        <v>329</v>
      </c>
      <c r="K129" s="16" t="s">
        <v>104</v>
      </c>
      <c r="L129" s="16"/>
      <c r="M129" s="16" t="s">
        <v>105</v>
      </c>
      <c r="N129" s="16" t="s">
        <v>209</v>
      </c>
      <c r="O129" s="16" t="s">
        <v>64</v>
      </c>
      <c r="P129" s="16" t="s">
        <v>65</v>
      </c>
      <c r="Q129" s="16" t="s">
        <v>107</v>
      </c>
      <c r="R129" s="16" t="s">
        <v>107</v>
      </c>
      <c r="S129" s="17">
        <v>1430</v>
      </c>
      <c r="T129" s="17">
        <v>129.80000000000001</v>
      </c>
      <c r="U129" s="17"/>
      <c r="V129" s="17"/>
      <c r="W129" s="17"/>
      <c r="X129" s="17">
        <v>100</v>
      </c>
      <c r="Y129" s="17"/>
      <c r="Z129" s="18">
        <f t="shared" si="39"/>
        <v>9.0769230769230783E-2</v>
      </c>
      <c r="AA129" s="19">
        <v>0.15</v>
      </c>
      <c r="AB129" s="17">
        <f t="shared" si="53"/>
        <v>15</v>
      </c>
      <c r="AC129" s="17">
        <v>0</v>
      </c>
      <c r="AD129" s="17">
        <v>0</v>
      </c>
      <c r="AE129" s="17">
        <f t="shared" si="40"/>
        <v>15</v>
      </c>
      <c r="AF129" s="17">
        <f t="shared" si="51"/>
        <v>2.4</v>
      </c>
      <c r="AG129" s="17">
        <f t="shared" si="41"/>
        <v>17.399999999999999</v>
      </c>
      <c r="AH129" s="17">
        <f t="shared" si="52"/>
        <v>0.3</v>
      </c>
      <c r="AI129" s="17">
        <v>0</v>
      </c>
      <c r="AJ129" s="17">
        <f t="shared" si="42"/>
        <v>0.3</v>
      </c>
      <c r="AK129" s="20"/>
      <c r="AL129" s="17">
        <f t="shared" si="43"/>
        <v>14.7</v>
      </c>
      <c r="AM129" s="17" t="s">
        <v>108</v>
      </c>
      <c r="AN129" s="21">
        <v>0.4</v>
      </c>
      <c r="AO129" s="17">
        <f t="shared" si="44"/>
        <v>5.88</v>
      </c>
      <c r="AP129" s="17">
        <v>5.88</v>
      </c>
      <c r="AQ129" s="16">
        <v>44834</v>
      </c>
      <c r="AR129" s="17">
        <f t="shared" si="54"/>
        <v>0</v>
      </c>
      <c r="AS129" s="17" t="s">
        <v>109</v>
      </c>
      <c r="AT129" s="17">
        <v>17.399999999999999</v>
      </c>
      <c r="AU129" s="17">
        <f t="shared" si="45"/>
        <v>17.399999999999999</v>
      </c>
      <c r="AV129" s="17">
        <f t="shared" si="46"/>
        <v>0</v>
      </c>
      <c r="AW129" s="17" t="str">
        <f t="shared" si="50"/>
        <v>RAWSUR</v>
      </c>
      <c r="AX129" s="22">
        <v>44679</v>
      </c>
      <c r="AY129" s="22"/>
      <c r="AZ129" s="1" t="s">
        <v>110</v>
      </c>
      <c r="BA129" s="22" t="str">
        <f t="shared" si="48"/>
        <v>MARINE CARGO / GIT</v>
      </c>
      <c r="BB129" s="22"/>
      <c r="BC129" s="22"/>
      <c r="BD129" s="22"/>
    </row>
    <row r="130" spans="1:56" ht="14.25" customHeight="1" x14ac:dyDescent="0.2">
      <c r="A130" s="12" t="s">
        <v>229</v>
      </c>
      <c r="B130" s="1" t="s">
        <v>57</v>
      </c>
      <c r="C130" s="13">
        <v>44606</v>
      </c>
      <c r="D130" s="13">
        <v>44606</v>
      </c>
      <c r="E130" s="13">
        <v>44606</v>
      </c>
      <c r="F130" s="13">
        <v>44970</v>
      </c>
      <c r="G130" s="14" t="str">
        <f t="shared" si="38"/>
        <v>000-129/AIB RDC/2022</v>
      </c>
      <c r="H130" s="1">
        <v>0</v>
      </c>
      <c r="I130" s="1" t="s">
        <v>74</v>
      </c>
      <c r="J130" s="16" t="s">
        <v>330</v>
      </c>
      <c r="K130" s="16" t="s">
        <v>331</v>
      </c>
      <c r="L130" s="16"/>
      <c r="M130" s="16" t="s">
        <v>84</v>
      </c>
      <c r="N130" s="16" t="s">
        <v>209</v>
      </c>
      <c r="O130" s="16" t="s">
        <v>73</v>
      </c>
      <c r="P130" s="16" t="s">
        <v>73</v>
      </c>
      <c r="Q130" s="16" t="s">
        <v>86</v>
      </c>
      <c r="R130" s="16" t="s">
        <v>86</v>
      </c>
      <c r="S130" s="17">
        <v>0</v>
      </c>
      <c r="T130" s="17">
        <v>8307.98</v>
      </c>
      <c r="U130" s="17">
        <v>0</v>
      </c>
      <c r="V130" s="17"/>
      <c r="W130" s="17"/>
      <c r="X130" s="17">
        <v>7091.14</v>
      </c>
      <c r="Y130" s="17"/>
      <c r="Z130" s="18" t="e">
        <f t="shared" si="39"/>
        <v>#DIV/0!</v>
      </c>
      <c r="AA130" s="19">
        <v>0.1</v>
      </c>
      <c r="AB130" s="17">
        <f t="shared" si="53"/>
        <v>709.11400000000003</v>
      </c>
      <c r="AC130" s="17">
        <v>0</v>
      </c>
      <c r="AD130" s="17">
        <v>0</v>
      </c>
      <c r="AE130" s="17">
        <f t="shared" si="40"/>
        <v>709.11400000000003</v>
      </c>
      <c r="AF130" s="17">
        <f t="shared" si="51"/>
        <v>113.45824</v>
      </c>
      <c r="AG130" s="17">
        <f t="shared" si="41"/>
        <v>822.57224000000008</v>
      </c>
      <c r="AH130" s="17">
        <f t="shared" si="52"/>
        <v>14.18228</v>
      </c>
      <c r="AI130" s="17">
        <v>0</v>
      </c>
      <c r="AJ130" s="17">
        <f t="shared" si="42"/>
        <v>14.18228</v>
      </c>
      <c r="AK130" s="20"/>
      <c r="AL130" s="17">
        <f t="shared" si="43"/>
        <v>694.93172000000004</v>
      </c>
      <c r="AM130" s="17" t="s">
        <v>198</v>
      </c>
      <c r="AN130" s="21">
        <v>0</v>
      </c>
      <c r="AO130" s="17">
        <f t="shared" si="44"/>
        <v>0</v>
      </c>
      <c r="AP130" s="17"/>
      <c r="AQ130" s="16"/>
      <c r="AR130" s="17">
        <f t="shared" si="54"/>
        <v>0</v>
      </c>
      <c r="AS130" s="17"/>
      <c r="AT130" s="17">
        <v>822.57224000000008</v>
      </c>
      <c r="AU130" s="17">
        <f t="shared" si="45"/>
        <v>822.57224000000008</v>
      </c>
      <c r="AV130" s="17">
        <f t="shared" si="46"/>
        <v>0</v>
      </c>
      <c r="AW130" s="17" t="str">
        <f t="shared" si="50"/>
        <v>SUNU</v>
      </c>
      <c r="AX130" s="22">
        <v>44713</v>
      </c>
      <c r="AY130" s="22"/>
      <c r="AZ130" s="1" t="s">
        <v>68</v>
      </c>
      <c r="BA130" s="22" t="str">
        <f t="shared" si="48"/>
        <v>MOTOR TPL</v>
      </c>
      <c r="BB130" s="22"/>
      <c r="BC130" s="22"/>
      <c r="BD130" s="22"/>
    </row>
    <row r="131" spans="1:56" ht="14.25" customHeight="1" x14ac:dyDescent="0.2">
      <c r="A131" s="12" t="s">
        <v>229</v>
      </c>
      <c r="B131" s="1" t="s">
        <v>57</v>
      </c>
      <c r="C131" s="13">
        <v>44603</v>
      </c>
      <c r="D131" s="13">
        <v>44603</v>
      </c>
      <c r="E131" s="13">
        <v>44606</v>
      </c>
      <c r="F131" s="13">
        <v>44970</v>
      </c>
      <c r="G131" s="14" t="str">
        <f t="shared" si="38"/>
        <v>000-130/AIB RDC/2022</v>
      </c>
      <c r="H131" s="1">
        <v>0</v>
      </c>
      <c r="I131" s="1" t="s">
        <v>74</v>
      </c>
      <c r="J131" s="1" t="s">
        <v>332</v>
      </c>
      <c r="K131" s="16" t="s">
        <v>333</v>
      </c>
      <c r="L131" s="16"/>
      <c r="M131" s="16" t="s">
        <v>95</v>
      </c>
      <c r="N131" s="16" t="s">
        <v>209</v>
      </c>
      <c r="O131" s="16" t="s">
        <v>70</v>
      </c>
      <c r="P131" s="16" t="s">
        <v>71</v>
      </c>
      <c r="Q131" s="16" t="s">
        <v>79</v>
      </c>
      <c r="R131" s="16" t="s">
        <v>79</v>
      </c>
      <c r="S131" s="17">
        <v>0</v>
      </c>
      <c r="T131" s="17">
        <v>8013.38</v>
      </c>
      <c r="U131" s="17">
        <v>0</v>
      </c>
      <c r="V131" s="17"/>
      <c r="W131" s="17"/>
      <c r="X131" s="17">
        <v>6741</v>
      </c>
      <c r="Y131" s="17"/>
      <c r="Z131" s="18" t="e">
        <f t="shared" si="39"/>
        <v>#DIV/0!</v>
      </c>
      <c r="AA131" s="19">
        <v>0.15</v>
      </c>
      <c r="AB131" s="17">
        <f t="shared" si="53"/>
        <v>1011.15</v>
      </c>
      <c r="AC131" s="17">
        <v>0</v>
      </c>
      <c r="AD131" s="17">
        <v>0</v>
      </c>
      <c r="AE131" s="17">
        <f t="shared" si="40"/>
        <v>1011.15</v>
      </c>
      <c r="AF131" s="17">
        <f t="shared" si="51"/>
        <v>161.78399999999999</v>
      </c>
      <c r="AG131" s="17">
        <f t="shared" si="41"/>
        <v>1172.934</v>
      </c>
      <c r="AH131" s="17">
        <f t="shared" si="52"/>
        <v>20.222999999999999</v>
      </c>
      <c r="AI131" s="17">
        <v>0</v>
      </c>
      <c r="AJ131" s="17">
        <f t="shared" si="42"/>
        <v>20.222999999999999</v>
      </c>
      <c r="AK131" s="20" t="s">
        <v>142</v>
      </c>
      <c r="AL131" s="17">
        <f t="shared" si="43"/>
        <v>990.92700000000002</v>
      </c>
      <c r="AM131" s="17"/>
      <c r="AN131" s="21"/>
      <c r="AO131" s="17">
        <f t="shared" si="44"/>
        <v>0</v>
      </c>
      <c r="AP131" s="17"/>
      <c r="AQ131" s="16"/>
      <c r="AR131" s="17">
        <f t="shared" si="54"/>
        <v>0</v>
      </c>
      <c r="AS131" s="17"/>
      <c r="AT131" s="17">
        <v>1172.934</v>
      </c>
      <c r="AU131" s="17">
        <f t="shared" si="45"/>
        <v>1172.934</v>
      </c>
      <c r="AV131" s="17">
        <f t="shared" si="46"/>
        <v>0</v>
      </c>
      <c r="AW131" s="17" t="str">
        <f t="shared" si="50"/>
        <v>MAYFAIR</v>
      </c>
      <c r="AX131" s="22">
        <v>44645</v>
      </c>
      <c r="AY131" s="22"/>
      <c r="AZ131" s="22"/>
      <c r="BA131" s="22" t="str">
        <f t="shared" si="48"/>
        <v>FIRE</v>
      </c>
      <c r="BB131" s="22"/>
      <c r="BC131" s="22"/>
      <c r="BD131" s="22"/>
    </row>
    <row r="132" spans="1:56" ht="14.25" customHeight="1" x14ac:dyDescent="0.2">
      <c r="A132" s="12" t="s">
        <v>229</v>
      </c>
      <c r="B132" s="1" t="s">
        <v>57</v>
      </c>
      <c r="C132" s="13">
        <v>44606</v>
      </c>
      <c r="D132" s="13">
        <v>44609</v>
      </c>
      <c r="E132" s="13">
        <v>44606</v>
      </c>
      <c r="F132" s="13">
        <v>44609</v>
      </c>
      <c r="G132" s="14" t="str">
        <f t="shared" si="38"/>
        <v>000-131/AIB RDC/2022</v>
      </c>
      <c r="H132" s="1">
        <v>1</v>
      </c>
      <c r="I132" s="1" t="s">
        <v>115</v>
      </c>
      <c r="J132" s="1" t="s">
        <v>334</v>
      </c>
      <c r="K132" s="16" t="s">
        <v>335</v>
      </c>
      <c r="L132" s="16" t="s">
        <v>137</v>
      </c>
      <c r="M132" s="16" t="s">
        <v>84</v>
      </c>
      <c r="N132" s="16" t="s">
        <v>209</v>
      </c>
      <c r="O132" s="16" t="s">
        <v>64</v>
      </c>
      <c r="P132" s="16" t="s">
        <v>65</v>
      </c>
      <c r="Q132" s="16" t="s">
        <v>130</v>
      </c>
      <c r="R132" s="16" t="s">
        <v>130</v>
      </c>
      <c r="S132" s="17"/>
      <c r="T132" s="17">
        <v>-17129.259999999998</v>
      </c>
      <c r="U132" s="17">
        <v>0</v>
      </c>
      <c r="V132" s="17"/>
      <c r="W132" s="17"/>
      <c r="X132" s="17">
        <v>-14766.6</v>
      </c>
      <c r="Y132" s="17"/>
      <c r="Z132" s="18" t="e">
        <f t="shared" si="39"/>
        <v>#DIV/0!</v>
      </c>
      <c r="AA132" s="19">
        <v>0.1</v>
      </c>
      <c r="AB132" s="17">
        <f t="shared" si="53"/>
        <v>-1476.66</v>
      </c>
      <c r="AC132" s="17">
        <v>0</v>
      </c>
      <c r="AD132" s="17">
        <v>0</v>
      </c>
      <c r="AE132" s="17">
        <f t="shared" si="40"/>
        <v>-1476.66</v>
      </c>
      <c r="AF132" s="17">
        <f t="shared" ref="AF132:AF163" si="55">16%*AE132</f>
        <v>-236.26560000000001</v>
      </c>
      <c r="AG132" s="17">
        <f t="shared" si="41"/>
        <v>-1712.9256</v>
      </c>
      <c r="AH132" s="17">
        <f t="shared" si="52"/>
        <v>-29.533200000000001</v>
      </c>
      <c r="AI132" s="17">
        <v>0</v>
      </c>
      <c r="AJ132" s="17">
        <f t="shared" si="42"/>
        <v>-29.533200000000001</v>
      </c>
      <c r="AK132" s="20" t="s">
        <v>142</v>
      </c>
      <c r="AL132" s="17">
        <f t="shared" si="43"/>
        <v>-1447.1268</v>
      </c>
      <c r="AM132" s="17" t="s">
        <v>198</v>
      </c>
      <c r="AN132" s="21"/>
      <c r="AO132" s="17">
        <f t="shared" si="44"/>
        <v>0</v>
      </c>
      <c r="AP132" s="17"/>
      <c r="AQ132" s="16"/>
      <c r="AR132" s="17">
        <f t="shared" si="54"/>
        <v>0</v>
      </c>
      <c r="AS132" s="17"/>
      <c r="AT132" s="17">
        <v>-1712.9256</v>
      </c>
      <c r="AU132" s="17">
        <f t="shared" si="45"/>
        <v>-1712.9256</v>
      </c>
      <c r="AV132" s="17">
        <f t="shared" si="46"/>
        <v>0</v>
      </c>
      <c r="AW132" s="17" t="str">
        <f t="shared" si="50"/>
        <v>SFA</v>
      </c>
      <c r="AX132" s="22">
        <v>44649</v>
      </c>
      <c r="AY132" s="22"/>
      <c r="AZ132" s="1" t="s">
        <v>145</v>
      </c>
      <c r="BA132" s="22" t="str">
        <f t="shared" si="48"/>
        <v>MARINE CARGO / GIT</v>
      </c>
      <c r="BB132" s="22"/>
      <c r="BC132" s="22"/>
      <c r="BD132" s="22"/>
    </row>
    <row r="133" spans="1:56" ht="14.25" customHeight="1" x14ac:dyDescent="0.2">
      <c r="A133" s="12" t="s">
        <v>229</v>
      </c>
      <c r="B133" s="1" t="s">
        <v>57</v>
      </c>
      <c r="C133" s="13">
        <v>44606</v>
      </c>
      <c r="D133" s="13">
        <v>44606</v>
      </c>
      <c r="E133" s="13">
        <v>44607</v>
      </c>
      <c r="F133" s="13">
        <v>45138</v>
      </c>
      <c r="G133" s="14" t="str">
        <f t="shared" si="38"/>
        <v>000-132/AIB RDC/2022</v>
      </c>
      <c r="H133" s="1">
        <v>0</v>
      </c>
      <c r="I133" s="1" t="s">
        <v>74</v>
      </c>
      <c r="J133" s="1" t="s">
        <v>336</v>
      </c>
      <c r="K133" s="16" t="s">
        <v>337</v>
      </c>
      <c r="L133" s="16" t="s">
        <v>94</v>
      </c>
      <c r="M133" s="16" t="s">
        <v>62</v>
      </c>
      <c r="N133" s="16" t="s">
        <v>209</v>
      </c>
      <c r="O133" s="16" t="s">
        <v>73</v>
      </c>
      <c r="P133" s="16" t="s">
        <v>73</v>
      </c>
      <c r="Q133" s="16" t="s">
        <v>86</v>
      </c>
      <c r="R133" s="16" t="s">
        <v>86</v>
      </c>
      <c r="S133" s="17">
        <v>0</v>
      </c>
      <c r="T133" s="17">
        <v>225.27</v>
      </c>
      <c r="U133" s="17">
        <v>0</v>
      </c>
      <c r="V133" s="17"/>
      <c r="W133" s="17"/>
      <c r="X133" s="17">
        <v>184.2</v>
      </c>
      <c r="Y133" s="17"/>
      <c r="Z133" s="18" t="e">
        <f t="shared" si="39"/>
        <v>#DIV/0!</v>
      </c>
      <c r="AA133" s="19">
        <v>0.125</v>
      </c>
      <c r="AB133" s="17">
        <f t="shared" si="53"/>
        <v>23.024999999999999</v>
      </c>
      <c r="AC133" s="17">
        <v>0</v>
      </c>
      <c r="AD133" s="17">
        <v>0</v>
      </c>
      <c r="AE133" s="17">
        <f t="shared" si="40"/>
        <v>23.024999999999999</v>
      </c>
      <c r="AF133" s="17">
        <f t="shared" si="55"/>
        <v>3.6839999999999997</v>
      </c>
      <c r="AG133" s="17">
        <f t="shared" si="41"/>
        <v>26.709</v>
      </c>
      <c r="AH133" s="17">
        <f t="shared" si="52"/>
        <v>0.46049999999999996</v>
      </c>
      <c r="AI133" s="17">
        <v>0</v>
      </c>
      <c r="AJ133" s="17">
        <f t="shared" si="42"/>
        <v>0.46049999999999996</v>
      </c>
      <c r="AK133" s="20"/>
      <c r="AL133" s="17">
        <f t="shared" si="43"/>
        <v>22.564499999999999</v>
      </c>
      <c r="AM133" s="17"/>
      <c r="AN133" s="21"/>
      <c r="AO133" s="17">
        <f t="shared" si="44"/>
        <v>0</v>
      </c>
      <c r="AP133" s="17"/>
      <c r="AQ133" s="16"/>
      <c r="AR133" s="17">
        <f t="shared" si="54"/>
        <v>0</v>
      </c>
      <c r="AS133" s="17"/>
      <c r="AT133" s="17">
        <v>26.709</v>
      </c>
      <c r="AU133" s="17">
        <f t="shared" si="45"/>
        <v>26.709</v>
      </c>
      <c r="AV133" s="17">
        <f t="shared" si="46"/>
        <v>0</v>
      </c>
      <c r="AW133" s="17" t="str">
        <f t="shared" si="50"/>
        <v>SUNU</v>
      </c>
      <c r="AX133" s="22">
        <v>44663</v>
      </c>
      <c r="AY133" s="22"/>
      <c r="AZ133" s="1" t="s">
        <v>100</v>
      </c>
      <c r="BA133" s="22" t="str">
        <f t="shared" si="48"/>
        <v>MOTOR TPL</v>
      </c>
      <c r="BB133" s="22"/>
      <c r="BC133" s="22"/>
      <c r="BD133" s="22"/>
    </row>
    <row r="134" spans="1:56" ht="14.25" customHeight="1" x14ac:dyDescent="0.2">
      <c r="A134" s="1" t="s">
        <v>496</v>
      </c>
      <c r="B134" s="1" t="s">
        <v>57</v>
      </c>
      <c r="C134" s="13">
        <v>44685</v>
      </c>
      <c r="D134" s="13">
        <v>44686</v>
      </c>
      <c r="E134" s="13">
        <v>44686</v>
      </c>
      <c r="F134" s="13">
        <v>45038</v>
      </c>
      <c r="G134" s="14" t="str">
        <f t="shared" si="38"/>
        <v>000-133/AIB RDC/2022</v>
      </c>
      <c r="H134" s="1">
        <v>1</v>
      </c>
      <c r="I134" s="1" t="s">
        <v>91</v>
      </c>
      <c r="J134" s="44" t="s">
        <v>519</v>
      </c>
      <c r="K134" s="1" t="s">
        <v>345</v>
      </c>
      <c r="L134" s="1" t="s">
        <v>137</v>
      </c>
      <c r="M134" s="1" t="s">
        <v>84</v>
      </c>
      <c r="N134" s="1" t="s">
        <v>586</v>
      </c>
      <c r="O134" s="1" t="s">
        <v>73</v>
      </c>
      <c r="P134" s="1" t="s">
        <v>73</v>
      </c>
      <c r="Q134" s="1" t="s">
        <v>107</v>
      </c>
      <c r="R134" s="1" t="s">
        <v>107</v>
      </c>
      <c r="S134" s="17">
        <v>0</v>
      </c>
      <c r="T134" s="17">
        <v>1876.37</v>
      </c>
      <c r="U134" s="17">
        <v>0</v>
      </c>
      <c r="V134" s="17">
        <v>0</v>
      </c>
      <c r="W134" s="17">
        <v>40</v>
      </c>
      <c r="X134" s="17">
        <v>1550.13</v>
      </c>
      <c r="Y134" s="17">
        <v>254.44</v>
      </c>
      <c r="Z134" s="18" t="e">
        <f t="shared" si="39"/>
        <v>#DIV/0!</v>
      </c>
      <c r="AA134" s="19">
        <v>0.1</v>
      </c>
      <c r="AB134" s="17">
        <f t="shared" si="53"/>
        <v>155.01300000000003</v>
      </c>
      <c r="AC134" s="17"/>
      <c r="AD134" s="17"/>
      <c r="AE134" s="17">
        <f t="shared" si="40"/>
        <v>155.01300000000003</v>
      </c>
      <c r="AF134" s="17">
        <f t="shared" si="55"/>
        <v>24.802080000000007</v>
      </c>
      <c r="AG134" s="17">
        <f t="shared" si="41"/>
        <v>179.81508000000005</v>
      </c>
      <c r="AH134" s="17">
        <f t="shared" si="52"/>
        <v>3.1002600000000009</v>
      </c>
      <c r="AI134" s="17"/>
      <c r="AJ134" s="17">
        <f t="shared" si="42"/>
        <v>3.1002600000000009</v>
      </c>
      <c r="AK134" s="20"/>
      <c r="AL134" s="17">
        <f t="shared" si="43"/>
        <v>151.91274000000004</v>
      </c>
      <c r="AM134" s="17"/>
      <c r="AN134" s="21"/>
      <c r="AO134" s="17">
        <f t="shared" si="44"/>
        <v>0</v>
      </c>
      <c r="AP134" s="17"/>
      <c r="AQ134" s="16"/>
      <c r="AR134" s="17">
        <f t="shared" si="54"/>
        <v>0</v>
      </c>
      <c r="AS134" s="17"/>
      <c r="AT134" s="17"/>
      <c r="AU134" s="17">
        <f t="shared" si="45"/>
        <v>179.81508000000005</v>
      </c>
      <c r="AV134" s="84">
        <f t="shared" si="46"/>
        <v>179.81508000000005</v>
      </c>
      <c r="AW134" s="17" t="str">
        <f t="shared" si="50"/>
        <v>RAWSUR</v>
      </c>
      <c r="AX134" s="22"/>
      <c r="AY134" s="22"/>
      <c r="AZ134" s="1" t="s">
        <v>68</v>
      </c>
      <c r="BA134" s="22" t="str">
        <f t="shared" si="48"/>
        <v>MOTOR TPL</v>
      </c>
      <c r="BB134" s="22"/>
      <c r="BC134" s="22"/>
      <c r="BD134" s="1" t="s">
        <v>591</v>
      </c>
    </row>
    <row r="135" spans="1:56" ht="14.25" customHeight="1" x14ac:dyDescent="0.2">
      <c r="A135" s="1" t="s">
        <v>324</v>
      </c>
      <c r="B135" s="1" t="s">
        <v>57</v>
      </c>
      <c r="C135" s="13">
        <v>44621</v>
      </c>
      <c r="D135" s="13">
        <v>44638</v>
      </c>
      <c r="E135" s="13">
        <v>44630</v>
      </c>
      <c r="F135" s="13">
        <v>44632</v>
      </c>
      <c r="G135" s="14" t="str">
        <f t="shared" si="38"/>
        <v>000-134/AIB RDC/2022</v>
      </c>
      <c r="H135" s="1">
        <v>0</v>
      </c>
      <c r="I135" s="1" t="s">
        <v>74</v>
      </c>
      <c r="J135" s="24" t="s">
        <v>339</v>
      </c>
      <c r="K135" s="16" t="s">
        <v>251</v>
      </c>
      <c r="L135" s="16"/>
      <c r="M135" s="16" t="s">
        <v>105</v>
      </c>
      <c r="N135" s="1" t="s">
        <v>106</v>
      </c>
      <c r="O135" s="16" t="s">
        <v>64</v>
      </c>
      <c r="P135" s="16" t="s">
        <v>65</v>
      </c>
      <c r="Q135" s="16" t="s">
        <v>130</v>
      </c>
      <c r="R135" s="16" t="s">
        <v>130</v>
      </c>
      <c r="S135" s="17">
        <v>44599.45</v>
      </c>
      <c r="T135" s="17">
        <v>318.60000000000002</v>
      </c>
      <c r="U135" s="17"/>
      <c r="V135" s="17"/>
      <c r="W135" s="17">
        <v>20</v>
      </c>
      <c r="X135" s="17">
        <v>250</v>
      </c>
      <c r="Y135" s="17">
        <v>43.2</v>
      </c>
      <c r="Z135" s="18">
        <f t="shared" si="39"/>
        <v>7.1435858513950292E-3</v>
      </c>
      <c r="AA135" s="19">
        <v>0.15</v>
      </c>
      <c r="AB135" s="17">
        <f t="shared" ref="AB135:AB166" si="56">(AA135*X135)</f>
        <v>37.5</v>
      </c>
      <c r="AC135" s="17">
        <v>0</v>
      </c>
      <c r="AD135" s="17">
        <v>0</v>
      </c>
      <c r="AE135" s="17">
        <f t="shared" si="40"/>
        <v>37.5</v>
      </c>
      <c r="AF135" s="17">
        <f t="shared" si="55"/>
        <v>6</v>
      </c>
      <c r="AG135" s="17">
        <f t="shared" si="41"/>
        <v>43.5</v>
      </c>
      <c r="AH135" s="17">
        <f t="shared" si="52"/>
        <v>0.75</v>
      </c>
      <c r="AI135" s="17">
        <v>0</v>
      </c>
      <c r="AJ135" s="17">
        <f t="shared" si="42"/>
        <v>0.75</v>
      </c>
      <c r="AK135" s="20"/>
      <c r="AL135" s="17">
        <f t="shared" si="43"/>
        <v>36.75</v>
      </c>
      <c r="AM135" s="17" t="s">
        <v>108</v>
      </c>
      <c r="AN135" s="21">
        <v>0.4</v>
      </c>
      <c r="AO135" s="17">
        <f t="shared" si="44"/>
        <v>14.700000000000001</v>
      </c>
      <c r="AP135" s="17">
        <v>14.700000000000001</v>
      </c>
      <c r="AQ135" s="16">
        <v>44834</v>
      </c>
      <c r="AR135" s="17">
        <f t="shared" si="54"/>
        <v>0</v>
      </c>
      <c r="AS135" s="17" t="s">
        <v>109</v>
      </c>
      <c r="AT135" s="17">
        <v>43.5</v>
      </c>
      <c r="AU135" s="17">
        <f t="shared" si="45"/>
        <v>43.5</v>
      </c>
      <c r="AV135" s="17">
        <f t="shared" si="46"/>
        <v>0</v>
      </c>
      <c r="AW135" s="17" t="str">
        <f t="shared" si="50"/>
        <v>SFA</v>
      </c>
      <c r="AX135" s="22">
        <v>44676</v>
      </c>
      <c r="AY135" s="22"/>
      <c r="AZ135" s="1" t="s">
        <v>110</v>
      </c>
      <c r="BA135" s="22" t="str">
        <f t="shared" si="48"/>
        <v>MARINE CARGO / GIT</v>
      </c>
      <c r="BB135" s="22"/>
      <c r="BC135" s="22"/>
      <c r="BD135" s="22"/>
    </row>
    <row r="136" spans="1:56" ht="14.25" customHeight="1" x14ac:dyDescent="0.2">
      <c r="A136" s="12" t="s">
        <v>229</v>
      </c>
      <c r="B136" s="1" t="s">
        <v>57</v>
      </c>
      <c r="C136" s="13">
        <v>44609</v>
      </c>
      <c r="D136" s="13">
        <v>44642</v>
      </c>
      <c r="E136" s="13">
        <v>44609</v>
      </c>
      <c r="F136" s="13">
        <v>44642</v>
      </c>
      <c r="G136" s="14" t="str">
        <f t="shared" si="38"/>
        <v>000-135/AIB RDC/2022</v>
      </c>
      <c r="H136" s="1">
        <v>4</v>
      </c>
      <c r="I136" s="1" t="s">
        <v>91</v>
      </c>
      <c r="J136" s="1" t="s">
        <v>196</v>
      </c>
      <c r="K136" s="16" t="s">
        <v>197</v>
      </c>
      <c r="L136" s="1" t="s">
        <v>77</v>
      </c>
      <c r="M136" s="16" t="s">
        <v>62</v>
      </c>
      <c r="N136" s="16" t="s">
        <v>209</v>
      </c>
      <c r="O136" s="16" t="s">
        <v>73</v>
      </c>
      <c r="P136" s="16" t="s">
        <v>73</v>
      </c>
      <c r="Q136" s="16" t="s">
        <v>130</v>
      </c>
      <c r="R136" s="16" t="s">
        <v>130</v>
      </c>
      <c r="S136" s="17">
        <v>0</v>
      </c>
      <c r="T136" s="17">
        <v>325.06</v>
      </c>
      <c r="U136" s="17">
        <v>0</v>
      </c>
      <c r="V136" s="17"/>
      <c r="W136" s="17">
        <v>4.07</v>
      </c>
      <c r="X136" s="17">
        <v>271.39999999999998</v>
      </c>
      <c r="Y136" s="17">
        <v>44.08</v>
      </c>
      <c r="Z136" s="18" t="e">
        <f t="shared" si="39"/>
        <v>#DIV/0!</v>
      </c>
      <c r="AA136" s="19">
        <v>0.1</v>
      </c>
      <c r="AB136" s="17">
        <f t="shared" si="56"/>
        <v>27.14</v>
      </c>
      <c r="AC136" s="17">
        <v>0</v>
      </c>
      <c r="AD136" s="17">
        <v>0</v>
      </c>
      <c r="AE136" s="17">
        <f t="shared" si="40"/>
        <v>27.14</v>
      </c>
      <c r="AF136" s="17">
        <f t="shared" si="55"/>
        <v>4.3424000000000005</v>
      </c>
      <c r="AG136" s="17">
        <f t="shared" si="41"/>
        <v>31.482400000000002</v>
      </c>
      <c r="AH136" s="17">
        <f t="shared" si="52"/>
        <v>0.54280000000000006</v>
      </c>
      <c r="AI136" s="17">
        <v>0</v>
      </c>
      <c r="AJ136" s="17">
        <f t="shared" si="42"/>
        <v>0.54280000000000006</v>
      </c>
      <c r="AK136" s="20" t="s">
        <v>142</v>
      </c>
      <c r="AL136" s="17">
        <f t="shared" si="43"/>
        <v>26.597200000000001</v>
      </c>
      <c r="AM136" s="17" t="s">
        <v>198</v>
      </c>
      <c r="AN136" s="21">
        <v>0</v>
      </c>
      <c r="AO136" s="17">
        <f t="shared" si="44"/>
        <v>0</v>
      </c>
      <c r="AP136" s="17"/>
      <c r="AQ136" s="16"/>
      <c r="AR136" s="17">
        <f t="shared" si="54"/>
        <v>0</v>
      </c>
      <c r="AS136" s="17"/>
      <c r="AT136" s="17">
        <v>31.482400000000002</v>
      </c>
      <c r="AU136" s="17">
        <f t="shared" si="45"/>
        <v>31.482400000000002</v>
      </c>
      <c r="AV136" s="17">
        <f t="shared" si="46"/>
        <v>0</v>
      </c>
      <c r="AW136" s="17" t="str">
        <f t="shared" si="50"/>
        <v>SFA</v>
      </c>
      <c r="AX136" s="22">
        <v>44649</v>
      </c>
      <c r="AY136" s="22"/>
      <c r="AZ136" s="1" t="s">
        <v>68</v>
      </c>
      <c r="BA136" s="22" t="str">
        <f t="shared" si="48"/>
        <v>MOTOR TPL</v>
      </c>
      <c r="BB136" s="22"/>
      <c r="BC136" s="1" t="s">
        <v>130</v>
      </c>
      <c r="BD136" s="1"/>
    </row>
    <row r="137" spans="1:56" ht="14.25" customHeight="1" x14ac:dyDescent="0.2">
      <c r="A137" s="1" t="s">
        <v>496</v>
      </c>
      <c r="B137" s="1" t="s">
        <v>57</v>
      </c>
      <c r="C137" s="13">
        <v>44704</v>
      </c>
      <c r="D137" s="13">
        <v>44708</v>
      </c>
      <c r="E137" s="13">
        <v>44709</v>
      </c>
      <c r="F137" s="13">
        <v>45038</v>
      </c>
      <c r="G137" s="14" t="str">
        <f t="shared" si="38"/>
        <v>000-136/AIB RDC/2022</v>
      </c>
      <c r="H137" s="1">
        <v>2</v>
      </c>
      <c r="I137" s="1" t="s">
        <v>91</v>
      </c>
      <c r="J137" s="44" t="s">
        <v>519</v>
      </c>
      <c r="K137" s="1" t="s">
        <v>345</v>
      </c>
      <c r="L137" s="1" t="s">
        <v>137</v>
      </c>
      <c r="M137" s="1" t="s">
        <v>84</v>
      </c>
      <c r="N137" s="1" t="s">
        <v>586</v>
      </c>
      <c r="O137" s="1" t="s">
        <v>73</v>
      </c>
      <c r="P137" s="1" t="s">
        <v>73</v>
      </c>
      <c r="Q137" s="1" t="s">
        <v>107</v>
      </c>
      <c r="R137" s="1" t="s">
        <v>107</v>
      </c>
      <c r="S137" s="17">
        <v>0</v>
      </c>
      <c r="T137" s="17">
        <v>800.13</v>
      </c>
      <c r="U137" s="17">
        <v>0</v>
      </c>
      <c r="V137" s="17">
        <v>0</v>
      </c>
      <c r="W137" s="17">
        <v>10</v>
      </c>
      <c r="X137" s="17">
        <v>668.08</v>
      </c>
      <c r="Y137" s="17">
        <v>108.49</v>
      </c>
      <c r="Z137" s="18" t="e">
        <f t="shared" si="39"/>
        <v>#DIV/0!</v>
      </c>
      <c r="AA137" s="19">
        <v>0.1</v>
      </c>
      <c r="AB137" s="17">
        <f t="shared" si="56"/>
        <v>66.808000000000007</v>
      </c>
      <c r="AC137" s="17"/>
      <c r="AD137" s="17"/>
      <c r="AE137" s="17">
        <f t="shared" si="40"/>
        <v>66.808000000000007</v>
      </c>
      <c r="AF137" s="17">
        <f t="shared" si="55"/>
        <v>10.689280000000002</v>
      </c>
      <c r="AG137" s="17">
        <f t="shared" si="41"/>
        <v>77.497280000000003</v>
      </c>
      <c r="AH137" s="17">
        <f t="shared" si="52"/>
        <v>1.3361600000000002</v>
      </c>
      <c r="AI137" s="17"/>
      <c r="AJ137" s="17">
        <f t="shared" si="42"/>
        <v>1.3361600000000002</v>
      </c>
      <c r="AK137" s="20"/>
      <c r="AL137" s="17">
        <f t="shared" si="43"/>
        <v>65.47184</v>
      </c>
      <c r="AM137" s="17"/>
      <c r="AN137" s="21"/>
      <c r="AO137" s="17">
        <f t="shared" si="44"/>
        <v>0</v>
      </c>
      <c r="AP137" s="17"/>
      <c r="AQ137" s="16"/>
      <c r="AR137" s="17">
        <f t="shared" si="54"/>
        <v>0</v>
      </c>
      <c r="AS137" s="17"/>
      <c r="AT137" s="17"/>
      <c r="AU137" s="17">
        <f t="shared" si="45"/>
        <v>77.497280000000003</v>
      </c>
      <c r="AV137" s="84">
        <f t="shared" si="46"/>
        <v>77.497280000000003</v>
      </c>
      <c r="AW137" s="17" t="str">
        <f t="shared" si="50"/>
        <v>RAWSUR</v>
      </c>
      <c r="AX137" s="22"/>
      <c r="AY137" s="22"/>
      <c r="AZ137" s="1" t="s">
        <v>68</v>
      </c>
      <c r="BA137" s="22" t="str">
        <f t="shared" si="48"/>
        <v>MOTOR TPL</v>
      </c>
      <c r="BB137" s="22"/>
      <c r="BC137" s="22"/>
      <c r="BD137" s="1" t="s">
        <v>591</v>
      </c>
    </row>
    <row r="138" spans="1:56" ht="14.25" customHeight="1" x14ac:dyDescent="0.2">
      <c r="A138" s="12" t="s">
        <v>229</v>
      </c>
      <c r="B138" s="1" t="s">
        <v>57</v>
      </c>
      <c r="C138" s="13">
        <v>44610</v>
      </c>
      <c r="D138" s="13">
        <v>44637</v>
      </c>
      <c r="E138" s="13">
        <v>44610</v>
      </c>
      <c r="F138" s="13">
        <v>44637</v>
      </c>
      <c r="G138" s="14" t="str">
        <f t="shared" si="38"/>
        <v>000-137/AIB RDC/2022</v>
      </c>
      <c r="H138" s="1">
        <v>0</v>
      </c>
      <c r="I138" s="1" t="s">
        <v>74</v>
      </c>
      <c r="J138" s="1" t="s">
        <v>341</v>
      </c>
      <c r="K138" s="16" t="s">
        <v>342</v>
      </c>
      <c r="L138" s="16"/>
      <c r="M138" s="16" t="s">
        <v>105</v>
      </c>
      <c r="N138" s="16" t="s">
        <v>209</v>
      </c>
      <c r="O138" s="16" t="s">
        <v>73</v>
      </c>
      <c r="P138" s="16" t="s">
        <v>73</v>
      </c>
      <c r="Q138" s="16" t="s">
        <v>130</v>
      </c>
      <c r="R138" s="16" t="s">
        <v>130</v>
      </c>
      <c r="S138" s="17">
        <v>570150</v>
      </c>
      <c r="T138" s="17">
        <v>2856.52</v>
      </c>
      <c r="U138" s="17">
        <v>0</v>
      </c>
      <c r="V138" s="17"/>
      <c r="W138" s="17"/>
      <c r="X138" s="17">
        <v>2385</v>
      </c>
      <c r="Y138" s="17"/>
      <c r="Z138" s="18">
        <f t="shared" si="39"/>
        <v>5.0101201438218015E-3</v>
      </c>
      <c r="AA138" s="19">
        <v>0.1</v>
      </c>
      <c r="AB138" s="17">
        <f t="shared" si="56"/>
        <v>238.5</v>
      </c>
      <c r="AC138" s="17">
        <v>0</v>
      </c>
      <c r="AD138" s="17">
        <v>0</v>
      </c>
      <c r="AE138" s="17">
        <f t="shared" si="40"/>
        <v>238.5</v>
      </c>
      <c r="AF138" s="17">
        <f t="shared" si="55"/>
        <v>38.160000000000004</v>
      </c>
      <c r="AG138" s="17">
        <f t="shared" si="41"/>
        <v>276.66000000000003</v>
      </c>
      <c r="AH138" s="17">
        <f t="shared" si="52"/>
        <v>4.7700000000000005</v>
      </c>
      <c r="AI138" s="17">
        <v>0</v>
      </c>
      <c r="AJ138" s="17">
        <f t="shared" si="42"/>
        <v>4.7700000000000005</v>
      </c>
      <c r="AK138" s="20" t="s">
        <v>142</v>
      </c>
      <c r="AL138" s="17">
        <f t="shared" si="43"/>
        <v>233.73</v>
      </c>
      <c r="AM138" s="17" t="s">
        <v>108</v>
      </c>
      <c r="AN138" s="21">
        <v>0.4</v>
      </c>
      <c r="AO138" s="17">
        <f t="shared" si="44"/>
        <v>93.492000000000004</v>
      </c>
      <c r="AP138" s="17">
        <v>93.492000000000004</v>
      </c>
      <c r="AQ138" s="16">
        <v>44834</v>
      </c>
      <c r="AR138" s="17">
        <f t="shared" si="54"/>
        <v>0</v>
      </c>
      <c r="AS138" s="17" t="s">
        <v>109</v>
      </c>
      <c r="AT138" s="17">
        <v>276.66000000000003</v>
      </c>
      <c r="AU138" s="17">
        <f t="shared" si="45"/>
        <v>276.66000000000003</v>
      </c>
      <c r="AV138" s="17">
        <f t="shared" si="46"/>
        <v>0</v>
      </c>
      <c r="AW138" s="17" t="str">
        <f t="shared" si="50"/>
        <v>SFA</v>
      </c>
      <c r="AX138" s="22">
        <v>44649</v>
      </c>
      <c r="AY138" s="22"/>
      <c r="AZ138" s="1" t="s">
        <v>110</v>
      </c>
      <c r="BA138" s="22" t="str">
        <f t="shared" si="48"/>
        <v>MOTOR TPL</v>
      </c>
      <c r="BB138" s="22"/>
      <c r="BC138" s="22"/>
      <c r="BD138" s="22"/>
    </row>
    <row r="139" spans="1:56" ht="14.25" customHeight="1" x14ac:dyDescent="0.2">
      <c r="A139" s="12" t="s">
        <v>229</v>
      </c>
      <c r="B139" s="1" t="s">
        <v>57</v>
      </c>
      <c r="C139" s="13">
        <v>44610</v>
      </c>
      <c r="D139" s="13">
        <v>44624</v>
      </c>
      <c r="E139" s="13">
        <v>44610</v>
      </c>
      <c r="F139" s="13">
        <v>44624</v>
      </c>
      <c r="G139" s="14" t="str">
        <f t="shared" si="38"/>
        <v>000-138/AIB RDC/2022</v>
      </c>
      <c r="H139" s="1">
        <v>0</v>
      </c>
      <c r="I139" s="1" t="s">
        <v>74</v>
      </c>
      <c r="J139" s="1" t="s">
        <v>343</v>
      </c>
      <c r="K139" s="16" t="s">
        <v>342</v>
      </c>
      <c r="L139" s="16"/>
      <c r="M139" s="16" t="s">
        <v>105</v>
      </c>
      <c r="N139" s="16" t="s">
        <v>209</v>
      </c>
      <c r="O139" s="16" t="s">
        <v>73</v>
      </c>
      <c r="P139" s="16" t="s">
        <v>73</v>
      </c>
      <c r="Q139" s="16" t="s">
        <v>130</v>
      </c>
      <c r="R139" s="16" t="s">
        <v>130</v>
      </c>
      <c r="S139" s="17">
        <v>425000</v>
      </c>
      <c r="T139" s="17">
        <v>952.18</v>
      </c>
      <c r="U139" s="17">
        <v>0</v>
      </c>
      <c r="V139" s="17"/>
      <c r="W139" s="17"/>
      <c r="X139" s="17">
        <v>795</v>
      </c>
      <c r="Y139" s="17"/>
      <c r="Z139" s="18">
        <f t="shared" si="39"/>
        <v>2.2404235294117645E-3</v>
      </c>
      <c r="AA139" s="19">
        <v>0.1</v>
      </c>
      <c r="AB139" s="17">
        <f t="shared" si="56"/>
        <v>79.5</v>
      </c>
      <c r="AC139" s="17">
        <v>0</v>
      </c>
      <c r="AD139" s="17">
        <v>0</v>
      </c>
      <c r="AE139" s="17">
        <f t="shared" si="40"/>
        <v>79.5</v>
      </c>
      <c r="AF139" s="17">
        <f t="shared" si="55"/>
        <v>12.72</v>
      </c>
      <c r="AG139" s="17">
        <f t="shared" si="41"/>
        <v>92.22</v>
      </c>
      <c r="AH139" s="17">
        <f t="shared" si="52"/>
        <v>1.59</v>
      </c>
      <c r="AI139" s="17">
        <v>0</v>
      </c>
      <c r="AJ139" s="17">
        <f t="shared" si="42"/>
        <v>1.59</v>
      </c>
      <c r="AK139" s="20" t="s">
        <v>142</v>
      </c>
      <c r="AL139" s="17">
        <f t="shared" si="43"/>
        <v>77.91</v>
      </c>
      <c r="AM139" s="17" t="s">
        <v>108</v>
      </c>
      <c r="AN139" s="21">
        <v>0.4</v>
      </c>
      <c r="AO139" s="17">
        <f t="shared" si="44"/>
        <v>31.164000000000001</v>
      </c>
      <c r="AP139" s="17">
        <v>31.164000000000001</v>
      </c>
      <c r="AQ139" s="16">
        <v>44834</v>
      </c>
      <c r="AR139" s="17">
        <f t="shared" si="54"/>
        <v>0</v>
      </c>
      <c r="AS139" s="17" t="s">
        <v>109</v>
      </c>
      <c r="AT139" s="17">
        <v>92.22</v>
      </c>
      <c r="AU139" s="17">
        <f t="shared" si="45"/>
        <v>92.22</v>
      </c>
      <c r="AV139" s="17">
        <f t="shared" si="46"/>
        <v>0</v>
      </c>
      <c r="AW139" s="17" t="str">
        <f t="shared" si="50"/>
        <v>SFA</v>
      </c>
      <c r="AX139" s="22">
        <v>44649</v>
      </c>
      <c r="AY139" s="22"/>
      <c r="AZ139" s="1" t="s">
        <v>110</v>
      </c>
      <c r="BA139" s="22" t="str">
        <f t="shared" si="48"/>
        <v>MOTOR TPL</v>
      </c>
      <c r="BB139" s="22"/>
      <c r="BC139" s="22"/>
      <c r="BD139" s="22"/>
    </row>
    <row r="140" spans="1:56" ht="14.25" customHeight="1" x14ac:dyDescent="0.2">
      <c r="A140" s="12" t="s">
        <v>229</v>
      </c>
      <c r="B140" s="1" t="s">
        <v>57</v>
      </c>
      <c r="C140" s="13">
        <v>44615</v>
      </c>
      <c r="D140" s="13">
        <v>44616</v>
      </c>
      <c r="E140" s="13">
        <v>44616</v>
      </c>
      <c r="F140" s="13">
        <v>44673</v>
      </c>
      <c r="G140" s="14" t="str">
        <f t="shared" ref="G140:G203" si="57">TEXT(ROW(G140)-1,"000-000") &amp; "/AIB RDC/2022"</f>
        <v>000-139/AIB RDC/2022</v>
      </c>
      <c r="H140" s="1">
        <v>6</v>
      </c>
      <c r="I140" s="1" t="s">
        <v>91</v>
      </c>
      <c r="J140" s="43" t="s">
        <v>344</v>
      </c>
      <c r="K140" s="1" t="s">
        <v>345</v>
      </c>
      <c r="L140" s="1" t="s">
        <v>137</v>
      </c>
      <c r="M140" s="16" t="s">
        <v>84</v>
      </c>
      <c r="N140" s="16" t="s">
        <v>209</v>
      </c>
      <c r="O140" s="16" t="s">
        <v>73</v>
      </c>
      <c r="P140" s="16" t="s">
        <v>73</v>
      </c>
      <c r="Q140" s="16" t="s">
        <v>130</v>
      </c>
      <c r="R140" s="16" t="s">
        <v>130</v>
      </c>
      <c r="S140" s="17">
        <v>0</v>
      </c>
      <c r="T140" s="17">
        <v>848.45</v>
      </c>
      <c r="U140" s="17">
        <v>0</v>
      </c>
      <c r="V140" s="17"/>
      <c r="W140" s="17">
        <v>10.63</v>
      </c>
      <c r="X140" s="17">
        <v>708.4</v>
      </c>
      <c r="Y140" s="17">
        <v>115.04</v>
      </c>
      <c r="Z140" s="18" t="e">
        <f t="shared" ref="Z140:Z203" si="58">T140/S140</f>
        <v>#DIV/0!</v>
      </c>
      <c r="AA140" s="19">
        <v>0.1</v>
      </c>
      <c r="AB140" s="17">
        <f t="shared" si="56"/>
        <v>70.84</v>
      </c>
      <c r="AC140" s="17">
        <v>0</v>
      </c>
      <c r="AD140" s="17">
        <v>0</v>
      </c>
      <c r="AE140" s="17">
        <f t="shared" ref="AE140:AE203" si="59">SUM(AB140:AD140)</f>
        <v>70.84</v>
      </c>
      <c r="AF140" s="17">
        <f t="shared" si="55"/>
        <v>11.3344</v>
      </c>
      <c r="AG140" s="17">
        <f t="shared" ref="AG140:AG203" si="60">AF140+AE140</f>
        <v>82.174400000000006</v>
      </c>
      <c r="AH140" s="17">
        <f t="shared" si="52"/>
        <v>1.4168000000000001</v>
      </c>
      <c r="AI140" s="17">
        <v>0</v>
      </c>
      <c r="AJ140" s="17">
        <f t="shared" ref="AJ140:AJ203" si="61">AH140-AI140</f>
        <v>1.4168000000000001</v>
      </c>
      <c r="AK140" s="20"/>
      <c r="AL140" s="17">
        <f t="shared" ref="AL140:AL203" si="62">AE140-AH140</f>
        <v>69.423200000000008</v>
      </c>
      <c r="AM140" s="17"/>
      <c r="AN140" s="21"/>
      <c r="AO140" s="17">
        <f t="shared" ref="AO140:AO203" si="63">AL140*AN140</f>
        <v>0</v>
      </c>
      <c r="AP140" s="17"/>
      <c r="AQ140" s="16"/>
      <c r="AR140" s="17">
        <f t="shared" si="54"/>
        <v>0</v>
      </c>
      <c r="AS140" s="17"/>
      <c r="AT140" s="17">
        <v>82.174400000000006</v>
      </c>
      <c r="AU140" s="17">
        <f t="shared" ref="AU140:AU203" si="64">AG140</f>
        <v>82.174400000000006</v>
      </c>
      <c r="AV140" s="17">
        <f t="shared" ref="AV140:AV203" si="65">AU140-AT140</f>
        <v>0</v>
      </c>
      <c r="AW140" s="17" t="str">
        <f t="shared" si="50"/>
        <v>SFA</v>
      </c>
      <c r="AX140" s="22">
        <v>44676</v>
      </c>
      <c r="AY140" s="22"/>
      <c r="AZ140" s="1" t="s">
        <v>68</v>
      </c>
      <c r="BA140" s="22" t="str">
        <f t="shared" ref="BA140:BA203" si="66">O140</f>
        <v>MOTOR TPL</v>
      </c>
      <c r="BB140" s="22"/>
      <c r="BC140" s="1" t="s">
        <v>107</v>
      </c>
      <c r="BD140" s="1"/>
    </row>
    <row r="141" spans="1:56" ht="14.25" customHeight="1" x14ac:dyDescent="0.2">
      <c r="A141" s="12" t="s">
        <v>229</v>
      </c>
      <c r="B141" s="1" t="s">
        <v>57</v>
      </c>
      <c r="C141" s="13">
        <v>44614</v>
      </c>
      <c r="D141" s="13">
        <v>44614</v>
      </c>
      <c r="E141" s="13">
        <v>44615</v>
      </c>
      <c r="F141" s="13">
        <v>44642</v>
      </c>
      <c r="G141" s="14" t="str">
        <f t="shared" si="57"/>
        <v>000-140/AIB RDC/2022</v>
      </c>
      <c r="H141" s="1">
        <v>0</v>
      </c>
      <c r="I141" s="1" t="s">
        <v>74</v>
      </c>
      <c r="J141" s="1" t="s">
        <v>346</v>
      </c>
      <c r="K141" s="16" t="s">
        <v>181</v>
      </c>
      <c r="L141" s="16"/>
      <c r="M141" s="16" t="s">
        <v>105</v>
      </c>
      <c r="N141" s="16" t="s">
        <v>209</v>
      </c>
      <c r="O141" s="16" t="s">
        <v>64</v>
      </c>
      <c r="P141" s="16" t="s">
        <v>65</v>
      </c>
      <c r="Q141" s="16" t="s">
        <v>107</v>
      </c>
      <c r="R141" s="16" t="s">
        <v>107</v>
      </c>
      <c r="S141" s="17">
        <v>1041</v>
      </c>
      <c r="T141" s="17">
        <v>129.80000000000001</v>
      </c>
      <c r="U141" s="17">
        <v>0</v>
      </c>
      <c r="V141" s="17">
        <v>0</v>
      </c>
      <c r="W141" s="17">
        <v>10</v>
      </c>
      <c r="X141" s="17">
        <v>100</v>
      </c>
      <c r="Y141" s="17">
        <v>17.600000000000001</v>
      </c>
      <c r="Z141" s="18">
        <f t="shared" si="58"/>
        <v>0.12468780019212297</v>
      </c>
      <c r="AA141" s="19">
        <v>0.15</v>
      </c>
      <c r="AB141" s="17">
        <f t="shared" si="56"/>
        <v>15</v>
      </c>
      <c r="AC141" s="17">
        <v>0</v>
      </c>
      <c r="AD141" s="17">
        <v>0</v>
      </c>
      <c r="AE141" s="17">
        <f t="shared" si="59"/>
        <v>15</v>
      </c>
      <c r="AF141" s="17">
        <f t="shared" si="55"/>
        <v>2.4</v>
      </c>
      <c r="AG141" s="17">
        <f t="shared" si="60"/>
        <v>17.399999999999999</v>
      </c>
      <c r="AH141" s="17">
        <f t="shared" si="52"/>
        <v>0.3</v>
      </c>
      <c r="AI141" s="17">
        <v>0</v>
      </c>
      <c r="AJ141" s="17">
        <f t="shared" si="61"/>
        <v>0.3</v>
      </c>
      <c r="AK141" s="20"/>
      <c r="AL141" s="17">
        <f t="shared" si="62"/>
        <v>14.7</v>
      </c>
      <c r="AM141" s="17" t="s">
        <v>108</v>
      </c>
      <c r="AN141" s="21">
        <v>0.4</v>
      </c>
      <c r="AO141" s="17">
        <f t="shared" si="63"/>
        <v>5.88</v>
      </c>
      <c r="AP141" s="17">
        <v>5.88</v>
      </c>
      <c r="AQ141" s="16">
        <v>44834</v>
      </c>
      <c r="AR141" s="17">
        <f t="shared" si="54"/>
        <v>0</v>
      </c>
      <c r="AS141" s="17" t="s">
        <v>109</v>
      </c>
      <c r="AT141" s="17">
        <v>17.399999999999999</v>
      </c>
      <c r="AU141" s="17">
        <f t="shared" si="64"/>
        <v>17.399999999999999</v>
      </c>
      <c r="AV141" s="17">
        <f t="shared" si="65"/>
        <v>0</v>
      </c>
      <c r="AW141" s="17" t="str">
        <f t="shared" si="50"/>
        <v>RAWSUR</v>
      </c>
      <c r="AX141" s="22">
        <v>44679</v>
      </c>
      <c r="AY141" s="22"/>
      <c r="AZ141" s="1" t="s">
        <v>110</v>
      </c>
      <c r="BA141" s="22" t="str">
        <f t="shared" si="66"/>
        <v>MARINE CARGO / GIT</v>
      </c>
      <c r="BB141" s="22"/>
      <c r="BC141" s="22"/>
      <c r="BD141" s="22"/>
    </row>
    <row r="142" spans="1:56" ht="14.25" customHeight="1" x14ac:dyDescent="0.2">
      <c r="A142" s="12" t="s">
        <v>229</v>
      </c>
      <c r="B142" s="1" t="s">
        <v>57</v>
      </c>
      <c r="C142" s="13">
        <v>44616</v>
      </c>
      <c r="D142" s="13">
        <v>44616</v>
      </c>
      <c r="E142" s="13">
        <v>44617</v>
      </c>
      <c r="F142" s="13">
        <v>44981</v>
      </c>
      <c r="G142" s="14" t="str">
        <f t="shared" si="57"/>
        <v>000-141/AIB RDC/2022</v>
      </c>
      <c r="H142" s="1">
        <v>0</v>
      </c>
      <c r="I142" s="1" t="s">
        <v>74</v>
      </c>
      <c r="J142" s="16" t="s">
        <v>347</v>
      </c>
      <c r="K142" s="1" t="s">
        <v>141</v>
      </c>
      <c r="L142" s="16"/>
      <c r="M142" s="16" t="s">
        <v>84</v>
      </c>
      <c r="N142" s="16" t="s">
        <v>209</v>
      </c>
      <c r="O142" s="16" t="s">
        <v>152</v>
      </c>
      <c r="P142" s="16" t="s">
        <v>153</v>
      </c>
      <c r="Q142" s="16" t="s">
        <v>130</v>
      </c>
      <c r="R142" s="16" t="s">
        <v>130</v>
      </c>
      <c r="S142" s="17">
        <v>0</v>
      </c>
      <c r="T142" s="17">
        <v>10012.6</v>
      </c>
      <c r="U142" s="17">
        <v>0</v>
      </c>
      <c r="V142" s="17">
        <v>0</v>
      </c>
      <c r="W142" s="17">
        <v>0</v>
      </c>
      <c r="X142" s="17">
        <v>8359.85</v>
      </c>
      <c r="Y142" s="17"/>
      <c r="Z142" s="18" t="e">
        <f t="shared" si="58"/>
        <v>#DIV/0!</v>
      </c>
      <c r="AA142" s="19">
        <v>0.15</v>
      </c>
      <c r="AB142" s="17">
        <f t="shared" si="56"/>
        <v>1253.9775</v>
      </c>
      <c r="AC142" s="17">
        <v>0</v>
      </c>
      <c r="AD142" s="17">
        <v>0</v>
      </c>
      <c r="AE142" s="17">
        <f t="shared" si="59"/>
        <v>1253.9775</v>
      </c>
      <c r="AF142" s="17">
        <f t="shared" si="55"/>
        <v>200.63640000000001</v>
      </c>
      <c r="AG142" s="17">
        <f t="shared" si="60"/>
        <v>1454.6139000000001</v>
      </c>
      <c r="AH142" s="17">
        <f t="shared" si="52"/>
        <v>25.079550000000001</v>
      </c>
      <c r="AI142" s="17">
        <v>0</v>
      </c>
      <c r="AJ142" s="17">
        <f t="shared" si="61"/>
        <v>25.079550000000001</v>
      </c>
      <c r="AK142" s="20" t="s">
        <v>142</v>
      </c>
      <c r="AL142" s="17">
        <f t="shared" si="62"/>
        <v>1228.89795</v>
      </c>
      <c r="AM142" s="17" t="s">
        <v>87</v>
      </c>
      <c r="AN142" s="21">
        <v>0.35</v>
      </c>
      <c r="AO142" s="17">
        <f t="shared" si="63"/>
        <v>430.1142825</v>
      </c>
      <c r="AP142" s="17"/>
      <c r="AQ142" s="16"/>
      <c r="AR142" s="17">
        <f t="shared" si="54"/>
        <v>430.1142825</v>
      </c>
      <c r="AS142" s="17"/>
      <c r="AT142" s="17">
        <v>1454.6139000000001</v>
      </c>
      <c r="AU142" s="17">
        <f t="shared" si="64"/>
        <v>1454.6139000000001</v>
      </c>
      <c r="AV142" s="17">
        <f t="shared" si="65"/>
        <v>0</v>
      </c>
      <c r="AW142" s="17" t="str">
        <f t="shared" si="50"/>
        <v>SFA</v>
      </c>
      <c r="AX142" s="22">
        <v>44649</v>
      </c>
      <c r="AY142" s="22"/>
      <c r="AZ142" s="1" t="s">
        <v>68</v>
      </c>
      <c r="BA142" s="22" t="str">
        <f t="shared" si="66"/>
        <v>COMP MOTOR</v>
      </c>
      <c r="BB142" s="22"/>
      <c r="BC142" s="22"/>
      <c r="BD142" s="22"/>
    </row>
    <row r="143" spans="1:56" ht="14.25" customHeight="1" x14ac:dyDescent="0.2">
      <c r="A143" s="12" t="s">
        <v>229</v>
      </c>
      <c r="B143" s="1" t="s">
        <v>57</v>
      </c>
      <c r="C143" s="13">
        <v>44613</v>
      </c>
      <c r="D143" s="13">
        <v>44613</v>
      </c>
      <c r="E143" s="13">
        <v>44617</v>
      </c>
      <c r="F143" s="13">
        <v>44981</v>
      </c>
      <c r="G143" s="14" t="str">
        <f t="shared" si="57"/>
        <v>000-142/AIB RDC/2022</v>
      </c>
      <c r="H143" s="1">
        <v>1</v>
      </c>
      <c r="I143" s="1" t="s">
        <v>58</v>
      </c>
      <c r="J143" s="1" t="s">
        <v>348</v>
      </c>
      <c r="K143" s="16" t="s">
        <v>349</v>
      </c>
      <c r="L143" s="16"/>
      <c r="M143" s="16" t="s">
        <v>105</v>
      </c>
      <c r="N143" s="16" t="s">
        <v>209</v>
      </c>
      <c r="O143" s="16" t="s">
        <v>73</v>
      </c>
      <c r="P143" s="16" t="s">
        <v>73</v>
      </c>
      <c r="Q143" s="16" t="s">
        <v>130</v>
      </c>
      <c r="R143" s="16" t="s">
        <v>130</v>
      </c>
      <c r="S143" s="17">
        <v>0</v>
      </c>
      <c r="T143" s="17">
        <v>4156.5</v>
      </c>
      <c r="U143" s="17"/>
      <c r="V143" s="17"/>
      <c r="W143" s="17"/>
      <c r="X143" s="17">
        <v>3470.4</v>
      </c>
      <c r="Y143" s="17"/>
      <c r="Z143" s="18" t="e">
        <f t="shared" si="58"/>
        <v>#DIV/0!</v>
      </c>
      <c r="AA143" s="19">
        <v>0.1</v>
      </c>
      <c r="AB143" s="17">
        <f t="shared" si="56"/>
        <v>347.04</v>
      </c>
      <c r="AC143" s="17">
        <v>0</v>
      </c>
      <c r="AD143" s="17">
        <v>0</v>
      </c>
      <c r="AE143" s="17">
        <f t="shared" si="59"/>
        <v>347.04</v>
      </c>
      <c r="AF143" s="17">
        <f t="shared" si="55"/>
        <v>55.526400000000002</v>
      </c>
      <c r="AG143" s="17">
        <f t="shared" si="60"/>
        <v>402.56640000000004</v>
      </c>
      <c r="AH143" s="17">
        <f t="shared" si="52"/>
        <v>6.9408000000000003</v>
      </c>
      <c r="AI143" s="17">
        <v>0</v>
      </c>
      <c r="AJ143" s="17">
        <f t="shared" si="61"/>
        <v>6.9408000000000003</v>
      </c>
      <c r="AK143" s="20" t="s">
        <v>142</v>
      </c>
      <c r="AL143" s="17">
        <f t="shared" si="62"/>
        <v>340.0992</v>
      </c>
      <c r="AM143" s="17"/>
      <c r="AN143" s="21"/>
      <c r="AO143" s="17">
        <f t="shared" si="63"/>
        <v>0</v>
      </c>
      <c r="AP143" s="17"/>
      <c r="AQ143" s="16"/>
      <c r="AR143" s="17">
        <f t="shared" si="54"/>
        <v>0</v>
      </c>
      <c r="AS143" s="17"/>
      <c r="AT143" s="17">
        <v>402.56640000000004</v>
      </c>
      <c r="AU143" s="17">
        <f t="shared" si="64"/>
        <v>402.56640000000004</v>
      </c>
      <c r="AV143" s="17">
        <f t="shared" si="65"/>
        <v>0</v>
      </c>
      <c r="AW143" s="17" t="str">
        <f t="shared" si="50"/>
        <v>SFA</v>
      </c>
      <c r="AX143" s="22">
        <v>44649</v>
      </c>
      <c r="AY143" s="22"/>
      <c r="AZ143" s="1" t="s">
        <v>162</v>
      </c>
      <c r="BA143" s="22" t="str">
        <f t="shared" si="66"/>
        <v>MOTOR TPL</v>
      </c>
      <c r="BB143" s="22"/>
      <c r="BC143" s="22"/>
      <c r="BD143" s="22"/>
    </row>
    <row r="144" spans="1:56" ht="14.25" customHeight="1" x14ac:dyDescent="0.2">
      <c r="A144" s="12" t="s">
        <v>229</v>
      </c>
      <c r="B144" s="1" t="s">
        <v>57</v>
      </c>
      <c r="C144" s="13">
        <v>44615</v>
      </c>
      <c r="D144" s="13">
        <v>44615</v>
      </c>
      <c r="E144" s="13">
        <v>44617</v>
      </c>
      <c r="F144" s="13">
        <v>44675</v>
      </c>
      <c r="G144" s="14" t="str">
        <f t="shared" si="57"/>
        <v>000-143/AIB RDC/2022</v>
      </c>
      <c r="H144" s="1">
        <v>0</v>
      </c>
      <c r="I144" s="1" t="s">
        <v>74</v>
      </c>
      <c r="J144" s="1" t="s">
        <v>350</v>
      </c>
      <c r="K144" s="16" t="s">
        <v>181</v>
      </c>
      <c r="L144" s="16"/>
      <c r="M144" s="16" t="s">
        <v>105</v>
      </c>
      <c r="N144" s="16" t="s">
        <v>209</v>
      </c>
      <c r="O144" s="16" t="s">
        <v>64</v>
      </c>
      <c r="P144" s="16" t="s">
        <v>65</v>
      </c>
      <c r="Q144" s="16" t="s">
        <v>107</v>
      </c>
      <c r="R144" s="16" t="s">
        <v>107</v>
      </c>
      <c r="S144" s="17">
        <v>10909</v>
      </c>
      <c r="T144" s="17">
        <v>129.80000000000001</v>
      </c>
      <c r="U144" s="17">
        <v>0</v>
      </c>
      <c r="V144" s="17">
        <v>0</v>
      </c>
      <c r="W144" s="17">
        <v>10</v>
      </c>
      <c r="X144" s="17">
        <v>100</v>
      </c>
      <c r="Y144" s="17">
        <v>17.600000000000001</v>
      </c>
      <c r="Z144" s="18">
        <f t="shared" si="58"/>
        <v>1.1898432486937392E-2</v>
      </c>
      <c r="AA144" s="19">
        <v>0.15</v>
      </c>
      <c r="AB144" s="17">
        <f t="shared" si="56"/>
        <v>15</v>
      </c>
      <c r="AC144" s="17">
        <v>0</v>
      </c>
      <c r="AD144" s="17">
        <v>0</v>
      </c>
      <c r="AE144" s="17">
        <f t="shared" si="59"/>
        <v>15</v>
      </c>
      <c r="AF144" s="17">
        <f t="shared" si="55"/>
        <v>2.4</v>
      </c>
      <c r="AG144" s="17">
        <f t="shared" si="60"/>
        <v>17.399999999999999</v>
      </c>
      <c r="AH144" s="17">
        <f t="shared" si="52"/>
        <v>0.3</v>
      </c>
      <c r="AI144" s="17">
        <v>0</v>
      </c>
      <c r="AJ144" s="17">
        <f t="shared" si="61"/>
        <v>0.3</v>
      </c>
      <c r="AK144" s="20"/>
      <c r="AL144" s="17">
        <f t="shared" si="62"/>
        <v>14.7</v>
      </c>
      <c r="AM144" s="17" t="s">
        <v>108</v>
      </c>
      <c r="AN144" s="21">
        <v>0.4</v>
      </c>
      <c r="AO144" s="17">
        <f t="shared" si="63"/>
        <v>5.88</v>
      </c>
      <c r="AP144" s="17">
        <v>5.88</v>
      </c>
      <c r="AQ144" s="16">
        <v>44834</v>
      </c>
      <c r="AR144" s="17">
        <f t="shared" si="54"/>
        <v>0</v>
      </c>
      <c r="AS144" s="17" t="s">
        <v>109</v>
      </c>
      <c r="AT144" s="17">
        <v>17.399999999999999</v>
      </c>
      <c r="AU144" s="17">
        <f t="shared" si="64"/>
        <v>17.399999999999999</v>
      </c>
      <c r="AV144" s="17">
        <f t="shared" si="65"/>
        <v>0</v>
      </c>
      <c r="AW144" s="17" t="str">
        <f t="shared" si="50"/>
        <v>RAWSUR</v>
      </c>
      <c r="AX144" s="22">
        <v>44679</v>
      </c>
      <c r="AY144" s="22"/>
      <c r="AZ144" s="1" t="s">
        <v>110</v>
      </c>
      <c r="BA144" s="22" t="str">
        <f t="shared" si="66"/>
        <v>MARINE CARGO / GIT</v>
      </c>
      <c r="BB144" s="22"/>
      <c r="BC144" s="22"/>
      <c r="BD144" s="22"/>
    </row>
    <row r="145" spans="1:56" ht="14.25" customHeight="1" x14ac:dyDescent="0.2">
      <c r="A145" s="12" t="s">
        <v>229</v>
      </c>
      <c r="B145" s="1" t="s">
        <v>57</v>
      </c>
      <c r="C145" s="13">
        <v>44617</v>
      </c>
      <c r="D145" s="13">
        <v>44620</v>
      </c>
      <c r="E145" s="13">
        <v>44617</v>
      </c>
      <c r="F145" s="13">
        <v>44619</v>
      </c>
      <c r="G145" s="14" t="str">
        <f t="shared" si="57"/>
        <v>000-144/AIB RDC/2022</v>
      </c>
      <c r="H145" s="1">
        <v>0</v>
      </c>
      <c r="I145" s="1" t="s">
        <v>74</v>
      </c>
      <c r="J145" s="1" t="s">
        <v>351</v>
      </c>
      <c r="K145" s="16" t="s">
        <v>352</v>
      </c>
      <c r="L145" s="16"/>
      <c r="M145" s="16" t="s">
        <v>105</v>
      </c>
      <c r="N145" s="16" t="s">
        <v>106</v>
      </c>
      <c r="O145" s="16" t="s">
        <v>64</v>
      </c>
      <c r="P145" s="16" t="s">
        <v>65</v>
      </c>
      <c r="Q145" s="16" t="s">
        <v>130</v>
      </c>
      <c r="R145" s="16" t="s">
        <v>130</v>
      </c>
      <c r="S145" s="17">
        <v>19020.72</v>
      </c>
      <c r="T145" s="17">
        <v>259.60000000000002</v>
      </c>
      <c r="U145" s="17">
        <v>0</v>
      </c>
      <c r="V145" s="17"/>
      <c r="W145" s="17"/>
      <c r="X145" s="17">
        <v>200</v>
      </c>
      <c r="Y145" s="17"/>
      <c r="Z145" s="18">
        <f t="shared" si="58"/>
        <v>1.3648274092673674E-2</v>
      </c>
      <c r="AA145" s="19">
        <v>0.15</v>
      </c>
      <c r="AB145" s="17">
        <f t="shared" si="56"/>
        <v>30</v>
      </c>
      <c r="AC145" s="17">
        <v>0</v>
      </c>
      <c r="AD145" s="17">
        <v>0</v>
      </c>
      <c r="AE145" s="17">
        <f t="shared" si="59"/>
        <v>30</v>
      </c>
      <c r="AF145" s="17">
        <f t="shared" si="55"/>
        <v>4.8</v>
      </c>
      <c r="AG145" s="17">
        <f t="shared" si="60"/>
        <v>34.799999999999997</v>
      </c>
      <c r="AH145" s="17">
        <f t="shared" si="52"/>
        <v>0.6</v>
      </c>
      <c r="AI145" s="17">
        <v>0</v>
      </c>
      <c r="AJ145" s="17">
        <f t="shared" si="61"/>
        <v>0.6</v>
      </c>
      <c r="AK145" s="20" t="s">
        <v>142</v>
      </c>
      <c r="AL145" s="17">
        <f t="shared" si="62"/>
        <v>29.4</v>
      </c>
      <c r="AM145" s="17" t="s">
        <v>108</v>
      </c>
      <c r="AN145" s="21">
        <v>0.4</v>
      </c>
      <c r="AO145" s="17">
        <f t="shared" si="63"/>
        <v>11.76</v>
      </c>
      <c r="AP145" s="17">
        <v>11.76</v>
      </c>
      <c r="AQ145" s="16">
        <v>44834</v>
      </c>
      <c r="AR145" s="17">
        <f t="shared" si="54"/>
        <v>0</v>
      </c>
      <c r="AS145" s="17" t="s">
        <v>109</v>
      </c>
      <c r="AT145" s="17">
        <v>34.799999999999997</v>
      </c>
      <c r="AU145" s="17">
        <f t="shared" si="64"/>
        <v>34.799999999999997</v>
      </c>
      <c r="AV145" s="17">
        <f t="shared" si="65"/>
        <v>0</v>
      </c>
      <c r="AW145" s="17" t="str">
        <f t="shared" si="50"/>
        <v>SFA</v>
      </c>
      <c r="AX145" s="22">
        <v>44649</v>
      </c>
      <c r="AY145" s="22"/>
      <c r="AZ145" s="1" t="s">
        <v>110</v>
      </c>
      <c r="BA145" s="22" t="str">
        <f t="shared" si="66"/>
        <v>MARINE CARGO / GIT</v>
      </c>
      <c r="BB145" s="22"/>
      <c r="BC145" s="22"/>
      <c r="BD145" s="22"/>
    </row>
    <row r="146" spans="1:56" ht="14.25" customHeight="1" x14ac:dyDescent="0.2">
      <c r="A146" s="12" t="s">
        <v>229</v>
      </c>
      <c r="B146" s="1" t="s">
        <v>57</v>
      </c>
      <c r="C146" s="13">
        <v>44617</v>
      </c>
      <c r="D146" s="13">
        <v>44620</v>
      </c>
      <c r="E146" s="13">
        <v>44617</v>
      </c>
      <c r="F146" s="13">
        <v>44647</v>
      </c>
      <c r="G146" s="14" t="str">
        <f t="shared" si="57"/>
        <v>000-145/AIB RDC/2022</v>
      </c>
      <c r="H146" s="1">
        <v>0</v>
      </c>
      <c r="I146" s="1" t="s">
        <v>74</v>
      </c>
      <c r="J146" s="1" t="s">
        <v>353</v>
      </c>
      <c r="K146" s="16" t="s">
        <v>228</v>
      </c>
      <c r="L146" s="16"/>
      <c r="M146" s="16" t="s">
        <v>105</v>
      </c>
      <c r="N146" s="16" t="s">
        <v>106</v>
      </c>
      <c r="O146" s="16" t="s">
        <v>64</v>
      </c>
      <c r="P146" s="16" t="s">
        <v>65</v>
      </c>
      <c r="Q146" s="16" t="s">
        <v>130</v>
      </c>
      <c r="R146" s="16" t="s">
        <v>130</v>
      </c>
      <c r="S146" s="17">
        <v>130976.5</v>
      </c>
      <c r="T146" s="17">
        <v>576.63</v>
      </c>
      <c r="U146" s="17">
        <v>0</v>
      </c>
      <c r="V146" s="17"/>
      <c r="W146" s="17"/>
      <c r="X146" s="17">
        <v>468.67</v>
      </c>
      <c r="Y146" s="17"/>
      <c r="Z146" s="18">
        <f t="shared" si="58"/>
        <v>4.4025454948025027E-3</v>
      </c>
      <c r="AA146" s="19">
        <v>0.15</v>
      </c>
      <c r="AB146" s="17">
        <f t="shared" si="56"/>
        <v>70.3005</v>
      </c>
      <c r="AC146" s="17">
        <v>0</v>
      </c>
      <c r="AD146" s="17">
        <v>0</v>
      </c>
      <c r="AE146" s="17">
        <f t="shared" si="59"/>
        <v>70.3005</v>
      </c>
      <c r="AF146" s="17">
        <f t="shared" si="55"/>
        <v>11.24808</v>
      </c>
      <c r="AG146" s="17">
        <f t="shared" si="60"/>
        <v>81.548580000000001</v>
      </c>
      <c r="AH146" s="17">
        <f t="shared" si="52"/>
        <v>1.40601</v>
      </c>
      <c r="AI146" s="17">
        <v>0</v>
      </c>
      <c r="AJ146" s="17">
        <f t="shared" si="61"/>
        <v>1.40601</v>
      </c>
      <c r="AK146" s="20" t="s">
        <v>142</v>
      </c>
      <c r="AL146" s="17">
        <f t="shared" si="62"/>
        <v>68.894490000000005</v>
      </c>
      <c r="AM146" s="17" t="s">
        <v>108</v>
      </c>
      <c r="AN146" s="21">
        <v>0.4</v>
      </c>
      <c r="AO146" s="17">
        <f t="shared" si="63"/>
        <v>27.557796000000003</v>
      </c>
      <c r="AP146" s="17">
        <v>27.557796000000003</v>
      </c>
      <c r="AQ146" s="16">
        <v>44834</v>
      </c>
      <c r="AR146" s="17">
        <f t="shared" si="54"/>
        <v>0</v>
      </c>
      <c r="AS146" s="17" t="s">
        <v>109</v>
      </c>
      <c r="AT146" s="17">
        <v>81.548580000000001</v>
      </c>
      <c r="AU146" s="17">
        <f t="shared" si="64"/>
        <v>81.548580000000001</v>
      </c>
      <c r="AV146" s="17">
        <f t="shared" si="65"/>
        <v>0</v>
      </c>
      <c r="AW146" s="17" t="str">
        <f t="shared" si="50"/>
        <v>SFA</v>
      </c>
      <c r="AX146" s="22">
        <v>44649</v>
      </c>
      <c r="AY146" s="22"/>
      <c r="AZ146" s="1" t="s">
        <v>110</v>
      </c>
      <c r="BA146" s="22" t="str">
        <f t="shared" si="66"/>
        <v>MARINE CARGO / GIT</v>
      </c>
      <c r="BB146" s="22"/>
      <c r="BC146" s="22"/>
      <c r="BD146" s="22"/>
    </row>
    <row r="147" spans="1:56" ht="14.25" customHeight="1" x14ac:dyDescent="0.2">
      <c r="A147" s="12" t="s">
        <v>229</v>
      </c>
      <c r="B147" s="1" t="s">
        <v>57</v>
      </c>
      <c r="C147" s="13">
        <v>44618</v>
      </c>
      <c r="D147" s="13">
        <v>44609</v>
      </c>
      <c r="E147" s="13">
        <v>44618</v>
      </c>
      <c r="F147" s="13">
        <v>44982</v>
      </c>
      <c r="G147" s="14" t="str">
        <f t="shared" si="57"/>
        <v>000-146/AIB RDC/2022</v>
      </c>
      <c r="H147" s="1">
        <v>0</v>
      </c>
      <c r="I147" s="1" t="s">
        <v>74</v>
      </c>
      <c r="J147" s="1" t="s">
        <v>354</v>
      </c>
      <c r="K147" s="16" t="s">
        <v>355</v>
      </c>
      <c r="L147" s="16" t="s">
        <v>137</v>
      </c>
      <c r="M147" s="16" t="s">
        <v>84</v>
      </c>
      <c r="N147" s="16" t="s">
        <v>209</v>
      </c>
      <c r="O147" s="16" t="s">
        <v>73</v>
      </c>
      <c r="P147" s="16" t="s">
        <v>73</v>
      </c>
      <c r="Q147" s="16" t="s">
        <v>130</v>
      </c>
      <c r="R147" s="16" t="s">
        <v>130</v>
      </c>
      <c r="S147" s="17">
        <v>0</v>
      </c>
      <c r="T147" s="17">
        <v>38461.79</v>
      </c>
      <c r="U147" s="17">
        <v>0</v>
      </c>
      <c r="V147" s="17"/>
      <c r="W147" s="17"/>
      <c r="X147" s="17">
        <v>32113.040000000001</v>
      </c>
      <c r="Y147" s="17"/>
      <c r="Z147" s="18" t="e">
        <f t="shared" si="58"/>
        <v>#DIV/0!</v>
      </c>
      <c r="AA147" s="19">
        <v>0.1</v>
      </c>
      <c r="AB147" s="17">
        <f t="shared" si="56"/>
        <v>3211.3040000000001</v>
      </c>
      <c r="AC147" s="17">
        <v>0</v>
      </c>
      <c r="AD147" s="17">
        <v>0</v>
      </c>
      <c r="AE147" s="17">
        <f t="shared" si="59"/>
        <v>3211.3040000000001</v>
      </c>
      <c r="AF147" s="17">
        <f t="shared" si="55"/>
        <v>513.80863999999997</v>
      </c>
      <c r="AG147" s="17">
        <f t="shared" si="60"/>
        <v>3725.1126400000003</v>
      </c>
      <c r="AH147" s="17">
        <f t="shared" si="52"/>
        <v>64.226079999999996</v>
      </c>
      <c r="AI147" s="17">
        <v>0</v>
      </c>
      <c r="AJ147" s="17">
        <f t="shared" si="61"/>
        <v>64.226079999999996</v>
      </c>
      <c r="AK147" s="20" t="s">
        <v>142</v>
      </c>
      <c r="AL147" s="17">
        <f t="shared" si="62"/>
        <v>3147.0779200000002</v>
      </c>
      <c r="AM147" s="17"/>
      <c r="AN147" s="21"/>
      <c r="AO147" s="17">
        <f t="shared" si="63"/>
        <v>0</v>
      </c>
      <c r="AP147" s="17"/>
      <c r="AQ147" s="16"/>
      <c r="AR147" s="17">
        <f t="shared" si="54"/>
        <v>0</v>
      </c>
      <c r="AS147" s="17"/>
      <c r="AT147" s="17">
        <v>3725.1126400000003</v>
      </c>
      <c r="AU147" s="17">
        <f t="shared" si="64"/>
        <v>3725.1126400000003</v>
      </c>
      <c r="AV147" s="17">
        <f t="shared" si="65"/>
        <v>0</v>
      </c>
      <c r="AW147" s="17" t="str">
        <f t="shared" si="50"/>
        <v>SFA</v>
      </c>
      <c r="AX147" s="22">
        <v>44649</v>
      </c>
      <c r="AY147" s="22"/>
      <c r="AZ147" s="1" t="s">
        <v>68</v>
      </c>
      <c r="BA147" s="22" t="str">
        <f t="shared" si="66"/>
        <v>MOTOR TPL</v>
      </c>
      <c r="BB147" s="22"/>
      <c r="BC147" s="22"/>
      <c r="BD147" s="22"/>
    </row>
    <row r="148" spans="1:56" ht="14.25" customHeight="1" x14ac:dyDescent="0.2">
      <c r="A148" s="12" t="s">
        <v>229</v>
      </c>
      <c r="B148" s="1" t="s">
        <v>57</v>
      </c>
      <c r="C148" s="13">
        <v>44618</v>
      </c>
      <c r="D148" s="13">
        <v>44529</v>
      </c>
      <c r="E148" s="13">
        <v>44618</v>
      </c>
      <c r="F148" s="13">
        <v>44706</v>
      </c>
      <c r="G148" s="14" t="str">
        <f t="shared" si="57"/>
        <v>000-147/AIB RDC/2022</v>
      </c>
      <c r="H148" s="1">
        <v>1</v>
      </c>
      <c r="I148" s="1" t="s">
        <v>91</v>
      </c>
      <c r="J148" s="1" t="s">
        <v>356</v>
      </c>
      <c r="K148" s="16" t="s">
        <v>357</v>
      </c>
      <c r="L148" s="16" t="s">
        <v>358</v>
      </c>
      <c r="M148" s="16" t="s">
        <v>95</v>
      </c>
      <c r="N148" s="16" t="s">
        <v>209</v>
      </c>
      <c r="O148" s="16" t="s">
        <v>70</v>
      </c>
      <c r="P148" s="16" t="s">
        <v>71</v>
      </c>
      <c r="Q148" s="16" t="s">
        <v>86</v>
      </c>
      <c r="R148" s="16" t="s">
        <v>86</v>
      </c>
      <c r="S148" s="17">
        <v>1079430.8400000001</v>
      </c>
      <c r="T148" s="17">
        <v>427</v>
      </c>
      <c r="U148" s="17">
        <v>0</v>
      </c>
      <c r="V148" s="17"/>
      <c r="W148" s="17"/>
      <c r="X148" s="17">
        <v>364</v>
      </c>
      <c r="Y148" s="17"/>
      <c r="Z148" s="18">
        <f t="shared" si="58"/>
        <v>3.9557884041927128E-4</v>
      </c>
      <c r="AA148" s="19">
        <v>0.1</v>
      </c>
      <c r="AB148" s="17">
        <f t="shared" si="56"/>
        <v>36.4</v>
      </c>
      <c r="AC148" s="17">
        <v>0</v>
      </c>
      <c r="AD148" s="17">
        <v>0</v>
      </c>
      <c r="AE148" s="17">
        <f t="shared" si="59"/>
        <v>36.4</v>
      </c>
      <c r="AF148" s="17">
        <f t="shared" si="55"/>
        <v>5.8239999999999998</v>
      </c>
      <c r="AG148" s="17">
        <f t="shared" si="60"/>
        <v>42.223999999999997</v>
      </c>
      <c r="AH148" s="17">
        <f t="shared" si="52"/>
        <v>0.72799999999999998</v>
      </c>
      <c r="AI148" s="17">
        <v>0</v>
      </c>
      <c r="AJ148" s="17">
        <f t="shared" si="61"/>
        <v>0.72799999999999998</v>
      </c>
      <c r="AK148" s="20"/>
      <c r="AL148" s="17">
        <f t="shared" si="62"/>
        <v>35.671999999999997</v>
      </c>
      <c r="AM148" s="17"/>
      <c r="AN148" s="21"/>
      <c r="AO148" s="17">
        <f t="shared" si="63"/>
        <v>0</v>
      </c>
      <c r="AP148" s="17"/>
      <c r="AQ148" s="16"/>
      <c r="AR148" s="17">
        <f t="shared" si="54"/>
        <v>0</v>
      </c>
      <c r="AS148" s="17"/>
      <c r="AT148" s="17">
        <v>42.223999999999997</v>
      </c>
      <c r="AU148" s="17">
        <f t="shared" si="64"/>
        <v>42.223999999999997</v>
      </c>
      <c r="AV148" s="17">
        <f t="shared" si="65"/>
        <v>0</v>
      </c>
      <c r="AW148" s="17" t="str">
        <f t="shared" si="50"/>
        <v>SUNU</v>
      </c>
      <c r="AX148" s="22">
        <v>44663</v>
      </c>
      <c r="AY148" s="22"/>
      <c r="AZ148" s="1"/>
      <c r="BA148" s="22" t="str">
        <f t="shared" si="66"/>
        <v>FIRE</v>
      </c>
      <c r="BB148" s="22"/>
      <c r="BC148" s="22"/>
      <c r="BD148" s="32" t="s">
        <v>359</v>
      </c>
    </row>
    <row r="149" spans="1:56" ht="14.25" customHeight="1" x14ac:dyDescent="0.2">
      <c r="A149" s="12" t="s">
        <v>229</v>
      </c>
      <c r="B149" s="1" t="s">
        <v>57</v>
      </c>
      <c r="C149" s="13">
        <v>44620</v>
      </c>
      <c r="D149" s="13">
        <v>44620</v>
      </c>
      <c r="E149" s="13">
        <v>44620</v>
      </c>
      <c r="F149" s="13">
        <v>44622</v>
      </c>
      <c r="G149" s="14" t="str">
        <f t="shared" si="57"/>
        <v>000-148/AIB RDC/2022</v>
      </c>
      <c r="H149" s="1">
        <v>0</v>
      </c>
      <c r="I149" s="1" t="s">
        <v>74</v>
      </c>
      <c r="J149" s="1" t="s">
        <v>360</v>
      </c>
      <c r="K149" s="16" t="s">
        <v>211</v>
      </c>
      <c r="L149" s="16"/>
      <c r="M149" s="16" t="s">
        <v>105</v>
      </c>
      <c r="N149" s="16" t="s">
        <v>106</v>
      </c>
      <c r="O149" s="16" t="s">
        <v>64</v>
      </c>
      <c r="P149" s="16" t="s">
        <v>65</v>
      </c>
      <c r="Q149" s="16" t="s">
        <v>130</v>
      </c>
      <c r="R149" s="16" t="s">
        <v>130</v>
      </c>
      <c r="S149" s="17">
        <v>939.48</v>
      </c>
      <c r="T149" s="17">
        <v>259.60000000000002</v>
      </c>
      <c r="U149" s="17"/>
      <c r="V149" s="17"/>
      <c r="W149" s="17"/>
      <c r="X149" s="17">
        <v>200</v>
      </c>
      <c r="Y149" s="17"/>
      <c r="Z149" s="18">
        <f t="shared" si="58"/>
        <v>0.27632307233788905</v>
      </c>
      <c r="AA149" s="19">
        <v>0.15</v>
      </c>
      <c r="AB149" s="17">
        <f t="shared" si="56"/>
        <v>30</v>
      </c>
      <c r="AC149" s="17">
        <v>0</v>
      </c>
      <c r="AD149" s="17">
        <v>0</v>
      </c>
      <c r="AE149" s="17">
        <f t="shared" si="59"/>
        <v>30</v>
      </c>
      <c r="AF149" s="17">
        <f t="shared" si="55"/>
        <v>4.8</v>
      </c>
      <c r="AG149" s="17">
        <f t="shared" si="60"/>
        <v>34.799999999999997</v>
      </c>
      <c r="AH149" s="17">
        <f t="shared" si="52"/>
        <v>0.6</v>
      </c>
      <c r="AI149" s="17">
        <v>0</v>
      </c>
      <c r="AJ149" s="17">
        <f t="shared" si="61"/>
        <v>0.6</v>
      </c>
      <c r="AK149" s="20" t="s">
        <v>142</v>
      </c>
      <c r="AL149" s="17">
        <f t="shared" si="62"/>
        <v>29.4</v>
      </c>
      <c r="AM149" s="17" t="s">
        <v>108</v>
      </c>
      <c r="AN149" s="21">
        <v>0.4</v>
      </c>
      <c r="AO149" s="17">
        <f t="shared" si="63"/>
        <v>11.76</v>
      </c>
      <c r="AP149" s="17">
        <v>11.76</v>
      </c>
      <c r="AQ149" s="16">
        <v>44834</v>
      </c>
      <c r="AR149" s="17">
        <f t="shared" si="54"/>
        <v>0</v>
      </c>
      <c r="AS149" s="17" t="s">
        <v>109</v>
      </c>
      <c r="AT149" s="17">
        <v>34.799999999999997</v>
      </c>
      <c r="AU149" s="17">
        <f t="shared" si="64"/>
        <v>34.799999999999997</v>
      </c>
      <c r="AV149" s="17">
        <f t="shared" si="65"/>
        <v>0</v>
      </c>
      <c r="AW149" s="17" t="str">
        <f t="shared" si="50"/>
        <v>SFA</v>
      </c>
      <c r="AX149" s="22">
        <v>44649</v>
      </c>
      <c r="AY149" s="22"/>
      <c r="AZ149" s="1" t="s">
        <v>110</v>
      </c>
      <c r="BA149" s="22" t="str">
        <f t="shared" si="66"/>
        <v>MARINE CARGO / GIT</v>
      </c>
      <c r="BB149" s="22"/>
      <c r="BC149" s="22"/>
      <c r="BD149" s="22"/>
    </row>
    <row r="150" spans="1:56" ht="14.25" customHeight="1" x14ac:dyDescent="0.2">
      <c r="A150" s="12" t="s">
        <v>229</v>
      </c>
      <c r="B150" s="1" t="s">
        <v>57</v>
      </c>
      <c r="C150" s="13">
        <v>44620</v>
      </c>
      <c r="D150" s="13">
        <v>44620</v>
      </c>
      <c r="E150" s="13">
        <v>44620</v>
      </c>
      <c r="F150" s="13">
        <v>44622</v>
      </c>
      <c r="G150" s="14" t="str">
        <f t="shared" si="57"/>
        <v>000-149/AIB RDC/2022</v>
      </c>
      <c r="H150" s="1">
        <v>0</v>
      </c>
      <c r="I150" s="1" t="s">
        <v>74</v>
      </c>
      <c r="J150" s="1" t="s">
        <v>361</v>
      </c>
      <c r="K150" s="16" t="s">
        <v>352</v>
      </c>
      <c r="L150" s="16"/>
      <c r="M150" s="16" t="s">
        <v>105</v>
      </c>
      <c r="N150" s="16" t="s">
        <v>106</v>
      </c>
      <c r="O150" s="16" t="s">
        <v>64</v>
      </c>
      <c r="P150" s="16" t="s">
        <v>65</v>
      </c>
      <c r="Q150" s="16" t="s">
        <v>130</v>
      </c>
      <c r="R150" s="16" t="s">
        <v>130</v>
      </c>
      <c r="S150" s="17">
        <v>151.05000000000001</v>
      </c>
      <c r="T150" s="17">
        <v>200.6</v>
      </c>
      <c r="U150" s="17">
        <v>0</v>
      </c>
      <c r="V150" s="17"/>
      <c r="W150" s="17"/>
      <c r="X150" s="17">
        <v>150</v>
      </c>
      <c r="Y150" s="17"/>
      <c r="Z150" s="18">
        <f t="shared" si="58"/>
        <v>1.328037073816617</v>
      </c>
      <c r="AA150" s="19">
        <v>0.15</v>
      </c>
      <c r="AB150" s="17">
        <f t="shared" si="56"/>
        <v>22.5</v>
      </c>
      <c r="AC150" s="17">
        <v>0</v>
      </c>
      <c r="AD150" s="17">
        <v>0</v>
      </c>
      <c r="AE150" s="17">
        <f t="shared" si="59"/>
        <v>22.5</v>
      </c>
      <c r="AF150" s="17">
        <f t="shared" si="55"/>
        <v>3.6</v>
      </c>
      <c r="AG150" s="17">
        <f t="shared" si="60"/>
        <v>26.1</v>
      </c>
      <c r="AH150" s="17">
        <f t="shared" si="52"/>
        <v>0.45</v>
      </c>
      <c r="AI150" s="17">
        <v>0</v>
      </c>
      <c r="AJ150" s="17">
        <f t="shared" si="61"/>
        <v>0.45</v>
      </c>
      <c r="AK150" s="20" t="s">
        <v>142</v>
      </c>
      <c r="AL150" s="17">
        <f t="shared" si="62"/>
        <v>22.05</v>
      </c>
      <c r="AM150" s="17" t="s">
        <v>108</v>
      </c>
      <c r="AN150" s="21">
        <v>0.4</v>
      </c>
      <c r="AO150" s="17">
        <f t="shared" si="63"/>
        <v>8.82</v>
      </c>
      <c r="AP150" s="17">
        <v>8.82</v>
      </c>
      <c r="AQ150" s="16">
        <v>44834</v>
      </c>
      <c r="AR150" s="17">
        <f t="shared" si="54"/>
        <v>0</v>
      </c>
      <c r="AS150" s="17" t="s">
        <v>109</v>
      </c>
      <c r="AT150" s="17">
        <v>26.1</v>
      </c>
      <c r="AU150" s="17">
        <f t="shared" si="64"/>
        <v>26.1</v>
      </c>
      <c r="AV150" s="17">
        <f t="shared" si="65"/>
        <v>0</v>
      </c>
      <c r="AW150" s="17" t="str">
        <f t="shared" si="50"/>
        <v>SFA</v>
      </c>
      <c r="AX150" s="22">
        <v>44649</v>
      </c>
      <c r="AY150" s="22"/>
      <c r="AZ150" s="1" t="s">
        <v>110</v>
      </c>
      <c r="BA150" s="22" t="str">
        <f t="shared" si="66"/>
        <v>MARINE CARGO / GIT</v>
      </c>
      <c r="BB150" s="22"/>
      <c r="BC150" s="22"/>
      <c r="BD150" s="22"/>
    </row>
    <row r="151" spans="1:56" ht="14.25" customHeight="1" x14ac:dyDescent="0.2">
      <c r="A151" s="12" t="s">
        <v>229</v>
      </c>
      <c r="B151" s="1" t="s">
        <v>57</v>
      </c>
      <c r="C151" s="13">
        <v>44620</v>
      </c>
      <c r="D151" s="13">
        <v>44620</v>
      </c>
      <c r="E151" s="13">
        <v>44620</v>
      </c>
      <c r="F151" s="13">
        <v>44622</v>
      </c>
      <c r="G151" s="14" t="str">
        <f t="shared" si="57"/>
        <v>000-150/AIB RDC/2022</v>
      </c>
      <c r="H151" s="1">
        <v>0</v>
      </c>
      <c r="I151" s="1" t="s">
        <v>74</v>
      </c>
      <c r="J151" s="1" t="s">
        <v>362</v>
      </c>
      <c r="K151" s="16" t="s">
        <v>352</v>
      </c>
      <c r="L151" s="16"/>
      <c r="M151" s="16" t="s">
        <v>105</v>
      </c>
      <c r="N151" s="16" t="s">
        <v>106</v>
      </c>
      <c r="O151" s="16" t="s">
        <v>64</v>
      </c>
      <c r="P151" s="16" t="s">
        <v>65</v>
      </c>
      <c r="Q151" s="16" t="s">
        <v>130</v>
      </c>
      <c r="R151" s="16" t="s">
        <v>130</v>
      </c>
      <c r="S151" s="17">
        <v>8160.8</v>
      </c>
      <c r="T151" s="17">
        <v>259.60000000000002</v>
      </c>
      <c r="U151" s="17">
        <v>0</v>
      </c>
      <c r="V151" s="17"/>
      <c r="W151" s="17"/>
      <c r="X151" s="17">
        <v>200</v>
      </c>
      <c r="Y151" s="17"/>
      <c r="Z151" s="18">
        <f t="shared" si="58"/>
        <v>3.1810606803254586E-2</v>
      </c>
      <c r="AA151" s="19">
        <v>0.15</v>
      </c>
      <c r="AB151" s="17">
        <f t="shared" si="56"/>
        <v>30</v>
      </c>
      <c r="AC151" s="17">
        <v>0</v>
      </c>
      <c r="AD151" s="17">
        <v>0</v>
      </c>
      <c r="AE151" s="17">
        <f t="shared" si="59"/>
        <v>30</v>
      </c>
      <c r="AF151" s="17">
        <f t="shared" si="55"/>
        <v>4.8</v>
      </c>
      <c r="AG151" s="17">
        <f t="shared" si="60"/>
        <v>34.799999999999997</v>
      </c>
      <c r="AH151" s="17">
        <f t="shared" si="52"/>
        <v>0.6</v>
      </c>
      <c r="AI151" s="17">
        <v>0</v>
      </c>
      <c r="AJ151" s="17">
        <f t="shared" si="61"/>
        <v>0.6</v>
      </c>
      <c r="AK151" s="20" t="s">
        <v>142</v>
      </c>
      <c r="AL151" s="17">
        <f t="shared" si="62"/>
        <v>29.4</v>
      </c>
      <c r="AM151" s="17" t="s">
        <v>108</v>
      </c>
      <c r="AN151" s="21">
        <v>0.4</v>
      </c>
      <c r="AO151" s="17">
        <f t="shared" si="63"/>
        <v>11.76</v>
      </c>
      <c r="AP151" s="17">
        <v>11.76</v>
      </c>
      <c r="AQ151" s="16">
        <v>44834</v>
      </c>
      <c r="AR151" s="17">
        <f t="shared" si="54"/>
        <v>0</v>
      </c>
      <c r="AS151" s="17" t="s">
        <v>109</v>
      </c>
      <c r="AT151" s="17">
        <v>34.799999999999997</v>
      </c>
      <c r="AU151" s="17">
        <f t="shared" si="64"/>
        <v>34.799999999999997</v>
      </c>
      <c r="AV151" s="17">
        <f t="shared" si="65"/>
        <v>0</v>
      </c>
      <c r="AW151" s="17" t="str">
        <f t="shared" si="50"/>
        <v>SFA</v>
      </c>
      <c r="AX151" s="22">
        <v>44649</v>
      </c>
      <c r="AY151" s="22"/>
      <c r="AZ151" s="1" t="s">
        <v>110</v>
      </c>
      <c r="BA151" s="22" t="str">
        <f t="shared" si="66"/>
        <v>MARINE CARGO / GIT</v>
      </c>
      <c r="BB151" s="22"/>
      <c r="BC151" s="22"/>
      <c r="BD151" s="22"/>
    </row>
    <row r="152" spans="1:56" ht="14.25" customHeight="1" x14ac:dyDescent="0.2">
      <c r="A152" s="12" t="s">
        <v>229</v>
      </c>
      <c r="B152" s="1" t="s">
        <v>57</v>
      </c>
      <c r="C152" s="13">
        <v>44620</v>
      </c>
      <c r="D152" s="13">
        <v>44620</v>
      </c>
      <c r="E152" s="13">
        <v>44620</v>
      </c>
      <c r="F152" s="13">
        <v>44679</v>
      </c>
      <c r="G152" s="14" t="str">
        <f t="shared" si="57"/>
        <v>000-151/AIB RDC/2022</v>
      </c>
      <c r="H152" s="1">
        <v>0</v>
      </c>
      <c r="I152" s="1" t="s">
        <v>74</v>
      </c>
      <c r="J152" s="1" t="s">
        <v>363</v>
      </c>
      <c r="K152" s="16" t="s">
        <v>342</v>
      </c>
      <c r="L152" s="16"/>
      <c r="M152" s="16" t="s">
        <v>105</v>
      </c>
      <c r="N152" s="16" t="s">
        <v>209</v>
      </c>
      <c r="O152" s="16" t="s">
        <v>64</v>
      </c>
      <c r="P152" s="16" t="s">
        <v>65</v>
      </c>
      <c r="Q152" s="16" t="s">
        <v>130</v>
      </c>
      <c r="R152" s="16" t="s">
        <v>130</v>
      </c>
      <c r="S152" s="17">
        <v>70800</v>
      </c>
      <c r="T152" s="17">
        <v>318.60000000000002</v>
      </c>
      <c r="U152" s="17">
        <v>0</v>
      </c>
      <c r="V152" s="17"/>
      <c r="W152" s="17"/>
      <c r="X152" s="17">
        <v>250</v>
      </c>
      <c r="Y152" s="17"/>
      <c r="Z152" s="18">
        <f t="shared" si="58"/>
        <v>4.5000000000000005E-3</v>
      </c>
      <c r="AA152" s="19">
        <v>0.15</v>
      </c>
      <c r="AB152" s="17">
        <f t="shared" si="56"/>
        <v>37.5</v>
      </c>
      <c r="AC152" s="17">
        <v>0</v>
      </c>
      <c r="AD152" s="17">
        <v>0</v>
      </c>
      <c r="AE152" s="17">
        <f t="shared" si="59"/>
        <v>37.5</v>
      </c>
      <c r="AF152" s="17">
        <f t="shared" si="55"/>
        <v>6</v>
      </c>
      <c r="AG152" s="17">
        <f t="shared" si="60"/>
        <v>43.5</v>
      </c>
      <c r="AH152" s="17">
        <f t="shared" si="52"/>
        <v>0.75</v>
      </c>
      <c r="AI152" s="17">
        <v>0</v>
      </c>
      <c r="AJ152" s="17">
        <f t="shared" si="61"/>
        <v>0.75</v>
      </c>
      <c r="AK152" s="20" t="s">
        <v>142</v>
      </c>
      <c r="AL152" s="17">
        <f t="shared" si="62"/>
        <v>36.75</v>
      </c>
      <c r="AM152" s="17" t="s">
        <v>108</v>
      </c>
      <c r="AN152" s="21">
        <v>0.4</v>
      </c>
      <c r="AO152" s="17">
        <f t="shared" si="63"/>
        <v>14.700000000000001</v>
      </c>
      <c r="AP152" s="17">
        <v>14.700000000000001</v>
      </c>
      <c r="AQ152" s="16">
        <v>44834</v>
      </c>
      <c r="AR152" s="17">
        <f t="shared" si="54"/>
        <v>0</v>
      </c>
      <c r="AS152" s="17" t="s">
        <v>109</v>
      </c>
      <c r="AT152" s="17">
        <v>43.5</v>
      </c>
      <c r="AU152" s="17">
        <f t="shared" si="64"/>
        <v>43.5</v>
      </c>
      <c r="AV152" s="17">
        <f t="shared" si="65"/>
        <v>0</v>
      </c>
      <c r="AW152" s="17" t="str">
        <f t="shared" si="50"/>
        <v>SFA</v>
      </c>
      <c r="AX152" s="22">
        <v>44649</v>
      </c>
      <c r="AY152" s="22"/>
      <c r="AZ152" s="1" t="s">
        <v>110</v>
      </c>
      <c r="BA152" s="22" t="str">
        <f t="shared" si="66"/>
        <v>MARINE CARGO / GIT</v>
      </c>
      <c r="BB152" s="22"/>
      <c r="BC152" s="22"/>
      <c r="BD152" s="32" t="s">
        <v>359</v>
      </c>
    </row>
    <row r="153" spans="1:56" ht="14.25" customHeight="1" x14ac:dyDescent="0.2">
      <c r="A153" s="1" t="s">
        <v>229</v>
      </c>
      <c r="B153" s="1" t="s">
        <v>57</v>
      </c>
      <c r="C153" s="13">
        <v>44597</v>
      </c>
      <c r="D153" s="13">
        <v>44644</v>
      </c>
      <c r="E153" s="13">
        <v>44597</v>
      </c>
      <c r="F153" s="13">
        <v>44681</v>
      </c>
      <c r="G153" s="14" t="str">
        <f t="shared" si="57"/>
        <v>000-152/AIB RDC/2022</v>
      </c>
      <c r="H153" s="1">
        <v>2</v>
      </c>
      <c r="I153" s="1" t="s">
        <v>217</v>
      </c>
      <c r="J153" s="1" t="s">
        <v>364</v>
      </c>
      <c r="K153" s="1" t="s">
        <v>365</v>
      </c>
      <c r="L153" s="1" t="s">
        <v>366</v>
      </c>
      <c r="M153" s="1" t="s">
        <v>84</v>
      </c>
      <c r="N153" s="1" t="s">
        <v>84</v>
      </c>
      <c r="O153" s="1" t="s">
        <v>281</v>
      </c>
      <c r="P153" s="1" t="s">
        <v>166</v>
      </c>
      <c r="Q153" s="1" t="s">
        <v>130</v>
      </c>
      <c r="R153" s="1" t="s">
        <v>130</v>
      </c>
      <c r="S153" s="17"/>
      <c r="T153" s="17">
        <v>4531.42</v>
      </c>
      <c r="U153" s="17">
        <v>0</v>
      </c>
      <c r="V153" s="17"/>
      <c r="W153" s="17">
        <v>29.05</v>
      </c>
      <c r="X153" s="17">
        <v>3811.14</v>
      </c>
      <c r="Y153" s="17">
        <v>614.42999999999995</v>
      </c>
      <c r="Z153" s="18" t="e">
        <f t="shared" si="58"/>
        <v>#DIV/0!</v>
      </c>
      <c r="AA153" s="19">
        <v>0.15</v>
      </c>
      <c r="AB153" s="17">
        <f t="shared" si="56"/>
        <v>571.67099999999994</v>
      </c>
      <c r="AC153" s="17">
        <v>0</v>
      </c>
      <c r="AD153" s="17">
        <v>0</v>
      </c>
      <c r="AE153" s="17">
        <f t="shared" si="59"/>
        <v>571.67099999999994</v>
      </c>
      <c r="AF153" s="17">
        <f t="shared" si="55"/>
        <v>91.467359999999985</v>
      </c>
      <c r="AG153" s="17">
        <f t="shared" si="60"/>
        <v>663.13835999999992</v>
      </c>
      <c r="AH153" s="17">
        <f t="shared" si="52"/>
        <v>11.433419999999998</v>
      </c>
      <c r="AI153" s="17">
        <v>0</v>
      </c>
      <c r="AJ153" s="17">
        <f t="shared" si="61"/>
        <v>11.433419999999998</v>
      </c>
      <c r="AK153" s="20"/>
      <c r="AL153" s="17">
        <f t="shared" si="62"/>
        <v>560.23757999999998</v>
      </c>
      <c r="AM153" s="17"/>
      <c r="AN153" s="21"/>
      <c r="AO153" s="17">
        <f t="shared" si="63"/>
        <v>0</v>
      </c>
      <c r="AP153" s="17"/>
      <c r="AQ153" s="16"/>
      <c r="AR153" s="17">
        <f t="shared" si="54"/>
        <v>0</v>
      </c>
      <c r="AS153" s="17"/>
      <c r="AT153" s="17">
        <v>663.13835999999992</v>
      </c>
      <c r="AU153" s="17">
        <f t="shared" si="64"/>
        <v>663.13835999999992</v>
      </c>
      <c r="AV153" s="17">
        <f t="shared" si="65"/>
        <v>0</v>
      </c>
      <c r="AW153" s="17" t="str">
        <f t="shared" ref="AW153:AW216" si="67">Q153</f>
        <v>SFA</v>
      </c>
      <c r="AX153" s="22">
        <v>44676</v>
      </c>
      <c r="AY153" s="22"/>
      <c r="AZ153" s="1" t="s">
        <v>367</v>
      </c>
      <c r="BA153" s="22" t="str">
        <f t="shared" si="66"/>
        <v>TRC</v>
      </c>
      <c r="BB153" s="22"/>
      <c r="BC153" s="1" t="s">
        <v>130</v>
      </c>
      <c r="BD153" s="32" t="s">
        <v>368</v>
      </c>
    </row>
    <row r="154" spans="1:56" ht="14.25" customHeight="1" x14ac:dyDescent="0.2">
      <c r="A154" s="1" t="s">
        <v>369</v>
      </c>
      <c r="B154" s="1" t="s">
        <v>57</v>
      </c>
      <c r="C154" s="13">
        <v>44616</v>
      </c>
      <c r="D154" s="13">
        <v>44658</v>
      </c>
      <c r="E154" s="13">
        <v>44658</v>
      </c>
      <c r="F154" s="13">
        <v>44673</v>
      </c>
      <c r="G154" s="14" t="str">
        <f t="shared" si="57"/>
        <v>000-153/AIB RDC/2022</v>
      </c>
      <c r="H154" s="1">
        <v>7</v>
      </c>
      <c r="I154" s="1" t="s">
        <v>91</v>
      </c>
      <c r="J154" s="44" t="s">
        <v>344</v>
      </c>
      <c r="K154" s="1" t="s">
        <v>345</v>
      </c>
      <c r="L154" s="1" t="s">
        <v>137</v>
      </c>
      <c r="M154" s="1" t="s">
        <v>84</v>
      </c>
      <c r="N154" s="1" t="s">
        <v>84</v>
      </c>
      <c r="O154" s="1" t="s">
        <v>73</v>
      </c>
      <c r="P154" s="1" t="s">
        <v>73</v>
      </c>
      <c r="Q154" s="1" t="s">
        <v>130</v>
      </c>
      <c r="R154" s="1" t="s">
        <v>130</v>
      </c>
      <c r="S154" s="17">
        <v>0</v>
      </c>
      <c r="T154" s="17">
        <v>115.37</v>
      </c>
      <c r="U154" s="17">
        <v>0</v>
      </c>
      <c r="V154" s="17"/>
      <c r="W154" s="17">
        <v>1.44</v>
      </c>
      <c r="X154" s="17">
        <v>96.34</v>
      </c>
      <c r="Y154" s="17">
        <v>15.64</v>
      </c>
      <c r="Z154" s="18" t="e">
        <f t="shared" si="58"/>
        <v>#DIV/0!</v>
      </c>
      <c r="AA154" s="19">
        <v>0.1</v>
      </c>
      <c r="AB154" s="17">
        <f t="shared" si="56"/>
        <v>9.6340000000000003</v>
      </c>
      <c r="AC154" s="17">
        <v>0</v>
      </c>
      <c r="AD154" s="17">
        <v>0</v>
      </c>
      <c r="AE154" s="17">
        <f t="shared" si="59"/>
        <v>9.6340000000000003</v>
      </c>
      <c r="AF154" s="17">
        <f t="shared" si="55"/>
        <v>1.5414400000000001</v>
      </c>
      <c r="AG154" s="17">
        <f t="shared" si="60"/>
        <v>11.17544</v>
      </c>
      <c r="AH154" s="17">
        <f t="shared" si="52"/>
        <v>0.19268000000000002</v>
      </c>
      <c r="AI154" s="17">
        <v>0</v>
      </c>
      <c r="AJ154" s="17">
        <f t="shared" si="61"/>
        <v>0.19268000000000002</v>
      </c>
      <c r="AK154" s="20"/>
      <c r="AL154" s="17">
        <f t="shared" si="62"/>
        <v>9.441320000000001</v>
      </c>
      <c r="AM154" s="17"/>
      <c r="AN154" s="21"/>
      <c r="AO154" s="17">
        <f t="shared" si="63"/>
        <v>0</v>
      </c>
      <c r="AP154" s="17"/>
      <c r="AQ154" s="16"/>
      <c r="AR154" s="17">
        <f t="shared" si="54"/>
        <v>0</v>
      </c>
      <c r="AS154" s="17"/>
      <c r="AT154" s="17">
        <v>11.17544</v>
      </c>
      <c r="AU154" s="17">
        <f t="shared" si="64"/>
        <v>11.17544</v>
      </c>
      <c r="AV154" s="17">
        <f t="shared" si="65"/>
        <v>0</v>
      </c>
      <c r="AW154" s="17" t="str">
        <f t="shared" si="67"/>
        <v>SFA</v>
      </c>
      <c r="AX154" s="22">
        <v>44735</v>
      </c>
      <c r="AY154" s="22"/>
      <c r="AZ154" s="1" t="s">
        <v>68</v>
      </c>
      <c r="BA154" s="22" t="str">
        <f t="shared" si="66"/>
        <v>MOTOR TPL</v>
      </c>
      <c r="BB154" s="22"/>
      <c r="BC154" s="1" t="s">
        <v>107</v>
      </c>
      <c r="BD154" s="32" t="s">
        <v>368</v>
      </c>
    </row>
    <row r="155" spans="1:56" ht="14.25" customHeight="1" x14ac:dyDescent="0.2">
      <c r="A155" s="1" t="s">
        <v>229</v>
      </c>
      <c r="B155" s="1" t="s">
        <v>57</v>
      </c>
      <c r="C155" s="13">
        <v>44596</v>
      </c>
      <c r="D155" s="13">
        <v>44655</v>
      </c>
      <c r="E155" s="13">
        <v>44596</v>
      </c>
      <c r="F155" s="13">
        <v>44902</v>
      </c>
      <c r="G155" s="14" t="str">
        <f t="shared" si="57"/>
        <v>000-154/AIB RDC/2022</v>
      </c>
      <c r="H155" s="1">
        <v>2</v>
      </c>
      <c r="I155" s="1" t="s">
        <v>115</v>
      </c>
      <c r="J155" s="1" t="s">
        <v>370</v>
      </c>
      <c r="K155" s="1" t="s">
        <v>371</v>
      </c>
      <c r="L155" s="1"/>
      <c r="M155" s="1" t="s">
        <v>95</v>
      </c>
      <c r="N155" s="1" t="s">
        <v>102</v>
      </c>
      <c r="O155" s="1" t="s">
        <v>192</v>
      </c>
      <c r="P155" s="1" t="s">
        <v>98</v>
      </c>
      <c r="Q155" s="1" t="s">
        <v>66</v>
      </c>
      <c r="R155" s="1" t="s">
        <v>66</v>
      </c>
      <c r="S155" s="17">
        <v>0</v>
      </c>
      <c r="T155" s="17">
        <v>-206.84</v>
      </c>
      <c r="U155" s="17">
        <v>0</v>
      </c>
      <c r="V155" s="17">
        <v>0</v>
      </c>
      <c r="W155" s="17">
        <v>0</v>
      </c>
      <c r="X155" s="17">
        <v>-178.32</v>
      </c>
      <c r="Y155" s="17">
        <v>-28.52</v>
      </c>
      <c r="Z155" s="18" t="e">
        <f t="shared" si="58"/>
        <v>#DIV/0!</v>
      </c>
      <c r="AA155" s="19">
        <v>0.1</v>
      </c>
      <c r="AB155" s="17">
        <f t="shared" si="56"/>
        <v>-17.832000000000001</v>
      </c>
      <c r="AC155" s="17">
        <v>0</v>
      </c>
      <c r="AD155" s="17">
        <v>0</v>
      </c>
      <c r="AE155" s="17">
        <f t="shared" si="59"/>
        <v>-17.832000000000001</v>
      </c>
      <c r="AF155" s="17">
        <f t="shared" si="55"/>
        <v>-2.8531200000000001</v>
      </c>
      <c r="AG155" s="17">
        <f t="shared" si="60"/>
        <v>-20.685120000000001</v>
      </c>
      <c r="AH155" s="17">
        <f t="shared" si="52"/>
        <v>-0.35664000000000001</v>
      </c>
      <c r="AI155" s="17">
        <v>0</v>
      </c>
      <c r="AJ155" s="17">
        <f t="shared" si="61"/>
        <v>-0.35664000000000001</v>
      </c>
      <c r="AK155" s="20"/>
      <c r="AL155" s="17">
        <f t="shared" si="62"/>
        <v>-17.475360000000002</v>
      </c>
      <c r="AM155" s="17" t="s">
        <v>87</v>
      </c>
      <c r="AN155" s="21">
        <v>0.35</v>
      </c>
      <c r="AO155" s="17">
        <f t="shared" si="63"/>
        <v>-6.1163760000000007</v>
      </c>
      <c r="AP155" s="17"/>
      <c r="AQ155" s="16"/>
      <c r="AR155" s="17">
        <f t="shared" si="54"/>
        <v>-6.1163760000000007</v>
      </c>
      <c r="AS155" s="17"/>
      <c r="AT155" s="17">
        <v>-20.685120000000001</v>
      </c>
      <c r="AU155" s="17">
        <f t="shared" si="64"/>
        <v>-20.685120000000001</v>
      </c>
      <c r="AV155" s="17">
        <f t="shared" si="65"/>
        <v>0</v>
      </c>
      <c r="AW155" s="17" t="str">
        <f t="shared" si="67"/>
        <v>ACTIVA</v>
      </c>
      <c r="AX155" s="22">
        <v>44701</v>
      </c>
      <c r="AY155" s="22"/>
      <c r="AZ155" s="1" t="s">
        <v>68</v>
      </c>
      <c r="BA155" s="22" t="str">
        <f t="shared" si="66"/>
        <v>GPA</v>
      </c>
      <c r="BB155" s="22"/>
      <c r="BC155" s="22"/>
      <c r="BD155" s="32" t="s">
        <v>368</v>
      </c>
    </row>
    <row r="156" spans="1:56" ht="14.25" customHeight="1" x14ac:dyDescent="0.2">
      <c r="A156" s="1" t="s">
        <v>324</v>
      </c>
      <c r="B156" s="1" t="s">
        <v>57</v>
      </c>
      <c r="C156" s="13">
        <v>44621</v>
      </c>
      <c r="D156" s="13">
        <v>44622</v>
      </c>
      <c r="E156" s="13">
        <v>44622</v>
      </c>
      <c r="F156" s="13">
        <v>44652</v>
      </c>
      <c r="G156" s="14" t="str">
        <f t="shared" si="57"/>
        <v>000-155/AIB RDC/2022</v>
      </c>
      <c r="H156" s="1">
        <v>0</v>
      </c>
      <c r="I156" s="1" t="s">
        <v>74</v>
      </c>
      <c r="J156" s="1" t="s">
        <v>372</v>
      </c>
      <c r="K156" s="1" t="s">
        <v>117</v>
      </c>
      <c r="L156" s="1" t="s">
        <v>118</v>
      </c>
      <c r="M156" s="1" t="s">
        <v>105</v>
      </c>
      <c r="N156" s="1" t="s">
        <v>184</v>
      </c>
      <c r="O156" s="1" t="s">
        <v>64</v>
      </c>
      <c r="P156" s="1" t="s">
        <v>65</v>
      </c>
      <c r="Q156" s="1" t="s">
        <v>66</v>
      </c>
      <c r="R156" s="1" t="s">
        <v>66</v>
      </c>
      <c r="S156" s="17">
        <v>4797</v>
      </c>
      <c r="T156" s="17">
        <v>17.399999999999999</v>
      </c>
      <c r="U156" s="17">
        <v>0</v>
      </c>
      <c r="V156" s="17"/>
      <c r="W156" s="17">
        <v>5</v>
      </c>
      <c r="X156" s="17">
        <v>10</v>
      </c>
      <c r="Y156" s="17">
        <v>2.4</v>
      </c>
      <c r="Z156" s="18">
        <f t="shared" si="58"/>
        <v>3.6272670419011878E-3</v>
      </c>
      <c r="AA156" s="19">
        <v>0.15</v>
      </c>
      <c r="AB156" s="17">
        <f t="shared" si="56"/>
        <v>1.5</v>
      </c>
      <c r="AC156" s="17">
        <v>0</v>
      </c>
      <c r="AD156" s="17">
        <v>0</v>
      </c>
      <c r="AE156" s="17">
        <f t="shared" si="59"/>
        <v>1.5</v>
      </c>
      <c r="AF156" s="17">
        <f t="shared" si="55"/>
        <v>0.24</v>
      </c>
      <c r="AG156" s="17">
        <f t="shared" si="60"/>
        <v>1.74</v>
      </c>
      <c r="AH156" s="17">
        <f t="shared" si="52"/>
        <v>0.03</v>
      </c>
      <c r="AI156" s="17">
        <v>0</v>
      </c>
      <c r="AJ156" s="17">
        <f t="shared" si="61"/>
        <v>0.03</v>
      </c>
      <c r="AK156" s="20"/>
      <c r="AL156" s="17">
        <f t="shared" si="62"/>
        <v>1.47</v>
      </c>
      <c r="AM156" s="17"/>
      <c r="AN156" s="21"/>
      <c r="AO156" s="17">
        <f t="shared" si="63"/>
        <v>0</v>
      </c>
      <c r="AP156" s="17"/>
      <c r="AQ156" s="16"/>
      <c r="AR156" s="17">
        <f t="shared" si="54"/>
        <v>0</v>
      </c>
      <c r="AS156" s="17"/>
      <c r="AT156" s="17">
        <v>1.74</v>
      </c>
      <c r="AU156" s="17">
        <f t="shared" si="64"/>
        <v>1.74</v>
      </c>
      <c r="AV156" s="17">
        <f t="shared" si="65"/>
        <v>0</v>
      </c>
      <c r="AW156" s="17" t="str">
        <f t="shared" si="67"/>
        <v>ACTIVA</v>
      </c>
      <c r="AX156" s="22">
        <v>44699</v>
      </c>
      <c r="AY156" s="22"/>
      <c r="AZ156" s="1" t="s">
        <v>110</v>
      </c>
      <c r="BA156" s="22" t="str">
        <f t="shared" si="66"/>
        <v>MARINE CARGO / GIT</v>
      </c>
      <c r="BB156" s="22"/>
      <c r="BC156" s="22"/>
      <c r="BD156" s="22"/>
    </row>
    <row r="157" spans="1:56" ht="14.25" customHeight="1" x14ac:dyDescent="0.2">
      <c r="A157" s="12" t="s">
        <v>324</v>
      </c>
      <c r="B157" s="1" t="s">
        <v>57</v>
      </c>
      <c r="C157" s="13">
        <v>44621</v>
      </c>
      <c r="D157" s="13">
        <v>44629</v>
      </c>
      <c r="E157" s="13">
        <v>44621</v>
      </c>
      <c r="F157" s="13">
        <v>44773</v>
      </c>
      <c r="G157" s="14" t="str">
        <f t="shared" si="57"/>
        <v>000-156/AIB RDC/2022</v>
      </c>
      <c r="H157" s="1">
        <v>3</v>
      </c>
      <c r="I157" s="1" t="s">
        <v>58</v>
      </c>
      <c r="J157" s="16" t="s">
        <v>373</v>
      </c>
      <c r="K157" s="16" t="s">
        <v>374</v>
      </c>
      <c r="L157" s="16"/>
      <c r="M157" s="16" t="s">
        <v>84</v>
      </c>
      <c r="N157" s="16" t="s">
        <v>209</v>
      </c>
      <c r="O157" s="16" t="s">
        <v>70</v>
      </c>
      <c r="P157" s="16" t="s">
        <v>71</v>
      </c>
      <c r="Q157" s="16" t="s">
        <v>66</v>
      </c>
      <c r="R157" s="16" t="s">
        <v>66</v>
      </c>
      <c r="S157" s="17">
        <v>565500</v>
      </c>
      <c r="T157" s="17">
        <v>714.13</v>
      </c>
      <c r="U157" s="17">
        <v>0</v>
      </c>
      <c r="V157" s="17"/>
      <c r="W157" s="17">
        <v>10</v>
      </c>
      <c r="X157" s="17">
        <v>605.63</v>
      </c>
      <c r="Y157" s="17">
        <v>98.5</v>
      </c>
      <c r="Z157" s="18">
        <f t="shared" si="58"/>
        <v>1.2628293545534925E-3</v>
      </c>
      <c r="AA157" s="19">
        <v>0.1</v>
      </c>
      <c r="AB157" s="17">
        <f t="shared" si="56"/>
        <v>60.563000000000002</v>
      </c>
      <c r="AC157" s="17">
        <v>0</v>
      </c>
      <c r="AD157" s="17">
        <v>0</v>
      </c>
      <c r="AE157" s="17">
        <f t="shared" si="59"/>
        <v>60.563000000000002</v>
      </c>
      <c r="AF157" s="17">
        <f t="shared" si="55"/>
        <v>9.69008</v>
      </c>
      <c r="AG157" s="17">
        <f t="shared" si="60"/>
        <v>70.253079999999997</v>
      </c>
      <c r="AH157" s="17">
        <f t="shared" si="52"/>
        <v>1.21126</v>
      </c>
      <c r="AI157" s="17">
        <v>0</v>
      </c>
      <c r="AJ157" s="17">
        <f t="shared" si="61"/>
        <v>1.21126</v>
      </c>
      <c r="AK157" s="20"/>
      <c r="AL157" s="17">
        <f t="shared" si="62"/>
        <v>59.351739999999999</v>
      </c>
      <c r="AM157" s="17" t="s">
        <v>87</v>
      </c>
      <c r="AN157" s="21">
        <v>0.35</v>
      </c>
      <c r="AO157" s="17">
        <f t="shared" si="63"/>
        <v>20.773108999999998</v>
      </c>
      <c r="AP157" s="17"/>
      <c r="AQ157" s="16"/>
      <c r="AR157" s="17">
        <f t="shared" si="54"/>
        <v>20.773108999999998</v>
      </c>
      <c r="AS157" s="17"/>
      <c r="AT157" s="17">
        <v>70.253079999999997</v>
      </c>
      <c r="AU157" s="17">
        <f t="shared" si="64"/>
        <v>70.253079999999997</v>
      </c>
      <c r="AV157" s="17">
        <f t="shared" si="65"/>
        <v>0</v>
      </c>
      <c r="AW157" s="17" t="str">
        <f t="shared" si="67"/>
        <v>ACTIVA</v>
      </c>
      <c r="AX157" s="22">
        <v>44699</v>
      </c>
      <c r="AY157" s="22"/>
      <c r="AZ157" s="1" t="s">
        <v>367</v>
      </c>
      <c r="BA157" s="22" t="str">
        <f t="shared" si="66"/>
        <v>FIRE</v>
      </c>
      <c r="BB157" s="22"/>
      <c r="BC157" s="22"/>
      <c r="BD157" s="22"/>
    </row>
    <row r="158" spans="1:56" ht="14.25" customHeight="1" x14ac:dyDescent="0.2">
      <c r="A158" s="12" t="s">
        <v>324</v>
      </c>
      <c r="B158" s="1" t="s">
        <v>57</v>
      </c>
      <c r="C158" s="13">
        <v>44621</v>
      </c>
      <c r="D158" s="13">
        <v>44649</v>
      </c>
      <c r="E158" s="13">
        <v>44621</v>
      </c>
      <c r="F158" s="13">
        <v>44926</v>
      </c>
      <c r="G158" s="14" t="str">
        <f t="shared" si="57"/>
        <v>000-157/AIB RDC/2022</v>
      </c>
      <c r="H158" s="1">
        <v>2</v>
      </c>
      <c r="I158" s="1" t="s">
        <v>91</v>
      </c>
      <c r="J158" s="16" t="s">
        <v>375</v>
      </c>
      <c r="K158" s="16" t="s">
        <v>168</v>
      </c>
      <c r="L158" s="16" t="s">
        <v>169</v>
      </c>
      <c r="M158" s="16" t="s">
        <v>84</v>
      </c>
      <c r="N158" s="16" t="s">
        <v>209</v>
      </c>
      <c r="O158" s="16" t="s">
        <v>73</v>
      </c>
      <c r="P158" s="16" t="s">
        <v>73</v>
      </c>
      <c r="Q158" s="16" t="s">
        <v>86</v>
      </c>
      <c r="R158" s="16" t="s">
        <v>86</v>
      </c>
      <c r="S158" s="17">
        <v>0</v>
      </c>
      <c r="T158" s="17">
        <v>230.84</v>
      </c>
      <c r="U158" s="17">
        <v>0</v>
      </c>
      <c r="V158" s="17"/>
      <c r="W158" s="17">
        <v>0</v>
      </c>
      <c r="X158" s="17">
        <v>199</v>
      </c>
      <c r="Y158" s="17">
        <v>31.84</v>
      </c>
      <c r="Z158" s="18" t="e">
        <f t="shared" si="58"/>
        <v>#DIV/0!</v>
      </c>
      <c r="AA158" s="19">
        <v>0.1</v>
      </c>
      <c r="AB158" s="17">
        <f t="shared" si="56"/>
        <v>19.900000000000002</v>
      </c>
      <c r="AC158" s="17">
        <v>0</v>
      </c>
      <c r="AD158" s="17">
        <v>0</v>
      </c>
      <c r="AE158" s="17">
        <f t="shared" si="59"/>
        <v>19.900000000000002</v>
      </c>
      <c r="AF158" s="17">
        <f t="shared" si="55"/>
        <v>3.1840000000000006</v>
      </c>
      <c r="AG158" s="17">
        <f t="shared" si="60"/>
        <v>23.084000000000003</v>
      </c>
      <c r="AH158" s="17">
        <f t="shared" si="52"/>
        <v>0.39800000000000008</v>
      </c>
      <c r="AI158" s="17">
        <v>0</v>
      </c>
      <c r="AJ158" s="17">
        <f t="shared" si="61"/>
        <v>0.39800000000000008</v>
      </c>
      <c r="AK158" s="20"/>
      <c r="AL158" s="17">
        <f t="shared" si="62"/>
        <v>19.502000000000002</v>
      </c>
      <c r="AM158" s="17"/>
      <c r="AN158" s="21"/>
      <c r="AO158" s="17">
        <f t="shared" si="63"/>
        <v>0</v>
      </c>
      <c r="AP158" s="17"/>
      <c r="AQ158" s="16"/>
      <c r="AR158" s="17">
        <f t="shared" si="54"/>
        <v>0</v>
      </c>
      <c r="AS158" s="17"/>
      <c r="AT158" s="17">
        <v>23.084000000000003</v>
      </c>
      <c r="AU158" s="17">
        <f t="shared" si="64"/>
        <v>23.084000000000003</v>
      </c>
      <c r="AV158" s="17">
        <f t="shared" si="65"/>
        <v>0</v>
      </c>
      <c r="AW158" s="17" t="str">
        <f t="shared" si="67"/>
        <v>SUNU</v>
      </c>
      <c r="AX158" s="22">
        <v>44713</v>
      </c>
      <c r="AY158" s="22"/>
      <c r="AZ158" s="1" t="s">
        <v>68</v>
      </c>
      <c r="BA158" s="22" t="str">
        <f t="shared" si="66"/>
        <v>MOTOR TPL</v>
      </c>
      <c r="BB158" s="22"/>
      <c r="BC158" s="22"/>
      <c r="BD158" s="22"/>
    </row>
    <row r="159" spans="1:56" ht="14.25" customHeight="1" x14ac:dyDescent="0.2">
      <c r="A159" s="12" t="s">
        <v>324</v>
      </c>
      <c r="B159" s="1" t="s">
        <v>57</v>
      </c>
      <c r="C159" s="13">
        <v>44621</v>
      </c>
      <c r="D159" s="13">
        <v>44621</v>
      </c>
      <c r="E159" s="13">
        <v>44621</v>
      </c>
      <c r="F159" s="13">
        <v>44957</v>
      </c>
      <c r="G159" s="14" t="str">
        <f t="shared" si="57"/>
        <v>000-158/AIB RDC/2022</v>
      </c>
      <c r="H159" s="1">
        <v>0</v>
      </c>
      <c r="I159" s="1" t="s">
        <v>74</v>
      </c>
      <c r="J159" s="1" t="s">
        <v>376</v>
      </c>
      <c r="K159" s="16" t="s">
        <v>76</v>
      </c>
      <c r="L159" s="16"/>
      <c r="M159" s="16" t="s">
        <v>62</v>
      </c>
      <c r="N159" s="16" t="s">
        <v>209</v>
      </c>
      <c r="O159" s="16" t="s">
        <v>281</v>
      </c>
      <c r="P159" s="16" t="s">
        <v>166</v>
      </c>
      <c r="Q159" s="16" t="s">
        <v>79</v>
      </c>
      <c r="R159" s="16" t="s">
        <v>79</v>
      </c>
      <c r="S159" s="17">
        <v>16060000</v>
      </c>
      <c r="T159" s="17">
        <v>46254.84</v>
      </c>
      <c r="U159" s="17">
        <v>0</v>
      </c>
      <c r="V159" s="17">
        <v>0</v>
      </c>
      <c r="W159" s="17">
        <v>100</v>
      </c>
      <c r="X159" s="17">
        <v>39099.01</v>
      </c>
      <c r="Y159" s="17">
        <v>6271.84</v>
      </c>
      <c r="Z159" s="18">
        <f t="shared" si="58"/>
        <v>2.8801270236612701E-3</v>
      </c>
      <c r="AA159" s="19">
        <v>0.10584411216550001</v>
      </c>
      <c r="AB159" s="17">
        <f t="shared" si="56"/>
        <v>4138.4000000000069</v>
      </c>
      <c r="AC159" s="17">
        <v>0</v>
      </c>
      <c r="AD159" s="17">
        <v>0</v>
      </c>
      <c r="AE159" s="17">
        <f t="shared" si="59"/>
        <v>4138.4000000000069</v>
      </c>
      <c r="AF159" s="17">
        <f t="shared" si="55"/>
        <v>662.14400000000114</v>
      </c>
      <c r="AG159" s="17">
        <f t="shared" si="60"/>
        <v>4800.5440000000081</v>
      </c>
      <c r="AH159" s="17">
        <f t="shared" si="52"/>
        <v>82.768000000000143</v>
      </c>
      <c r="AI159" s="17">
        <v>0</v>
      </c>
      <c r="AJ159" s="17">
        <f t="shared" si="61"/>
        <v>82.768000000000143</v>
      </c>
      <c r="AK159" s="20"/>
      <c r="AL159" s="17">
        <f t="shared" si="62"/>
        <v>4055.6320000000069</v>
      </c>
      <c r="AM159" s="17" t="s">
        <v>80</v>
      </c>
      <c r="AN159" s="21">
        <v>0.3</v>
      </c>
      <c r="AO159" s="23">
        <f t="shared" si="63"/>
        <v>1216.689600000002</v>
      </c>
      <c r="AP159" s="17">
        <v>1216.689600000002</v>
      </c>
      <c r="AQ159" s="16">
        <v>45188</v>
      </c>
      <c r="AR159" s="17">
        <f t="shared" si="54"/>
        <v>0</v>
      </c>
      <c r="AS159" s="17"/>
      <c r="AT159" s="17">
        <v>4800.5440000000081</v>
      </c>
      <c r="AU159" s="17">
        <f t="shared" si="64"/>
        <v>4800.5440000000081</v>
      </c>
      <c r="AV159" s="17">
        <f t="shared" si="65"/>
        <v>0</v>
      </c>
      <c r="AW159" s="17" t="str">
        <f t="shared" si="67"/>
        <v>MAYFAIR</v>
      </c>
      <c r="AX159" s="22">
        <v>44699</v>
      </c>
      <c r="AY159" s="22"/>
      <c r="AZ159" s="1" t="s">
        <v>367</v>
      </c>
      <c r="BA159" s="22" t="str">
        <f t="shared" si="66"/>
        <v>TRC</v>
      </c>
      <c r="BB159" s="22"/>
      <c r="BC159" s="22"/>
      <c r="BD159" s="22"/>
    </row>
    <row r="160" spans="1:56" ht="14.25" customHeight="1" x14ac:dyDescent="0.2">
      <c r="A160" s="12" t="s">
        <v>324</v>
      </c>
      <c r="B160" s="1" t="s">
        <v>57</v>
      </c>
      <c r="C160" s="13">
        <v>44621</v>
      </c>
      <c r="D160" s="13">
        <v>44621</v>
      </c>
      <c r="E160" s="13">
        <v>44621</v>
      </c>
      <c r="F160" s="13">
        <v>44957</v>
      </c>
      <c r="G160" s="14" t="str">
        <f t="shared" si="57"/>
        <v>000-159/AIB RDC/2022</v>
      </c>
      <c r="H160" s="1">
        <v>0</v>
      </c>
      <c r="I160" s="1" t="s">
        <v>74</v>
      </c>
      <c r="J160" s="1" t="s">
        <v>377</v>
      </c>
      <c r="K160" s="16" t="s">
        <v>76</v>
      </c>
      <c r="L160" s="16"/>
      <c r="M160" s="16" t="s">
        <v>62</v>
      </c>
      <c r="N160" s="16" t="s">
        <v>209</v>
      </c>
      <c r="O160" s="16" t="s">
        <v>281</v>
      </c>
      <c r="P160" s="16" t="s">
        <v>166</v>
      </c>
      <c r="Q160" s="16" t="s">
        <v>79</v>
      </c>
      <c r="R160" s="16" t="s">
        <v>79</v>
      </c>
      <c r="S160" s="17">
        <v>16060000</v>
      </c>
      <c r="T160" s="17">
        <v>21142.74</v>
      </c>
      <c r="U160" s="17">
        <v>0</v>
      </c>
      <c r="V160" s="17">
        <v>0</v>
      </c>
      <c r="W160" s="17">
        <v>100</v>
      </c>
      <c r="X160" s="17">
        <v>17817.57</v>
      </c>
      <c r="Y160" s="17">
        <v>2866.81</v>
      </c>
      <c r="Z160" s="18">
        <f t="shared" si="58"/>
        <v>1.3164844333748444E-3</v>
      </c>
      <c r="AA160" s="19">
        <v>0.105844399657192</v>
      </c>
      <c r="AB160" s="17">
        <f t="shared" si="56"/>
        <v>1885.8899999999944</v>
      </c>
      <c r="AC160" s="17">
        <v>0</v>
      </c>
      <c r="AD160" s="17">
        <v>0</v>
      </c>
      <c r="AE160" s="17">
        <f t="shared" si="59"/>
        <v>1885.8899999999944</v>
      </c>
      <c r="AF160" s="17">
        <f t="shared" si="55"/>
        <v>301.74239999999912</v>
      </c>
      <c r="AG160" s="17">
        <f t="shared" si="60"/>
        <v>2187.6323999999936</v>
      </c>
      <c r="AH160" s="17">
        <f t="shared" si="52"/>
        <v>37.71779999999989</v>
      </c>
      <c r="AI160" s="17">
        <v>0</v>
      </c>
      <c r="AJ160" s="17">
        <f t="shared" si="61"/>
        <v>37.71779999999989</v>
      </c>
      <c r="AK160" s="20"/>
      <c r="AL160" s="17">
        <f t="shared" si="62"/>
        <v>1848.1721999999945</v>
      </c>
      <c r="AM160" s="17" t="s">
        <v>80</v>
      </c>
      <c r="AN160" s="21">
        <v>0.3</v>
      </c>
      <c r="AO160" s="23">
        <f t="shared" si="63"/>
        <v>554.45165999999836</v>
      </c>
      <c r="AP160" s="17">
        <v>554.45165999999836</v>
      </c>
      <c r="AQ160" s="16">
        <v>45188</v>
      </c>
      <c r="AR160" s="17">
        <f t="shared" si="54"/>
        <v>0</v>
      </c>
      <c r="AS160" s="17"/>
      <c r="AT160" s="17">
        <v>2187.6323999999936</v>
      </c>
      <c r="AU160" s="17">
        <f t="shared" si="64"/>
        <v>2187.6323999999936</v>
      </c>
      <c r="AV160" s="17">
        <f t="shared" si="65"/>
        <v>0</v>
      </c>
      <c r="AW160" s="17" t="str">
        <f t="shared" si="67"/>
        <v>MAYFAIR</v>
      </c>
      <c r="AX160" s="22">
        <v>44699</v>
      </c>
      <c r="AY160" s="22"/>
      <c r="AZ160" s="1" t="s">
        <v>367</v>
      </c>
      <c r="BA160" s="22" t="str">
        <f t="shared" si="66"/>
        <v>TRC</v>
      </c>
      <c r="BB160" s="22"/>
      <c r="BC160" s="22"/>
      <c r="BD160" s="22"/>
    </row>
    <row r="161" spans="1:56" ht="14.25" customHeight="1" x14ac:dyDescent="0.2">
      <c r="A161" s="12" t="s">
        <v>324</v>
      </c>
      <c r="B161" s="1" t="s">
        <v>57</v>
      </c>
      <c r="C161" s="13">
        <v>44621</v>
      </c>
      <c r="D161" s="13">
        <v>44623</v>
      </c>
      <c r="E161" s="13">
        <v>44621</v>
      </c>
      <c r="F161" s="13">
        <v>44985</v>
      </c>
      <c r="G161" s="14" t="str">
        <f t="shared" si="57"/>
        <v>000-160/AIB RDC/2022</v>
      </c>
      <c r="H161" s="1">
        <v>0</v>
      </c>
      <c r="I161" s="1" t="s">
        <v>74</v>
      </c>
      <c r="J161" s="1" t="s">
        <v>378</v>
      </c>
      <c r="K161" s="16" t="s">
        <v>379</v>
      </c>
      <c r="L161" s="16"/>
      <c r="M161" s="16" t="s">
        <v>105</v>
      </c>
      <c r="N161" s="16" t="s">
        <v>209</v>
      </c>
      <c r="O161" s="16" t="s">
        <v>70</v>
      </c>
      <c r="P161" s="16" t="s">
        <v>71</v>
      </c>
      <c r="Q161" s="16" t="s">
        <v>130</v>
      </c>
      <c r="R161" s="16" t="s">
        <v>130</v>
      </c>
      <c r="S161" s="17">
        <v>0</v>
      </c>
      <c r="T161" s="17">
        <v>4919.03</v>
      </c>
      <c r="U161" s="17">
        <v>0</v>
      </c>
      <c r="V161" s="17">
        <v>0</v>
      </c>
      <c r="W161" s="17">
        <v>30.69</v>
      </c>
      <c r="X161" s="17">
        <v>4137.9799999999996</v>
      </c>
      <c r="Y161" s="17">
        <v>666.99</v>
      </c>
      <c r="Z161" s="18" t="e">
        <f t="shared" si="58"/>
        <v>#DIV/0!</v>
      </c>
      <c r="AA161" s="19">
        <v>0.1</v>
      </c>
      <c r="AB161" s="17">
        <f t="shared" si="56"/>
        <v>413.798</v>
      </c>
      <c r="AC161" s="17">
        <v>0</v>
      </c>
      <c r="AD161" s="17">
        <v>0</v>
      </c>
      <c r="AE161" s="17">
        <f t="shared" si="59"/>
        <v>413.798</v>
      </c>
      <c r="AF161" s="17">
        <f t="shared" si="55"/>
        <v>66.207679999999996</v>
      </c>
      <c r="AG161" s="17">
        <f t="shared" si="60"/>
        <v>480.00567999999998</v>
      </c>
      <c r="AH161" s="17">
        <f t="shared" si="52"/>
        <v>8.2759599999999995</v>
      </c>
      <c r="AI161" s="17">
        <v>0</v>
      </c>
      <c r="AJ161" s="17">
        <f t="shared" si="61"/>
        <v>8.2759599999999995</v>
      </c>
      <c r="AK161" s="20"/>
      <c r="AL161" s="17">
        <f t="shared" si="62"/>
        <v>405.52204</v>
      </c>
      <c r="AM161" s="17"/>
      <c r="AN161" s="21"/>
      <c r="AO161" s="17">
        <f t="shared" si="63"/>
        <v>0</v>
      </c>
      <c r="AP161" s="17"/>
      <c r="AQ161" s="16"/>
      <c r="AR161" s="17">
        <f t="shared" si="54"/>
        <v>0</v>
      </c>
      <c r="AS161" s="17"/>
      <c r="AT161" s="17">
        <v>480.00567999999998</v>
      </c>
      <c r="AU161" s="17">
        <f t="shared" si="64"/>
        <v>480.00567999999998</v>
      </c>
      <c r="AV161" s="17">
        <f t="shared" si="65"/>
        <v>0</v>
      </c>
      <c r="AW161" s="17" t="str">
        <f t="shared" si="67"/>
        <v>SFA</v>
      </c>
      <c r="AX161" s="22">
        <v>44676</v>
      </c>
      <c r="AY161" s="22"/>
      <c r="AZ161" s="1" t="s">
        <v>68</v>
      </c>
      <c r="BA161" s="22" t="str">
        <f t="shared" si="66"/>
        <v>FIRE</v>
      </c>
      <c r="BB161" s="22"/>
      <c r="BC161" s="22"/>
      <c r="BD161" s="22"/>
    </row>
    <row r="162" spans="1:56" ht="14.25" customHeight="1" x14ac:dyDescent="0.2">
      <c r="A162" s="12" t="s">
        <v>324</v>
      </c>
      <c r="B162" s="1" t="s">
        <v>57</v>
      </c>
      <c r="C162" s="13">
        <v>44621</v>
      </c>
      <c r="D162" s="13">
        <v>44623</v>
      </c>
      <c r="E162" s="13">
        <v>44621</v>
      </c>
      <c r="F162" s="13">
        <v>44985</v>
      </c>
      <c r="G162" s="14" t="str">
        <f t="shared" si="57"/>
        <v>000-161/AIB RDC/2022</v>
      </c>
      <c r="H162" s="1">
        <v>0</v>
      </c>
      <c r="I162" s="1" t="s">
        <v>74</v>
      </c>
      <c r="J162" s="1" t="s">
        <v>380</v>
      </c>
      <c r="K162" s="16" t="s">
        <v>379</v>
      </c>
      <c r="L162" s="16"/>
      <c r="M162" s="16" t="s">
        <v>105</v>
      </c>
      <c r="N162" s="16" t="s">
        <v>209</v>
      </c>
      <c r="O162" s="16" t="s">
        <v>89</v>
      </c>
      <c r="P162" s="16" t="s">
        <v>90</v>
      </c>
      <c r="Q162" s="16" t="s">
        <v>130</v>
      </c>
      <c r="R162" s="16" t="s">
        <v>130</v>
      </c>
      <c r="S162" s="17">
        <v>0</v>
      </c>
      <c r="T162" s="17">
        <v>3035.85</v>
      </c>
      <c r="U162" s="17">
        <v>0</v>
      </c>
      <c r="V162" s="17">
        <v>0</v>
      </c>
      <c r="W162" s="17">
        <v>22.75</v>
      </c>
      <c r="X162" s="17">
        <v>2550</v>
      </c>
      <c r="Y162" s="17">
        <v>411.64</v>
      </c>
      <c r="Z162" s="18" t="e">
        <f t="shared" si="58"/>
        <v>#DIV/0!</v>
      </c>
      <c r="AA162" s="19">
        <v>0.1</v>
      </c>
      <c r="AB162" s="17">
        <f t="shared" si="56"/>
        <v>255</v>
      </c>
      <c r="AC162" s="17">
        <v>0</v>
      </c>
      <c r="AD162" s="17">
        <v>0</v>
      </c>
      <c r="AE162" s="17">
        <f t="shared" si="59"/>
        <v>255</v>
      </c>
      <c r="AF162" s="17">
        <f t="shared" si="55"/>
        <v>40.800000000000004</v>
      </c>
      <c r="AG162" s="17">
        <f t="shared" si="60"/>
        <v>295.8</v>
      </c>
      <c r="AH162" s="17">
        <f t="shared" si="52"/>
        <v>5.1000000000000005</v>
      </c>
      <c r="AI162" s="17">
        <v>0</v>
      </c>
      <c r="AJ162" s="17">
        <f t="shared" si="61"/>
        <v>5.1000000000000005</v>
      </c>
      <c r="AK162" s="20"/>
      <c r="AL162" s="17">
        <f t="shared" si="62"/>
        <v>249.9</v>
      </c>
      <c r="AM162" s="17"/>
      <c r="AN162" s="21"/>
      <c r="AO162" s="17">
        <f t="shared" si="63"/>
        <v>0</v>
      </c>
      <c r="AP162" s="17"/>
      <c r="AQ162" s="16"/>
      <c r="AR162" s="17">
        <f t="shared" si="54"/>
        <v>0</v>
      </c>
      <c r="AS162" s="17"/>
      <c r="AT162" s="17">
        <v>295.8</v>
      </c>
      <c r="AU162" s="17">
        <f t="shared" si="64"/>
        <v>295.8</v>
      </c>
      <c r="AV162" s="17">
        <f t="shared" si="65"/>
        <v>0</v>
      </c>
      <c r="AW162" s="17" t="str">
        <f t="shared" si="67"/>
        <v>SFA</v>
      </c>
      <c r="AX162" s="22">
        <v>44676</v>
      </c>
      <c r="AY162" s="22"/>
      <c r="AZ162" s="1" t="s">
        <v>68</v>
      </c>
      <c r="BA162" s="22" t="str">
        <f t="shared" si="66"/>
        <v>GENERAL LIABILITY</v>
      </c>
      <c r="BB162" s="22"/>
      <c r="BC162" s="22"/>
      <c r="BD162" s="22"/>
    </row>
    <row r="163" spans="1:56" ht="14.25" customHeight="1" x14ac:dyDescent="0.2">
      <c r="A163" s="12" t="s">
        <v>324</v>
      </c>
      <c r="B163" s="1" t="s">
        <v>57</v>
      </c>
      <c r="C163" s="13">
        <v>44621</v>
      </c>
      <c r="D163" s="13">
        <v>44607</v>
      </c>
      <c r="E163" s="13">
        <v>44621</v>
      </c>
      <c r="F163" s="13">
        <v>44773</v>
      </c>
      <c r="G163" s="14" t="str">
        <f t="shared" si="57"/>
        <v>000-162/AIB RDC/2022</v>
      </c>
      <c r="H163" s="1">
        <v>1</v>
      </c>
      <c r="I163" s="1" t="s">
        <v>58</v>
      </c>
      <c r="J163" s="1" t="s">
        <v>381</v>
      </c>
      <c r="K163" s="16" t="s">
        <v>382</v>
      </c>
      <c r="L163" s="16" t="s">
        <v>94</v>
      </c>
      <c r="M163" s="16" t="s">
        <v>84</v>
      </c>
      <c r="N163" s="16" t="s">
        <v>209</v>
      </c>
      <c r="O163" s="16" t="s">
        <v>73</v>
      </c>
      <c r="P163" s="16" t="s">
        <v>73</v>
      </c>
      <c r="Q163" s="16" t="s">
        <v>130</v>
      </c>
      <c r="R163" s="16" t="s">
        <v>130</v>
      </c>
      <c r="S163" s="17"/>
      <c r="T163" s="17">
        <v>172.47</v>
      </c>
      <c r="U163" s="17">
        <v>0</v>
      </c>
      <c r="V163" s="17"/>
      <c r="W163" s="17">
        <v>2.16</v>
      </c>
      <c r="X163" s="17">
        <v>144</v>
      </c>
      <c r="Y163" s="17">
        <v>23.39</v>
      </c>
      <c r="Z163" s="18" t="e">
        <f t="shared" si="58"/>
        <v>#DIV/0!</v>
      </c>
      <c r="AA163" s="19">
        <v>0.1</v>
      </c>
      <c r="AB163" s="17">
        <f t="shared" si="56"/>
        <v>14.4</v>
      </c>
      <c r="AC163" s="17">
        <v>0</v>
      </c>
      <c r="AD163" s="17">
        <v>0</v>
      </c>
      <c r="AE163" s="17">
        <f t="shared" si="59"/>
        <v>14.4</v>
      </c>
      <c r="AF163" s="17">
        <f t="shared" si="55"/>
        <v>2.3040000000000003</v>
      </c>
      <c r="AG163" s="17">
        <f t="shared" si="60"/>
        <v>16.704000000000001</v>
      </c>
      <c r="AH163" s="17">
        <f t="shared" si="52"/>
        <v>0.28800000000000003</v>
      </c>
      <c r="AI163" s="17">
        <v>0</v>
      </c>
      <c r="AJ163" s="17">
        <f t="shared" si="61"/>
        <v>0.28800000000000003</v>
      </c>
      <c r="AK163" s="20" t="s">
        <v>142</v>
      </c>
      <c r="AL163" s="17">
        <f t="shared" si="62"/>
        <v>14.112</v>
      </c>
      <c r="AM163" s="17"/>
      <c r="AN163" s="21"/>
      <c r="AO163" s="17">
        <f t="shared" si="63"/>
        <v>0</v>
      </c>
      <c r="AP163" s="17"/>
      <c r="AQ163" s="16"/>
      <c r="AR163" s="17">
        <f t="shared" si="54"/>
        <v>0</v>
      </c>
      <c r="AS163" s="17"/>
      <c r="AT163" s="17">
        <v>16.704000000000001</v>
      </c>
      <c r="AU163" s="17">
        <f t="shared" si="64"/>
        <v>16.704000000000001</v>
      </c>
      <c r="AV163" s="17">
        <f t="shared" si="65"/>
        <v>0</v>
      </c>
      <c r="AW163" s="17" t="str">
        <f t="shared" si="67"/>
        <v>SFA</v>
      </c>
      <c r="AX163" s="22">
        <v>44649</v>
      </c>
      <c r="AY163" s="22"/>
      <c r="AZ163" s="1" t="s">
        <v>110</v>
      </c>
      <c r="BA163" s="22" t="str">
        <f t="shared" si="66"/>
        <v>MOTOR TPL</v>
      </c>
      <c r="BB163" s="22"/>
      <c r="BC163" s="22"/>
      <c r="BD163" s="22"/>
    </row>
    <row r="164" spans="1:56" ht="14.25" customHeight="1" x14ac:dyDescent="0.2">
      <c r="A164" s="12" t="s">
        <v>324</v>
      </c>
      <c r="B164" s="1" t="s">
        <v>57</v>
      </c>
      <c r="C164" s="13">
        <v>44709</v>
      </c>
      <c r="D164" s="13">
        <v>44596</v>
      </c>
      <c r="E164" s="13">
        <v>44621</v>
      </c>
      <c r="F164" s="13">
        <v>44987</v>
      </c>
      <c r="G164" s="14" t="str">
        <f t="shared" si="57"/>
        <v>000-163/AIB RDC/2022</v>
      </c>
      <c r="H164" s="1">
        <v>0</v>
      </c>
      <c r="I164" s="1" t="s">
        <v>74</v>
      </c>
      <c r="J164" s="1" t="s">
        <v>383</v>
      </c>
      <c r="K164" s="16" t="s">
        <v>352</v>
      </c>
      <c r="L164" s="16" t="s">
        <v>118</v>
      </c>
      <c r="M164" s="16" t="s">
        <v>105</v>
      </c>
      <c r="N164" s="16" t="s">
        <v>106</v>
      </c>
      <c r="O164" s="16" t="s">
        <v>64</v>
      </c>
      <c r="P164" s="16" t="s">
        <v>65</v>
      </c>
      <c r="Q164" s="16" t="s">
        <v>107</v>
      </c>
      <c r="R164" s="16" t="s">
        <v>107</v>
      </c>
      <c r="S164" s="17">
        <v>7629</v>
      </c>
      <c r="T164" s="17">
        <v>129.80000000000001</v>
      </c>
      <c r="U164" s="17"/>
      <c r="V164" s="17"/>
      <c r="W164" s="17">
        <v>10</v>
      </c>
      <c r="X164" s="17">
        <v>100</v>
      </c>
      <c r="Y164" s="17">
        <v>17.600000000000001</v>
      </c>
      <c r="Z164" s="18">
        <f t="shared" si="58"/>
        <v>1.7014025429283E-2</v>
      </c>
      <c r="AA164" s="19">
        <v>0.15</v>
      </c>
      <c r="AB164" s="17">
        <f t="shared" si="56"/>
        <v>15</v>
      </c>
      <c r="AC164" s="17">
        <v>0</v>
      </c>
      <c r="AD164" s="17">
        <v>0</v>
      </c>
      <c r="AE164" s="17">
        <f t="shared" si="59"/>
        <v>15</v>
      </c>
      <c r="AF164" s="17">
        <f t="shared" ref="AF164:AF195" si="68">16%*AE164</f>
        <v>2.4</v>
      </c>
      <c r="AG164" s="17">
        <f t="shared" si="60"/>
        <v>17.399999999999999</v>
      </c>
      <c r="AH164" s="17">
        <f t="shared" si="52"/>
        <v>0.3</v>
      </c>
      <c r="AI164" s="17">
        <v>0</v>
      </c>
      <c r="AJ164" s="17">
        <f t="shared" si="61"/>
        <v>0.3</v>
      </c>
      <c r="AK164" s="20"/>
      <c r="AL164" s="17">
        <f t="shared" si="62"/>
        <v>14.7</v>
      </c>
      <c r="AM164" s="17" t="s">
        <v>108</v>
      </c>
      <c r="AN164" s="21">
        <v>0.4</v>
      </c>
      <c r="AO164" s="17">
        <f t="shared" si="63"/>
        <v>5.88</v>
      </c>
      <c r="AP164" s="30">
        <v>5.88</v>
      </c>
      <c r="AQ164" s="29">
        <v>45229</v>
      </c>
      <c r="AR164" s="17">
        <f t="shared" si="54"/>
        <v>0</v>
      </c>
      <c r="AS164" s="17"/>
      <c r="AT164" s="17">
        <v>17.399999999999999</v>
      </c>
      <c r="AU164" s="17">
        <f t="shared" si="64"/>
        <v>17.399999999999999</v>
      </c>
      <c r="AV164" s="17">
        <f t="shared" si="65"/>
        <v>0</v>
      </c>
      <c r="AW164" s="17" t="str">
        <f t="shared" si="67"/>
        <v>RAWSUR</v>
      </c>
      <c r="AX164" s="22">
        <v>44994</v>
      </c>
      <c r="AY164" s="22"/>
      <c r="AZ164" s="1" t="s">
        <v>110</v>
      </c>
      <c r="BA164" s="22" t="str">
        <f t="shared" si="66"/>
        <v>MARINE CARGO / GIT</v>
      </c>
      <c r="BB164" s="22"/>
      <c r="BC164" s="22"/>
      <c r="BD164" s="1" t="s">
        <v>275</v>
      </c>
    </row>
    <row r="165" spans="1:56" ht="14.25" customHeight="1" x14ac:dyDescent="0.2">
      <c r="A165" s="12" t="s">
        <v>324</v>
      </c>
      <c r="B165" s="1" t="s">
        <v>57</v>
      </c>
      <c r="C165" s="13">
        <v>44844</v>
      </c>
      <c r="D165" s="13">
        <v>44811</v>
      </c>
      <c r="E165" s="13">
        <v>44621</v>
      </c>
      <c r="F165" s="13">
        <v>44985</v>
      </c>
      <c r="G165" s="14" t="str">
        <f t="shared" si="57"/>
        <v>000-164/AIB RDC/2022</v>
      </c>
      <c r="H165" s="1">
        <v>0</v>
      </c>
      <c r="I165" s="1" t="s">
        <v>74</v>
      </c>
      <c r="J165" s="24" t="s">
        <v>384</v>
      </c>
      <c r="K165" s="16" t="s">
        <v>136</v>
      </c>
      <c r="L165" s="16" t="s">
        <v>137</v>
      </c>
      <c r="M165" s="16" t="s">
        <v>84</v>
      </c>
      <c r="N165" s="16" t="s">
        <v>84</v>
      </c>
      <c r="O165" s="16" t="s">
        <v>64</v>
      </c>
      <c r="P165" s="16" t="s">
        <v>65</v>
      </c>
      <c r="Q165" s="16" t="s">
        <v>130</v>
      </c>
      <c r="R165" s="16" t="s">
        <v>385</v>
      </c>
      <c r="S165" s="17">
        <v>0</v>
      </c>
      <c r="T165" s="17">
        <v>60395.28</v>
      </c>
      <c r="U165" s="17">
        <v>7643.38</v>
      </c>
      <c r="V165" s="17">
        <v>-3312.14</v>
      </c>
      <c r="W165" s="17">
        <v>226.56</v>
      </c>
      <c r="X165" s="17">
        <v>43312.5</v>
      </c>
      <c r="Y165" s="17">
        <v>8189.19</v>
      </c>
      <c r="Z165" s="18" t="e">
        <f t="shared" si="58"/>
        <v>#DIV/0!</v>
      </c>
      <c r="AA165" s="19">
        <v>0</v>
      </c>
      <c r="AB165" s="17">
        <v>0</v>
      </c>
      <c r="AC165" s="17">
        <f>30%*(U165+V165)</f>
        <v>1299.3719999999998</v>
      </c>
      <c r="AD165" s="17">
        <v>0</v>
      </c>
      <c r="AE165" s="17">
        <f t="shared" si="59"/>
        <v>1299.3719999999998</v>
      </c>
      <c r="AF165" s="17">
        <f t="shared" si="68"/>
        <v>207.89951999999997</v>
      </c>
      <c r="AG165" s="17">
        <f t="shared" si="60"/>
        <v>1507.2715199999998</v>
      </c>
      <c r="AH165" s="17">
        <f t="shared" ref="AH165:AH228" si="69">2%*AE165</f>
        <v>25.987439999999996</v>
      </c>
      <c r="AI165" s="17">
        <v>0</v>
      </c>
      <c r="AJ165" s="17">
        <f t="shared" si="61"/>
        <v>25.987439999999996</v>
      </c>
      <c r="AK165" s="20"/>
      <c r="AL165" s="17">
        <f t="shared" si="62"/>
        <v>1273.3845599999997</v>
      </c>
      <c r="AM165" s="17"/>
      <c r="AN165" s="21"/>
      <c r="AO165" s="17">
        <f t="shared" si="63"/>
        <v>0</v>
      </c>
      <c r="AP165" s="17"/>
      <c r="AQ165" s="16"/>
      <c r="AR165" s="17">
        <f t="shared" si="54"/>
        <v>0</v>
      </c>
      <c r="AS165" s="17"/>
      <c r="AT165" s="17">
        <v>1507.2715199999998</v>
      </c>
      <c r="AU165" s="17">
        <f t="shared" si="64"/>
        <v>1507.2715199999998</v>
      </c>
      <c r="AV165" s="17">
        <f t="shared" si="65"/>
        <v>0</v>
      </c>
      <c r="AW165" s="17" t="str">
        <f t="shared" si="67"/>
        <v>SFA</v>
      </c>
      <c r="AX165" s="22">
        <v>44862</v>
      </c>
      <c r="AY165" s="22"/>
      <c r="AZ165" s="1" t="s">
        <v>68</v>
      </c>
      <c r="BA165" s="22" t="str">
        <f t="shared" si="66"/>
        <v>MARINE CARGO / GIT</v>
      </c>
      <c r="BB165" s="22"/>
      <c r="BC165" s="22"/>
      <c r="BD165" s="22"/>
    </row>
    <row r="166" spans="1:56" ht="14.25" customHeight="1" x14ac:dyDescent="0.2">
      <c r="A166" s="12" t="s">
        <v>324</v>
      </c>
      <c r="B166" s="1" t="s">
        <v>57</v>
      </c>
      <c r="C166" s="13">
        <v>44873</v>
      </c>
      <c r="D166" s="13">
        <v>44621</v>
      </c>
      <c r="E166" s="13">
        <v>44621</v>
      </c>
      <c r="F166" s="13">
        <v>44985</v>
      </c>
      <c r="G166" s="14" t="str">
        <f t="shared" si="57"/>
        <v>000-165/AIB RDC/2022</v>
      </c>
      <c r="H166" s="1">
        <v>0</v>
      </c>
      <c r="I166" s="1" t="s">
        <v>74</v>
      </c>
      <c r="J166" s="1" t="s">
        <v>386</v>
      </c>
      <c r="K166" s="16" t="s">
        <v>387</v>
      </c>
      <c r="L166" s="16" t="s">
        <v>388</v>
      </c>
      <c r="M166" s="16" t="s">
        <v>84</v>
      </c>
      <c r="N166" s="16" t="s">
        <v>84</v>
      </c>
      <c r="O166" s="16" t="s">
        <v>192</v>
      </c>
      <c r="P166" s="16" t="s">
        <v>98</v>
      </c>
      <c r="Q166" s="16" t="s">
        <v>86</v>
      </c>
      <c r="R166" s="16" t="s">
        <v>86</v>
      </c>
      <c r="S166" s="17">
        <v>0</v>
      </c>
      <c r="T166" s="17">
        <v>6417.03</v>
      </c>
      <c r="U166" s="17">
        <v>0</v>
      </c>
      <c r="V166" s="17"/>
      <c r="W166" s="17">
        <v>54.77</v>
      </c>
      <c r="X166" s="17">
        <v>5477.16</v>
      </c>
      <c r="Y166" s="17">
        <v>885.1</v>
      </c>
      <c r="Z166" s="18" t="e">
        <f t="shared" si="58"/>
        <v>#DIV/0!</v>
      </c>
      <c r="AA166" s="19">
        <v>0.1</v>
      </c>
      <c r="AB166" s="17">
        <f t="shared" ref="AB166:AB174" si="70">(AA166*X166)</f>
        <v>547.71600000000001</v>
      </c>
      <c r="AC166" s="17">
        <v>0</v>
      </c>
      <c r="AD166" s="17">
        <v>0</v>
      </c>
      <c r="AE166" s="17">
        <f t="shared" si="59"/>
        <v>547.71600000000001</v>
      </c>
      <c r="AF166" s="17">
        <f t="shared" si="68"/>
        <v>87.634560000000008</v>
      </c>
      <c r="AG166" s="17">
        <f t="shared" si="60"/>
        <v>635.35055999999997</v>
      </c>
      <c r="AH166" s="17">
        <f t="shared" si="69"/>
        <v>10.954320000000001</v>
      </c>
      <c r="AI166" s="17">
        <v>0</v>
      </c>
      <c r="AJ166" s="17">
        <f t="shared" si="61"/>
        <v>10.954320000000001</v>
      </c>
      <c r="AK166" s="20"/>
      <c r="AL166" s="17">
        <f t="shared" si="62"/>
        <v>536.76167999999996</v>
      </c>
      <c r="AM166" s="17"/>
      <c r="AN166" s="21"/>
      <c r="AO166" s="17">
        <f t="shared" si="63"/>
        <v>0</v>
      </c>
      <c r="AP166" s="17"/>
      <c r="AQ166" s="16"/>
      <c r="AR166" s="17">
        <f t="shared" si="54"/>
        <v>0</v>
      </c>
      <c r="AS166" s="17"/>
      <c r="AT166" s="17">
        <v>635.35055999999997</v>
      </c>
      <c r="AU166" s="17">
        <f t="shared" si="64"/>
        <v>635.35055999999997</v>
      </c>
      <c r="AV166" s="17">
        <f t="shared" si="65"/>
        <v>0</v>
      </c>
      <c r="AW166" s="17" t="str">
        <f t="shared" si="67"/>
        <v>SUNU</v>
      </c>
      <c r="AX166" s="22">
        <v>44858</v>
      </c>
      <c r="AY166" s="22"/>
      <c r="AZ166" s="1" t="s">
        <v>68</v>
      </c>
      <c r="BA166" s="22" t="str">
        <f t="shared" si="66"/>
        <v>GPA</v>
      </c>
      <c r="BB166" s="22"/>
      <c r="BC166" s="22"/>
      <c r="BD166" s="22"/>
    </row>
    <row r="167" spans="1:56" ht="14.25" customHeight="1" x14ac:dyDescent="0.2">
      <c r="A167" s="1" t="s">
        <v>667</v>
      </c>
      <c r="B167" s="1" t="s">
        <v>57</v>
      </c>
      <c r="C167" s="13">
        <v>44840</v>
      </c>
      <c r="D167" s="13">
        <v>44840</v>
      </c>
      <c r="E167" s="13">
        <v>44840</v>
      </c>
      <c r="F167" s="13">
        <v>45038</v>
      </c>
      <c r="G167" s="14" t="str">
        <f t="shared" si="57"/>
        <v>000-166/AIB RDC/2022</v>
      </c>
      <c r="H167" s="1">
        <v>8</v>
      </c>
      <c r="I167" s="1" t="s">
        <v>91</v>
      </c>
      <c r="J167" s="44" t="s">
        <v>519</v>
      </c>
      <c r="K167" s="1" t="s">
        <v>345</v>
      </c>
      <c r="L167" s="1" t="s">
        <v>137</v>
      </c>
      <c r="M167" s="1" t="s">
        <v>84</v>
      </c>
      <c r="N167" s="1" t="s">
        <v>586</v>
      </c>
      <c r="O167" s="1" t="s">
        <v>73</v>
      </c>
      <c r="P167" s="1" t="s">
        <v>73</v>
      </c>
      <c r="Q167" s="1" t="s">
        <v>107</v>
      </c>
      <c r="R167" s="1" t="s">
        <v>107</v>
      </c>
      <c r="S167" s="17">
        <v>0</v>
      </c>
      <c r="T167" s="17">
        <v>115.06</v>
      </c>
      <c r="U167" s="17">
        <v>0</v>
      </c>
      <c r="V167" s="17">
        <v>0</v>
      </c>
      <c r="W167" s="17">
        <v>10</v>
      </c>
      <c r="X167" s="17">
        <v>87.51</v>
      </c>
      <c r="Y167" s="17">
        <v>15.6</v>
      </c>
      <c r="Z167" s="18" t="e">
        <f t="shared" si="58"/>
        <v>#DIV/0!</v>
      </c>
      <c r="AA167" s="19">
        <v>0.1</v>
      </c>
      <c r="AB167" s="17">
        <f t="shared" si="70"/>
        <v>8.7510000000000012</v>
      </c>
      <c r="AC167" s="34">
        <v>0</v>
      </c>
      <c r="AD167" s="34">
        <v>0</v>
      </c>
      <c r="AE167" s="17">
        <f t="shared" si="59"/>
        <v>8.7510000000000012</v>
      </c>
      <c r="AF167" s="17">
        <f t="shared" si="68"/>
        <v>1.4001600000000003</v>
      </c>
      <c r="AG167" s="17">
        <f t="shared" si="60"/>
        <v>10.151160000000001</v>
      </c>
      <c r="AH167" s="17">
        <f t="shared" si="69"/>
        <v>0.17502000000000004</v>
      </c>
      <c r="AI167" s="17"/>
      <c r="AJ167" s="17">
        <f t="shared" si="61"/>
        <v>0.17502000000000004</v>
      </c>
      <c r="AK167" s="20"/>
      <c r="AL167" s="17">
        <f t="shared" si="62"/>
        <v>8.5759800000000013</v>
      </c>
      <c r="AM167" s="17"/>
      <c r="AN167" s="21"/>
      <c r="AO167" s="17">
        <f t="shared" si="63"/>
        <v>0</v>
      </c>
      <c r="AP167" s="27"/>
      <c r="AQ167" s="16"/>
      <c r="AR167" s="17">
        <f t="shared" si="54"/>
        <v>0</v>
      </c>
      <c r="AS167" s="17"/>
      <c r="AT167" s="17"/>
      <c r="AU167" s="17">
        <f t="shared" si="64"/>
        <v>10.151160000000001</v>
      </c>
      <c r="AV167" s="84">
        <f t="shared" si="65"/>
        <v>10.151160000000001</v>
      </c>
      <c r="AW167" s="17" t="str">
        <f t="shared" si="67"/>
        <v>RAWSUR</v>
      </c>
      <c r="AX167" s="22"/>
      <c r="AY167" s="22"/>
      <c r="AZ167" s="1" t="s">
        <v>68</v>
      </c>
      <c r="BA167" s="22" t="str">
        <f t="shared" si="66"/>
        <v>MOTOR TPL</v>
      </c>
      <c r="BB167" s="54"/>
      <c r="BC167" s="22"/>
      <c r="BD167" s="1" t="s">
        <v>591</v>
      </c>
    </row>
    <row r="168" spans="1:56" ht="14.25" customHeight="1" x14ac:dyDescent="0.2">
      <c r="A168" s="12" t="s">
        <v>324</v>
      </c>
      <c r="B168" s="1" t="s">
        <v>57</v>
      </c>
      <c r="C168" s="13">
        <v>44621</v>
      </c>
      <c r="D168" s="13">
        <v>44624</v>
      </c>
      <c r="E168" s="13">
        <v>44622</v>
      </c>
      <c r="F168" s="13">
        <v>44987</v>
      </c>
      <c r="G168" s="14" t="str">
        <f t="shared" si="57"/>
        <v>000-167/AIB RDC/2022</v>
      </c>
      <c r="H168" s="1">
        <v>0</v>
      </c>
      <c r="I168" s="1" t="s">
        <v>74</v>
      </c>
      <c r="J168" s="1" t="s">
        <v>391</v>
      </c>
      <c r="K168" s="16" t="s">
        <v>392</v>
      </c>
      <c r="L168" s="16"/>
      <c r="M168" s="16" t="s">
        <v>95</v>
      </c>
      <c r="N168" s="16" t="s">
        <v>102</v>
      </c>
      <c r="O168" s="16" t="s">
        <v>152</v>
      </c>
      <c r="P168" s="16" t="s">
        <v>153</v>
      </c>
      <c r="Q168" s="16" t="s">
        <v>66</v>
      </c>
      <c r="R168" s="16" t="s">
        <v>66</v>
      </c>
      <c r="S168" s="17">
        <v>80000</v>
      </c>
      <c r="T168" s="17">
        <v>3949.77</v>
      </c>
      <c r="U168" s="17"/>
      <c r="V168" s="17"/>
      <c r="W168" s="17">
        <v>33.71</v>
      </c>
      <c r="X168" s="17">
        <v>3371.26</v>
      </c>
      <c r="Y168" s="17">
        <v>544.79999999999995</v>
      </c>
      <c r="Z168" s="18">
        <f t="shared" si="58"/>
        <v>4.9372125000000003E-2</v>
      </c>
      <c r="AA168" s="19">
        <v>0.14910000000000001</v>
      </c>
      <c r="AB168" s="17">
        <f t="shared" si="70"/>
        <v>502.65486600000008</v>
      </c>
      <c r="AC168" s="17">
        <v>0</v>
      </c>
      <c r="AD168" s="17">
        <v>0</v>
      </c>
      <c r="AE168" s="17">
        <f t="shared" si="59"/>
        <v>502.65486600000008</v>
      </c>
      <c r="AF168" s="17">
        <f t="shared" si="68"/>
        <v>80.424778560000021</v>
      </c>
      <c r="AG168" s="17">
        <f t="shared" si="60"/>
        <v>583.07964456000013</v>
      </c>
      <c r="AH168" s="17">
        <f t="shared" si="69"/>
        <v>10.053097320000003</v>
      </c>
      <c r="AI168" s="17">
        <v>0</v>
      </c>
      <c r="AJ168" s="17">
        <f t="shared" si="61"/>
        <v>10.053097320000003</v>
      </c>
      <c r="AK168" s="20"/>
      <c r="AL168" s="17">
        <f t="shared" si="62"/>
        <v>492.60176868000008</v>
      </c>
      <c r="AM168" s="17" t="s">
        <v>393</v>
      </c>
      <c r="AN168" s="21">
        <v>0.2</v>
      </c>
      <c r="AO168" s="17">
        <f t="shared" si="63"/>
        <v>98.520353736000018</v>
      </c>
      <c r="AP168" s="17">
        <v>98.520353736000018</v>
      </c>
      <c r="AQ168" s="16">
        <v>44830</v>
      </c>
      <c r="AR168" s="17">
        <f t="shared" si="54"/>
        <v>0</v>
      </c>
      <c r="AS168" s="17" t="s">
        <v>394</v>
      </c>
      <c r="AT168" s="17">
        <v>583.07964456000013</v>
      </c>
      <c r="AU168" s="17">
        <f t="shared" si="64"/>
        <v>583.07964456000013</v>
      </c>
      <c r="AV168" s="17">
        <f t="shared" si="65"/>
        <v>0</v>
      </c>
      <c r="AW168" s="17" t="str">
        <f t="shared" si="67"/>
        <v>ACTIVA</v>
      </c>
      <c r="AX168" s="22">
        <v>44699</v>
      </c>
      <c r="AY168" s="22"/>
      <c r="AZ168" s="1" t="s">
        <v>100</v>
      </c>
      <c r="BA168" s="22" t="str">
        <f t="shared" si="66"/>
        <v>COMP MOTOR</v>
      </c>
      <c r="BB168" s="22"/>
      <c r="BC168" s="22"/>
      <c r="BD168" s="22"/>
    </row>
    <row r="169" spans="1:56" ht="14.25" customHeight="1" x14ac:dyDescent="0.2">
      <c r="A169" s="12" t="s">
        <v>324</v>
      </c>
      <c r="B169" s="1" t="s">
        <v>57</v>
      </c>
      <c r="C169" s="13">
        <v>44621</v>
      </c>
      <c r="D169" s="13">
        <v>44624</v>
      </c>
      <c r="E169" s="13">
        <v>44624</v>
      </c>
      <c r="F169" s="13">
        <v>44654</v>
      </c>
      <c r="G169" s="14" t="str">
        <f t="shared" si="57"/>
        <v>000-168/AIB RDC/2022</v>
      </c>
      <c r="H169" s="1">
        <v>0</v>
      </c>
      <c r="I169" s="1" t="s">
        <v>74</v>
      </c>
      <c r="J169" s="1" t="s">
        <v>395</v>
      </c>
      <c r="K169" s="1" t="s">
        <v>117</v>
      </c>
      <c r="L169" s="1" t="s">
        <v>118</v>
      </c>
      <c r="M169" s="16" t="s">
        <v>105</v>
      </c>
      <c r="N169" s="16" t="s">
        <v>184</v>
      </c>
      <c r="O169" s="16" t="s">
        <v>64</v>
      </c>
      <c r="P169" s="16" t="s">
        <v>65</v>
      </c>
      <c r="Q169" s="16" t="s">
        <v>66</v>
      </c>
      <c r="R169" s="16" t="s">
        <v>66</v>
      </c>
      <c r="S169" s="17"/>
      <c r="T169" s="17">
        <v>107.88</v>
      </c>
      <c r="U169" s="17"/>
      <c r="V169" s="17"/>
      <c r="W169" s="17">
        <v>10</v>
      </c>
      <c r="X169" s="17">
        <v>83</v>
      </c>
      <c r="Y169" s="17">
        <v>14.88</v>
      </c>
      <c r="Z169" s="18" t="e">
        <f t="shared" si="58"/>
        <v>#DIV/0!</v>
      </c>
      <c r="AA169" s="19">
        <v>0.15</v>
      </c>
      <c r="AB169" s="17">
        <f t="shared" si="70"/>
        <v>12.45</v>
      </c>
      <c r="AC169" s="17">
        <v>0</v>
      </c>
      <c r="AD169" s="17">
        <v>0</v>
      </c>
      <c r="AE169" s="17">
        <f t="shared" si="59"/>
        <v>12.45</v>
      </c>
      <c r="AF169" s="17">
        <f t="shared" si="68"/>
        <v>1.992</v>
      </c>
      <c r="AG169" s="17">
        <f t="shared" si="60"/>
        <v>14.442</v>
      </c>
      <c r="AH169" s="17">
        <f t="shared" si="69"/>
        <v>0.249</v>
      </c>
      <c r="AI169" s="17">
        <v>0</v>
      </c>
      <c r="AJ169" s="17">
        <f t="shared" si="61"/>
        <v>0.249</v>
      </c>
      <c r="AK169" s="20"/>
      <c r="AL169" s="17">
        <f t="shared" si="62"/>
        <v>12.200999999999999</v>
      </c>
      <c r="AM169" s="17"/>
      <c r="AN169" s="21"/>
      <c r="AO169" s="17">
        <f t="shared" si="63"/>
        <v>0</v>
      </c>
      <c r="AP169" s="17"/>
      <c r="AQ169" s="16"/>
      <c r="AR169" s="17">
        <f t="shared" si="54"/>
        <v>0</v>
      </c>
      <c r="AS169" s="17"/>
      <c r="AT169" s="17">
        <v>14.442</v>
      </c>
      <c r="AU169" s="17">
        <f t="shared" si="64"/>
        <v>14.442</v>
      </c>
      <c r="AV169" s="17">
        <f t="shared" si="65"/>
        <v>0</v>
      </c>
      <c r="AW169" s="17" t="str">
        <f t="shared" si="67"/>
        <v>ACTIVA</v>
      </c>
      <c r="AX169" s="22">
        <v>44699</v>
      </c>
      <c r="AY169" s="22"/>
      <c r="AZ169" s="1" t="s">
        <v>110</v>
      </c>
      <c r="BA169" s="22" t="str">
        <f t="shared" si="66"/>
        <v>MARINE CARGO / GIT</v>
      </c>
      <c r="BB169" s="22"/>
      <c r="BC169" s="22"/>
      <c r="BD169" s="22"/>
    </row>
    <row r="170" spans="1:56" ht="14.25" customHeight="1" x14ac:dyDescent="0.2">
      <c r="A170" s="12" t="s">
        <v>324</v>
      </c>
      <c r="B170" s="1" t="s">
        <v>57</v>
      </c>
      <c r="C170" s="13">
        <v>44621</v>
      </c>
      <c r="D170" s="13">
        <v>44628</v>
      </c>
      <c r="E170" s="13">
        <v>44629</v>
      </c>
      <c r="F170" s="13">
        <v>44945</v>
      </c>
      <c r="G170" s="14" t="str">
        <f t="shared" si="57"/>
        <v>000-169/AIB RDC/2022</v>
      </c>
      <c r="H170" s="1">
        <v>14</v>
      </c>
      <c r="I170" s="1" t="s">
        <v>91</v>
      </c>
      <c r="J170" s="1" t="s">
        <v>221</v>
      </c>
      <c r="K170" s="16" t="s">
        <v>222</v>
      </c>
      <c r="L170" s="1" t="s">
        <v>160</v>
      </c>
      <c r="M170" s="16" t="s">
        <v>105</v>
      </c>
      <c r="N170" s="16" t="s">
        <v>119</v>
      </c>
      <c r="O170" s="16" t="s">
        <v>73</v>
      </c>
      <c r="P170" s="16" t="s">
        <v>73</v>
      </c>
      <c r="Q170" s="16" t="s">
        <v>130</v>
      </c>
      <c r="R170" s="16" t="s">
        <v>130</v>
      </c>
      <c r="S170" s="17">
        <v>0</v>
      </c>
      <c r="T170" s="17">
        <v>1334.45</v>
      </c>
      <c r="U170" s="17">
        <v>0</v>
      </c>
      <c r="V170" s="17">
        <v>0</v>
      </c>
      <c r="W170" s="17">
        <v>16.7</v>
      </c>
      <c r="X170" s="17">
        <v>1114.2</v>
      </c>
      <c r="Y170" s="17">
        <v>180.94</v>
      </c>
      <c r="Z170" s="18" t="e">
        <f t="shared" si="58"/>
        <v>#DIV/0!</v>
      </c>
      <c r="AA170" s="19">
        <v>0.1</v>
      </c>
      <c r="AB170" s="17">
        <f t="shared" si="70"/>
        <v>111.42000000000002</v>
      </c>
      <c r="AC170" s="17">
        <v>0</v>
      </c>
      <c r="AD170" s="17">
        <v>0</v>
      </c>
      <c r="AE170" s="17">
        <f t="shared" si="59"/>
        <v>111.42000000000002</v>
      </c>
      <c r="AF170" s="17">
        <f t="shared" si="68"/>
        <v>17.827200000000001</v>
      </c>
      <c r="AG170" s="17">
        <f t="shared" si="60"/>
        <v>129.24720000000002</v>
      </c>
      <c r="AH170" s="17">
        <f t="shared" si="69"/>
        <v>2.2284000000000002</v>
      </c>
      <c r="AI170" s="17">
        <v>0</v>
      </c>
      <c r="AJ170" s="17">
        <f t="shared" si="61"/>
        <v>2.2284000000000002</v>
      </c>
      <c r="AK170" s="20"/>
      <c r="AL170" s="17">
        <f t="shared" si="62"/>
        <v>109.19160000000002</v>
      </c>
      <c r="AM170" s="17"/>
      <c r="AN170" s="21"/>
      <c r="AO170" s="17">
        <f t="shared" si="63"/>
        <v>0</v>
      </c>
      <c r="AP170" s="17"/>
      <c r="AQ170" s="16"/>
      <c r="AR170" s="17">
        <f t="shared" si="54"/>
        <v>0</v>
      </c>
      <c r="AS170" s="17"/>
      <c r="AT170" s="17">
        <v>129.24720000000002</v>
      </c>
      <c r="AU170" s="17">
        <f t="shared" si="64"/>
        <v>129.24720000000002</v>
      </c>
      <c r="AV170" s="17">
        <f t="shared" si="65"/>
        <v>0</v>
      </c>
      <c r="AW170" s="17" t="str">
        <f t="shared" si="67"/>
        <v>SFA</v>
      </c>
      <c r="AX170" s="22">
        <v>44676</v>
      </c>
      <c r="AY170" s="22"/>
      <c r="AZ170" s="1" t="s">
        <v>68</v>
      </c>
      <c r="BA170" s="22" t="str">
        <f t="shared" si="66"/>
        <v>MOTOR TPL</v>
      </c>
      <c r="BB170" s="22"/>
      <c r="BC170" s="22"/>
      <c r="BD170" s="22"/>
    </row>
    <row r="171" spans="1:56" ht="14.25" customHeight="1" x14ac:dyDescent="0.2">
      <c r="A171" s="12" t="s">
        <v>324</v>
      </c>
      <c r="B171" s="1" t="s">
        <v>57</v>
      </c>
      <c r="C171" s="13">
        <v>44811</v>
      </c>
      <c r="D171" s="13">
        <v>44798</v>
      </c>
      <c r="E171" s="13">
        <v>44629</v>
      </c>
      <c r="F171" s="13">
        <v>44689</v>
      </c>
      <c r="G171" s="14" t="str">
        <f t="shared" si="57"/>
        <v>000-170/AIB RDC/2022</v>
      </c>
      <c r="H171" s="1">
        <v>0</v>
      </c>
      <c r="I171" s="1" t="s">
        <v>74</v>
      </c>
      <c r="J171" s="1" t="s">
        <v>396</v>
      </c>
      <c r="K171" s="16" t="s">
        <v>342</v>
      </c>
      <c r="L171" s="16"/>
      <c r="M171" s="16" t="s">
        <v>105</v>
      </c>
      <c r="N171" s="16" t="s">
        <v>106</v>
      </c>
      <c r="O171" s="16" t="s">
        <v>64</v>
      </c>
      <c r="P171" s="16" t="s">
        <v>65</v>
      </c>
      <c r="Q171" s="16" t="s">
        <v>130</v>
      </c>
      <c r="R171" s="16" t="s">
        <v>130</v>
      </c>
      <c r="S171" s="17">
        <v>100000</v>
      </c>
      <c r="T171" s="17">
        <v>350.05</v>
      </c>
      <c r="U171" s="17"/>
      <c r="V171" s="17"/>
      <c r="W171" s="17"/>
      <c r="X171" s="17">
        <v>293.04000000000002</v>
      </c>
      <c r="Y171" s="17"/>
      <c r="Z171" s="18">
        <f t="shared" si="58"/>
        <v>3.5005000000000001E-3</v>
      </c>
      <c r="AA171" s="19">
        <v>0.15</v>
      </c>
      <c r="AB171" s="17">
        <f t="shared" si="70"/>
        <v>43.956000000000003</v>
      </c>
      <c r="AC171" s="17">
        <v>0</v>
      </c>
      <c r="AD171" s="17">
        <v>0</v>
      </c>
      <c r="AE171" s="17">
        <f t="shared" si="59"/>
        <v>43.956000000000003</v>
      </c>
      <c r="AF171" s="17">
        <f t="shared" si="68"/>
        <v>7.032960000000001</v>
      </c>
      <c r="AG171" s="17">
        <f t="shared" si="60"/>
        <v>50.988960000000006</v>
      </c>
      <c r="AH171" s="17">
        <f t="shared" si="69"/>
        <v>0.87912000000000012</v>
      </c>
      <c r="AI171" s="17">
        <v>0</v>
      </c>
      <c r="AJ171" s="17">
        <f t="shared" si="61"/>
        <v>0.87912000000000012</v>
      </c>
      <c r="AK171" s="20"/>
      <c r="AL171" s="17">
        <f t="shared" si="62"/>
        <v>43.076880000000003</v>
      </c>
      <c r="AM171" s="17" t="s">
        <v>108</v>
      </c>
      <c r="AN171" s="21">
        <v>0.4</v>
      </c>
      <c r="AO171" s="17">
        <f t="shared" si="63"/>
        <v>17.230752000000003</v>
      </c>
      <c r="AP171" s="17">
        <v>17.230752000000003</v>
      </c>
      <c r="AQ171" s="16">
        <v>44867</v>
      </c>
      <c r="AR171" s="17">
        <f t="shared" si="54"/>
        <v>0</v>
      </c>
      <c r="AS171" s="17" t="s">
        <v>397</v>
      </c>
      <c r="AT171" s="17">
        <v>50.988960000000006</v>
      </c>
      <c r="AU171" s="17">
        <f t="shared" si="64"/>
        <v>50.988960000000006</v>
      </c>
      <c r="AV171" s="17">
        <f t="shared" si="65"/>
        <v>0</v>
      </c>
      <c r="AW171" s="17" t="str">
        <f t="shared" si="67"/>
        <v>SFA</v>
      </c>
      <c r="AX171" s="22">
        <v>44823</v>
      </c>
      <c r="AY171" s="22"/>
      <c r="AZ171" s="1" t="s">
        <v>110</v>
      </c>
      <c r="BA171" s="22" t="str">
        <f t="shared" si="66"/>
        <v>MARINE CARGO / GIT</v>
      </c>
      <c r="BB171" s="22"/>
      <c r="BC171" s="22"/>
      <c r="BD171" s="22"/>
    </row>
    <row r="172" spans="1:56" ht="14.25" customHeight="1" x14ac:dyDescent="0.2">
      <c r="A172" s="12" t="s">
        <v>324</v>
      </c>
      <c r="B172" s="1" t="s">
        <v>57</v>
      </c>
      <c r="C172" s="13">
        <v>44628</v>
      </c>
      <c r="D172" s="13">
        <v>44631</v>
      </c>
      <c r="E172" s="13">
        <v>44630</v>
      </c>
      <c r="F172" s="13">
        <v>44994</v>
      </c>
      <c r="G172" s="14" t="str">
        <f t="shared" si="57"/>
        <v>000-171/AIB RDC/2022</v>
      </c>
      <c r="H172" s="1">
        <v>0</v>
      </c>
      <c r="I172" s="1" t="s">
        <v>74</v>
      </c>
      <c r="J172" s="16" t="s">
        <v>398</v>
      </c>
      <c r="K172" s="16" t="s">
        <v>207</v>
      </c>
      <c r="L172" s="16" t="s">
        <v>208</v>
      </c>
      <c r="M172" s="16" t="s">
        <v>62</v>
      </c>
      <c r="N172" s="16" t="s">
        <v>209</v>
      </c>
      <c r="O172" s="16" t="s">
        <v>73</v>
      </c>
      <c r="P172" s="16" t="s">
        <v>73</v>
      </c>
      <c r="Q172" s="16" t="s">
        <v>79</v>
      </c>
      <c r="R172" s="16" t="s">
        <v>79</v>
      </c>
      <c r="S172" s="17">
        <v>1000000</v>
      </c>
      <c r="T172" s="17">
        <v>14130.5</v>
      </c>
      <c r="U172" s="17"/>
      <c r="V172" s="17"/>
      <c r="W172" s="17">
        <v>610</v>
      </c>
      <c r="X172" s="17">
        <v>11365</v>
      </c>
      <c r="Y172" s="17">
        <v>1916</v>
      </c>
      <c r="Z172" s="18">
        <f t="shared" si="58"/>
        <v>1.4130500000000001E-2</v>
      </c>
      <c r="AA172" s="19">
        <v>0.1</v>
      </c>
      <c r="AB172" s="17">
        <f t="shared" si="70"/>
        <v>1136.5</v>
      </c>
      <c r="AC172" s="17">
        <v>0</v>
      </c>
      <c r="AD172" s="17">
        <v>0</v>
      </c>
      <c r="AE172" s="17">
        <f t="shared" si="59"/>
        <v>1136.5</v>
      </c>
      <c r="AF172" s="17">
        <f t="shared" si="68"/>
        <v>181.84</v>
      </c>
      <c r="AG172" s="17">
        <f t="shared" si="60"/>
        <v>1318.34</v>
      </c>
      <c r="AH172" s="17">
        <f t="shared" si="69"/>
        <v>22.73</v>
      </c>
      <c r="AI172" s="17">
        <v>0</v>
      </c>
      <c r="AJ172" s="17">
        <f t="shared" si="61"/>
        <v>22.73</v>
      </c>
      <c r="AK172" s="20"/>
      <c r="AL172" s="17">
        <f t="shared" si="62"/>
        <v>1113.77</v>
      </c>
      <c r="AM172" s="17"/>
      <c r="AN172" s="21"/>
      <c r="AO172" s="17">
        <f t="shared" si="63"/>
        <v>0</v>
      </c>
      <c r="AP172" s="17"/>
      <c r="AQ172" s="16"/>
      <c r="AR172" s="17">
        <f t="shared" si="54"/>
        <v>0</v>
      </c>
      <c r="AS172" s="17"/>
      <c r="AT172" s="17">
        <v>1318.34</v>
      </c>
      <c r="AU172" s="17">
        <f t="shared" si="64"/>
        <v>1318.34</v>
      </c>
      <c r="AV172" s="17">
        <f t="shared" si="65"/>
        <v>0</v>
      </c>
      <c r="AW172" s="17" t="str">
        <f t="shared" si="67"/>
        <v>MAYFAIR</v>
      </c>
      <c r="AX172" s="22">
        <v>44699</v>
      </c>
      <c r="AY172" s="22"/>
      <c r="AZ172" s="1" t="s">
        <v>68</v>
      </c>
      <c r="BA172" s="22" t="str">
        <f t="shared" si="66"/>
        <v>MOTOR TPL</v>
      </c>
      <c r="BB172" s="22"/>
      <c r="BC172" s="22"/>
      <c r="BD172" s="22"/>
    </row>
    <row r="173" spans="1:56" ht="14.25" customHeight="1" x14ac:dyDescent="0.2">
      <c r="A173" s="12" t="s">
        <v>324</v>
      </c>
      <c r="B173" s="1" t="s">
        <v>57</v>
      </c>
      <c r="C173" s="13">
        <v>44629</v>
      </c>
      <c r="D173" s="13">
        <v>44631</v>
      </c>
      <c r="E173" s="13">
        <v>44630</v>
      </c>
      <c r="F173" s="13">
        <v>44994</v>
      </c>
      <c r="G173" s="14" t="str">
        <f t="shared" si="57"/>
        <v>000-172/AIB RDC/2022</v>
      </c>
      <c r="H173" s="1">
        <v>0</v>
      </c>
      <c r="I173" s="1" t="s">
        <v>74</v>
      </c>
      <c r="J173" s="1" t="s">
        <v>399</v>
      </c>
      <c r="K173" s="16" t="s">
        <v>400</v>
      </c>
      <c r="L173" s="16" t="s">
        <v>208</v>
      </c>
      <c r="M173" s="16" t="s">
        <v>62</v>
      </c>
      <c r="N173" s="16" t="s">
        <v>209</v>
      </c>
      <c r="O173" s="16" t="s">
        <v>73</v>
      </c>
      <c r="P173" s="16" t="s">
        <v>73</v>
      </c>
      <c r="Q173" s="16" t="s">
        <v>79</v>
      </c>
      <c r="R173" s="16" t="s">
        <v>79</v>
      </c>
      <c r="S173" s="17">
        <v>1000000</v>
      </c>
      <c r="T173" s="17">
        <v>4409.66</v>
      </c>
      <c r="U173" s="17"/>
      <c r="V173" s="17"/>
      <c r="W173" s="17">
        <v>280</v>
      </c>
      <c r="X173" s="17">
        <v>3457</v>
      </c>
      <c r="Y173" s="17">
        <v>597.91999999999996</v>
      </c>
      <c r="Z173" s="18">
        <f t="shared" si="58"/>
        <v>4.4096600000000001E-3</v>
      </c>
      <c r="AA173" s="19">
        <v>0.1</v>
      </c>
      <c r="AB173" s="17">
        <f t="shared" si="70"/>
        <v>345.70000000000005</v>
      </c>
      <c r="AC173" s="17">
        <v>0</v>
      </c>
      <c r="AD173" s="17">
        <v>0</v>
      </c>
      <c r="AE173" s="17">
        <f t="shared" si="59"/>
        <v>345.70000000000005</v>
      </c>
      <c r="AF173" s="17">
        <f t="shared" si="68"/>
        <v>55.312000000000012</v>
      </c>
      <c r="AG173" s="17">
        <f t="shared" si="60"/>
        <v>401.01200000000006</v>
      </c>
      <c r="AH173" s="17">
        <f t="shared" si="69"/>
        <v>6.9140000000000015</v>
      </c>
      <c r="AI173" s="17">
        <v>0</v>
      </c>
      <c r="AJ173" s="17">
        <f t="shared" si="61"/>
        <v>6.9140000000000015</v>
      </c>
      <c r="AK173" s="20"/>
      <c r="AL173" s="17">
        <f t="shared" si="62"/>
        <v>338.78600000000006</v>
      </c>
      <c r="AM173" s="17"/>
      <c r="AN173" s="21"/>
      <c r="AO173" s="17">
        <f t="shared" si="63"/>
        <v>0</v>
      </c>
      <c r="AP173" s="17"/>
      <c r="AQ173" s="16"/>
      <c r="AR173" s="17">
        <f t="shared" si="54"/>
        <v>0</v>
      </c>
      <c r="AS173" s="17"/>
      <c r="AT173" s="17">
        <v>401.01200000000006</v>
      </c>
      <c r="AU173" s="17">
        <f t="shared" si="64"/>
        <v>401.01200000000006</v>
      </c>
      <c r="AV173" s="17">
        <f t="shared" si="65"/>
        <v>0</v>
      </c>
      <c r="AW173" s="17" t="str">
        <f t="shared" si="67"/>
        <v>MAYFAIR</v>
      </c>
      <c r="AX173" s="22">
        <v>44699</v>
      </c>
      <c r="AY173" s="22"/>
      <c r="AZ173" s="1" t="s">
        <v>68</v>
      </c>
      <c r="BA173" s="22" t="str">
        <f t="shared" si="66"/>
        <v>MOTOR TPL</v>
      </c>
      <c r="BB173" s="22"/>
      <c r="BC173" s="22"/>
      <c r="BD173" s="22"/>
    </row>
    <row r="174" spans="1:56" ht="14.25" customHeight="1" x14ac:dyDescent="0.2">
      <c r="A174" s="12" t="s">
        <v>324</v>
      </c>
      <c r="B174" s="1" t="s">
        <v>57</v>
      </c>
      <c r="C174" s="13">
        <v>44622</v>
      </c>
      <c r="D174" s="13">
        <v>44651</v>
      </c>
      <c r="E174" s="13">
        <v>44649</v>
      </c>
      <c r="F174" s="13">
        <v>45013</v>
      </c>
      <c r="G174" s="14" t="str">
        <f t="shared" si="57"/>
        <v>000-173/AIB RDC/2022</v>
      </c>
      <c r="H174" s="1">
        <v>0</v>
      </c>
      <c r="I174" s="1" t="s">
        <v>74</v>
      </c>
      <c r="J174" s="1" t="s">
        <v>401</v>
      </c>
      <c r="K174" s="16" t="s">
        <v>402</v>
      </c>
      <c r="L174" s="16" t="s">
        <v>403</v>
      </c>
      <c r="M174" s="16" t="s">
        <v>62</v>
      </c>
      <c r="N174" s="16" t="s">
        <v>209</v>
      </c>
      <c r="O174" s="16" t="s">
        <v>70</v>
      </c>
      <c r="P174" s="16" t="s">
        <v>71</v>
      </c>
      <c r="Q174" s="16" t="s">
        <v>130</v>
      </c>
      <c r="R174" s="16" t="s">
        <v>130</v>
      </c>
      <c r="S174" s="17">
        <v>75000</v>
      </c>
      <c r="T174" s="17">
        <v>403.95</v>
      </c>
      <c r="U174" s="17"/>
      <c r="V174" s="17"/>
      <c r="W174" s="17">
        <v>11.64</v>
      </c>
      <c r="X174" s="17">
        <v>330.7</v>
      </c>
      <c r="Y174" s="17">
        <v>54.77</v>
      </c>
      <c r="Z174" s="18">
        <f t="shared" si="58"/>
        <v>5.3860000000000002E-3</v>
      </c>
      <c r="AA174" s="19">
        <v>0.1</v>
      </c>
      <c r="AB174" s="17">
        <f t="shared" si="70"/>
        <v>33.07</v>
      </c>
      <c r="AC174" s="17">
        <v>0</v>
      </c>
      <c r="AD174" s="17">
        <v>0</v>
      </c>
      <c r="AE174" s="17">
        <f t="shared" si="59"/>
        <v>33.07</v>
      </c>
      <c r="AF174" s="17">
        <f t="shared" si="68"/>
        <v>5.2911999999999999</v>
      </c>
      <c r="AG174" s="17">
        <f t="shared" si="60"/>
        <v>38.361199999999997</v>
      </c>
      <c r="AH174" s="17">
        <f t="shared" si="69"/>
        <v>0.66139999999999999</v>
      </c>
      <c r="AI174" s="17">
        <v>0</v>
      </c>
      <c r="AJ174" s="17">
        <f t="shared" si="61"/>
        <v>0.66139999999999999</v>
      </c>
      <c r="AK174" s="20"/>
      <c r="AL174" s="17">
        <f t="shared" si="62"/>
        <v>32.4086</v>
      </c>
      <c r="AM174" s="17"/>
      <c r="AN174" s="21"/>
      <c r="AO174" s="17">
        <f t="shared" si="63"/>
        <v>0</v>
      </c>
      <c r="AP174" s="17"/>
      <c r="AQ174" s="16"/>
      <c r="AR174" s="17">
        <f t="shared" si="54"/>
        <v>0</v>
      </c>
      <c r="AS174" s="17"/>
      <c r="AT174" s="17">
        <v>38.361199999999997</v>
      </c>
      <c r="AU174" s="17">
        <f t="shared" si="64"/>
        <v>38.361199999999997</v>
      </c>
      <c r="AV174" s="17">
        <f t="shared" si="65"/>
        <v>0</v>
      </c>
      <c r="AW174" s="17" t="str">
        <f t="shared" si="67"/>
        <v>SFA</v>
      </c>
      <c r="AX174" s="22">
        <v>44676</v>
      </c>
      <c r="AY174" s="22"/>
      <c r="AZ174" s="1" t="s">
        <v>68</v>
      </c>
      <c r="BA174" s="22" t="str">
        <f t="shared" si="66"/>
        <v>FIRE</v>
      </c>
      <c r="BB174" s="22"/>
      <c r="BC174" s="22"/>
      <c r="BD174" s="22"/>
    </row>
    <row r="175" spans="1:56" ht="14.25" customHeight="1" x14ac:dyDescent="0.2">
      <c r="A175" s="1" t="s">
        <v>229</v>
      </c>
      <c r="B175" s="1" t="s">
        <v>57</v>
      </c>
      <c r="C175" s="13">
        <v>44750</v>
      </c>
      <c r="D175" s="13">
        <v>44691</v>
      </c>
      <c r="E175" s="13">
        <v>44602</v>
      </c>
      <c r="F175" s="13">
        <v>44966</v>
      </c>
      <c r="G175" s="14" t="str">
        <f t="shared" si="57"/>
        <v>000-174/AIB RDC/2022</v>
      </c>
      <c r="H175" s="1">
        <v>0</v>
      </c>
      <c r="I175" s="1" t="s">
        <v>74</v>
      </c>
      <c r="J175" s="1" t="s">
        <v>404</v>
      </c>
      <c r="K175" s="16" t="s">
        <v>405</v>
      </c>
      <c r="L175" s="16" t="s">
        <v>169</v>
      </c>
      <c r="M175" s="16" t="s">
        <v>105</v>
      </c>
      <c r="N175" s="16" t="s">
        <v>191</v>
      </c>
      <c r="O175" s="16" t="s">
        <v>185</v>
      </c>
      <c r="P175" s="16" t="s">
        <v>71</v>
      </c>
      <c r="Q175" s="16" t="s">
        <v>107</v>
      </c>
      <c r="R175" s="16" t="s">
        <v>406</v>
      </c>
      <c r="S175" s="17">
        <v>0</v>
      </c>
      <c r="T175" s="17">
        <v>136998</v>
      </c>
      <c r="U175" s="17">
        <v>17400</v>
      </c>
      <c r="V175" s="17"/>
      <c r="W175" s="17">
        <v>100</v>
      </c>
      <c r="X175" s="17">
        <v>98600</v>
      </c>
      <c r="Y175" s="17">
        <v>18576</v>
      </c>
      <c r="Z175" s="18" t="e">
        <f t="shared" si="58"/>
        <v>#DIV/0!</v>
      </c>
      <c r="AA175" s="19">
        <v>0</v>
      </c>
      <c r="AB175" s="17">
        <v>0</v>
      </c>
      <c r="AC175" s="17">
        <f>30%*U175</f>
        <v>5220</v>
      </c>
      <c r="AD175" s="17">
        <f>(11.7647058823529%*X175)/1.16</f>
        <v>9999.9999999999654</v>
      </c>
      <c r="AE175" s="17">
        <f t="shared" si="59"/>
        <v>15219.999999999965</v>
      </c>
      <c r="AF175" s="17">
        <f t="shared" si="68"/>
        <v>2435.1999999999944</v>
      </c>
      <c r="AG175" s="17">
        <f t="shared" si="60"/>
        <v>17655.199999999961</v>
      </c>
      <c r="AH175" s="17">
        <f t="shared" si="69"/>
        <v>304.3999999999993</v>
      </c>
      <c r="AI175" s="17">
        <v>0</v>
      </c>
      <c r="AJ175" s="17">
        <f t="shared" si="61"/>
        <v>304.3999999999993</v>
      </c>
      <c r="AK175" s="20"/>
      <c r="AL175" s="17">
        <f t="shared" si="62"/>
        <v>14915.599999999966</v>
      </c>
      <c r="AM175" s="17"/>
      <c r="AN175" s="21"/>
      <c r="AO175" s="17">
        <f t="shared" si="63"/>
        <v>0</v>
      </c>
      <c r="AP175" s="17"/>
      <c r="AQ175" s="16"/>
      <c r="AR175" s="17">
        <f t="shared" si="54"/>
        <v>0</v>
      </c>
      <c r="AS175" s="17"/>
      <c r="AT175" s="17">
        <f>4413.8+4413.65+4562.76+4264.98999999996</f>
        <v>17655.199999999961</v>
      </c>
      <c r="AU175" s="17">
        <f t="shared" si="64"/>
        <v>17655.199999999961</v>
      </c>
      <c r="AV175" s="17">
        <f t="shared" si="65"/>
        <v>0</v>
      </c>
      <c r="AW175" s="17" t="str">
        <f t="shared" si="67"/>
        <v>RAWSUR</v>
      </c>
      <c r="AX175" s="22">
        <v>44901</v>
      </c>
      <c r="AY175" s="22"/>
      <c r="AZ175" s="1" t="s">
        <v>145</v>
      </c>
      <c r="BA175" s="22" t="str">
        <f t="shared" si="66"/>
        <v>AVIATION HULL ALL RISK</v>
      </c>
      <c r="BB175" s="26"/>
      <c r="BC175" s="22"/>
      <c r="BD175" s="22"/>
    </row>
    <row r="176" spans="1:56" ht="14.25" customHeight="1" x14ac:dyDescent="0.2">
      <c r="A176" s="12" t="s">
        <v>324</v>
      </c>
      <c r="B176" s="1" t="s">
        <v>57</v>
      </c>
      <c r="C176" s="13">
        <v>44622</v>
      </c>
      <c r="D176" s="13">
        <v>44638</v>
      </c>
      <c r="E176" s="13">
        <v>44631</v>
      </c>
      <c r="F176" s="13">
        <v>44660</v>
      </c>
      <c r="G176" s="14" t="str">
        <f t="shared" si="57"/>
        <v>000-175/AIB RDC/2022</v>
      </c>
      <c r="H176" s="1">
        <v>0</v>
      </c>
      <c r="I176" s="1" t="s">
        <v>74</v>
      </c>
      <c r="J176" s="1" t="s">
        <v>407</v>
      </c>
      <c r="K176" s="1" t="s">
        <v>263</v>
      </c>
      <c r="L176" s="16"/>
      <c r="M176" s="16" t="s">
        <v>105</v>
      </c>
      <c r="N176" s="16" t="s">
        <v>106</v>
      </c>
      <c r="O176" s="16" t="s">
        <v>64</v>
      </c>
      <c r="P176" s="16" t="s">
        <v>65</v>
      </c>
      <c r="Q176" s="16" t="s">
        <v>130</v>
      </c>
      <c r="R176" s="16" t="s">
        <v>130</v>
      </c>
      <c r="S176" s="17">
        <v>108868.01</v>
      </c>
      <c r="T176" s="17">
        <v>408.98</v>
      </c>
      <c r="U176" s="17">
        <v>0</v>
      </c>
      <c r="V176" s="17"/>
      <c r="W176" s="17">
        <v>20</v>
      </c>
      <c r="X176" s="17">
        <v>326.60000000000002</v>
      </c>
      <c r="Y176" s="17">
        <v>55.45</v>
      </c>
      <c r="Z176" s="18">
        <f t="shared" si="58"/>
        <v>3.7566590957251816E-3</v>
      </c>
      <c r="AA176" s="19">
        <v>0.15</v>
      </c>
      <c r="AB176" s="17">
        <f t="shared" ref="AB176:AB219" si="71">(AA176*X176)</f>
        <v>48.99</v>
      </c>
      <c r="AC176" s="17">
        <v>0</v>
      </c>
      <c r="AD176" s="17">
        <v>0</v>
      </c>
      <c r="AE176" s="17">
        <f t="shared" si="59"/>
        <v>48.99</v>
      </c>
      <c r="AF176" s="17">
        <f t="shared" si="68"/>
        <v>7.8384000000000009</v>
      </c>
      <c r="AG176" s="17">
        <f t="shared" si="60"/>
        <v>56.828400000000002</v>
      </c>
      <c r="AH176" s="17">
        <f t="shared" si="69"/>
        <v>0.97980000000000012</v>
      </c>
      <c r="AI176" s="17">
        <v>0</v>
      </c>
      <c r="AJ176" s="17">
        <f t="shared" si="61"/>
        <v>0.97980000000000012</v>
      </c>
      <c r="AK176" s="20"/>
      <c r="AL176" s="17">
        <f t="shared" si="62"/>
        <v>48.010200000000005</v>
      </c>
      <c r="AM176" s="17" t="s">
        <v>108</v>
      </c>
      <c r="AN176" s="21">
        <v>0.4</v>
      </c>
      <c r="AO176" s="17">
        <f t="shared" si="63"/>
        <v>19.204080000000005</v>
      </c>
      <c r="AP176" s="17">
        <v>19.204080000000005</v>
      </c>
      <c r="AQ176" s="16">
        <v>44834</v>
      </c>
      <c r="AR176" s="17">
        <f t="shared" si="54"/>
        <v>0</v>
      </c>
      <c r="AS176" s="17" t="s">
        <v>109</v>
      </c>
      <c r="AT176" s="17">
        <v>56.828400000000002</v>
      </c>
      <c r="AU176" s="17">
        <f t="shared" si="64"/>
        <v>56.828400000000002</v>
      </c>
      <c r="AV176" s="17">
        <f t="shared" si="65"/>
        <v>0</v>
      </c>
      <c r="AW176" s="17" t="str">
        <f t="shared" si="67"/>
        <v>SFA</v>
      </c>
      <c r="AX176" s="22">
        <v>44676</v>
      </c>
      <c r="AY176" s="22"/>
      <c r="AZ176" s="1" t="s">
        <v>110</v>
      </c>
      <c r="BA176" s="22" t="str">
        <f t="shared" si="66"/>
        <v>MARINE CARGO / GIT</v>
      </c>
      <c r="BB176" s="22"/>
      <c r="BC176" s="22"/>
      <c r="BD176" s="22"/>
    </row>
    <row r="177" spans="1:56" ht="14.25" customHeight="1" x14ac:dyDescent="0.2">
      <c r="A177" s="12" t="s">
        <v>324</v>
      </c>
      <c r="B177" s="1" t="s">
        <v>57</v>
      </c>
      <c r="C177" s="13">
        <v>44622</v>
      </c>
      <c r="D177" s="13">
        <v>44631</v>
      </c>
      <c r="E177" s="13">
        <v>44631</v>
      </c>
      <c r="F177" s="13">
        <v>44645</v>
      </c>
      <c r="G177" s="14" t="str">
        <f t="shared" si="57"/>
        <v>000-176/AIB RDC/2022</v>
      </c>
      <c r="H177" s="1">
        <v>3</v>
      </c>
      <c r="I177" s="1" t="s">
        <v>91</v>
      </c>
      <c r="J177" s="1" t="s">
        <v>408</v>
      </c>
      <c r="K177" s="16" t="s">
        <v>409</v>
      </c>
      <c r="L177" s="16" t="s">
        <v>137</v>
      </c>
      <c r="M177" s="16" t="s">
        <v>84</v>
      </c>
      <c r="N177" s="16" t="s">
        <v>84</v>
      </c>
      <c r="O177" s="16" t="s">
        <v>152</v>
      </c>
      <c r="P177" s="16" t="s">
        <v>153</v>
      </c>
      <c r="Q177" s="16" t="s">
        <v>130</v>
      </c>
      <c r="R177" s="16" t="s">
        <v>130</v>
      </c>
      <c r="S177" s="17">
        <v>0</v>
      </c>
      <c r="T177" s="17">
        <v>468.52</v>
      </c>
      <c r="U177" s="17">
        <v>0</v>
      </c>
      <c r="V177" s="17"/>
      <c r="W177" s="17">
        <v>5.86</v>
      </c>
      <c r="X177" s="17">
        <v>391.19</v>
      </c>
      <c r="Y177" s="17">
        <v>63.52</v>
      </c>
      <c r="Z177" s="18" t="e">
        <f t="shared" si="58"/>
        <v>#DIV/0!</v>
      </c>
      <c r="AA177" s="19">
        <v>0.15</v>
      </c>
      <c r="AB177" s="17">
        <f t="shared" si="71"/>
        <v>58.6785</v>
      </c>
      <c r="AC177" s="17">
        <v>0</v>
      </c>
      <c r="AD177" s="17">
        <v>0</v>
      </c>
      <c r="AE177" s="17">
        <f t="shared" si="59"/>
        <v>58.6785</v>
      </c>
      <c r="AF177" s="17">
        <f t="shared" si="68"/>
        <v>9.38856</v>
      </c>
      <c r="AG177" s="17">
        <f t="shared" si="60"/>
        <v>68.067059999999998</v>
      </c>
      <c r="AH177" s="17">
        <f t="shared" si="69"/>
        <v>1.17357</v>
      </c>
      <c r="AI177" s="17">
        <v>0</v>
      </c>
      <c r="AJ177" s="17">
        <f t="shared" si="61"/>
        <v>1.17357</v>
      </c>
      <c r="AK177" s="20"/>
      <c r="AL177" s="17">
        <f t="shared" si="62"/>
        <v>57.504930000000002</v>
      </c>
      <c r="AM177" s="17"/>
      <c r="AN177" s="21"/>
      <c r="AO177" s="17">
        <f t="shared" si="63"/>
        <v>0</v>
      </c>
      <c r="AP177" s="17"/>
      <c r="AQ177" s="16"/>
      <c r="AR177" s="17">
        <f t="shared" si="54"/>
        <v>0</v>
      </c>
      <c r="AS177" s="17"/>
      <c r="AT177" s="17">
        <v>68.067059999999998</v>
      </c>
      <c r="AU177" s="17">
        <f t="shared" si="64"/>
        <v>68.067059999999998</v>
      </c>
      <c r="AV177" s="17">
        <f t="shared" si="65"/>
        <v>0</v>
      </c>
      <c r="AW177" s="17" t="str">
        <f t="shared" si="67"/>
        <v>SFA</v>
      </c>
      <c r="AX177" s="22">
        <v>44676</v>
      </c>
      <c r="AY177" s="22"/>
      <c r="AZ177" s="1" t="s">
        <v>68</v>
      </c>
      <c r="BA177" s="22" t="str">
        <f t="shared" si="66"/>
        <v>COMP MOTOR</v>
      </c>
      <c r="BB177" s="22"/>
      <c r="BC177" s="22"/>
      <c r="BD177" s="22"/>
    </row>
    <row r="178" spans="1:56" ht="14.25" customHeight="1" x14ac:dyDescent="0.2">
      <c r="A178" s="12" t="s">
        <v>324</v>
      </c>
      <c r="B178" s="1" t="s">
        <v>57</v>
      </c>
      <c r="C178" s="13">
        <v>44622</v>
      </c>
      <c r="D178" s="13">
        <v>44651</v>
      </c>
      <c r="E178" s="13">
        <v>44649</v>
      </c>
      <c r="F178" s="13">
        <v>45013</v>
      </c>
      <c r="G178" s="14" t="str">
        <f t="shared" si="57"/>
        <v>000-177/AIB RDC/2022</v>
      </c>
      <c r="H178" s="1">
        <v>0</v>
      </c>
      <c r="I178" s="1" t="s">
        <v>74</v>
      </c>
      <c r="J178" s="1" t="s">
        <v>410</v>
      </c>
      <c r="K178" s="16" t="s">
        <v>402</v>
      </c>
      <c r="L178" s="16" t="s">
        <v>403</v>
      </c>
      <c r="M178" s="16" t="s">
        <v>62</v>
      </c>
      <c r="N178" s="16" t="s">
        <v>209</v>
      </c>
      <c r="O178" s="16" t="s">
        <v>172</v>
      </c>
      <c r="P178" s="16" t="s">
        <v>90</v>
      </c>
      <c r="Q178" s="16" t="s">
        <v>130</v>
      </c>
      <c r="R178" s="16" t="s">
        <v>130</v>
      </c>
      <c r="S178" s="17">
        <v>75000</v>
      </c>
      <c r="T178" s="17">
        <v>613.6</v>
      </c>
      <c r="U178" s="17"/>
      <c r="V178" s="17"/>
      <c r="W178" s="17">
        <v>20</v>
      </c>
      <c r="X178" s="17">
        <v>500</v>
      </c>
      <c r="Y178" s="17">
        <v>83.2</v>
      </c>
      <c r="Z178" s="18">
        <f t="shared" si="58"/>
        <v>8.1813333333333339E-3</v>
      </c>
      <c r="AA178" s="19">
        <v>0.15</v>
      </c>
      <c r="AB178" s="17">
        <f t="shared" si="71"/>
        <v>75</v>
      </c>
      <c r="AC178" s="17">
        <v>0</v>
      </c>
      <c r="AD178" s="17">
        <v>0</v>
      </c>
      <c r="AE178" s="17">
        <f t="shared" si="59"/>
        <v>75</v>
      </c>
      <c r="AF178" s="17">
        <f t="shared" si="68"/>
        <v>12</v>
      </c>
      <c r="AG178" s="17">
        <f t="shared" si="60"/>
        <v>87</v>
      </c>
      <c r="AH178" s="17">
        <f t="shared" si="69"/>
        <v>1.5</v>
      </c>
      <c r="AI178" s="17">
        <v>0</v>
      </c>
      <c r="AJ178" s="17">
        <f t="shared" si="61"/>
        <v>1.5</v>
      </c>
      <c r="AK178" s="20"/>
      <c r="AL178" s="17">
        <f t="shared" si="62"/>
        <v>73.5</v>
      </c>
      <c r="AM178" s="17"/>
      <c r="AN178" s="21"/>
      <c r="AO178" s="17">
        <f t="shared" si="63"/>
        <v>0</v>
      </c>
      <c r="AP178" s="17"/>
      <c r="AQ178" s="16"/>
      <c r="AR178" s="17">
        <f t="shared" si="54"/>
        <v>0</v>
      </c>
      <c r="AS178" s="17"/>
      <c r="AT178" s="17">
        <v>87</v>
      </c>
      <c r="AU178" s="17">
        <f t="shared" si="64"/>
        <v>87</v>
      </c>
      <c r="AV178" s="17">
        <f t="shared" si="65"/>
        <v>0</v>
      </c>
      <c r="AW178" s="17" t="str">
        <f t="shared" si="67"/>
        <v>SFA</v>
      </c>
      <c r="AX178" s="22">
        <v>44676</v>
      </c>
      <c r="AY178" s="22"/>
      <c r="AZ178" s="1" t="s">
        <v>68</v>
      </c>
      <c r="BA178" s="22" t="str">
        <f t="shared" si="66"/>
        <v>PUBLIC LIABILITY</v>
      </c>
      <c r="BB178" s="22"/>
      <c r="BC178" s="22"/>
      <c r="BD178" s="22"/>
    </row>
    <row r="179" spans="1:56" ht="14.25" customHeight="1" x14ac:dyDescent="0.2">
      <c r="A179" s="1" t="s">
        <v>369</v>
      </c>
      <c r="B179" s="1" t="s">
        <v>57</v>
      </c>
      <c r="C179" s="13">
        <v>44623</v>
      </c>
      <c r="D179" s="13">
        <v>44670</v>
      </c>
      <c r="E179" s="13">
        <v>44666</v>
      </c>
      <c r="F179" s="13">
        <v>44668</v>
      </c>
      <c r="G179" s="14" t="str">
        <f t="shared" si="57"/>
        <v>000-178/AIB RDC/2022</v>
      </c>
      <c r="H179" s="1">
        <v>0</v>
      </c>
      <c r="I179" s="1" t="s">
        <v>74</v>
      </c>
      <c r="J179" s="24" t="s">
        <v>411</v>
      </c>
      <c r="K179" s="16" t="s">
        <v>211</v>
      </c>
      <c r="L179" s="16"/>
      <c r="M179" s="16" t="s">
        <v>105</v>
      </c>
      <c r="N179" s="16" t="s">
        <v>106</v>
      </c>
      <c r="O179" s="16" t="s">
        <v>64</v>
      </c>
      <c r="P179" s="16" t="s">
        <v>65</v>
      </c>
      <c r="Q179" s="16" t="s">
        <v>130</v>
      </c>
      <c r="R179" s="16" t="s">
        <v>130</v>
      </c>
      <c r="S179" s="17">
        <v>36442.980000000003</v>
      </c>
      <c r="T179" s="17">
        <v>95.83</v>
      </c>
      <c r="U179" s="17"/>
      <c r="V179" s="17"/>
      <c r="W179" s="17">
        <v>20</v>
      </c>
      <c r="X179" s="17">
        <v>61.22</v>
      </c>
      <c r="Y179" s="17">
        <v>13</v>
      </c>
      <c r="Z179" s="18">
        <f t="shared" si="58"/>
        <v>2.6295873718340263E-3</v>
      </c>
      <c r="AA179" s="19">
        <v>0.15</v>
      </c>
      <c r="AB179" s="17">
        <f t="shared" si="71"/>
        <v>9.1829999999999998</v>
      </c>
      <c r="AC179" s="17">
        <v>0</v>
      </c>
      <c r="AD179" s="17">
        <v>0</v>
      </c>
      <c r="AE179" s="17">
        <f t="shared" si="59"/>
        <v>9.1829999999999998</v>
      </c>
      <c r="AF179" s="17">
        <f t="shared" si="68"/>
        <v>1.4692799999999999</v>
      </c>
      <c r="AG179" s="17">
        <f t="shared" si="60"/>
        <v>10.652279999999999</v>
      </c>
      <c r="AH179" s="17">
        <f t="shared" si="69"/>
        <v>0.18365999999999999</v>
      </c>
      <c r="AI179" s="17">
        <v>0</v>
      </c>
      <c r="AJ179" s="17">
        <f t="shared" si="61"/>
        <v>0.18365999999999999</v>
      </c>
      <c r="AK179" s="20"/>
      <c r="AL179" s="17">
        <f t="shared" si="62"/>
        <v>8.9993400000000001</v>
      </c>
      <c r="AM179" s="17" t="s">
        <v>108</v>
      </c>
      <c r="AN179" s="21">
        <v>0.4</v>
      </c>
      <c r="AO179" s="17">
        <f t="shared" si="63"/>
        <v>3.599736</v>
      </c>
      <c r="AP179" s="17">
        <v>3.599736</v>
      </c>
      <c r="AQ179" s="16">
        <v>44834</v>
      </c>
      <c r="AR179" s="17">
        <f t="shared" si="54"/>
        <v>0</v>
      </c>
      <c r="AS179" s="17" t="s">
        <v>109</v>
      </c>
      <c r="AT179" s="17">
        <v>10.652279999999999</v>
      </c>
      <c r="AU179" s="17">
        <f t="shared" si="64"/>
        <v>10.652279999999999</v>
      </c>
      <c r="AV179" s="17">
        <f t="shared" si="65"/>
        <v>0</v>
      </c>
      <c r="AW179" s="17" t="str">
        <f t="shared" si="67"/>
        <v>SFA</v>
      </c>
      <c r="AX179" s="22">
        <v>44699</v>
      </c>
      <c r="AY179" s="22"/>
      <c r="AZ179" s="1" t="s">
        <v>110</v>
      </c>
      <c r="BA179" s="22" t="str">
        <f t="shared" si="66"/>
        <v>MARINE CARGO / GIT</v>
      </c>
      <c r="BB179" s="22"/>
      <c r="BC179" s="22"/>
      <c r="BD179" s="22"/>
    </row>
    <row r="180" spans="1:56" ht="14.25" customHeight="1" x14ac:dyDescent="0.2">
      <c r="A180" s="12" t="s">
        <v>324</v>
      </c>
      <c r="B180" s="1" t="s">
        <v>57</v>
      </c>
      <c r="C180" s="13">
        <v>44811</v>
      </c>
      <c r="D180" s="13">
        <v>44788</v>
      </c>
      <c r="E180" s="13">
        <v>44637</v>
      </c>
      <c r="F180" s="13">
        <v>44697</v>
      </c>
      <c r="G180" s="14" t="str">
        <f t="shared" si="57"/>
        <v>000-179/AIB RDC/2022</v>
      </c>
      <c r="H180" s="1">
        <v>0</v>
      </c>
      <c r="I180" s="1" t="s">
        <v>74</v>
      </c>
      <c r="J180" s="24" t="s">
        <v>412</v>
      </c>
      <c r="K180" s="1" t="s">
        <v>413</v>
      </c>
      <c r="L180" s="16"/>
      <c r="M180" s="16" t="s">
        <v>105</v>
      </c>
      <c r="N180" s="16" t="s">
        <v>106</v>
      </c>
      <c r="O180" s="16" t="s">
        <v>64</v>
      </c>
      <c r="P180" s="16" t="s">
        <v>65</v>
      </c>
      <c r="Q180" s="16" t="s">
        <v>130</v>
      </c>
      <c r="R180" s="16" t="s">
        <v>130</v>
      </c>
      <c r="S180" s="17">
        <v>271993.39</v>
      </c>
      <c r="T180" s="17">
        <v>1146.93</v>
      </c>
      <c r="U180" s="17"/>
      <c r="V180" s="17"/>
      <c r="W180" s="17">
        <v>20</v>
      </c>
      <c r="X180" s="17">
        <v>951.99</v>
      </c>
      <c r="Y180" s="17">
        <v>155.52000000000001</v>
      </c>
      <c r="Z180" s="18">
        <f t="shared" si="58"/>
        <v>4.2167568851581285E-3</v>
      </c>
      <c r="AA180" s="19">
        <v>0.15</v>
      </c>
      <c r="AB180" s="17">
        <f t="shared" si="71"/>
        <v>142.79849999999999</v>
      </c>
      <c r="AC180" s="17">
        <v>0</v>
      </c>
      <c r="AD180" s="17">
        <v>0</v>
      </c>
      <c r="AE180" s="17">
        <f t="shared" si="59"/>
        <v>142.79849999999999</v>
      </c>
      <c r="AF180" s="17">
        <f t="shared" si="68"/>
        <v>22.847759999999997</v>
      </c>
      <c r="AG180" s="17">
        <f t="shared" si="60"/>
        <v>165.64625999999998</v>
      </c>
      <c r="AH180" s="17">
        <f t="shared" si="69"/>
        <v>2.8559699999999997</v>
      </c>
      <c r="AI180" s="17">
        <v>0</v>
      </c>
      <c r="AJ180" s="17">
        <f t="shared" si="61"/>
        <v>2.8559699999999997</v>
      </c>
      <c r="AK180" s="20"/>
      <c r="AL180" s="17">
        <f t="shared" si="62"/>
        <v>139.94252999999998</v>
      </c>
      <c r="AM180" s="17" t="s">
        <v>108</v>
      </c>
      <c r="AN180" s="21">
        <v>0.4</v>
      </c>
      <c r="AO180" s="17">
        <f t="shared" si="63"/>
        <v>55.977011999999995</v>
      </c>
      <c r="AP180" s="17">
        <v>55.977011999999995</v>
      </c>
      <c r="AQ180" s="16">
        <v>44867</v>
      </c>
      <c r="AR180" s="17">
        <f t="shared" si="54"/>
        <v>0</v>
      </c>
      <c r="AS180" s="17" t="s">
        <v>397</v>
      </c>
      <c r="AT180" s="17">
        <v>165.64625999999998</v>
      </c>
      <c r="AU180" s="17">
        <f t="shared" si="64"/>
        <v>165.64625999999998</v>
      </c>
      <c r="AV180" s="17">
        <f t="shared" si="65"/>
        <v>0</v>
      </c>
      <c r="AW180" s="17" t="str">
        <f t="shared" si="67"/>
        <v>SFA</v>
      </c>
      <c r="AX180" s="22">
        <v>44823</v>
      </c>
      <c r="AY180" s="22"/>
      <c r="AZ180" s="1" t="s">
        <v>110</v>
      </c>
      <c r="BA180" s="22" t="str">
        <f t="shared" si="66"/>
        <v>MARINE CARGO / GIT</v>
      </c>
      <c r="BB180" s="22"/>
      <c r="BC180" s="22"/>
      <c r="BD180" s="22"/>
    </row>
    <row r="181" spans="1:56" ht="14.25" customHeight="1" x14ac:dyDescent="0.2">
      <c r="A181" s="1" t="s">
        <v>369</v>
      </c>
      <c r="B181" s="1" t="s">
        <v>57</v>
      </c>
      <c r="C181" s="13">
        <v>44623</v>
      </c>
      <c r="D181" s="13">
        <v>44666</v>
      </c>
      <c r="E181" s="13">
        <v>44666</v>
      </c>
      <c r="F181" s="13">
        <v>44961</v>
      </c>
      <c r="G181" s="14" t="str">
        <f t="shared" si="57"/>
        <v>000-180/AIB RDC/2022</v>
      </c>
      <c r="H181" s="1">
        <v>1</v>
      </c>
      <c r="I181" s="1" t="s">
        <v>91</v>
      </c>
      <c r="J181" s="1" t="s">
        <v>305</v>
      </c>
      <c r="K181" s="1" t="s">
        <v>144</v>
      </c>
      <c r="L181" s="16" t="s">
        <v>123</v>
      </c>
      <c r="M181" s="16" t="s">
        <v>84</v>
      </c>
      <c r="N181" s="16" t="s">
        <v>84</v>
      </c>
      <c r="O181" s="16" t="s">
        <v>152</v>
      </c>
      <c r="P181" s="16" t="s">
        <v>153</v>
      </c>
      <c r="Q181" s="16" t="s">
        <v>130</v>
      </c>
      <c r="R181" s="16" t="s">
        <v>130</v>
      </c>
      <c r="S181" s="17">
        <v>0</v>
      </c>
      <c r="T181" s="17">
        <v>688.15</v>
      </c>
      <c r="U181" s="17">
        <v>0</v>
      </c>
      <c r="V181" s="17"/>
      <c r="W181" s="17">
        <v>8.6199999999999992</v>
      </c>
      <c r="X181" s="17">
        <v>574.55999999999995</v>
      </c>
      <c r="Y181" s="17">
        <v>93.3</v>
      </c>
      <c r="Z181" s="18" t="e">
        <f t="shared" si="58"/>
        <v>#DIV/0!</v>
      </c>
      <c r="AA181" s="19">
        <v>0.15</v>
      </c>
      <c r="AB181" s="17">
        <f t="shared" si="71"/>
        <v>86.183999999999983</v>
      </c>
      <c r="AC181" s="17">
        <v>0</v>
      </c>
      <c r="AD181" s="17">
        <v>0</v>
      </c>
      <c r="AE181" s="17">
        <f t="shared" si="59"/>
        <v>86.183999999999983</v>
      </c>
      <c r="AF181" s="17">
        <f t="shared" si="68"/>
        <v>13.789439999999997</v>
      </c>
      <c r="AG181" s="17">
        <f t="shared" si="60"/>
        <v>99.973439999999982</v>
      </c>
      <c r="AH181" s="17">
        <f t="shared" si="69"/>
        <v>1.7236799999999997</v>
      </c>
      <c r="AI181" s="17">
        <v>0</v>
      </c>
      <c r="AJ181" s="17">
        <f t="shared" si="61"/>
        <v>1.7236799999999997</v>
      </c>
      <c r="AK181" s="20"/>
      <c r="AL181" s="17">
        <f t="shared" si="62"/>
        <v>84.460319999999982</v>
      </c>
      <c r="AM181" s="17" t="s">
        <v>87</v>
      </c>
      <c r="AN181" s="21">
        <v>0.35</v>
      </c>
      <c r="AO181" s="17">
        <f t="shared" si="63"/>
        <v>29.561111999999991</v>
      </c>
      <c r="AP181" s="17"/>
      <c r="AQ181" s="16"/>
      <c r="AR181" s="17">
        <f t="shared" si="54"/>
        <v>29.561111999999991</v>
      </c>
      <c r="AS181" s="17"/>
      <c r="AT181" s="17">
        <v>99.973439999999982</v>
      </c>
      <c r="AU181" s="17">
        <f t="shared" si="64"/>
        <v>99.973439999999982</v>
      </c>
      <c r="AV181" s="17">
        <f t="shared" si="65"/>
        <v>0</v>
      </c>
      <c r="AW181" s="17" t="str">
        <f t="shared" si="67"/>
        <v>SFA</v>
      </c>
      <c r="AX181" s="22">
        <v>44699</v>
      </c>
      <c r="AY181" s="22"/>
      <c r="AZ181" s="1" t="s">
        <v>68</v>
      </c>
      <c r="BA181" s="22" t="str">
        <f t="shared" si="66"/>
        <v>COMP MOTOR</v>
      </c>
      <c r="BB181" s="22"/>
      <c r="BC181" s="22"/>
      <c r="BD181" s="22"/>
    </row>
    <row r="182" spans="1:56" ht="14.25" customHeight="1" x14ac:dyDescent="0.2">
      <c r="A182" s="12" t="s">
        <v>324</v>
      </c>
      <c r="B182" s="1" t="s">
        <v>57</v>
      </c>
      <c r="C182" s="13">
        <v>44623</v>
      </c>
      <c r="D182" s="13">
        <v>44644</v>
      </c>
      <c r="E182" s="13">
        <v>44635</v>
      </c>
      <c r="F182" s="13">
        <v>44999</v>
      </c>
      <c r="G182" s="14" t="str">
        <f t="shared" si="57"/>
        <v>000-181/AIB RDC/2022</v>
      </c>
      <c r="H182" s="1">
        <v>0</v>
      </c>
      <c r="I182" s="1" t="s">
        <v>74</v>
      </c>
      <c r="J182" s="1" t="s">
        <v>414</v>
      </c>
      <c r="K182" s="16" t="s">
        <v>222</v>
      </c>
      <c r="L182" s="1" t="s">
        <v>160</v>
      </c>
      <c r="M182" s="16" t="s">
        <v>105</v>
      </c>
      <c r="N182" s="16" t="s">
        <v>191</v>
      </c>
      <c r="O182" s="16" t="s">
        <v>70</v>
      </c>
      <c r="P182" s="16" t="s">
        <v>71</v>
      </c>
      <c r="Q182" s="16" t="s">
        <v>130</v>
      </c>
      <c r="R182" s="16" t="s">
        <v>130</v>
      </c>
      <c r="S182" s="17">
        <v>0</v>
      </c>
      <c r="T182" s="17">
        <v>2999.98</v>
      </c>
      <c r="U182" s="17">
        <v>0</v>
      </c>
      <c r="V182" s="17">
        <v>0</v>
      </c>
      <c r="W182" s="17">
        <v>22.59</v>
      </c>
      <c r="X182" s="17">
        <v>2519.7800000000002</v>
      </c>
      <c r="Y182" s="17">
        <v>406.77</v>
      </c>
      <c r="Z182" s="18" t="e">
        <f t="shared" si="58"/>
        <v>#DIV/0!</v>
      </c>
      <c r="AA182" s="19">
        <v>0.1</v>
      </c>
      <c r="AB182" s="17">
        <f t="shared" si="71"/>
        <v>251.97800000000004</v>
      </c>
      <c r="AC182" s="17">
        <v>0</v>
      </c>
      <c r="AD182" s="17">
        <v>0</v>
      </c>
      <c r="AE182" s="17">
        <f t="shared" si="59"/>
        <v>251.97800000000004</v>
      </c>
      <c r="AF182" s="17">
        <f t="shared" si="68"/>
        <v>40.316480000000006</v>
      </c>
      <c r="AG182" s="17">
        <f t="shared" si="60"/>
        <v>292.29448000000002</v>
      </c>
      <c r="AH182" s="17">
        <f t="shared" si="69"/>
        <v>5.0395600000000007</v>
      </c>
      <c r="AI182" s="17">
        <v>0</v>
      </c>
      <c r="AJ182" s="17">
        <f t="shared" si="61"/>
        <v>5.0395600000000007</v>
      </c>
      <c r="AK182" s="20"/>
      <c r="AL182" s="17">
        <f t="shared" si="62"/>
        <v>246.93844000000004</v>
      </c>
      <c r="AM182" s="17"/>
      <c r="AN182" s="21"/>
      <c r="AO182" s="17">
        <f t="shared" si="63"/>
        <v>0</v>
      </c>
      <c r="AP182" s="17"/>
      <c r="AQ182" s="16"/>
      <c r="AR182" s="17">
        <f t="shared" si="54"/>
        <v>0</v>
      </c>
      <c r="AS182" s="17"/>
      <c r="AT182" s="17">
        <v>292.29448000000002</v>
      </c>
      <c r="AU182" s="17">
        <f t="shared" si="64"/>
        <v>292.29448000000002</v>
      </c>
      <c r="AV182" s="17">
        <f t="shared" si="65"/>
        <v>0</v>
      </c>
      <c r="AW182" s="17" t="str">
        <f t="shared" si="67"/>
        <v>SFA</v>
      </c>
      <c r="AX182" s="22">
        <v>44676</v>
      </c>
      <c r="AY182" s="22"/>
      <c r="AZ182" s="1" t="s">
        <v>100</v>
      </c>
      <c r="BA182" s="22" t="str">
        <f t="shared" si="66"/>
        <v>FIRE</v>
      </c>
      <c r="BB182" s="22"/>
      <c r="BC182" s="22"/>
      <c r="BD182" s="22"/>
    </row>
    <row r="183" spans="1:56" ht="14.25" customHeight="1" x14ac:dyDescent="0.2">
      <c r="A183" s="12" t="s">
        <v>324</v>
      </c>
      <c r="B183" s="1" t="s">
        <v>57</v>
      </c>
      <c r="C183" s="13">
        <v>44629</v>
      </c>
      <c r="D183" s="13">
        <v>44638</v>
      </c>
      <c r="E183" s="13">
        <v>44636</v>
      </c>
      <c r="F183" s="13">
        <v>45000</v>
      </c>
      <c r="G183" s="14" t="str">
        <f t="shared" si="57"/>
        <v>000-182/AIB RDC/2022</v>
      </c>
      <c r="H183" s="1">
        <v>0</v>
      </c>
      <c r="I183" s="1" t="s">
        <v>74</v>
      </c>
      <c r="J183" s="1" t="s">
        <v>415</v>
      </c>
      <c r="K183" s="1" t="s">
        <v>60</v>
      </c>
      <c r="L183" s="16" t="s">
        <v>61</v>
      </c>
      <c r="M183" s="16" t="s">
        <v>62</v>
      </c>
      <c r="N183" s="16" t="s">
        <v>63</v>
      </c>
      <c r="O183" s="16" t="s">
        <v>152</v>
      </c>
      <c r="P183" s="16" t="s">
        <v>153</v>
      </c>
      <c r="Q183" s="16" t="s">
        <v>66</v>
      </c>
      <c r="R183" s="16" t="s">
        <v>66</v>
      </c>
      <c r="S183" s="17">
        <v>729200</v>
      </c>
      <c r="T183" s="17">
        <v>34608.89</v>
      </c>
      <c r="U183" s="17">
        <v>0</v>
      </c>
      <c r="V183" s="17"/>
      <c r="W183" s="17">
        <v>342.66</v>
      </c>
      <c r="X183" s="17">
        <v>34262.230000000003</v>
      </c>
      <c r="Y183" s="17">
        <v>0</v>
      </c>
      <c r="Z183" s="18">
        <f t="shared" si="58"/>
        <v>4.7461450905101482E-2</v>
      </c>
      <c r="AA183" s="19">
        <v>0.1469</v>
      </c>
      <c r="AB183" s="17">
        <f t="shared" si="71"/>
        <v>5033.1215870000005</v>
      </c>
      <c r="AC183" s="17">
        <v>0</v>
      </c>
      <c r="AD183" s="17">
        <v>0</v>
      </c>
      <c r="AE183" s="17">
        <f t="shared" si="59"/>
        <v>5033.1215870000005</v>
      </c>
      <c r="AF183" s="17">
        <f t="shared" si="68"/>
        <v>805.29945392000013</v>
      </c>
      <c r="AG183" s="17">
        <f t="shared" si="60"/>
        <v>5838.4210409200005</v>
      </c>
      <c r="AH183" s="17">
        <f t="shared" si="69"/>
        <v>100.66243174000002</v>
      </c>
      <c r="AI183" s="17">
        <v>0</v>
      </c>
      <c r="AJ183" s="17">
        <f t="shared" si="61"/>
        <v>100.66243174000002</v>
      </c>
      <c r="AK183" s="20"/>
      <c r="AL183" s="17">
        <f t="shared" si="62"/>
        <v>4932.4591552600004</v>
      </c>
      <c r="AM183" s="17"/>
      <c r="AN183" s="21"/>
      <c r="AO183" s="17">
        <f t="shared" si="63"/>
        <v>0</v>
      </c>
      <c r="AP183" s="17"/>
      <c r="AQ183" s="16"/>
      <c r="AR183" s="17">
        <f t="shared" si="54"/>
        <v>0</v>
      </c>
      <c r="AS183" s="17"/>
      <c r="AT183" s="17">
        <v>5838.4210409200005</v>
      </c>
      <c r="AU183" s="17">
        <f t="shared" si="64"/>
        <v>5838.4210409200005</v>
      </c>
      <c r="AV183" s="17">
        <f t="shared" si="65"/>
        <v>0</v>
      </c>
      <c r="AW183" s="17" t="str">
        <f t="shared" si="67"/>
        <v>ACTIVA</v>
      </c>
      <c r="AX183" s="22">
        <v>44699</v>
      </c>
      <c r="AY183" s="22"/>
      <c r="AZ183" s="1" t="s">
        <v>68</v>
      </c>
      <c r="BA183" s="22" t="str">
        <f t="shared" si="66"/>
        <v>COMP MOTOR</v>
      </c>
      <c r="BB183" s="22"/>
      <c r="BC183" s="22"/>
      <c r="BD183" s="22"/>
    </row>
    <row r="184" spans="1:56" ht="14.25" customHeight="1" x14ac:dyDescent="0.2">
      <c r="A184" s="12" t="s">
        <v>324</v>
      </c>
      <c r="B184" s="1" t="s">
        <v>57</v>
      </c>
      <c r="C184" s="13">
        <v>44623</v>
      </c>
      <c r="D184" s="13">
        <v>44656</v>
      </c>
      <c r="E184" s="13">
        <v>44637</v>
      </c>
      <c r="F184" s="13">
        <v>45001</v>
      </c>
      <c r="G184" s="14" t="str">
        <f t="shared" si="57"/>
        <v>000-183/AIB RDC/2022</v>
      </c>
      <c r="H184" s="1">
        <v>0</v>
      </c>
      <c r="I184" s="1" t="s">
        <v>74</v>
      </c>
      <c r="J184" s="24" t="s">
        <v>416</v>
      </c>
      <c r="K184" s="16" t="s">
        <v>400</v>
      </c>
      <c r="L184" s="16" t="s">
        <v>208</v>
      </c>
      <c r="M184" s="16" t="s">
        <v>62</v>
      </c>
      <c r="N184" s="16" t="s">
        <v>209</v>
      </c>
      <c r="O184" s="16" t="s">
        <v>70</v>
      </c>
      <c r="P184" s="16" t="s">
        <v>71</v>
      </c>
      <c r="Q184" s="16" t="s">
        <v>130</v>
      </c>
      <c r="R184" s="16" t="s">
        <v>130</v>
      </c>
      <c r="S184" s="17">
        <v>2738800</v>
      </c>
      <c r="T184" s="17">
        <v>4090.82</v>
      </c>
      <c r="U184" s="17"/>
      <c r="V184" s="17"/>
      <c r="W184" s="17">
        <v>41.8</v>
      </c>
      <c r="X184" s="17">
        <v>3424.98</v>
      </c>
      <c r="Y184" s="17">
        <v>554.67999999999995</v>
      </c>
      <c r="Z184" s="18">
        <f t="shared" si="58"/>
        <v>1.4936541551044253E-3</v>
      </c>
      <c r="AA184" s="19">
        <v>0.1</v>
      </c>
      <c r="AB184" s="17">
        <f t="shared" si="71"/>
        <v>342.49800000000005</v>
      </c>
      <c r="AC184" s="17">
        <v>0</v>
      </c>
      <c r="AD184" s="17">
        <v>0</v>
      </c>
      <c r="AE184" s="17">
        <f t="shared" si="59"/>
        <v>342.49800000000005</v>
      </c>
      <c r="AF184" s="17">
        <f t="shared" si="68"/>
        <v>54.799680000000009</v>
      </c>
      <c r="AG184" s="17">
        <f t="shared" si="60"/>
        <v>397.29768000000007</v>
      </c>
      <c r="AH184" s="17">
        <f t="shared" si="69"/>
        <v>6.8499600000000012</v>
      </c>
      <c r="AI184" s="17">
        <v>0</v>
      </c>
      <c r="AJ184" s="17">
        <f t="shared" si="61"/>
        <v>6.8499600000000012</v>
      </c>
      <c r="AK184" s="20"/>
      <c r="AL184" s="17">
        <f t="shared" si="62"/>
        <v>335.64804000000004</v>
      </c>
      <c r="AM184" s="17"/>
      <c r="AN184" s="21"/>
      <c r="AO184" s="17">
        <f t="shared" si="63"/>
        <v>0</v>
      </c>
      <c r="AP184" s="17"/>
      <c r="AQ184" s="16"/>
      <c r="AR184" s="17">
        <f t="shared" si="54"/>
        <v>0</v>
      </c>
      <c r="AS184" s="17"/>
      <c r="AT184" s="17">
        <v>397.29768000000007</v>
      </c>
      <c r="AU184" s="17">
        <f t="shared" si="64"/>
        <v>397.29768000000007</v>
      </c>
      <c r="AV184" s="17">
        <f t="shared" si="65"/>
        <v>0</v>
      </c>
      <c r="AW184" s="17" t="str">
        <f t="shared" si="67"/>
        <v>SFA</v>
      </c>
      <c r="AX184" s="22">
        <v>44699</v>
      </c>
      <c r="AY184" s="22"/>
      <c r="AZ184" s="1" t="s">
        <v>68</v>
      </c>
      <c r="BA184" s="22" t="str">
        <f t="shared" si="66"/>
        <v>FIRE</v>
      </c>
      <c r="BB184" s="22"/>
      <c r="BC184" s="22"/>
      <c r="BD184" s="22"/>
    </row>
    <row r="185" spans="1:56" ht="14.25" customHeight="1" x14ac:dyDescent="0.2">
      <c r="A185" s="12" t="s">
        <v>324</v>
      </c>
      <c r="B185" s="1" t="s">
        <v>57</v>
      </c>
      <c r="C185" s="13">
        <v>44625</v>
      </c>
      <c r="D185" s="13">
        <v>44656</v>
      </c>
      <c r="E185" s="13">
        <v>44637</v>
      </c>
      <c r="F185" s="13">
        <v>45001</v>
      </c>
      <c r="G185" s="14" t="str">
        <f t="shared" si="57"/>
        <v>000-184/AIB RDC/2022</v>
      </c>
      <c r="H185" s="1">
        <v>0</v>
      </c>
      <c r="I185" s="1" t="s">
        <v>74</v>
      </c>
      <c r="J185" s="24" t="s">
        <v>417</v>
      </c>
      <c r="K185" s="16" t="s">
        <v>207</v>
      </c>
      <c r="L185" s="16" t="s">
        <v>208</v>
      </c>
      <c r="M185" s="16" t="s">
        <v>62</v>
      </c>
      <c r="N185" s="16" t="s">
        <v>209</v>
      </c>
      <c r="O185" s="16" t="s">
        <v>70</v>
      </c>
      <c r="P185" s="16" t="s">
        <v>71</v>
      </c>
      <c r="Q185" s="16" t="s">
        <v>130</v>
      </c>
      <c r="R185" s="16" t="s">
        <v>130</v>
      </c>
      <c r="S185" s="17">
        <v>9998625</v>
      </c>
      <c r="T185" s="17">
        <v>14809.12</v>
      </c>
      <c r="U185" s="17"/>
      <c r="V185" s="17"/>
      <c r="W185" s="17">
        <v>191.74</v>
      </c>
      <c r="X185" s="17">
        <v>12358.37</v>
      </c>
      <c r="Y185" s="17">
        <v>2008.02</v>
      </c>
      <c r="Z185" s="18">
        <f t="shared" si="58"/>
        <v>1.4811156534023429E-3</v>
      </c>
      <c r="AA185" s="19">
        <v>0.1</v>
      </c>
      <c r="AB185" s="17">
        <f t="shared" si="71"/>
        <v>1235.8370000000002</v>
      </c>
      <c r="AC185" s="17">
        <v>0</v>
      </c>
      <c r="AD185" s="17">
        <v>0</v>
      </c>
      <c r="AE185" s="17">
        <f t="shared" si="59"/>
        <v>1235.8370000000002</v>
      </c>
      <c r="AF185" s="17">
        <f t="shared" si="68"/>
        <v>197.73392000000004</v>
      </c>
      <c r="AG185" s="17">
        <f t="shared" si="60"/>
        <v>1433.5709200000003</v>
      </c>
      <c r="AH185" s="17">
        <f t="shared" si="69"/>
        <v>24.716740000000005</v>
      </c>
      <c r="AI185" s="17">
        <v>0</v>
      </c>
      <c r="AJ185" s="17">
        <f t="shared" si="61"/>
        <v>24.716740000000005</v>
      </c>
      <c r="AK185" s="20"/>
      <c r="AL185" s="17">
        <f t="shared" si="62"/>
        <v>1211.1202600000001</v>
      </c>
      <c r="AM185" s="17"/>
      <c r="AN185" s="21"/>
      <c r="AO185" s="17">
        <f t="shared" si="63"/>
        <v>0</v>
      </c>
      <c r="AP185" s="17"/>
      <c r="AQ185" s="16"/>
      <c r="AR185" s="17">
        <f t="shared" si="54"/>
        <v>0</v>
      </c>
      <c r="AS185" s="17"/>
      <c r="AT185" s="17">
        <v>1433.5709200000003</v>
      </c>
      <c r="AU185" s="17">
        <f t="shared" si="64"/>
        <v>1433.5709200000003</v>
      </c>
      <c r="AV185" s="17">
        <f t="shared" si="65"/>
        <v>0</v>
      </c>
      <c r="AW185" s="17" t="str">
        <f t="shared" si="67"/>
        <v>SFA</v>
      </c>
      <c r="AX185" s="22">
        <v>44699</v>
      </c>
      <c r="AY185" s="22"/>
      <c r="AZ185" s="1" t="s">
        <v>68</v>
      </c>
      <c r="BA185" s="22" t="str">
        <f t="shared" si="66"/>
        <v>FIRE</v>
      </c>
      <c r="BB185" s="22"/>
      <c r="BC185" s="22"/>
      <c r="BD185" s="22"/>
    </row>
    <row r="186" spans="1:56" ht="14.25" customHeight="1" x14ac:dyDescent="0.2">
      <c r="A186" s="12" t="s">
        <v>324</v>
      </c>
      <c r="B186" s="1" t="s">
        <v>57</v>
      </c>
      <c r="C186" s="13">
        <v>44625</v>
      </c>
      <c r="D186" s="13">
        <v>44656</v>
      </c>
      <c r="E186" s="13">
        <v>44637</v>
      </c>
      <c r="F186" s="13">
        <v>45001</v>
      </c>
      <c r="G186" s="14" t="str">
        <f t="shared" si="57"/>
        <v>000-185/AIB RDC/2022</v>
      </c>
      <c r="H186" s="1">
        <v>0</v>
      </c>
      <c r="I186" s="1" t="s">
        <v>74</v>
      </c>
      <c r="J186" s="24" t="s">
        <v>418</v>
      </c>
      <c r="K186" s="16" t="s">
        <v>419</v>
      </c>
      <c r="L186" s="16" t="s">
        <v>420</v>
      </c>
      <c r="M186" s="16" t="s">
        <v>62</v>
      </c>
      <c r="N186" s="16" t="s">
        <v>209</v>
      </c>
      <c r="O186" s="16" t="s">
        <v>70</v>
      </c>
      <c r="P186" s="16" t="s">
        <v>71</v>
      </c>
      <c r="Q186" s="16" t="s">
        <v>130</v>
      </c>
      <c r="R186" s="16" t="s">
        <v>130</v>
      </c>
      <c r="S186" s="17">
        <v>1100000</v>
      </c>
      <c r="T186" s="17">
        <v>2333.25</v>
      </c>
      <c r="U186" s="17"/>
      <c r="V186" s="17"/>
      <c r="W186" s="17">
        <v>19.78</v>
      </c>
      <c r="X186" s="17">
        <v>1957.56</v>
      </c>
      <c r="Y186" s="17">
        <v>316.37</v>
      </c>
      <c r="Z186" s="18">
        <f t="shared" si="58"/>
        <v>2.1211363636363637E-3</v>
      </c>
      <c r="AA186" s="19">
        <v>0.1</v>
      </c>
      <c r="AB186" s="17">
        <f t="shared" si="71"/>
        <v>195.756</v>
      </c>
      <c r="AC186" s="17">
        <v>0</v>
      </c>
      <c r="AD186" s="17">
        <v>0</v>
      </c>
      <c r="AE186" s="17">
        <f t="shared" si="59"/>
        <v>195.756</v>
      </c>
      <c r="AF186" s="17">
        <f t="shared" si="68"/>
        <v>31.320959999999999</v>
      </c>
      <c r="AG186" s="17">
        <f t="shared" si="60"/>
        <v>227.07695999999999</v>
      </c>
      <c r="AH186" s="17">
        <f t="shared" si="69"/>
        <v>3.9151199999999999</v>
      </c>
      <c r="AI186" s="17">
        <v>0</v>
      </c>
      <c r="AJ186" s="17">
        <f t="shared" si="61"/>
        <v>3.9151199999999999</v>
      </c>
      <c r="AK186" s="20"/>
      <c r="AL186" s="17">
        <f t="shared" si="62"/>
        <v>191.84088</v>
      </c>
      <c r="AM186" s="17"/>
      <c r="AN186" s="21"/>
      <c r="AO186" s="17">
        <f t="shared" si="63"/>
        <v>0</v>
      </c>
      <c r="AP186" s="17"/>
      <c r="AQ186" s="16"/>
      <c r="AR186" s="17">
        <f t="shared" si="54"/>
        <v>0</v>
      </c>
      <c r="AS186" s="17"/>
      <c r="AT186" s="17">
        <v>227.07695999999999</v>
      </c>
      <c r="AU186" s="17">
        <f t="shared" si="64"/>
        <v>227.07695999999999</v>
      </c>
      <c r="AV186" s="17">
        <f t="shared" si="65"/>
        <v>0</v>
      </c>
      <c r="AW186" s="17" t="str">
        <f t="shared" si="67"/>
        <v>SFA</v>
      </c>
      <c r="AX186" s="22">
        <v>44699</v>
      </c>
      <c r="AY186" s="22"/>
      <c r="AZ186" s="1" t="s">
        <v>68</v>
      </c>
      <c r="BA186" s="22" t="str">
        <f t="shared" si="66"/>
        <v>FIRE</v>
      </c>
      <c r="BB186" s="22"/>
      <c r="BC186" s="22"/>
      <c r="BD186" s="22"/>
    </row>
    <row r="187" spans="1:56" ht="14.25" customHeight="1" x14ac:dyDescent="0.2">
      <c r="A187" s="12" t="s">
        <v>324</v>
      </c>
      <c r="B187" s="1" t="s">
        <v>57</v>
      </c>
      <c r="C187" s="13">
        <v>44625</v>
      </c>
      <c r="D187" s="13">
        <v>44656</v>
      </c>
      <c r="E187" s="13">
        <v>44637</v>
      </c>
      <c r="F187" s="13">
        <v>45001</v>
      </c>
      <c r="G187" s="14" t="str">
        <f t="shared" si="57"/>
        <v>000-186/AIB RDC/2022</v>
      </c>
      <c r="H187" s="1">
        <v>0</v>
      </c>
      <c r="I187" s="1" t="s">
        <v>74</v>
      </c>
      <c r="J187" s="1" t="s">
        <v>421</v>
      </c>
      <c r="K187" s="16" t="s">
        <v>207</v>
      </c>
      <c r="L187" s="16" t="s">
        <v>208</v>
      </c>
      <c r="M187" s="16" t="s">
        <v>62</v>
      </c>
      <c r="N187" s="16" t="s">
        <v>209</v>
      </c>
      <c r="O187" s="16" t="s">
        <v>70</v>
      </c>
      <c r="P187" s="16" t="s">
        <v>71</v>
      </c>
      <c r="Q187" s="16" t="s">
        <v>130</v>
      </c>
      <c r="R187" s="16" t="s">
        <v>130</v>
      </c>
      <c r="S187" s="17">
        <v>350000</v>
      </c>
      <c r="T187" s="17">
        <v>493.25</v>
      </c>
      <c r="U187" s="17"/>
      <c r="V187" s="17"/>
      <c r="W187" s="17">
        <v>20</v>
      </c>
      <c r="X187" s="17">
        <v>398.01</v>
      </c>
      <c r="Y187" s="17">
        <v>66.88</v>
      </c>
      <c r="Z187" s="18">
        <f t="shared" si="58"/>
        <v>1.4092857142857143E-3</v>
      </c>
      <c r="AA187" s="19">
        <v>0.2</v>
      </c>
      <c r="AB187" s="17">
        <f t="shared" si="71"/>
        <v>79.602000000000004</v>
      </c>
      <c r="AC187" s="17">
        <v>0</v>
      </c>
      <c r="AD187" s="17">
        <v>0</v>
      </c>
      <c r="AE187" s="17">
        <f t="shared" si="59"/>
        <v>79.602000000000004</v>
      </c>
      <c r="AF187" s="17">
        <f t="shared" si="68"/>
        <v>12.736320000000001</v>
      </c>
      <c r="AG187" s="17">
        <f t="shared" si="60"/>
        <v>92.33832000000001</v>
      </c>
      <c r="AH187" s="17">
        <f t="shared" si="69"/>
        <v>1.5920400000000001</v>
      </c>
      <c r="AI187" s="17">
        <v>0</v>
      </c>
      <c r="AJ187" s="17">
        <f t="shared" si="61"/>
        <v>1.5920400000000001</v>
      </c>
      <c r="AK187" s="20"/>
      <c r="AL187" s="17">
        <f t="shared" si="62"/>
        <v>78.009960000000007</v>
      </c>
      <c r="AM187" s="17"/>
      <c r="AN187" s="21"/>
      <c r="AO187" s="17">
        <f t="shared" si="63"/>
        <v>0</v>
      </c>
      <c r="AP187" s="17"/>
      <c r="AQ187" s="16"/>
      <c r="AR187" s="17">
        <f t="shared" si="54"/>
        <v>0</v>
      </c>
      <c r="AS187" s="17"/>
      <c r="AT187" s="17">
        <v>92.33832000000001</v>
      </c>
      <c r="AU187" s="17">
        <f t="shared" si="64"/>
        <v>92.33832000000001</v>
      </c>
      <c r="AV187" s="17">
        <f t="shared" si="65"/>
        <v>0</v>
      </c>
      <c r="AW187" s="17" t="str">
        <f t="shared" si="67"/>
        <v>SFA</v>
      </c>
      <c r="AX187" s="22">
        <v>44699</v>
      </c>
      <c r="AY187" s="22"/>
      <c r="AZ187" s="1" t="s">
        <v>68</v>
      </c>
      <c r="BA187" s="22" t="str">
        <f t="shared" si="66"/>
        <v>FIRE</v>
      </c>
      <c r="BB187" s="22"/>
      <c r="BC187" s="22"/>
      <c r="BD187" s="22"/>
    </row>
    <row r="188" spans="1:56" ht="14.25" customHeight="1" x14ac:dyDescent="0.2">
      <c r="A188" s="12" t="s">
        <v>324</v>
      </c>
      <c r="B188" s="1" t="s">
        <v>57</v>
      </c>
      <c r="C188" s="13">
        <v>44625</v>
      </c>
      <c r="D188" s="13">
        <v>44664</v>
      </c>
      <c r="E188" s="13">
        <v>44637</v>
      </c>
      <c r="F188" s="13">
        <v>45001</v>
      </c>
      <c r="G188" s="14" t="str">
        <f t="shared" si="57"/>
        <v>000-187/AIB RDC/2022</v>
      </c>
      <c r="H188" s="1">
        <v>0</v>
      </c>
      <c r="I188" s="1" t="s">
        <v>74</v>
      </c>
      <c r="J188" s="24" t="s">
        <v>422</v>
      </c>
      <c r="K188" s="16" t="s">
        <v>207</v>
      </c>
      <c r="L188" s="16" t="s">
        <v>208</v>
      </c>
      <c r="M188" s="16" t="s">
        <v>62</v>
      </c>
      <c r="N188" s="16" t="s">
        <v>209</v>
      </c>
      <c r="O188" s="16" t="s">
        <v>233</v>
      </c>
      <c r="P188" s="16" t="s">
        <v>234</v>
      </c>
      <c r="Q188" s="16" t="s">
        <v>130</v>
      </c>
      <c r="R188" s="16" t="s">
        <v>130</v>
      </c>
      <c r="S188" s="17">
        <v>9998625</v>
      </c>
      <c r="T188" s="17">
        <v>20525.16</v>
      </c>
      <c r="U188" s="17">
        <v>1817.7</v>
      </c>
      <c r="V188" s="17"/>
      <c r="W188" s="17">
        <v>87.4</v>
      </c>
      <c r="X188" s="17">
        <v>15489.11</v>
      </c>
      <c r="Y188" s="17">
        <v>2783.07</v>
      </c>
      <c r="Z188" s="18">
        <f t="shared" si="58"/>
        <v>2.0527982597607171E-3</v>
      </c>
      <c r="AA188" s="19">
        <v>0.15</v>
      </c>
      <c r="AB188" s="17">
        <f t="shared" si="71"/>
        <v>2323.3665000000001</v>
      </c>
      <c r="AC188" s="17">
        <v>0</v>
      </c>
      <c r="AD188" s="17">
        <v>0</v>
      </c>
      <c r="AE188" s="17">
        <f t="shared" si="59"/>
        <v>2323.3665000000001</v>
      </c>
      <c r="AF188" s="17">
        <f t="shared" si="68"/>
        <v>371.73864000000003</v>
      </c>
      <c r="AG188" s="17">
        <f t="shared" si="60"/>
        <v>2695.1051400000001</v>
      </c>
      <c r="AH188" s="17">
        <f t="shared" si="69"/>
        <v>46.467330000000004</v>
      </c>
      <c r="AI188" s="17">
        <v>0</v>
      </c>
      <c r="AJ188" s="17">
        <f t="shared" si="61"/>
        <v>46.467330000000004</v>
      </c>
      <c r="AK188" s="20"/>
      <c r="AL188" s="17">
        <f t="shared" si="62"/>
        <v>2276.8991700000001</v>
      </c>
      <c r="AM188" s="17"/>
      <c r="AN188" s="21"/>
      <c r="AO188" s="17">
        <f t="shared" si="63"/>
        <v>0</v>
      </c>
      <c r="AP188" s="17"/>
      <c r="AQ188" s="16"/>
      <c r="AR188" s="17">
        <f t="shared" ref="AR188:AR251" si="72">AO188-AP188</f>
        <v>0</v>
      </c>
      <c r="AS188" s="17"/>
      <c r="AT188" s="17">
        <v>2695.1051400000001</v>
      </c>
      <c r="AU188" s="17">
        <f t="shared" si="64"/>
        <v>2695.1051400000001</v>
      </c>
      <c r="AV188" s="17">
        <f t="shared" si="65"/>
        <v>0</v>
      </c>
      <c r="AW188" s="17" t="str">
        <f t="shared" si="67"/>
        <v>SFA</v>
      </c>
      <c r="AX188" s="22">
        <v>44699</v>
      </c>
      <c r="AY188" s="22"/>
      <c r="AZ188" s="1" t="s">
        <v>68</v>
      </c>
      <c r="BA188" s="22" t="str">
        <f t="shared" si="66"/>
        <v>PVT</v>
      </c>
      <c r="BB188" s="22"/>
      <c r="BC188" s="22"/>
      <c r="BD188" s="22"/>
    </row>
    <row r="189" spans="1:56" ht="14.25" customHeight="1" x14ac:dyDescent="0.2">
      <c r="A189" s="12" t="s">
        <v>324</v>
      </c>
      <c r="B189" s="1" t="s">
        <v>57</v>
      </c>
      <c r="C189" s="13">
        <v>44625</v>
      </c>
      <c r="D189" s="13">
        <v>44656</v>
      </c>
      <c r="E189" s="13">
        <v>44637</v>
      </c>
      <c r="F189" s="13">
        <v>45001</v>
      </c>
      <c r="G189" s="14" t="str">
        <f t="shared" si="57"/>
        <v>000-188/AIB RDC/2022</v>
      </c>
      <c r="H189" s="1">
        <v>0</v>
      </c>
      <c r="I189" s="1" t="s">
        <v>74</v>
      </c>
      <c r="J189" s="24" t="s">
        <v>423</v>
      </c>
      <c r="K189" s="16" t="s">
        <v>400</v>
      </c>
      <c r="L189" s="16" t="s">
        <v>208</v>
      </c>
      <c r="M189" s="16" t="s">
        <v>62</v>
      </c>
      <c r="N189" s="16" t="s">
        <v>209</v>
      </c>
      <c r="O189" s="16" t="s">
        <v>233</v>
      </c>
      <c r="P189" s="16" t="s">
        <v>234</v>
      </c>
      <c r="Q189" s="16" t="s">
        <v>130</v>
      </c>
      <c r="R189" s="16" t="s">
        <v>130</v>
      </c>
      <c r="S189" s="17">
        <v>2738800</v>
      </c>
      <c r="T189" s="17">
        <v>6668.72</v>
      </c>
      <c r="U189" s="17">
        <v>842.64</v>
      </c>
      <c r="V189" s="17"/>
      <c r="W189" s="17">
        <v>33.869999999999997</v>
      </c>
      <c r="X189" s="17">
        <v>4774.96</v>
      </c>
      <c r="Y189" s="17">
        <v>904.23</v>
      </c>
      <c r="Z189" s="18">
        <f t="shared" si="58"/>
        <v>2.4349057981597781E-3</v>
      </c>
      <c r="AA189" s="19">
        <v>0.15</v>
      </c>
      <c r="AB189" s="17">
        <f t="shared" si="71"/>
        <v>716.24400000000003</v>
      </c>
      <c r="AC189" s="17">
        <v>0</v>
      </c>
      <c r="AD189" s="17">
        <v>0</v>
      </c>
      <c r="AE189" s="17">
        <f t="shared" si="59"/>
        <v>716.24400000000003</v>
      </c>
      <c r="AF189" s="17">
        <f t="shared" si="68"/>
        <v>114.59904</v>
      </c>
      <c r="AG189" s="17">
        <f t="shared" si="60"/>
        <v>830.84303999999997</v>
      </c>
      <c r="AH189" s="17">
        <f t="shared" si="69"/>
        <v>14.32488</v>
      </c>
      <c r="AI189" s="17">
        <v>0</v>
      </c>
      <c r="AJ189" s="17">
        <f t="shared" si="61"/>
        <v>14.32488</v>
      </c>
      <c r="AK189" s="20"/>
      <c r="AL189" s="17">
        <f t="shared" si="62"/>
        <v>701.91912000000002</v>
      </c>
      <c r="AM189" s="17"/>
      <c r="AN189" s="21"/>
      <c r="AO189" s="17">
        <f t="shared" si="63"/>
        <v>0</v>
      </c>
      <c r="AP189" s="17"/>
      <c r="AQ189" s="16"/>
      <c r="AR189" s="17">
        <f t="shared" si="72"/>
        <v>0</v>
      </c>
      <c r="AS189" s="17"/>
      <c r="AT189" s="17">
        <v>830.84303999999997</v>
      </c>
      <c r="AU189" s="17">
        <f t="shared" si="64"/>
        <v>830.84303999999997</v>
      </c>
      <c r="AV189" s="17">
        <f t="shared" si="65"/>
        <v>0</v>
      </c>
      <c r="AW189" s="17" t="str">
        <f t="shared" si="67"/>
        <v>SFA</v>
      </c>
      <c r="AX189" s="22">
        <v>44699</v>
      </c>
      <c r="AY189" s="22"/>
      <c r="AZ189" s="1" t="s">
        <v>68</v>
      </c>
      <c r="BA189" s="22" t="str">
        <f t="shared" si="66"/>
        <v>PVT</v>
      </c>
      <c r="BB189" s="22"/>
      <c r="BC189" s="22"/>
      <c r="BD189" s="22"/>
    </row>
    <row r="190" spans="1:56" ht="14.25" customHeight="1" x14ac:dyDescent="0.2">
      <c r="A190" s="12" t="s">
        <v>324</v>
      </c>
      <c r="B190" s="1" t="s">
        <v>57</v>
      </c>
      <c r="C190" s="13">
        <v>44625</v>
      </c>
      <c r="D190" s="13">
        <v>44656</v>
      </c>
      <c r="E190" s="13">
        <v>44637</v>
      </c>
      <c r="F190" s="13">
        <v>45001</v>
      </c>
      <c r="G190" s="14" t="str">
        <f t="shared" si="57"/>
        <v>000-189/AIB RDC/2022</v>
      </c>
      <c r="H190" s="1">
        <v>0</v>
      </c>
      <c r="I190" s="1" t="s">
        <v>74</v>
      </c>
      <c r="J190" s="24" t="s">
        <v>424</v>
      </c>
      <c r="K190" s="16" t="s">
        <v>400</v>
      </c>
      <c r="L190" s="16" t="s">
        <v>208</v>
      </c>
      <c r="M190" s="16" t="s">
        <v>62</v>
      </c>
      <c r="N190" s="16" t="s">
        <v>209</v>
      </c>
      <c r="O190" s="16" t="s">
        <v>64</v>
      </c>
      <c r="P190" s="16" t="s">
        <v>65</v>
      </c>
      <c r="Q190" s="16" t="s">
        <v>130</v>
      </c>
      <c r="R190" s="16" t="s">
        <v>130</v>
      </c>
      <c r="S190" s="17">
        <v>260000</v>
      </c>
      <c r="T190" s="17">
        <v>700.66</v>
      </c>
      <c r="U190" s="17"/>
      <c r="V190" s="17"/>
      <c r="W190" s="17">
        <v>8.7799999999999994</v>
      </c>
      <c r="X190" s="17">
        <v>585.01</v>
      </c>
      <c r="Y190" s="17">
        <v>95.01</v>
      </c>
      <c r="Z190" s="18">
        <f t="shared" si="58"/>
        <v>2.6948461538461536E-3</v>
      </c>
      <c r="AA190" s="19">
        <v>0.15</v>
      </c>
      <c r="AB190" s="17">
        <f t="shared" si="71"/>
        <v>87.751499999999993</v>
      </c>
      <c r="AC190" s="17">
        <v>0</v>
      </c>
      <c r="AD190" s="17">
        <v>0</v>
      </c>
      <c r="AE190" s="17">
        <f t="shared" si="59"/>
        <v>87.751499999999993</v>
      </c>
      <c r="AF190" s="17">
        <f t="shared" si="68"/>
        <v>14.040239999999999</v>
      </c>
      <c r="AG190" s="17">
        <f t="shared" si="60"/>
        <v>101.79173999999999</v>
      </c>
      <c r="AH190" s="17">
        <f t="shared" si="69"/>
        <v>1.7550299999999999</v>
      </c>
      <c r="AI190" s="17">
        <v>0</v>
      </c>
      <c r="AJ190" s="17">
        <f t="shared" si="61"/>
        <v>1.7550299999999999</v>
      </c>
      <c r="AK190" s="20"/>
      <c r="AL190" s="17">
        <f t="shared" si="62"/>
        <v>85.996469999999988</v>
      </c>
      <c r="AM190" s="17"/>
      <c r="AN190" s="21"/>
      <c r="AO190" s="17">
        <f t="shared" si="63"/>
        <v>0</v>
      </c>
      <c r="AP190" s="17"/>
      <c r="AQ190" s="16"/>
      <c r="AR190" s="17">
        <f t="shared" si="72"/>
        <v>0</v>
      </c>
      <c r="AS190" s="17"/>
      <c r="AT190" s="17">
        <v>101.79173999999999</v>
      </c>
      <c r="AU190" s="17">
        <f t="shared" si="64"/>
        <v>101.79173999999999</v>
      </c>
      <c r="AV190" s="17">
        <f t="shared" si="65"/>
        <v>0</v>
      </c>
      <c r="AW190" s="17" t="str">
        <f t="shared" si="67"/>
        <v>SFA</v>
      </c>
      <c r="AX190" s="22">
        <v>44699</v>
      </c>
      <c r="AY190" s="22"/>
      <c r="AZ190" s="1" t="s">
        <v>68</v>
      </c>
      <c r="BA190" s="22" t="str">
        <f t="shared" si="66"/>
        <v>MARINE CARGO / GIT</v>
      </c>
      <c r="BB190" s="22"/>
      <c r="BC190" s="22"/>
      <c r="BD190" s="22"/>
    </row>
    <row r="191" spans="1:56" ht="14.25" customHeight="1" x14ac:dyDescent="0.2">
      <c r="A191" s="12" t="s">
        <v>324</v>
      </c>
      <c r="B191" s="1" t="s">
        <v>57</v>
      </c>
      <c r="C191" s="13">
        <v>44627</v>
      </c>
      <c r="D191" s="13">
        <v>44652</v>
      </c>
      <c r="E191" s="13">
        <v>44637</v>
      </c>
      <c r="F191" s="13">
        <v>45001</v>
      </c>
      <c r="G191" s="14" t="str">
        <f t="shared" si="57"/>
        <v>000-190/AIB RDC/2022</v>
      </c>
      <c r="H191" s="1">
        <v>0</v>
      </c>
      <c r="I191" s="1" t="s">
        <v>74</v>
      </c>
      <c r="J191" s="24" t="s">
        <v>425</v>
      </c>
      <c r="K191" s="16" t="s">
        <v>207</v>
      </c>
      <c r="L191" s="16" t="s">
        <v>208</v>
      </c>
      <c r="M191" s="16" t="s">
        <v>62</v>
      </c>
      <c r="N191" s="16" t="s">
        <v>209</v>
      </c>
      <c r="O191" s="16" t="s">
        <v>64</v>
      </c>
      <c r="P191" s="16" t="s">
        <v>65</v>
      </c>
      <c r="Q191" s="16" t="s">
        <v>130</v>
      </c>
      <c r="R191" s="16" t="s">
        <v>130</v>
      </c>
      <c r="S191" s="17">
        <v>7740000</v>
      </c>
      <c r="T191" s="17">
        <v>20858.3</v>
      </c>
      <c r="U191" s="17"/>
      <c r="V191" s="17"/>
      <c r="W191" s="17">
        <v>261.23</v>
      </c>
      <c r="X191" s="17">
        <v>17415.29</v>
      </c>
      <c r="Y191" s="17">
        <v>2828.24</v>
      </c>
      <c r="Z191" s="18">
        <f t="shared" si="58"/>
        <v>2.6948708010335917E-3</v>
      </c>
      <c r="AA191" s="19">
        <v>0.15</v>
      </c>
      <c r="AB191" s="17">
        <f t="shared" si="71"/>
        <v>2612.2935000000002</v>
      </c>
      <c r="AC191" s="17">
        <v>0</v>
      </c>
      <c r="AD191" s="17">
        <v>0</v>
      </c>
      <c r="AE191" s="17">
        <f t="shared" si="59"/>
        <v>2612.2935000000002</v>
      </c>
      <c r="AF191" s="17">
        <f t="shared" si="68"/>
        <v>417.96696000000003</v>
      </c>
      <c r="AG191" s="17">
        <f t="shared" si="60"/>
        <v>3030.2604600000004</v>
      </c>
      <c r="AH191" s="17">
        <f t="shared" si="69"/>
        <v>52.245870000000004</v>
      </c>
      <c r="AI191" s="17">
        <v>0</v>
      </c>
      <c r="AJ191" s="17">
        <f t="shared" si="61"/>
        <v>52.245870000000004</v>
      </c>
      <c r="AK191" s="20"/>
      <c r="AL191" s="17">
        <f t="shared" si="62"/>
        <v>2560.04763</v>
      </c>
      <c r="AM191" s="17"/>
      <c r="AN191" s="21"/>
      <c r="AO191" s="17">
        <f t="shared" si="63"/>
        <v>0</v>
      </c>
      <c r="AP191" s="17"/>
      <c r="AQ191" s="16"/>
      <c r="AR191" s="17">
        <f t="shared" si="72"/>
        <v>0</v>
      </c>
      <c r="AS191" s="17"/>
      <c r="AT191" s="17">
        <v>3030.2604600000004</v>
      </c>
      <c r="AU191" s="17">
        <f t="shared" si="64"/>
        <v>3030.2604600000004</v>
      </c>
      <c r="AV191" s="17">
        <f t="shared" si="65"/>
        <v>0</v>
      </c>
      <c r="AW191" s="17" t="str">
        <f t="shared" si="67"/>
        <v>SFA</v>
      </c>
      <c r="AX191" s="22">
        <v>44699</v>
      </c>
      <c r="AY191" s="22"/>
      <c r="AZ191" s="1" t="s">
        <v>68</v>
      </c>
      <c r="BA191" s="22" t="str">
        <f t="shared" si="66"/>
        <v>MARINE CARGO / GIT</v>
      </c>
      <c r="BB191" s="22"/>
      <c r="BC191" s="22"/>
      <c r="BD191" s="22"/>
    </row>
    <row r="192" spans="1:56" ht="14.25" customHeight="1" x14ac:dyDescent="0.2">
      <c r="A192" s="12" t="s">
        <v>324</v>
      </c>
      <c r="B192" s="1" t="s">
        <v>57</v>
      </c>
      <c r="C192" s="13">
        <v>44629</v>
      </c>
      <c r="D192" s="13">
        <v>44637</v>
      </c>
      <c r="E192" s="13">
        <v>44637</v>
      </c>
      <c r="F192" s="13">
        <v>44667</v>
      </c>
      <c r="G192" s="14" t="str">
        <f t="shared" si="57"/>
        <v>000-191/AIB RDC/2022</v>
      </c>
      <c r="H192" s="1">
        <v>0</v>
      </c>
      <c r="I192" s="1" t="s">
        <v>74</v>
      </c>
      <c r="J192" s="1" t="s">
        <v>426</v>
      </c>
      <c r="K192" s="1" t="s">
        <v>117</v>
      </c>
      <c r="L192" s="1" t="s">
        <v>118</v>
      </c>
      <c r="M192" s="16" t="s">
        <v>105</v>
      </c>
      <c r="N192" s="16" t="s">
        <v>119</v>
      </c>
      <c r="O192" s="16" t="s">
        <v>64</v>
      </c>
      <c r="P192" s="16" t="s">
        <v>65</v>
      </c>
      <c r="Q192" s="16" t="s">
        <v>66</v>
      </c>
      <c r="R192" s="16" t="s">
        <v>66</v>
      </c>
      <c r="S192" s="17"/>
      <c r="T192" s="17">
        <v>640.23</v>
      </c>
      <c r="U192" s="17"/>
      <c r="V192" s="17"/>
      <c r="W192" s="17">
        <v>10</v>
      </c>
      <c r="X192" s="17">
        <v>541.91999999999996</v>
      </c>
      <c r="Y192" s="17">
        <v>88.31</v>
      </c>
      <c r="Z192" s="18" t="e">
        <f t="shared" si="58"/>
        <v>#DIV/0!</v>
      </c>
      <c r="AA192" s="19">
        <v>0.15</v>
      </c>
      <c r="AB192" s="17">
        <f t="shared" si="71"/>
        <v>81.287999999999997</v>
      </c>
      <c r="AC192" s="17">
        <v>0</v>
      </c>
      <c r="AD192" s="17">
        <v>0</v>
      </c>
      <c r="AE192" s="17">
        <f t="shared" si="59"/>
        <v>81.287999999999997</v>
      </c>
      <c r="AF192" s="17">
        <f t="shared" si="68"/>
        <v>13.006079999999999</v>
      </c>
      <c r="AG192" s="17">
        <f t="shared" si="60"/>
        <v>94.294079999999994</v>
      </c>
      <c r="AH192" s="17">
        <f t="shared" si="69"/>
        <v>1.6257599999999999</v>
      </c>
      <c r="AI192" s="17">
        <v>0</v>
      </c>
      <c r="AJ192" s="17">
        <f t="shared" si="61"/>
        <v>1.6257599999999999</v>
      </c>
      <c r="AK192" s="20"/>
      <c r="AL192" s="17">
        <f t="shared" si="62"/>
        <v>79.662239999999997</v>
      </c>
      <c r="AM192" s="17"/>
      <c r="AN192" s="21"/>
      <c r="AO192" s="17">
        <f t="shared" si="63"/>
        <v>0</v>
      </c>
      <c r="AP192" s="17"/>
      <c r="AQ192" s="16"/>
      <c r="AR192" s="17">
        <f t="shared" si="72"/>
        <v>0</v>
      </c>
      <c r="AS192" s="17"/>
      <c r="AT192" s="17">
        <v>94.294079999999994</v>
      </c>
      <c r="AU192" s="17">
        <f t="shared" si="64"/>
        <v>94.294079999999994</v>
      </c>
      <c r="AV192" s="17">
        <f t="shared" si="65"/>
        <v>0</v>
      </c>
      <c r="AW192" s="17" t="str">
        <f t="shared" si="67"/>
        <v>ACTIVA</v>
      </c>
      <c r="AX192" s="22">
        <v>44699</v>
      </c>
      <c r="AY192" s="22"/>
      <c r="AZ192" s="1" t="s">
        <v>110</v>
      </c>
      <c r="BA192" s="22" t="str">
        <f t="shared" si="66"/>
        <v>MARINE CARGO / GIT</v>
      </c>
      <c r="BB192" s="22"/>
      <c r="BC192" s="22"/>
      <c r="BD192" s="22"/>
    </row>
    <row r="193" spans="1:56" ht="14.25" customHeight="1" x14ac:dyDescent="0.2">
      <c r="A193" s="12" t="s">
        <v>324</v>
      </c>
      <c r="B193" s="1" t="s">
        <v>57</v>
      </c>
      <c r="C193" s="13">
        <v>44638</v>
      </c>
      <c r="D193" s="13">
        <v>44641</v>
      </c>
      <c r="E193" s="13">
        <v>44642</v>
      </c>
      <c r="F193" s="13">
        <v>44733</v>
      </c>
      <c r="G193" s="14" t="str">
        <f t="shared" si="57"/>
        <v>000-192/AIB RDC/2022</v>
      </c>
      <c r="H193" s="1">
        <v>0</v>
      </c>
      <c r="I193" s="1" t="s">
        <v>74</v>
      </c>
      <c r="J193" s="1" t="s">
        <v>427</v>
      </c>
      <c r="K193" s="1" t="s">
        <v>263</v>
      </c>
      <c r="L193" s="16"/>
      <c r="M193" s="16" t="s">
        <v>105</v>
      </c>
      <c r="N193" s="16" t="s">
        <v>106</v>
      </c>
      <c r="O193" s="16" t="s">
        <v>64</v>
      </c>
      <c r="P193" s="16" t="s">
        <v>65</v>
      </c>
      <c r="Q193" s="16" t="s">
        <v>107</v>
      </c>
      <c r="R193" s="16" t="s">
        <v>107</v>
      </c>
      <c r="S193" s="17">
        <v>23385</v>
      </c>
      <c r="T193" s="17">
        <v>129.80000000000001</v>
      </c>
      <c r="U193" s="17">
        <v>0</v>
      </c>
      <c r="V193" s="17"/>
      <c r="W193" s="17"/>
      <c r="X193" s="17">
        <v>100</v>
      </c>
      <c r="Y193" s="17"/>
      <c r="Z193" s="18">
        <f t="shared" si="58"/>
        <v>5.5505666025229853E-3</v>
      </c>
      <c r="AA193" s="19">
        <v>0.15</v>
      </c>
      <c r="AB193" s="17">
        <f t="shared" si="71"/>
        <v>15</v>
      </c>
      <c r="AC193" s="17">
        <v>0</v>
      </c>
      <c r="AD193" s="17">
        <v>0</v>
      </c>
      <c r="AE193" s="17">
        <f t="shared" si="59"/>
        <v>15</v>
      </c>
      <c r="AF193" s="17">
        <f t="shared" si="68"/>
        <v>2.4</v>
      </c>
      <c r="AG193" s="17">
        <f t="shared" si="60"/>
        <v>17.399999999999999</v>
      </c>
      <c r="AH193" s="17">
        <f t="shared" si="69"/>
        <v>0.3</v>
      </c>
      <c r="AI193" s="17">
        <v>0</v>
      </c>
      <c r="AJ193" s="17">
        <f t="shared" si="61"/>
        <v>0.3</v>
      </c>
      <c r="AK193" s="20"/>
      <c r="AL193" s="17">
        <f t="shared" si="62"/>
        <v>14.7</v>
      </c>
      <c r="AM193" s="17" t="s">
        <v>108</v>
      </c>
      <c r="AN193" s="21">
        <v>0.4</v>
      </c>
      <c r="AO193" s="17">
        <f t="shared" si="63"/>
        <v>5.88</v>
      </c>
      <c r="AP193" s="17">
        <v>5.88</v>
      </c>
      <c r="AQ193" s="16">
        <v>44834</v>
      </c>
      <c r="AR193" s="17">
        <f t="shared" si="72"/>
        <v>0</v>
      </c>
      <c r="AS193" s="17" t="s">
        <v>109</v>
      </c>
      <c r="AT193" s="17">
        <v>17.399999999999999</v>
      </c>
      <c r="AU193" s="17">
        <f t="shared" si="64"/>
        <v>17.399999999999999</v>
      </c>
      <c r="AV193" s="17">
        <f t="shared" si="65"/>
        <v>0</v>
      </c>
      <c r="AW193" s="17" t="str">
        <f t="shared" si="67"/>
        <v>RAWSUR</v>
      </c>
      <c r="AX193" s="22">
        <v>44701</v>
      </c>
      <c r="AY193" s="22"/>
      <c r="AZ193" s="1" t="s">
        <v>110</v>
      </c>
      <c r="BA193" s="22" t="str">
        <f t="shared" si="66"/>
        <v>MARINE CARGO / GIT</v>
      </c>
      <c r="BB193" s="22"/>
      <c r="BC193" s="22"/>
      <c r="BD193" s="22"/>
    </row>
    <row r="194" spans="1:56" ht="14.25" customHeight="1" x14ac:dyDescent="0.2">
      <c r="A194" s="12" t="s">
        <v>324</v>
      </c>
      <c r="B194" s="1" t="s">
        <v>57</v>
      </c>
      <c r="C194" s="13">
        <v>44627</v>
      </c>
      <c r="D194" s="13">
        <v>44652</v>
      </c>
      <c r="E194" s="13">
        <v>44638</v>
      </c>
      <c r="F194" s="13">
        <v>44640</v>
      </c>
      <c r="G194" s="14" t="str">
        <f t="shared" si="57"/>
        <v>000-193/AIB RDC/2022</v>
      </c>
      <c r="H194" s="1">
        <v>0</v>
      </c>
      <c r="I194" s="1" t="s">
        <v>74</v>
      </c>
      <c r="J194" s="24" t="s">
        <v>428</v>
      </c>
      <c r="K194" s="16" t="s">
        <v>228</v>
      </c>
      <c r="L194" s="16"/>
      <c r="M194" s="16" t="s">
        <v>105</v>
      </c>
      <c r="N194" s="16" t="s">
        <v>106</v>
      </c>
      <c r="O194" s="16" t="s">
        <v>64</v>
      </c>
      <c r="P194" s="16" t="s">
        <v>65</v>
      </c>
      <c r="Q194" s="16" t="s">
        <v>130</v>
      </c>
      <c r="R194" s="16" t="s">
        <v>130</v>
      </c>
      <c r="S194" s="17">
        <v>56435.3</v>
      </c>
      <c r="T194" s="17">
        <v>135.47999999999999</v>
      </c>
      <c r="U194" s="17"/>
      <c r="V194" s="17"/>
      <c r="W194" s="17"/>
      <c r="X194" s="17">
        <v>94.82</v>
      </c>
      <c r="Y194" s="17"/>
      <c r="Z194" s="18">
        <f t="shared" si="58"/>
        <v>2.4006251406477859E-3</v>
      </c>
      <c r="AA194" s="19">
        <v>0.15</v>
      </c>
      <c r="AB194" s="17">
        <f t="shared" si="71"/>
        <v>14.222999999999999</v>
      </c>
      <c r="AC194" s="17">
        <v>0</v>
      </c>
      <c r="AD194" s="17">
        <v>0</v>
      </c>
      <c r="AE194" s="17">
        <f t="shared" si="59"/>
        <v>14.222999999999999</v>
      </c>
      <c r="AF194" s="17">
        <f t="shared" si="68"/>
        <v>2.2756799999999999</v>
      </c>
      <c r="AG194" s="17">
        <f t="shared" si="60"/>
        <v>16.49868</v>
      </c>
      <c r="AH194" s="17">
        <f t="shared" si="69"/>
        <v>0.28445999999999999</v>
      </c>
      <c r="AI194" s="17">
        <v>0</v>
      </c>
      <c r="AJ194" s="17">
        <f t="shared" si="61"/>
        <v>0.28445999999999999</v>
      </c>
      <c r="AK194" s="20"/>
      <c r="AL194" s="17">
        <f t="shared" si="62"/>
        <v>13.93854</v>
      </c>
      <c r="AM194" s="17" t="s">
        <v>108</v>
      </c>
      <c r="AN194" s="21">
        <v>0.4</v>
      </c>
      <c r="AO194" s="17">
        <f t="shared" si="63"/>
        <v>5.5754160000000006</v>
      </c>
      <c r="AP194" s="17">
        <v>5.5754160000000006</v>
      </c>
      <c r="AQ194" s="16">
        <v>44834</v>
      </c>
      <c r="AR194" s="17">
        <f t="shared" si="72"/>
        <v>0</v>
      </c>
      <c r="AS194" s="17" t="s">
        <v>109</v>
      </c>
      <c r="AT194" s="17">
        <v>16.49868</v>
      </c>
      <c r="AU194" s="17">
        <f t="shared" si="64"/>
        <v>16.49868</v>
      </c>
      <c r="AV194" s="17">
        <f t="shared" si="65"/>
        <v>0</v>
      </c>
      <c r="AW194" s="17" t="str">
        <f t="shared" si="67"/>
        <v>SFA</v>
      </c>
      <c r="AX194" s="22">
        <v>44699</v>
      </c>
      <c r="AY194" s="22"/>
      <c r="AZ194" s="1" t="s">
        <v>110</v>
      </c>
      <c r="BA194" s="22" t="str">
        <f t="shared" si="66"/>
        <v>MARINE CARGO / GIT</v>
      </c>
      <c r="BB194" s="22"/>
      <c r="BC194" s="22"/>
      <c r="BD194" s="22"/>
    </row>
    <row r="195" spans="1:56" ht="14.25" customHeight="1" x14ac:dyDescent="0.2">
      <c r="A195" s="12" t="s">
        <v>324</v>
      </c>
      <c r="B195" s="1" t="s">
        <v>57</v>
      </c>
      <c r="C195" s="13">
        <v>44627</v>
      </c>
      <c r="D195" s="13">
        <v>44642</v>
      </c>
      <c r="E195" s="13">
        <v>44642</v>
      </c>
      <c r="F195" s="13">
        <v>44810</v>
      </c>
      <c r="G195" s="14" t="str">
        <f t="shared" si="57"/>
        <v>000-194/AIB RDC/2022</v>
      </c>
      <c r="H195" s="1">
        <v>3</v>
      </c>
      <c r="I195" s="1" t="s">
        <v>91</v>
      </c>
      <c r="J195" s="1" t="s">
        <v>429</v>
      </c>
      <c r="K195" s="16" t="s">
        <v>335</v>
      </c>
      <c r="L195" s="16" t="s">
        <v>137</v>
      </c>
      <c r="M195" s="16" t="s">
        <v>84</v>
      </c>
      <c r="N195" s="16" t="s">
        <v>84</v>
      </c>
      <c r="O195" s="16" t="s">
        <v>152</v>
      </c>
      <c r="P195" s="16" t="s">
        <v>153</v>
      </c>
      <c r="Q195" s="16" t="s">
        <v>130</v>
      </c>
      <c r="R195" s="16" t="s">
        <v>130</v>
      </c>
      <c r="S195" s="17">
        <v>0</v>
      </c>
      <c r="T195" s="17">
        <v>393.44</v>
      </c>
      <c r="U195" s="17">
        <v>0</v>
      </c>
      <c r="V195" s="17"/>
      <c r="W195" s="17">
        <v>4.92</v>
      </c>
      <c r="X195" s="17">
        <v>328.44</v>
      </c>
      <c r="Y195" s="17">
        <v>53.33</v>
      </c>
      <c r="Z195" s="18" t="e">
        <f t="shared" si="58"/>
        <v>#DIV/0!</v>
      </c>
      <c r="AA195" s="19">
        <v>0.15</v>
      </c>
      <c r="AB195" s="17">
        <f t="shared" si="71"/>
        <v>49.265999999999998</v>
      </c>
      <c r="AC195" s="17">
        <v>0</v>
      </c>
      <c r="AD195" s="17">
        <v>0</v>
      </c>
      <c r="AE195" s="17">
        <f t="shared" si="59"/>
        <v>49.265999999999998</v>
      </c>
      <c r="AF195" s="17">
        <f t="shared" si="68"/>
        <v>7.8825599999999998</v>
      </c>
      <c r="AG195" s="17">
        <f t="shared" si="60"/>
        <v>57.148559999999996</v>
      </c>
      <c r="AH195" s="17">
        <f t="shared" si="69"/>
        <v>0.98531999999999997</v>
      </c>
      <c r="AI195" s="17">
        <v>0</v>
      </c>
      <c r="AJ195" s="17">
        <f t="shared" si="61"/>
        <v>0.98531999999999997</v>
      </c>
      <c r="AK195" s="20"/>
      <c r="AL195" s="17">
        <f t="shared" si="62"/>
        <v>48.280679999999997</v>
      </c>
      <c r="AM195" s="17" t="s">
        <v>430</v>
      </c>
      <c r="AN195" s="21">
        <v>0.5</v>
      </c>
      <c r="AO195" s="17">
        <f t="shared" si="63"/>
        <v>24.140339999999998</v>
      </c>
      <c r="AP195" s="17">
        <v>24.140339999999998</v>
      </c>
      <c r="AQ195" s="16">
        <v>44809</v>
      </c>
      <c r="AR195" s="17">
        <f t="shared" si="72"/>
        <v>0</v>
      </c>
      <c r="AS195" s="17" t="s">
        <v>431</v>
      </c>
      <c r="AT195" s="17">
        <v>57.148559999999996</v>
      </c>
      <c r="AU195" s="17">
        <f t="shared" si="64"/>
        <v>57.148559999999996</v>
      </c>
      <c r="AV195" s="17">
        <f t="shared" si="65"/>
        <v>0</v>
      </c>
      <c r="AW195" s="17" t="str">
        <f t="shared" si="67"/>
        <v>SFA</v>
      </c>
      <c r="AX195" s="22">
        <v>44676</v>
      </c>
      <c r="AY195" s="22"/>
      <c r="AZ195" s="1" t="s">
        <v>68</v>
      </c>
      <c r="BA195" s="22" t="str">
        <f t="shared" si="66"/>
        <v>COMP MOTOR</v>
      </c>
      <c r="BB195" s="22"/>
      <c r="BC195" s="22"/>
      <c r="BD195" s="22"/>
    </row>
    <row r="196" spans="1:56" ht="14.25" customHeight="1" x14ac:dyDescent="0.2">
      <c r="A196" s="12" t="s">
        <v>324</v>
      </c>
      <c r="B196" s="1" t="s">
        <v>57</v>
      </c>
      <c r="C196" s="13">
        <v>44629</v>
      </c>
      <c r="D196" s="13">
        <v>44644</v>
      </c>
      <c r="E196" s="13">
        <v>44642</v>
      </c>
      <c r="F196" s="13">
        <v>45006</v>
      </c>
      <c r="G196" s="14" t="str">
        <f t="shared" si="57"/>
        <v>000-195/AIB RDC/2022</v>
      </c>
      <c r="H196" s="1">
        <v>0</v>
      </c>
      <c r="I196" s="1" t="s">
        <v>74</v>
      </c>
      <c r="J196" s="1" t="s">
        <v>432</v>
      </c>
      <c r="K196" s="1" t="s">
        <v>433</v>
      </c>
      <c r="L196" s="16" t="s">
        <v>123</v>
      </c>
      <c r="M196" s="16" t="s">
        <v>84</v>
      </c>
      <c r="N196" s="16" t="s">
        <v>84</v>
      </c>
      <c r="O196" s="16" t="s">
        <v>152</v>
      </c>
      <c r="P196" s="16" t="s">
        <v>153</v>
      </c>
      <c r="Q196" s="16" t="s">
        <v>86</v>
      </c>
      <c r="R196" s="16" t="s">
        <v>86</v>
      </c>
      <c r="S196" s="17"/>
      <c r="T196" s="17">
        <v>10656.34</v>
      </c>
      <c r="U196" s="17">
        <v>0</v>
      </c>
      <c r="V196" s="17">
        <v>0</v>
      </c>
      <c r="W196" s="17">
        <v>90.96</v>
      </c>
      <c r="X196" s="17">
        <v>9095.5499999999993</v>
      </c>
      <c r="Y196" s="17">
        <v>1469.84</v>
      </c>
      <c r="Z196" s="18" t="e">
        <f t="shared" si="58"/>
        <v>#DIV/0!</v>
      </c>
      <c r="AA196" s="19">
        <v>0.15</v>
      </c>
      <c r="AB196" s="17">
        <f t="shared" si="71"/>
        <v>1364.3324999999998</v>
      </c>
      <c r="AC196" s="17">
        <v>0</v>
      </c>
      <c r="AD196" s="17">
        <v>0</v>
      </c>
      <c r="AE196" s="17">
        <f t="shared" si="59"/>
        <v>1364.3324999999998</v>
      </c>
      <c r="AF196" s="17">
        <f t="shared" ref="AF196:AF227" si="73">16%*AE196</f>
        <v>218.29319999999996</v>
      </c>
      <c r="AG196" s="17">
        <f t="shared" si="60"/>
        <v>1582.6256999999996</v>
      </c>
      <c r="AH196" s="17">
        <f t="shared" si="69"/>
        <v>27.286649999999995</v>
      </c>
      <c r="AI196" s="17">
        <v>0</v>
      </c>
      <c r="AJ196" s="17">
        <f t="shared" si="61"/>
        <v>27.286649999999995</v>
      </c>
      <c r="AK196" s="20"/>
      <c r="AL196" s="17">
        <f t="shared" si="62"/>
        <v>1337.0458499999997</v>
      </c>
      <c r="AM196" s="17" t="s">
        <v>289</v>
      </c>
      <c r="AN196" s="21">
        <v>0.5</v>
      </c>
      <c r="AO196" s="17">
        <f t="shared" si="63"/>
        <v>668.52292499999987</v>
      </c>
      <c r="AP196" s="17">
        <v>668.52</v>
      </c>
      <c r="AQ196" s="45">
        <v>45219</v>
      </c>
      <c r="AR196" s="17">
        <f t="shared" si="72"/>
        <v>2.9249999998910425E-3</v>
      </c>
      <c r="AS196" s="17"/>
      <c r="AT196" s="17">
        <v>1582.6256999999996</v>
      </c>
      <c r="AU196" s="17">
        <f t="shared" si="64"/>
        <v>1582.6256999999996</v>
      </c>
      <c r="AV196" s="17">
        <f t="shared" si="65"/>
        <v>0</v>
      </c>
      <c r="AW196" s="17" t="str">
        <f t="shared" si="67"/>
        <v>SUNU</v>
      </c>
      <c r="AX196" s="22">
        <v>44713</v>
      </c>
      <c r="AY196" s="22"/>
      <c r="AZ196" s="1" t="s">
        <v>68</v>
      </c>
      <c r="BA196" s="22" t="str">
        <f t="shared" si="66"/>
        <v>COMP MOTOR</v>
      </c>
      <c r="BB196" s="22"/>
      <c r="BC196" s="22"/>
      <c r="BD196" s="22"/>
    </row>
    <row r="197" spans="1:56" ht="14.25" customHeight="1" x14ac:dyDescent="0.2">
      <c r="A197" s="12" t="s">
        <v>324</v>
      </c>
      <c r="B197" s="1" t="s">
        <v>57</v>
      </c>
      <c r="C197" s="13">
        <v>44627</v>
      </c>
      <c r="D197" s="13">
        <v>44655</v>
      </c>
      <c r="E197" s="13">
        <v>44642</v>
      </c>
      <c r="F197" s="13">
        <v>44810</v>
      </c>
      <c r="G197" s="14" t="str">
        <f t="shared" si="57"/>
        <v>000-196/AIB RDC/2022</v>
      </c>
      <c r="H197" s="1">
        <v>4</v>
      </c>
      <c r="I197" s="1" t="s">
        <v>91</v>
      </c>
      <c r="J197" s="1" t="s">
        <v>429</v>
      </c>
      <c r="K197" s="16" t="s">
        <v>335</v>
      </c>
      <c r="L197" s="16" t="s">
        <v>137</v>
      </c>
      <c r="M197" s="16" t="s">
        <v>84</v>
      </c>
      <c r="N197" s="16" t="s">
        <v>84</v>
      </c>
      <c r="O197" s="16" t="s">
        <v>152</v>
      </c>
      <c r="P197" s="16" t="s">
        <v>153</v>
      </c>
      <c r="Q197" s="16" t="s">
        <v>130</v>
      </c>
      <c r="R197" s="16" t="s">
        <v>130</v>
      </c>
      <c r="S197" s="17"/>
      <c r="T197" s="17">
        <v>843.4</v>
      </c>
      <c r="U197" s="17">
        <v>0</v>
      </c>
      <c r="V197" s="17"/>
      <c r="W197" s="17">
        <v>10.55</v>
      </c>
      <c r="X197" s="17">
        <v>704.2</v>
      </c>
      <c r="Y197" s="17">
        <v>114.36</v>
      </c>
      <c r="Z197" s="18" t="e">
        <f t="shared" si="58"/>
        <v>#DIV/0!</v>
      </c>
      <c r="AA197" s="19">
        <v>0.15</v>
      </c>
      <c r="AB197" s="17">
        <f t="shared" si="71"/>
        <v>105.63000000000001</v>
      </c>
      <c r="AC197" s="17">
        <v>0</v>
      </c>
      <c r="AD197" s="17">
        <v>0</v>
      </c>
      <c r="AE197" s="17">
        <f t="shared" si="59"/>
        <v>105.63000000000001</v>
      </c>
      <c r="AF197" s="17">
        <f t="shared" si="73"/>
        <v>16.9008</v>
      </c>
      <c r="AG197" s="17">
        <f t="shared" si="60"/>
        <v>122.53080000000001</v>
      </c>
      <c r="AH197" s="17">
        <f t="shared" si="69"/>
        <v>2.1126</v>
      </c>
      <c r="AI197" s="17">
        <v>0</v>
      </c>
      <c r="AJ197" s="17">
        <f t="shared" si="61"/>
        <v>2.1126</v>
      </c>
      <c r="AK197" s="20"/>
      <c r="AL197" s="17">
        <f t="shared" si="62"/>
        <v>103.51740000000001</v>
      </c>
      <c r="AM197" s="17" t="s">
        <v>430</v>
      </c>
      <c r="AN197" s="21">
        <v>0.5</v>
      </c>
      <c r="AO197" s="17">
        <f t="shared" si="63"/>
        <v>51.758700000000005</v>
      </c>
      <c r="AP197" s="17">
        <v>51.758700000000005</v>
      </c>
      <c r="AQ197" s="16">
        <v>44809</v>
      </c>
      <c r="AR197" s="17">
        <f t="shared" si="72"/>
        <v>0</v>
      </c>
      <c r="AS197" s="17" t="s">
        <v>431</v>
      </c>
      <c r="AT197" s="17">
        <v>122.53080000000001</v>
      </c>
      <c r="AU197" s="17">
        <f t="shared" si="64"/>
        <v>122.53080000000001</v>
      </c>
      <c r="AV197" s="17">
        <f t="shared" si="65"/>
        <v>0</v>
      </c>
      <c r="AW197" s="17" t="str">
        <f t="shared" si="67"/>
        <v>SFA</v>
      </c>
      <c r="AX197" s="22">
        <v>44699</v>
      </c>
      <c r="AY197" s="22"/>
      <c r="AZ197" s="1" t="s">
        <v>68</v>
      </c>
      <c r="BA197" s="22" t="str">
        <f t="shared" si="66"/>
        <v>COMP MOTOR</v>
      </c>
      <c r="BB197" s="22"/>
      <c r="BC197" s="22"/>
      <c r="BD197" s="22"/>
    </row>
    <row r="198" spans="1:56" ht="14.25" customHeight="1" x14ac:dyDescent="0.2">
      <c r="A198" s="12" t="s">
        <v>324</v>
      </c>
      <c r="B198" s="1" t="s">
        <v>57</v>
      </c>
      <c r="C198" s="13">
        <v>44627</v>
      </c>
      <c r="D198" s="13">
        <v>44643</v>
      </c>
      <c r="E198" s="13">
        <v>44643</v>
      </c>
      <c r="F198" s="13">
        <v>45007</v>
      </c>
      <c r="G198" s="14" t="str">
        <f t="shared" si="57"/>
        <v>000-197/AIB RDC/2022</v>
      </c>
      <c r="H198" s="1">
        <v>0</v>
      </c>
      <c r="I198" s="1" t="s">
        <v>74</v>
      </c>
      <c r="J198" s="24" t="s">
        <v>434</v>
      </c>
      <c r="K198" s="16" t="s">
        <v>197</v>
      </c>
      <c r="L198" s="1" t="s">
        <v>77</v>
      </c>
      <c r="M198" s="16" t="s">
        <v>62</v>
      </c>
      <c r="N198" s="16" t="s">
        <v>209</v>
      </c>
      <c r="O198" s="16" t="s">
        <v>73</v>
      </c>
      <c r="P198" s="16" t="s">
        <v>73</v>
      </c>
      <c r="Q198" s="16" t="s">
        <v>130</v>
      </c>
      <c r="R198" s="16" t="s">
        <v>130</v>
      </c>
      <c r="S198" s="17">
        <v>1000000</v>
      </c>
      <c r="T198" s="17">
        <v>21576.39</v>
      </c>
      <c r="U198" s="17"/>
      <c r="V198" s="17"/>
      <c r="W198" s="17">
        <v>270.22000000000003</v>
      </c>
      <c r="X198" s="17">
        <v>18014.849999999999</v>
      </c>
      <c r="Y198" s="17">
        <v>2925.61</v>
      </c>
      <c r="Z198" s="18">
        <f t="shared" si="58"/>
        <v>2.1576390000000001E-2</v>
      </c>
      <c r="AA198" s="19">
        <v>0.1</v>
      </c>
      <c r="AB198" s="17">
        <f t="shared" si="71"/>
        <v>1801.4849999999999</v>
      </c>
      <c r="AC198" s="17">
        <v>0</v>
      </c>
      <c r="AD198" s="17">
        <v>0</v>
      </c>
      <c r="AE198" s="17">
        <f t="shared" si="59"/>
        <v>1801.4849999999999</v>
      </c>
      <c r="AF198" s="17">
        <f t="shared" si="73"/>
        <v>288.23759999999999</v>
      </c>
      <c r="AG198" s="17">
        <f t="shared" si="60"/>
        <v>2089.7226000000001</v>
      </c>
      <c r="AH198" s="17">
        <f t="shared" si="69"/>
        <v>36.029699999999998</v>
      </c>
      <c r="AI198" s="17">
        <v>0</v>
      </c>
      <c r="AJ198" s="17">
        <f t="shared" si="61"/>
        <v>36.029699999999998</v>
      </c>
      <c r="AK198" s="20"/>
      <c r="AL198" s="17">
        <f t="shared" si="62"/>
        <v>1765.4552999999999</v>
      </c>
      <c r="AM198" s="17" t="s">
        <v>198</v>
      </c>
      <c r="AN198" s="21">
        <v>0</v>
      </c>
      <c r="AO198" s="17">
        <f t="shared" si="63"/>
        <v>0</v>
      </c>
      <c r="AP198" s="17"/>
      <c r="AQ198" s="16"/>
      <c r="AR198" s="17">
        <f t="shared" si="72"/>
        <v>0</v>
      </c>
      <c r="AS198" s="17"/>
      <c r="AT198" s="17">
        <v>2089.7226000000001</v>
      </c>
      <c r="AU198" s="17">
        <f t="shared" si="64"/>
        <v>2089.7226000000001</v>
      </c>
      <c r="AV198" s="17">
        <f t="shared" si="65"/>
        <v>0</v>
      </c>
      <c r="AW198" s="17" t="str">
        <f t="shared" si="67"/>
        <v>SFA</v>
      </c>
      <c r="AX198" s="22">
        <v>44676</v>
      </c>
      <c r="AY198" s="22"/>
      <c r="AZ198" s="1" t="s">
        <v>68</v>
      </c>
      <c r="BA198" s="22" t="str">
        <f t="shared" si="66"/>
        <v>MOTOR TPL</v>
      </c>
      <c r="BB198" s="22"/>
      <c r="BC198" s="22"/>
      <c r="BD198" s="22"/>
    </row>
    <row r="199" spans="1:56" ht="14.25" customHeight="1" x14ac:dyDescent="0.2">
      <c r="A199" s="12" t="s">
        <v>324</v>
      </c>
      <c r="B199" s="1" t="s">
        <v>57</v>
      </c>
      <c r="C199" s="13">
        <v>44627</v>
      </c>
      <c r="D199" s="13">
        <v>44643</v>
      </c>
      <c r="E199" s="13">
        <v>44643</v>
      </c>
      <c r="F199" s="13">
        <v>45007</v>
      </c>
      <c r="G199" s="14" t="str">
        <f t="shared" si="57"/>
        <v>000-198/AIB RDC/2022</v>
      </c>
      <c r="H199" s="1">
        <v>0</v>
      </c>
      <c r="I199" s="1" t="s">
        <v>74</v>
      </c>
      <c r="J199" s="24" t="s">
        <v>435</v>
      </c>
      <c r="K199" s="16" t="s">
        <v>436</v>
      </c>
      <c r="L199" s="1" t="s">
        <v>77</v>
      </c>
      <c r="M199" s="16" t="s">
        <v>62</v>
      </c>
      <c r="N199" s="16" t="s">
        <v>209</v>
      </c>
      <c r="O199" s="16" t="s">
        <v>73</v>
      </c>
      <c r="P199" s="16" t="s">
        <v>73</v>
      </c>
      <c r="Q199" s="16" t="s">
        <v>130</v>
      </c>
      <c r="R199" s="16" t="s">
        <v>130</v>
      </c>
      <c r="S199" s="17">
        <v>1000000</v>
      </c>
      <c r="T199" s="17">
        <v>1322.22</v>
      </c>
      <c r="U199" s="17"/>
      <c r="V199" s="17"/>
      <c r="W199" s="17">
        <v>16.55</v>
      </c>
      <c r="X199" s="17">
        <v>1103.97</v>
      </c>
      <c r="Y199" s="17">
        <v>179.28</v>
      </c>
      <c r="Z199" s="18">
        <f t="shared" si="58"/>
        <v>1.32222E-3</v>
      </c>
      <c r="AA199" s="19">
        <v>0.1</v>
      </c>
      <c r="AB199" s="17">
        <f t="shared" si="71"/>
        <v>110.39700000000001</v>
      </c>
      <c r="AC199" s="17">
        <v>0</v>
      </c>
      <c r="AD199" s="17">
        <v>0</v>
      </c>
      <c r="AE199" s="17">
        <f t="shared" si="59"/>
        <v>110.39700000000001</v>
      </c>
      <c r="AF199" s="17">
        <f t="shared" si="73"/>
        <v>17.663520000000002</v>
      </c>
      <c r="AG199" s="17">
        <f t="shared" si="60"/>
        <v>128.06052</v>
      </c>
      <c r="AH199" s="17">
        <f t="shared" si="69"/>
        <v>2.2079400000000002</v>
      </c>
      <c r="AI199" s="17">
        <v>0</v>
      </c>
      <c r="AJ199" s="17">
        <f t="shared" si="61"/>
        <v>2.2079400000000002</v>
      </c>
      <c r="AK199" s="20"/>
      <c r="AL199" s="17">
        <f t="shared" si="62"/>
        <v>108.18906000000001</v>
      </c>
      <c r="AM199" s="17" t="s">
        <v>198</v>
      </c>
      <c r="AN199" s="21">
        <v>0</v>
      </c>
      <c r="AO199" s="17">
        <f t="shared" si="63"/>
        <v>0</v>
      </c>
      <c r="AP199" s="17"/>
      <c r="AQ199" s="16"/>
      <c r="AR199" s="17">
        <f t="shared" si="72"/>
        <v>0</v>
      </c>
      <c r="AS199" s="17"/>
      <c r="AT199" s="17">
        <v>128.06052</v>
      </c>
      <c r="AU199" s="17">
        <f t="shared" si="64"/>
        <v>128.06052</v>
      </c>
      <c r="AV199" s="17">
        <f t="shared" si="65"/>
        <v>0</v>
      </c>
      <c r="AW199" s="17" t="str">
        <f t="shared" si="67"/>
        <v>SFA</v>
      </c>
      <c r="AX199" s="22">
        <v>44676</v>
      </c>
      <c r="AY199" s="22"/>
      <c r="AZ199" s="1" t="s">
        <v>68</v>
      </c>
      <c r="BA199" s="22" t="str">
        <f t="shared" si="66"/>
        <v>MOTOR TPL</v>
      </c>
      <c r="BB199" s="22"/>
      <c r="BC199" s="22"/>
      <c r="BD199" s="22"/>
    </row>
    <row r="200" spans="1:56" ht="14.25" customHeight="1" x14ac:dyDescent="0.2">
      <c r="A200" s="12" t="s">
        <v>324</v>
      </c>
      <c r="B200" s="1" t="s">
        <v>57</v>
      </c>
      <c r="C200" s="13">
        <v>44629</v>
      </c>
      <c r="D200" s="13">
        <v>44651</v>
      </c>
      <c r="E200" s="13">
        <v>44643</v>
      </c>
      <c r="F200" s="13">
        <v>45007</v>
      </c>
      <c r="G200" s="14" t="str">
        <f t="shared" si="57"/>
        <v>000-199/AIB RDC/2022</v>
      </c>
      <c r="H200" s="1">
        <v>0</v>
      </c>
      <c r="I200" s="1" t="s">
        <v>74</v>
      </c>
      <c r="J200" s="1" t="s">
        <v>437</v>
      </c>
      <c r="K200" s="1" t="s">
        <v>433</v>
      </c>
      <c r="L200" s="16" t="s">
        <v>123</v>
      </c>
      <c r="M200" s="16" t="s">
        <v>84</v>
      </c>
      <c r="N200" s="16" t="s">
        <v>84</v>
      </c>
      <c r="O200" s="16" t="s">
        <v>70</v>
      </c>
      <c r="P200" s="16" t="s">
        <v>71</v>
      </c>
      <c r="Q200" s="16" t="s">
        <v>86</v>
      </c>
      <c r="R200" s="16" t="s">
        <v>86</v>
      </c>
      <c r="S200" s="17">
        <v>562455</v>
      </c>
      <c r="T200" s="17">
        <v>1310.07</v>
      </c>
      <c r="U200" s="17">
        <v>0</v>
      </c>
      <c r="V200" s="17">
        <v>0</v>
      </c>
      <c r="W200" s="17">
        <v>11.18</v>
      </c>
      <c r="X200" s="17">
        <v>1118.19</v>
      </c>
      <c r="Y200" s="17">
        <v>180.7</v>
      </c>
      <c r="Z200" s="18">
        <f t="shared" si="58"/>
        <v>2.3291996693068778E-3</v>
      </c>
      <c r="AA200" s="19">
        <v>0.1</v>
      </c>
      <c r="AB200" s="17">
        <f t="shared" si="71"/>
        <v>111.81900000000002</v>
      </c>
      <c r="AC200" s="17">
        <v>0</v>
      </c>
      <c r="AD200" s="17">
        <v>0</v>
      </c>
      <c r="AE200" s="17">
        <f t="shared" si="59"/>
        <v>111.81900000000002</v>
      </c>
      <c r="AF200" s="17">
        <f t="shared" si="73"/>
        <v>17.891040000000004</v>
      </c>
      <c r="AG200" s="17">
        <f t="shared" si="60"/>
        <v>129.71004000000002</v>
      </c>
      <c r="AH200" s="17">
        <f t="shared" si="69"/>
        <v>2.2363800000000005</v>
      </c>
      <c r="AI200" s="17">
        <v>0</v>
      </c>
      <c r="AJ200" s="17">
        <f t="shared" si="61"/>
        <v>2.2363800000000005</v>
      </c>
      <c r="AK200" s="20"/>
      <c r="AL200" s="17">
        <f t="shared" si="62"/>
        <v>109.58262000000002</v>
      </c>
      <c r="AM200" s="17" t="s">
        <v>289</v>
      </c>
      <c r="AN200" s="21">
        <v>0.5</v>
      </c>
      <c r="AO200" s="17">
        <f t="shared" si="63"/>
        <v>54.79131000000001</v>
      </c>
      <c r="AP200" s="17">
        <v>54.79</v>
      </c>
      <c r="AQ200" s="45">
        <v>45219</v>
      </c>
      <c r="AR200" s="17">
        <f t="shared" si="72"/>
        <v>1.3100000000108025E-3</v>
      </c>
      <c r="AS200" s="17"/>
      <c r="AT200" s="17">
        <v>129.71004000000002</v>
      </c>
      <c r="AU200" s="17">
        <f t="shared" si="64"/>
        <v>129.71004000000002</v>
      </c>
      <c r="AV200" s="17">
        <f t="shared" si="65"/>
        <v>0</v>
      </c>
      <c r="AW200" s="17" t="str">
        <f t="shared" si="67"/>
        <v>SUNU</v>
      </c>
      <c r="AX200" s="22">
        <v>44713</v>
      </c>
      <c r="AY200" s="22"/>
      <c r="AZ200" s="1" t="s">
        <v>68</v>
      </c>
      <c r="BA200" s="22" t="str">
        <f t="shared" si="66"/>
        <v>FIRE</v>
      </c>
      <c r="BB200" s="22"/>
      <c r="BC200" s="22"/>
      <c r="BD200" s="22"/>
    </row>
    <row r="201" spans="1:56" ht="14.25" customHeight="1" x14ac:dyDescent="0.2">
      <c r="A201" s="12" t="s">
        <v>324</v>
      </c>
      <c r="B201" s="1" t="s">
        <v>57</v>
      </c>
      <c r="C201" s="13">
        <v>44629</v>
      </c>
      <c r="D201" s="13">
        <v>44651</v>
      </c>
      <c r="E201" s="13">
        <v>44643</v>
      </c>
      <c r="F201" s="13">
        <v>45007</v>
      </c>
      <c r="G201" s="14" t="str">
        <f t="shared" si="57"/>
        <v>000-200/AIB RDC/2022</v>
      </c>
      <c r="H201" s="1">
        <v>0</v>
      </c>
      <c r="I201" s="1" t="s">
        <v>74</v>
      </c>
      <c r="J201" s="1" t="s">
        <v>438</v>
      </c>
      <c r="K201" s="1" t="s">
        <v>433</v>
      </c>
      <c r="L201" s="16" t="s">
        <v>123</v>
      </c>
      <c r="M201" s="16" t="s">
        <v>84</v>
      </c>
      <c r="N201" s="16" t="s">
        <v>84</v>
      </c>
      <c r="O201" s="16" t="s">
        <v>89</v>
      </c>
      <c r="P201" s="16" t="s">
        <v>90</v>
      </c>
      <c r="Q201" s="16" t="s">
        <v>86</v>
      </c>
      <c r="R201" s="16" t="s">
        <v>86</v>
      </c>
      <c r="S201" s="17"/>
      <c r="T201" s="17">
        <v>1288.76</v>
      </c>
      <c r="U201" s="17">
        <v>0</v>
      </c>
      <c r="V201" s="17">
        <v>0</v>
      </c>
      <c r="W201" s="17">
        <v>11</v>
      </c>
      <c r="X201" s="17">
        <v>1100</v>
      </c>
      <c r="Y201" s="17">
        <v>177.76</v>
      </c>
      <c r="Z201" s="18" t="e">
        <f t="shared" si="58"/>
        <v>#DIV/0!</v>
      </c>
      <c r="AA201" s="19">
        <v>0.1</v>
      </c>
      <c r="AB201" s="17">
        <f t="shared" si="71"/>
        <v>110</v>
      </c>
      <c r="AC201" s="17">
        <v>0</v>
      </c>
      <c r="AD201" s="17">
        <v>0</v>
      </c>
      <c r="AE201" s="17">
        <f t="shared" si="59"/>
        <v>110</v>
      </c>
      <c r="AF201" s="17">
        <f t="shared" si="73"/>
        <v>17.600000000000001</v>
      </c>
      <c r="AG201" s="17">
        <f t="shared" si="60"/>
        <v>127.6</v>
      </c>
      <c r="AH201" s="17">
        <f t="shared" si="69"/>
        <v>2.2000000000000002</v>
      </c>
      <c r="AI201" s="17">
        <v>0</v>
      </c>
      <c r="AJ201" s="17">
        <f t="shared" si="61"/>
        <v>2.2000000000000002</v>
      </c>
      <c r="AK201" s="20"/>
      <c r="AL201" s="17">
        <f t="shared" si="62"/>
        <v>107.8</v>
      </c>
      <c r="AM201" s="17" t="s">
        <v>289</v>
      </c>
      <c r="AN201" s="21">
        <v>0.5</v>
      </c>
      <c r="AO201" s="17">
        <f t="shared" si="63"/>
        <v>53.9</v>
      </c>
      <c r="AP201" s="17">
        <v>53.9</v>
      </c>
      <c r="AQ201" s="45">
        <v>45219</v>
      </c>
      <c r="AR201" s="17">
        <f t="shared" si="72"/>
        <v>0</v>
      </c>
      <c r="AS201" s="17"/>
      <c r="AT201" s="17">
        <v>127.6</v>
      </c>
      <c r="AU201" s="17">
        <f t="shared" si="64"/>
        <v>127.6</v>
      </c>
      <c r="AV201" s="17">
        <f t="shared" si="65"/>
        <v>0</v>
      </c>
      <c r="AW201" s="17" t="str">
        <f t="shared" si="67"/>
        <v>SUNU</v>
      </c>
      <c r="AX201" s="22">
        <v>44713</v>
      </c>
      <c r="AY201" s="22"/>
      <c r="AZ201" s="1" t="s">
        <v>68</v>
      </c>
      <c r="BA201" s="22" t="str">
        <f t="shared" si="66"/>
        <v>GENERAL LIABILITY</v>
      </c>
      <c r="BB201" s="22"/>
      <c r="BC201" s="22"/>
      <c r="BD201" s="22"/>
    </row>
    <row r="202" spans="1:56" ht="14.25" customHeight="1" x14ac:dyDescent="0.2">
      <c r="A202" s="12" t="s">
        <v>324</v>
      </c>
      <c r="B202" s="1" t="s">
        <v>57</v>
      </c>
      <c r="C202" s="13">
        <v>44627</v>
      </c>
      <c r="D202" s="13">
        <v>44645</v>
      </c>
      <c r="E202" s="13">
        <v>44645</v>
      </c>
      <c r="F202" s="13">
        <v>44945</v>
      </c>
      <c r="G202" s="14" t="str">
        <f t="shared" si="57"/>
        <v>000-201/AIB RDC/2022</v>
      </c>
      <c r="H202" s="1">
        <v>15</v>
      </c>
      <c r="I202" s="1" t="s">
        <v>91</v>
      </c>
      <c r="J202" s="1" t="s">
        <v>221</v>
      </c>
      <c r="K202" s="16" t="s">
        <v>222</v>
      </c>
      <c r="L202" s="1" t="s">
        <v>160</v>
      </c>
      <c r="M202" s="16" t="s">
        <v>105</v>
      </c>
      <c r="N202" s="16" t="s">
        <v>191</v>
      </c>
      <c r="O202" s="16" t="s">
        <v>73</v>
      </c>
      <c r="P202" s="16" t="s">
        <v>73</v>
      </c>
      <c r="Q202" s="16" t="s">
        <v>130</v>
      </c>
      <c r="R202" s="16" t="s">
        <v>130</v>
      </c>
      <c r="S202" s="17">
        <v>0</v>
      </c>
      <c r="T202" s="17">
        <v>258.7</v>
      </c>
      <c r="U202" s="17">
        <v>0</v>
      </c>
      <c r="V202" s="17">
        <v>0</v>
      </c>
      <c r="W202" s="17">
        <v>3.24</v>
      </c>
      <c r="X202" s="17">
        <v>216</v>
      </c>
      <c r="Y202" s="17">
        <v>35.07</v>
      </c>
      <c r="Z202" s="18" t="e">
        <f t="shared" si="58"/>
        <v>#DIV/0!</v>
      </c>
      <c r="AA202" s="19">
        <v>0.1</v>
      </c>
      <c r="AB202" s="17">
        <f t="shared" si="71"/>
        <v>21.6</v>
      </c>
      <c r="AC202" s="17">
        <v>0</v>
      </c>
      <c r="AD202" s="17">
        <v>0</v>
      </c>
      <c r="AE202" s="17">
        <f t="shared" si="59"/>
        <v>21.6</v>
      </c>
      <c r="AF202" s="17">
        <f t="shared" si="73"/>
        <v>3.4560000000000004</v>
      </c>
      <c r="AG202" s="17">
        <f t="shared" si="60"/>
        <v>25.056000000000001</v>
      </c>
      <c r="AH202" s="17">
        <f t="shared" si="69"/>
        <v>0.43200000000000005</v>
      </c>
      <c r="AI202" s="17">
        <v>0</v>
      </c>
      <c r="AJ202" s="17">
        <f t="shared" si="61"/>
        <v>0.43200000000000005</v>
      </c>
      <c r="AK202" s="20"/>
      <c r="AL202" s="17">
        <f t="shared" si="62"/>
        <v>21.168000000000003</v>
      </c>
      <c r="AM202" s="17"/>
      <c r="AN202" s="21"/>
      <c r="AO202" s="17">
        <f t="shared" si="63"/>
        <v>0</v>
      </c>
      <c r="AP202" s="17"/>
      <c r="AQ202" s="16"/>
      <c r="AR202" s="17">
        <f t="shared" si="72"/>
        <v>0</v>
      </c>
      <c r="AS202" s="17"/>
      <c r="AT202" s="17">
        <v>25.056000000000001</v>
      </c>
      <c r="AU202" s="17">
        <f t="shared" si="64"/>
        <v>25.056000000000001</v>
      </c>
      <c r="AV202" s="17">
        <f t="shared" si="65"/>
        <v>0</v>
      </c>
      <c r="AW202" s="17" t="str">
        <f t="shared" si="67"/>
        <v>SFA</v>
      </c>
      <c r="AX202" s="22">
        <v>44676</v>
      </c>
      <c r="AY202" s="22"/>
      <c r="AZ202" s="1" t="s">
        <v>68</v>
      </c>
      <c r="BA202" s="22" t="str">
        <f t="shared" si="66"/>
        <v>MOTOR TPL</v>
      </c>
      <c r="BB202" s="22"/>
      <c r="BC202" s="22"/>
      <c r="BD202" s="22"/>
    </row>
    <row r="203" spans="1:56" ht="14.25" customHeight="1" x14ac:dyDescent="0.2">
      <c r="A203" s="1" t="s">
        <v>439</v>
      </c>
      <c r="B203" s="1" t="s">
        <v>57</v>
      </c>
      <c r="C203" s="13">
        <v>44811</v>
      </c>
      <c r="D203" s="13">
        <v>44804</v>
      </c>
      <c r="E203" s="13">
        <v>44797</v>
      </c>
      <c r="F203" s="13">
        <v>44827</v>
      </c>
      <c r="G203" s="14" t="str">
        <f t="shared" si="57"/>
        <v>000-202/AIB RDC/2022</v>
      </c>
      <c r="H203" s="1">
        <v>0</v>
      </c>
      <c r="I203" s="1" t="s">
        <v>74</v>
      </c>
      <c r="J203" s="24" t="s">
        <v>440</v>
      </c>
      <c r="K203" s="16" t="s">
        <v>211</v>
      </c>
      <c r="L203" s="16"/>
      <c r="M203" s="16" t="s">
        <v>105</v>
      </c>
      <c r="N203" s="16" t="s">
        <v>106</v>
      </c>
      <c r="O203" s="16" t="s">
        <v>64</v>
      </c>
      <c r="P203" s="16" t="s">
        <v>65</v>
      </c>
      <c r="Q203" s="16" t="s">
        <v>130</v>
      </c>
      <c r="R203" s="16" t="s">
        <v>130</v>
      </c>
      <c r="S203" s="17">
        <v>59984.99</v>
      </c>
      <c r="T203" s="17">
        <v>172.66</v>
      </c>
      <c r="U203" s="17"/>
      <c r="V203" s="17"/>
      <c r="W203" s="17">
        <v>20</v>
      </c>
      <c r="X203" s="17">
        <v>126.33</v>
      </c>
      <c r="Y203" s="17">
        <v>23.41</v>
      </c>
      <c r="Z203" s="18">
        <f t="shared" si="58"/>
        <v>2.8783867430835614E-3</v>
      </c>
      <c r="AA203" s="19">
        <v>0.15</v>
      </c>
      <c r="AB203" s="17">
        <f t="shared" si="71"/>
        <v>18.9495</v>
      </c>
      <c r="AC203" s="17">
        <v>0</v>
      </c>
      <c r="AD203" s="17">
        <v>0</v>
      </c>
      <c r="AE203" s="17">
        <f t="shared" si="59"/>
        <v>18.9495</v>
      </c>
      <c r="AF203" s="17">
        <f t="shared" si="73"/>
        <v>3.0319199999999999</v>
      </c>
      <c r="AG203" s="17">
        <f t="shared" si="60"/>
        <v>21.98142</v>
      </c>
      <c r="AH203" s="17">
        <f t="shared" si="69"/>
        <v>0.37898999999999999</v>
      </c>
      <c r="AI203" s="17">
        <v>0</v>
      </c>
      <c r="AJ203" s="17">
        <f t="shared" si="61"/>
        <v>0.37898999999999999</v>
      </c>
      <c r="AK203" s="20"/>
      <c r="AL203" s="17">
        <f t="shared" si="62"/>
        <v>18.570509999999999</v>
      </c>
      <c r="AM203" s="17" t="s">
        <v>108</v>
      </c>
      <c r="AN203" s="21">
        <v>0.4</v>
      </c>
      <c r="AO203" s="17">
        <f t="shared" si="63"/>
        <v>7.428204</v>
      </c>
      <c r="AP203" s="17">
        <v>7.428204</v>
      </c>
      <c r="AQ203" s="16">
        <v>44867</v>
      </c>
      <c r="AR203" s="17">
        <f t="shared" si="72"/>
        <v>0</v>
      </c>
      <c r="AS203" s="17" t="s">
        <v>397</v>
      </c>
      <c r="AT203" s="17">
        <v>21.98142</v>
      </c>
      <c r="AU203" s="17">
        <f t="shared" si="64"/>
        <v>21.98142</v>
      </c>
      <c r="AV203" s="17">
        <f t="shared" si="65"/>
        <v>0</v>
      </c>
      <c r="AW203" s="17" t="str">
        <f t="shared" si="67"/>
        <v>SFA</v>
      </c>
      <c r="AX203" s="22">
        <v>44823</v>
      </c>
      <c r="AY203" s="22"/>
      <c r="AZ203" s="1" t="s">
        <v>110</v>
      </c>
      <c r="BA203" s="22" t="str">
        <f t="shared" si="66"/>
        <v>MARINE CARGO / GIT</v>
      </c>
      <c r="BB203" s="22"/>
      <c r="BC203" s="22"/>
      <c r="BD203" s="22"/>
    </row>
    <row r="204" spans="1:56" ht="14.25" customHeight="1" x14ac:dyDescent="0.2">
      <c r="A204" s="12" t="s">
        <v>324</v>
      </c>
      <c r="B204" s="1" t="s">
        <v>57</v>
      </c>
      <c r="C204" s="13">
        <v>44627</v>
      </c>
      <c r="D204" s="13">
        <v>44674</v>
      </c>
      <c r="E204" s="13">
        <v>44642</v>
      </c>
      <c r="F204" s="13">
        <v>44644</v>
      </c>
      <c r="G204" s="14" t="str">
        <f t="shared" ref="G204:G267" si="74">TEXT(ROW(G204)-1,"000-000") &amp; "/AIB RDC/2022"</f>
        <v>000-203/AIB RDC/2022</v>
      </c>
      <c r="H204" s="1">
        <v>0</v>
      </c>
      <c r="I204" s="1" t="s">
        <v>74</v>
      </c>
      <c r="J204" s="24" t="s">
        <v>441</v>
      </c>
      <c r="K204" s="16" t="s">
        <v>261</v>
      </c>
      <c r="L204" s="16"/>
      <c r="M204" s="16" t="s">
        <v>105</v>
      </c>
      <c r="N204" s="16" t="s">
        <v>106</v>
      </c>
      <c r="O204" s="16" t="s">
        <v>64</v>
      </c>
      <c r="P204" s="16" t="s">
        <v>65</v>
      </c>
      <c r="Q204" s="16" t="s">
        <v>130</v>
      </c>
      <c r="R204" s="16" t="s">
        <v>130</v>
      </c>
      <c r="S204" s="17">
        <v>38945.120000000003</v>
      </c>
      <c r="T204" s="17">
        <v>100.78</v>
      </c>
      <c r="U204" s="17">
        <v>0</v>
      </c>
      <c r="V204" s="17"/>
      <c r="W204" s="17">
        <v>20</v>
      </c>
      <c r="X204" s="17">
        <v>65.42</v>
      </c>
      <c r="Y204" s="17">
        <v>13.66</v>
      </c>
      <c r="Z204" s="18">
        <f t="shared" ref="Z204:Z267" si="75">T204/S204</f>
        <v>2.5877439843554209E-3</v>
      </c>
      <c r="AA204" s="19">
        <v>0.15</v>
      </c>
      <c r="AB204" s="17">
        <f t="shared" si="71"/>
        <v>9.8130000000000006</v>
      </c>
      <c r="AC204" s="17">
        <v>0</v>
      </c>
      <c r="AD204" s="17">
        <v>0</v>
      </c>
      <c r="AE204" s="17">
        <f t="shared" ref="AE204:AE267" si="76">SUM(AB204:AD204)</f>
        <v>9.8130000000000006</v>
      </c>
      <c r="AF204" s="17">
        <f t="shared" si="73"/>
        <v>1.5700800000000001</v>
      </c>
      <c r="AG204" s="17">
        <f t="shared" ref="AG204:AG267" si="77">AF204+AE204</f>
        <v>11.383080000000001</v>
      </c>
      <c r="AH204" s="17">
        <f t="shared" si="69"/>
        <v>0.19626000000000002</v>
      </c>
      <c r="AI204" s="17">
        <v>0</v>
      </c>
      <c r="AJ204" s="17">
        <f t="shared" ref="AJ204:AJ267" si="78">AH204-AI204</f>
        <v>0.19626000000000002</v>
      </c>
      <c r="AK204" s="20"/>
      <c r="AL204" s="17">
        <f t="shared" ref="AL204:AL267" si="79">AE204-AH204</f>
        <v>9.6167400000000001</v>
      </c>
      <c r="AM204" s="17" t="s">
        <v>108</v>
      </c>
      <c r="AN204" s="21">
        <v>0.4</v>
      </c>
      <c r="AO204" s="17">
        <f t="shared" ref="AO204:AO267" si="80">AL204*AN204</f>
        <v>3.8466960000000001</v>
      </c>
      <c r="AP204" s="17">
        <v>3.8466960000000001</v>
      </c>
      <c r="AQ204" s="16">
        <v>44834</v>
      </c>
      <c r="AR204" s="17">
        <f t="shared" si="72"/>
        <v>0</v>
      </c>
      <c r="AS204" s="17" t="s">
        <v>109</v>
      </c>
      <c r="AT204" s="17">
        <v>11.383080000000001</v>
      </c>
      <c r="AU204" s="17">
        <f t="shared" ref="AU204:AU257" si="81">AG204</f>
        <v>11.383080000000001</v>
      </c>
      <c r="AV204" s="17">
        <f t="shared" ref="AV204:AV267" si="82">AU204-AT204</f>
        <v>0</v>
      </c>
      <c r="AW204" s="17" t="str">
        <f t="shared" si="67"/>
        <v>SFA</v>
      </c>
      <c r="AX204" s="22">
        <v>44699</v>
      </c>
      <c r="AY204" s="22"/>
      <c r="AZ204" s="1" t="s">
        <v>110</v>
      </c>
      <c r="BA204" s="22" t="str">
        <f t="shared" ref="BA204:BA267" si="83">O204</f>
        <v>MARINE CARGO / GIT</v>
      </c>
      <c r="BB204" s="22"/>
      <c r="BC204" s="22"/>
      <c r="BD204" s="22"/>
    </row>
    <row r="205" spans="1:56" ht="14.25" customHeight="1" x14ac:dyDescent="0.2">
      <c r="A205" s="12" t="s">
        <v>324</v>
      </c>
      <c r="B205" s="1" t="s">
        <v>57</v>
      </c>
      <c r="C205" s="13">
        <v>44627</v>
      </c>
      <c r="D205" s="13">
        <v>44637</v>
      </c>
      <c r="E205" s="13">
        <v>44648</v>
      </c>
      <c r="F205" s="13">
        <v>45012</v>
      </c>
      <c r="G205" s="14" t="str">
        <f t="shared" si="74"/>
        <v>000-204/AIB RDC/2022</v>
      </c>
      <c r="H205" s="1">
        <v>0</v>
      </c>
      <c r="I205" s="1" t="s">
        <v>74</v>
      </c>
      <c r="J205" s="1" t="s">
        <v>442</v>
      </c>
      <c r="K205" s="16" t="s">
        <v>443</v>
      </c>
      <c r="L205" s="16" t="s">
        <v>444</v>
      </c>
      <c r="M205" s="16" t="s">
        <v>62</v>
      </c>
      <c r="N205" s="16" t="s">
        <v>209</v>
      </c>
      <c r="O205" s="16" t="s">
        <v>70</v>
      </c>
      <c r="P205" s="16" t="s">
        <v>71</v>
      </c>
      <c r="Q205" s="16" t="s">
        <v>130</v>
      </c>
      <c r="R205" s="16" t="s">
        <v>130</v>
      </c>
      <c r="S205" s="17">
        <v>572500</v>
      </c>
      <c r="T205" s="17">
        <v>3653.24</v>
      </c>
      <c r="U205" s="17"/>
      <c r="V205" s="17"/>
      <c r="W205" s="17">
        <v>25.35</v>
      </c>
      <c r="X205" s="17">
        <v>3070.63</v>
      </c>
      <c r="Y205" s="17">
        <v>495.35</v>
      </c>
      <c r="Z205" s="18">
        <f t="shared" si="75"/>
        <v>6.3812052401746719E-3</v>
      </c>
      <c r="AA205" s="19">
        <v>0.1</v>
      </c>
      <c r="AB205" s="17">
        <f t="shared" si="71"/>
        <v>307.06300000000005</v>
      </c>
      <c r="AC205" s="17">
        <v>0</v>
      </c>
      <c r="AD205" s="17">
        <v>0</v>
      </c>
      <c r="AE205" s="17">
        <f t="shared" si="76"/>
        <v>307.06300000000005</v>
      </c>
      <c r="AF205" s="17">
        <f t="shared" si="73"/>
        <v>49.130080000000007</v>
      </c>
      <c r="AG205" s="17">
        <f t="shared" si="77"/>
        <v>356.19308000000007</v>
      </c>
      <c r="AH205" s="17">
        <f t="shared" si="69"/>
        <v>6.1412600000000008</v>
      </c>
      <c r="AI205" s="17">
        <v>0</v>
      </c>
      <c r="AJ205" s="17">
        <f t="shared" si="78"/>
        <v>6.1412600000000008</v>
      </c>
      <c r="AK205" s="20"/>
      <c r="AL205" s="17">
        <f t="shared" si="79"/>
        <v>300.92174000000006</v>
      </c>
      <c r="AM205" s="17" t="s">
        <v>198</v>
      </c>
      <c r="AN205" s="21">
        <v>0</v>
      </c>
      <c r="AO205" s="17">
        <f t="shared" si="80"/>
        <v>0</v>
      </c>
      <c r="AP205" s="17"/>
      <c r="AQ205" s="16"/>
      <c r="AR205" s="17">
        <f t="shared" si="72"/>
        <v>0</v>
      </c>
      <c r="AS205" s="17"/>
      <c r="AT205" s="17">
        <v>356.19308000000007</v>
      </c>
      <c r="AU205" s="17">
        <f t="shared" si="81"/>
        <v>356.19308000000007</v>
      </c>
      <c r="AV205" s="17">
        <f t="shared" si="82"/>
        <v>0</v>
      </c>
      <c r="AW205" s="17" t="str">
        <f t="shared" si="67"/>
        <v>SFA</v>
      </c>
      <c r="AX205" s="22">
        <v>44676</v>
      </c>
      <c r="AY205" s="22"/>
      <c r="AZ205" s="1" t="s">
        <v>68</v>
      </c>
      <c r="BA205" s="22" t="str">
        <f t="shared" si="83"/>
        <v>FIRE</v>
      </c>
      <c r="BB205" s="22"/>
      <c r="BC205" s="22"/>
      <c r="BD205" s="22"/>
    </row>
    <row r="206" spans="1:56" ht="14.25" customHeight="1" x14ac:dyDescent="0.2">
      <c r="A206" s="12" t="s">
        <v>324</v>
      </c>
      <c r="B206" s="1" t="s">
        <v>57</v>
      </c>
      <c r="C206" s="13">
        <v>44627</v>
      </c>
      <c r="D206" s="13">
        <v>44641</v>
      </c>
      <c r="E206" s="13">
        <v>44648</v>
      </c>
      <c r="F206" s="13">
        <v>45012</v>
      </c>
      <c r="G206" s="14" t="str">
        <f t="shared" si="74"/>
        <v>000-205/AIB RDC/2022</v>
      </c>
      <c r="H206" s="1">
        <v>0</v>
      </c>
      <c r="I206" s="1" t="s">
        <v>74</v>
      </c>
      <c r="J206" s="1" t="s">
        <v>445</v>
      </c>
      <c r="K206" s="16" t="s">
        <v>197</v>
      </c>
      <c r="L206" s="1" t="s">
        <v>77</v>
      </c>
      <c r="M206" s="16" t="s">
        <v>62</v>
      </c>
      <c r="N206" s="16" t="s">
        <v>209</v>
      </c>
      <c r="O206" s="16" t="s">
        <v>70</v>
      </c>
      <c r="P206" s="16" t="s">
        <v>71</v>
      </c>
      <c r="Q206" s="16" t="s">
        <v>130</v>
      </c>
      <c r="R206" s="16" t="s">
        <v>130</v>
      </c>
      <c r="S206" s="17">
        <v>1333000</v>
      </c>
      <c r="T206" s="17">
        <v>3729.44</v>
      </c>
      <c r="U206" s="17"/>
      <c r="V206" s="17"/>
      <c r="W206" s="17">
        <v>25.67</v>
      </c>
      <c r="X206" s="17">
        <v>3134.88</v>
      </c>
      <c r="Y206" s="17">
        <v>505.69</v>
      </c>
      <c r="Z206" s="18">
        <f t="shared" si="75"/>
        <v>2.7977794448612154E-3</v>
      </c>
      <c r="AA206" s="19">
        <v>0.1</v>
      </c>
      <c r="AB206" s="17">
        <f t="shared" si="71"/>
        <v>313.48800000000006</v>
      </c>
      <c r="AC206" s="17">
        <v>0</v>
      </c>
      <c r="AD206" s="17">
        <v>0</v>
      </c>
      <c r="AE206" s="17">
        <f t="shared" si="76"/>
        <v>313.48800000000006</v>
      </c>
      <c r="AF206" s="17">
        <f t="shared" si="73"/>
        <v>50.158080000000012</v>
      </c>
      <c r="AG206" s="17">
        <f t="shared" si="77"/>
        <v>363.6460800000001</v>
      </c>
      <c r="AH206" s="17">
        <f t="shared" si="69"/>
        <v>6.2697600000000016</v>
      </c>
      <c r="AI206" s="17">
        <v>0</v>
      </c>
      <c r="AJ206" s="17">
        <f t="shared" si="78"/>
        <v>6.2697600000000016</v>
      </c>
      <c r="AK206" s="20"/>
      <c r="AL206" s="17">
        <f t="shared" si="79"/>
        <v>307.21824000000004</v>
      </c>
      <c r="AM206" s="17" t="s">
        <v>198</v>
      </c>
      <c r="AN206" s="21">
        <v>0</v>
      </c>
      <c r="AO206" s="17">
        <f t="shared" si="80"/>
        <v>0</v>
      </c>
      <c r="AP206" s="17"/>
      <c r="AQ206" s="16"/>
      <c r="AR206" s="17">
        <f t="shared" si="72"/>
        <v>0</v>
      </c>
      <c r="AS206" s="17"/>
      <c r="AT206" s="17">
        <v>363.6460800000001</v>
      </c>
      <c r="AU206" s="17">
        <f t="shared" si="81"/>
        <v>363.6460800000001</v>
      </c>
      <c r="AV206" s="17">
        <f t="shared" si="82"/>
        <v>0</v>
      </c>
      <c r="AW206" s="17" t="str">
        <f t="shared" si="67"/>
        <v>SFA</v>
      </c>
      <c r="AX206" s="22">
        <v>44676</v>
      </c>
      <c r="AY206" s="22"/>
      <c r="AZ206" s="1" t="s">
        <v>68</v>
      </c>
      <c r="BA206" s="22" t="str">
        <f t="shared" si="83"/>
        <v>FIRE</v>
      </c>
      <c r="BB206" s="22"/>
      <c r="BC206" s="22"/>
      <c r="BD206" s="22"/>
    </row>
    <row r="207" spans="1:56" ht="14.25" customHeight="1" x14ac:dyDescent="0.2">
      <c r="A207" s="12" t="s">
        <v>324</v>
      </c>
      <c r="B207" s="1" t="s">
        <v>57</v>
      </c>
      <c r="C207" s="13">
        <v>44627</v>
      </c>
      <c r="D207" s="13">
        <v>44641</v>
      </c>
      <c r="E207" s="13">
        <v>44648</v>
      </c>
      <c r="F207" s="13">
        <v>45012</v>
      </c>
      <c r="G207" s="14" t="str">
        <f t="shared" si="74"/>
        <v>000-206/AIB RDC/2022</v>
      </c>
      <c r="H207" s="1">
        <v>0</v>
      </c>
      <c r="I207" s="1" t="s">
        <v>74</v>
      </c>
      <c r="J207" s="1" t="s">
        <v>446</v>
      </c>
      <c r="K207" s="16" t="s">
        <v>197</v>
      </c>
      <c r="L207" s="1" t="s">
        <v>77</v>
      </c>
      <c r="M207" s="16" t="s">
        <v>62</v>
      </c>
      <c r="N207" s="16" t="s">
        <v>106</v>
      </c>
      <c r="O207" s="16" t="s">
        <v>70</v>
      </c>
      <c r="P207" s="16" t="s">
        <v>71</v>
      </c>
      <c r="Q207" s="16" t="s">
        <v>130</v>
      </c>
      <c r="R207" s="16" t="s">
        <v>130</v>
      </c>
      <c r="S207" s="17">
        <v>4064062.5</v>
      </c>
      <c r="T207" s="17">
        <v>9867.9</v>
      </c>
      <c r="U207" s="17"/>
      <c r="V207" s="17"/>
      <c r="W207" s="17">
        <v>51.55</v>
      </c>
      <c r="X207" s="17">
        <v>8311.08</v>
      </c>
      <c r="Y207" s="17">
        <v>1338.02</v>
      </c>
      <c r="Z207" s="18">
        <f t="shared" si="75"/>
        <v>2.4280876585928489E-3</v>
      </c>
      <c r="AA207" s="19">
        <v>0.1</v>
      </c>
      <c r="AB207" s="17">
        <f t="shared" si="71"/>
        <v>831.10800000000006</v>
      </c>
      <c r="AC207" s="17">
        <v>0</v>
      </c>
      <c r="AD207" s="17">
        <v>0</v>
      </c>
      <c r="AE207" s="17">
        <f t="shared" si="76"/>
        <v>831.10800000000006</v>
      </c>
      <c r="AF207" s="17">
        <f t="shared" si="73"/>
        <v>132.97728000000001</v>
      </c>
      <c r="AG207" s="17">
        <f t="shared" si="77"/>
        <v>964.08528000000001</v>
      </c>
      <c r="AH207" s="17">
        <f t="shared" si="69"/>
        <v>16.622160000000001</v>
      </c>
      <c r="AI207" s="17">
        <v>0</v>
      </c>
      <c r="AJ207" s="17">
        <f t="shared" si="78"/>
        <v>16.622160000000001</v>
      </c>
      <c r="AK207" s="20"/>
      <c r="AL207" s="17">
        <f t="shared" si="79"/>
        <v>814.48584000000005</v>
      </c>
      <c r="AM207" s="17" t="s">
        <v>198</v>
      </c>
      <c r="AN207" s="21">
        <v>0</v>
      </c>
      <c r="AO207" s="17">
        <f t="shared" si="80"/>
        <v>0</v>
      </c>
      <c r="AP207" s="17"/>
      <c r="AQ207" s="16"/>
      <c r="AR207" s="17">
        <f t="shared" si="72"/>
        <v>0</v>
      </c>
      <c r="AS207" s="17"/>
      <c r="AT207" s="17">
        <v>964.08528000000001</v>
      </c>
      <c r="AU207" s="17">
        <f t="shared" si="81"/>
        <v>964.08528000000001</v>
      </c>
      <c r="AV207" s="17">
        <f t="shared" si="82"/>
        <v>0</v>
      </c>
      <c r="AW207" s="17" t="str">
        <f t="shared" si="67"/>
        <v>SFA</v>
      </c>
      <c r="AX207" s="22">
        <v>44676</v>
      </c>
      <c r="AY207" s="22"/>
      <c r="AZ207" s="1" t="s">
        <v>68</v>
      </c>
      <c r="BA207" s="22" t="str">
        <f t="shared" si="83"/>
        <v>FIRE</v>
      </c>
      <c r="BB207" s="22"/>
      <c r="BC207" s="22"/>
      <c r="BD207" s="22"/>
    </row>
    <row r="208" spans="1:56" ht="14.25" customHeight="1" x14ac:dyDescent="0.2">
      <c r="A208" s="12" t="s">
        <v>324</v>
      </c>
      <c r="B208" s="1" t="s">
        <v>57</v>
      </c>
      <c r="C208" s="13">
        <v>44627</v>
      </c>
      <c r="D208" s="13">
        <v>44637</v>
      </c>
      <c r="E208" s="13">
        <v>44648</v>
      </c>
      <c r="F208" s="13">
        <v>45012</v>
      </c>
      <c r="G208" s="14" t="str">
        <f t="shared" si="74"/>
        <v>000-207/AIB RDC/2022</v>
      </c>
      <c r="H208" s="1">
        <v>0</v>
      </c>
      <c r="I208" s="1" t="s">
        <v>74</v>
      </c>
      <c r="J208" s="1" t="s">
        <v>447</v>
      </c>
      <c r="K208" s="16" t="s">
        <v>443</v>
      </c>
      <c r="L208" s="16" t="s">
        <v>444</v>
      </c>
      <c r="M208" s="16" t="s">
        <v>62</v>
      </c>
      <c r="N208" s="16" t="s">
        <v>106</v>
      </c>
      <c r="O208" s="16" t="s">
        <v>70</v>
      </c>
      <c r="P208" s="16" t="s">
        <v>71</v>
      </c>
      <c r="Q208" s="16" t="s">
        <v>130</v>
      </c>
      <c r="R208" s="16" t="s">
        <v>130</v>
      </c>
      <c r="S208" s="17">
        <v>599000</v>
      </c>
      <c r="T208" s="17">
        <v>3175.94</v>
      </c>
      <c r="U208" s="17"/>
      <c r="V208" s="17"/>
      <c r="W208" s="17">
        <v>23.34</v>
      </c>
      <c r="X208" s="17">
        <v>2668.15</v>
      </c>
      <c r="Y208" s="17">
        <v>430.65</v>
      </c>
      <c r="Z208" s="18">
        <f t="shared" si="75"/>
        <v>5.3020701168614362E-3</v>
      </c>
      <c r="AA208" s="19">
        <v>0.1</v>
      </c>
      <c r="AB208" s="17">
        <f t="shared" si="71"/>
        <v>266.815</v>
      </c>
      <c r="AC208" s="17">
        <v>0</v>
      </c>
      <c r="AD208" s="17">
        <v>0</v>
      </c>
      <c r="AE208" s="17">
        <f t="shared" si="76"/>
        <v>266.815</v>
      </c>
      <c r="AF208" s="17">
        <f t="shared" si="73"/>
        <v>42.690400000000004</v>
      </c>
      <c r="AG208" s="17">
        <f t="shared" si="77"/>
        <v>309.50540000000001</v>
      </c>
      <c r="AH208" s="17">
        <f t="shared" si="69"/>
        <v>5.3363000000000005</v>
      </c>
      <c r="AI208" s="17">
        <v>0</v>
      </c>
      <c r="AJ208" s="17">
        <f t="shared" si="78"/>
        <v>5.3363000000000005</v>
      </c>
      <c r="AK208" s="20"/>
      <c r="AL208" s="17">
        <f t="shared" si="79"/>
        <v>261.4787</v>
      </c>
      <c r="AM208" s="17" t="s">
        <v>198</v>
      </c>
      <c r="AN208" s="21">
        <v>0</v>
      </c>
      <c r="AO208" s="17">
        <f t="shared" si="80"/>
        <v>0</v>
      </c>
      <c r="AP208" s="17"/>
      <c r="AQ208" s="16"/>
      <c r="AR208" s="17">
        <f t="shared" si="72"/>
        <v>0</v>
      </c>
      <c r="AS208" s="17"/>
      <c r="AT208" s="17">
        <v>309.50540000000001</v>
      </c>
      <c r="AU208" s="17">
        <f t="shared" si="81"/>
        <v>309.50540000000001</v>
      </c>
      <c r="AV208" s="17">
        <f t="shared" si="82"/>
        <v>0</v>
      </c>
      <c r="AW208" s="17" t="str">
        <f t="shared" si="67"/>
        <v>SFA</v>
      </c>
      <c r="AX208" s="22">
        <v>44676</v>
      </c>
      <c r="AY208" s="22"/>
      <c r="AZ208" s="1" t="s">
        <v>68</v>
      </c>
      <c r="BA208" s="22" t="str">
        <f t="shared" si="83"/>
        <v>FIRE</v>
      </c>
      <c r="BB208" s="22"/>
      <c r="BC208" s="22"/>
      <c r="BD208" s="22"/>
    </row>
    <row r="209" spans="1:56" ht="14.25" customHeight="1" x14ac:dyDescent="0.2">
      <c r="A209" s="12" t="s">
        <v>324</v>
      </c>
      <c r="B209" s="1" t="s">
        <v>57</v>
      </c>
      <c r="C209" s="13">
        <v>44627</v>
      </c>
      <c r="D209" s="13">
        <v>44642</v>
      </c>
      <c r="E209" s="13">
        <v>44635</v>
      </c>
      <c r="F209" s="13">
        <v>44999</v>
      </c>
      <c r="G209" s="14" t="str">
        <f t="shared" si="74"/>
        <v>000-208/AIB RDC/2022</v>
      </c>
      <c r="H209" s="1">
        <v>0</v>
      </c>
      <c r="I209" s="1" t="s">
        <v>74</v>
      </c>
      <c r="J209" s="1" t="s">
        <v>448</v>
      </c>
      <c r="K209" s="16" t="s">
        <v>436</v>
      </c>
      <c r="L209" s="1" t="s">
        <v>77</v>
      </c>
      <c r="M209" s="16" t="s">
        <v>62</v>
      </c>
      <c r="N209" s="16" t="s">
        <v>106</v>
      </c>
      <c r="O209" s="16" t="s">
        <v>70</v>
      </c>
      <c r="P209" s="16" t="s">
        <v>71</v>
      </c>
      <c r="Q209" s="16" t="s">
        <v>130</v>
      </c>
      <c r="R209" s="16" t="s">
        <v>130</v>
      </c>
      <c r="S209" s="17">
        <v>1354687.5</v>
      </c>
      <c r="T209" s="17">
        <v>2936.66</v>
      </c>
      <c r="U209" s="17"/>
      <c r="V209" s="17"/>
      <c r="W209" s="17">
        <v>22.33</v>
      </c>
      <c r="X209" s="17">
        <v>2466.37</v>
      </c>
      <c r="Y209" s="17">
        <v>398.19</v>
      </c>
      <c r="Z209" s="18">
        <f t="shared" si="75"/>
        <v>2.1677767012687429E-3</v>
      </c>
      <c r="AA209" s="19">
        <v>0.1</v>
      </c>
      <c r="AB209" s="17">
        <f t="shared" si="71"/>
        <v>246.637</v>
      </c>
      <c r="AC209" s="17">
        <v>0</v>
      </c>
      <c r="AD209" s="17">
        <v>0</v>
      </c>
      <c r="AE209" s="17">
        <f t="shared" si="76"/>
        <v>246.637</v>
      </c>
      <c r="AF209" s="17">
        <f t="shared" si="73"/>
        <v>39.461919999999999</v>
      </c>
      <c r="AG209" s="17">
        <f t="shared" si="77"/>
        <v>286.09892000000002</v>
      </c>
      <c r="AH209" s="17">
        <f t="shared" si="69"/>
        <v>4.9327399999999999</v>
      </c>
      <c r="AI209" s="17">
        <v>0</v>
      </c>
      <c r="AJ209" s="17">
        <f t="shared" si="78"/>
        <v>4.9327399999999999</v>
      </c>
      <c r="AK209" s="20"/>
      <c r="AL209" s="17">
        <f t="shared" si="79"/>
        <v>241.70426</v>
      </c>
      <c r="AM209" s="17" t="s">
        <v>198</v>
      </c>
      <c r="AN209" s="21">
        <v>0</v>
      </c>
      <c r="AO209" s="17">
        <f t="shared" si="80"/>
        <v>0</v>
      </c>
      <c r="AP209" s="17"/>
      <c r="AQ209" s="16"/>
      <c r="AR209" s="17">
        <f t="shared" si="72"/>
        <v>0</v>
      </c>
      <c r="AS209" s="17"/>
      <c r="AT209" s="17">
        <v>286.09892000000002</v>
      </c>
      <c r="AU209" s="17">
        <f t="shared" si="81"/>
        <v>286.09892000000002</v>
      </c>
      <c r="AV209" s="17">
        <f t="shared" si="82"/>
        <v>0</v>
      </c>
      <c r="AW209" s="17" t="str">
        <f t="shared" si="67"/>
        <v>SFA</v>
      </c>
      <c r="AX209" s="22">
        <v>44676</v>
      </c>
      <c r="AY209" s="22"/>
      <c r="AZ209" s="1" t="s">
        <v>68</v>
      </c>
      <c r="BA209" s="22" t="str">
        <f t="shared" si="83"/>
        <v>FIRE</v>
      </c>
      <c r="BB209" s="22"/>
      <c r="BC209" s="22"/>
      <c r="BD209" s="22"/>
    </row>
    <row r="210" spans="1:56" ht="14.25" customHeight="1" x14ac:dyDescent="0.2">
      <c r="A210" s="1" t="s">
        <v>369</v>
      </c>
      <c r="B210" s="1" t="s">
        <v>57</v>
      </c>
      <c r="C210" s="13">
        <v>44627</v>
      </c>
      <c r="D210" s="13">
        <v>44667</v>
      </c>
      <c r="E210" s="13">
        <v>44663</v>
      </c>
      <c r="F210" s="13">
        <v>44665</v>
      </c>
      <c r="G210" s="14" t="str">
        <f t="shared" si="74"/>
        <v>000-209/AIB RDC/2022</v>
      </c>
      <c r="H210" s="1">
        <v>0</v>
      </c>
      <c r="I210" s="1" t="s">
        <v>74</v>
      </c>
      <c r="J210" s="24" t="s">
        <v>449</v>
      </c>
      <c r="K210" s="16" t="s">
        <v>352</v>
      </c>
      <c r="L210" s="16" t="s">
        <v>118</v>
      </c>
      <c r="M210" s="16" t="s">
        <v>105</v>
      </c>
      <c r="N210" s="16" t="s">
        <v>106</v>
      </c>
      <c r="O210" s="16" t="s">
        <v>64</v>
      </c>
      <c r="P210" s="16" t="s">
        <v>65</v>
      </c>
      <c r="Q210" s="16" t="s">
        <v>130</v>
      </c>
      <c r="R210" s="16" t="s">
        <v>130</v>
      </c>
      <c r="S210" s="17">
        <v>9513.4500000000007</v>
      </c>
      <c r="T210" s="17">
        <v>150.5</v>
      </c>
      <c r="U210" s="17"/>
      <c r="V210" s="17"/>
      <c r="W210" s="17">
        <v>20</v>
      </c>
      <c r="X210" s="17">
        <v>107.55</v>
      </c>
      <c r="Y210" s="17">
        <v>20.41</v>
      </c>
      <c r="Z210" s="18">
        <f t="shared" si="75"/>
        <v>1.5819707887254359E-2</v>
      </c>
      <c r="AA210" s="19">
        <v>0.15</v>
      </c>
      <c r="AB210" s="17">
        <f t="shared" si="71"/>
        <v>16.1325</v>
      </c>
      <c r="AC210" s="17">
        <v>0</v>
      </c>
      <c r="AD210" s="17">
        <v>0</v>
      </c>
      <c r="AE210" s="17">
        <f t="shared" si="76"/>
        <v>16.1325</v>
      </c>
      <c r="AF210" s="17">
        <f t="shared" si="73"/>
        <v>2.5811999999999999</v>
      </c>
      <c r="AG210" s="17">
        <f t="shared" si="77"/>
        <v>18.713699999999999</v>
      </c>
      <c r="AH210" s="17">
        <f t="shared" si="69"/>
        <v>0.32264999999999999</v>
      </c>
      <c r="AI210" s="17">
        <v>0</v>
      </c>
      <c r="AJ210" s="17">
        <f t="shared" si="78"/>
        <v>0.32264999999999999</v>
      </c>
      <c r="AK210" s="20"/>
      <c r="AL210" s="17">
        <f t="shared" si="79"/>
        <v>15.809850000000001</v>
      </c>
      <c r="AM210" s="17" t="s">
        <v>108</v>
      </c>
      <c r="AN210" s="21">
        <v>0.4</v>
      </c>
      <c r="AO210" s="17">
        <f t="shared" si="80"/>
        <v>6.3239400000000003</v>
      </c>
      <c r="AP210" s="17">
        <v>6.3239400000000003</v>
      </c>
      <c r="AQ210" s="16">
        <v>44834</v>
      </c>
      <c r="AR210" s="17">
        <f t="shared" si="72"/>
        <v>0</v>
      </c>
      <c r="AS210" s="17" t="s">
        <v>109</v>
      </c>
      <c r="AT210" s="17">
        <v>18.713699999999999</v>
      </c>
      <c r="AU210" s="17">
        <f t="shared" si="81"/>
        <v>18.713699999999999</v>
      </c>
      <c r="AV210" s="17">
        <f t="shared" si="82"/>
        <v>0</v>
      </c>
      <c r="AW210" s="17" t="str">
        <f t="shared" si="67"/>
        <v>SFA</v>
      </c>
      <c r="AX210" s="22">
        <v>44699</v>
      </c>
      <c r="AY210" s="22"/>
      <c r="AZ210" s="1" t="s">
        <v>110</v>
      </c>
      <c r="BA210" s="22" t="str">
        <f t="shared" si="83"/>
        <v>MARINE CARGO / GIT</v>
      </c>
      <c r="BB210" s="22"/>
      <c r="BC210" s="22"/>
      <c r="BD210" s="22"/>
    </row>
    <row r="211" spans="1:56" ht="14.25" customHeight="1" x14ac:dyDescent="0.2">
      <c r="A211" s="12" t="s">
        <v>324</v>
      </c>
      <c r="B211" s="1" t="s">
        <v>57</v>
      </c>
      <c r="C211" s="13">
        <v>44628</v>
      </c>
      <c r="D211" s="13">
        <v>44648</v>
      </c>
      <c r="E211" s="13">
        <v>44648</v>
      </c>
      <c r="F211" s="13">
        <v>44807</v>
      </c>
      <c r="G211" s="14" t="str">
        <f t="shared" si="74"/>
        <v>000-210/AIB RDC/2022</v>
      </c>
      <c r="H211" s="1">
        <v>1</v>
      </c>
      <c r="I211" s="1" t="s">
        <v>91</v>
      </c>
      <c r="J211" s="1" t="s">
        <v>450</v>
      </c>
      <c r="K211" s="16" t="s">
        <v>451</v>
      </c>
      <c r="L211" s="16"/>
      <c r="M211" s="16" t="s">
        <v>105</v>
      </c>
      <c r="N211" s="16" t="s">
        <v>119</v>
      </c>
      <c r="O211" s="1" t="s">
        <v>152</v>
      </c>
      <c r="P211" s="1" t="s">
        <v>153</v>
      </c>
      <c r="Q211" s="16" t="s">
        <v>130</v>
      </c>
      <c r="R211" s="16" t="s">
        <v>130</v>
      </c>
      <c r="S211" s="17"/>
      <c r="T211" s="17">
        <v>512.77</v>
      </c>
      <c r="U211" s="17"/>
      <c r="V211" s="17"/>
      <c r="W211" s="17">
        <v>6.42</v>
      </c>
      <c r="X211" s="17">
        <v>428.14</v>
      </c>
      <c r="Y211" s="17">
        <v>69.52</v>
      </c>
      <c r="Z211" s="18" t="e">
        <f t="shared" si="75"/>
        <v>#DIV/0!</v>
      </c>
      <c r="AA211" s="19">
        <v>0.15</v>
      </c>
      <c r="AB211" s="17">
        <f t="shared" si="71"/>
        <v>64.220999999999989</v>
      </c>
      <c r="AC211" s="17">
        <v>0</v>
      </c>
      <c r="AD211" s="17">
        <v>0</v>
      </c>
      <c r="AE211" s="17">
        <f t="shared" si="76"/>
        <v>64.220999999999989</v>
      </c>
      <c r="AF211" s="17">
        <f t="shared" si="73"/>
        <v>10.275359999999999</v>
      </c>
      <c r="AG211" s="17">
        <f t="shared" si="77"/>
        <v>74.496359999999981</v>
      </c>
      <c r="AH211" s="17">
        <f t="shared" si="69"/>
        <v>1.2844199999999999</v>
      </c>
      <c r="AI211" s="17">
        <v>0</v>
      </c>
      <c r="AJ211" s="17">
        <f t="shared" si="78"/>
        <v>1.2844199999999999</v>
      </c>
      <c r="AK211" s="20"/>
      <c r="AL211" s="17">
        <f t="shared" si="79"/>
        <v>62.936579999999992</v>
      </c>
      <c r="AM211" s="17"/>
      <c r="AN211" s="21"/>
      <c r="AO211" s="17">
        <f t="shared" si="80"/>
        <v>0</v>
      </c>
      <c r="AP211" s="17"/>
      <c r="AQ211" s="16"/>
      <c r="AR211" s="17">
        <f t="shared" si="72"/>
        <v>0</v>
      </c>
      <c r="AS211" s="17"/>
      <c r="AT211" s="17">
        <v>74.496359999999981</v>
      </c>
      <c r="AU211" s="17">
        <f t="shared" si="81"/>
        <v>74.496359999999981</v>
      </c>
      <c r="AV211" s="17">
        <f t="shared" si="82"/>
        <v>0</v>
      </c>
      <c r="AW211" s="17" t="str">
        <f t="shared" si="67"/>
        <v>SFA</v>
      </c>
      <c r="AX211" s="22">
        <v>44676</v>
      </c>
      <c r="AY211" s="22"/>
      <c r="AZ211" s="1" t="s">
        <v>162</v>
      </c>
      <c r="BA211" s="22" t="str">
        <f t="shared" si="83"/>
        <v>COMP MOTOR</v>
      </c>
      <c r="BB211" s="22"/>
      <c r="BC211" s="22"/>
      <c r="BD211" s="22"/>
    </row>
    <row r="212" spans="1:56" ht="14.25" customHeight="1" x14ac:dyDescent="0.2">
      <c r="A212" s="12" t="s">
        <v>324</v>
      </c>
      <c r="B212" s="1" t="s">
        <v>57</v>
      </c>
      <c r="C212" s="13">
        <v>44628</v>
      </c>
      <c r="D212" s="13">
        <v>44648</v>
      </c>
      <c r="E212" s="13">
        <v>44648</v>
      </c>
      <c r="F212" s="13">
        <v>44807</v>
      </c>
      <c r="G212" s="14" t="str">
        <f t="shared" si="74"/>
        <v>000-211/AIB RDC/2022</v>
      </c>
      <c r="H212" s="1">
        <v>2</v>
      </c>
      <c r="I212" s="1" t="s">
        <v>91</v>
      </c>
      <c r="J212" s="1" t="s">
        <v>452</v>
      </c>
      <c r="K212" s="16" t="s">
        <v>453</v>
      </c>
      <c r="L212" s="16"/>
      <c r="M212" s="16" t="s">
        <v>105</v>
      </c>
      <c r="N212" s="16" t="s">
        <v>119</v>
      </c>
      <c r="O212" s="1" t="s">
        <v>152</v>
      </c>
      <c r="P212" s="1" t="s">
        <v>153</v>
      </c>
      <c r="Q212" s="16" t="s">
        <v>130</v>
      </c>
      <c r="R212" s="16" t="s">
        <v>130</v>
      </c>
      <c r="S212" s="17"/>
      <c r="T212" s="17">
        <v>6301.54</v>
      </c>
      <c r="U212" s="17"/>
      <c r="V212" s="17"/>
      <c r="W212" s="17">
        <v>78.88</v>
      </c>
      <c r="X212" s="17">
        <v>5261.38</v>
      </c>
      <c r="Y212" s="17">
        <v>854.44</v>
      </c>
      <c r="Z212" s="18" t="e">
        <f t="shared" si="75"/>
        <v>#DIV/0!</v>
      </c>
      <c r="AA212" s="19">
        <v>0.15</v>
      </c>
      <c r="AB212" s="17">
        <f t="shared" si="71"/>
        <v>789.20699999999999</v>
      </c>
      <c r="AC212" s="17">
        <v>0</v>
      </c>
      <c r="AD212" s="17">
        <v>0</v>
      </c>
      <c r="AE212" s="17">
        <f t="shared" si="76"/>
        <v>789.20699999999999</v>
      </c>
      <c r="AF212" s="17">
        <f t="shared" si="73"/>
        <v>126.27312000000001</v>
      </c>
      <c r="AG212" s="17">
        <f t="shared" si="77"/>
        <v>915.48011999999994</v>
      </c>
      <c r="AH212" s="17">
        <f t="shared" si="69"/>
        <v>15.784140000000001</v>
      </c>
      <c r="AI212" s="17">
        <v>0</v>
      </c>
      <c r="AJ212" s="17">
        <f t="shared" si="78"/>
        <v>15.784140000000001</v>
      </c>
      <c r="AK212" s="20"/>
      <c r="AL212" s="17">
        <f t="shared" si="79"/>
        <v>773.42286000000001</v>
      </c>
      <c r="AM212" s="17"/>
      <c r="AN212" s="21"/>
      <c r="AO212" s="17">
        <f t="shared" si="80"/>
        <v>0</v>
      </c>
      <c r="AP212" s="17"/>
      <c r="AQ212" s="16"/>
      <c r="AR212" s="17">
        <f t="shared" si="72"/>
        <v>0</v>
      </c>
      <c r="AS212" s="17"/>
      <c r="AT212" s="17">
        <v>915.48011999999994</v>
      </c>
      <c r="AU212" s="17">
        <f t="shared" si="81"/>
        <v>915.48011999999994</v>
      </c>
      <c r="AV212" s="17">
        <f t="shared" si="82"/>
        <v>0</v>
      </c>
      <c r="AW212" s="17" t="str">
        <f t="shared" si="67"/>
        <v>SFA</v>
      </c>
      <c r="AX212" s="22">
        <v>44676</v>
      </c>
      <c r="AY212" s="22"/>
      <c r="AZ212" s="1" t="s">
        <v>162</v>
      </c>
      <c r="BA212" s="22" t="str">
        <f t="shared" si="83"/>
        <v>COMP MOTOR</v>
      </c>
      <c r="BB212" s="22"/>
      <c r="BC212" s="22"/>
      <c r="BD212" s="22"/>
    </row>
    <row r="213" spans="1:56" ht="14.25" customHeight="1" x14ac:dyDescent="0.2">
      <c r="A213" s="12" t="s">
        <v>324</v>
      </c>
      <c r="B213" s="1" t="s">
        <v>57</v>
      </c>
      <c r="C213" s="13">
        <v>44628</v>
      </c>
      <c r="D213" s="13">
        <v>44650</v>
      </c>
      <c r="E213" s="13">
        <v>44649</v>
      </c>
      <c r="F213" s="13">
        <v>45013</v>
      </c>
      <c r="G213" s="14" t="str">
        <f t="shared" si="74"/>
        <v>000-212/AIB RDC/2022</v>
      </c>
      <c r="H213" s="1">
        <v>0</v>
      </c>
      <c r="I213" s="1" t="s">
        <v>74</v>
      </c>
      <c r="J213" s="1" t="s">
        <v>454</v>
      </c>
      <c r="K213" s="16" t="s">
        <v>455</v>
      </c>
      <c r="L213" s="16" t="s">
        <v>137</v>
      </c>
      <c r="M213" s="16" t="s">
        <v>84</v>
      </c>
      <c r="N213" s="16" t="s">
        <v>84</v>
      </c>
      <c r="O213" s="16" t="s">
        <v>70</v>
      </c>
      <c r="P213" s="16" t="s">
        <v>71</v>
      </c>
      <c r="Q213" s="16" t="s">
        <v>130</v>
      </c>
      <c r="R213" s="16" t="s">
        <v>130</v>
      </c>
      <c r="S213" s="17">
        <v>4051444380</v>
      </c>
      <c r="T213" s="17">
        <v>4576.16</v>
      </c>
      <c r="U213" s="17">
        <v>0</v>
      </c>
      <c r="V213" s="17"/>
      <c r="W213" s="17">
        <v>29.24</v>
      </c>
      <c r="X213" s="17">
        <v>3848.87</v>
      </c>
      <c r="Y213" s="17">
        <v>620.5</v>
      </c>
      <c r="Z213" s="18">
        <f t="shared" si="75"/>
        <v>1.1295132231335235E-6</v>
      </c>
      <c r="AA213" s="19">
        <v>0.1</v>
      </c>
      <c r="AB213" s="17">
        <f t="shared" si="71"/>
        <v>384.887</v>
      </c>
      <c r="AC213" s="17">
        <v>0</v>
      </c>
      <c r="AD213" s="17">
        <v>0</v>
      </c>
      <c r="AE213" s="17">
        <f t="shared" si="76"/>
        <v>384.887</v>
      </c>
      <c r="AF213" s="17">
        <f t="shared" si="73"/>
        <v>61.581920000000004</v>
      </c>
      <c r="AG213" s="17">
        <f t="shared" si="77"/>
        <v>446.46892000000003</v>
      </c>
      <c r="AH213" s="17">
        <f t="shared" si="69"/>
        <v>7.6977400000000005</v>
      </c>
      <c r="AI213" s="17">
        <v>0</v>
      </c>
      <c r="AJ213" s="17">
        <f t="shared" si="78"/>
        <v>7.6977400000000005</v>
      </c>
      <c r="AK213" s="20"/>
      <c r="AL213" s="17">
        <f t="shared" si="79"/>
        <v>377.18925999999999</v>
      </c>
      <c r="AM213" s="17"/>
      <c r="AN213" s="21"/>
      <c r="AO213" s="17">
        <f t="shared" si="80"/>
        <v>0</v>
      </c>
      <c r="AP213" s="17"/>
      <c r="AQ213" s="16"/>
      <c r="AR213" s="17">
        <f t="shared" si="72"/>
        <v>0</v>
      </c>
      <c r="AS213" s="17"/>
      <c r="AT213" s="17">
        <v>446.46892000000003</v>
      </c>
      <c r="AU213" s="17">
        <f t="shared" si="81"/>
        <v>446.46892000000003</v>
      </c>
      <c r="AV213" s="17">
        <f t="shared" si="82"/>
        <v>0</v>
      </c>
      <c r="AW213" s="17" t="str">
        <f t="shared" si="67"/>
        <v>SFA</v>
      </c>
      <c r="AX213" s="22">
        <v>44676</v>
      </c>
      <c r="AY213" s="22"/>
      <c r="AZ213" s="1" t="s">
        <v>100</v>
      </c>
      <c r="BA213" s="22" t="str">
        <f t="shared" si="83"/>
        <v>FIRE</v>
      </c>
      <c r="BB213" s="22"/>
      <c r="BC213" s="22"/>
      <c r="BD213" s="22"/>
    </row>
    <row r="214" spans="1:56" ht="14.25" customHeight="1" x14ac:dyDescent="0.2">
      <c r="A214" s="12" t="s">
        <v>324</v>
      </c>
      <c r="B214" s="1" t="s">
        <v>57</v>
      </c>
      <c r="C214" s="13">
        <v>44628</v>
      </c>
      <c r="D214" s="13">
        <v>44650</v>
      </c>
      <c r="E214" s="13">
        <v>44649</v>
      </c>
      <c r="F214" s="13">
        <v>45013</v>
      </c>
      <c r="G214" s="14" t="str">
        <f t="shared" si="74"/>
        <v>000-213/AIB RDC/2022</v>
      </c>
      <c r="H214" s="1">
        <v>0</v>
      </c>
      <c r="I214" s="1" t="s">
        <v>74</v>
      </c>
      <c r="J214" s="1" t="s">
        <v>456</v>
      </c>
      <c r="K214" s="16" t="s">
        <v>455</v>
      </c>
      <c r="L214" s="16" t="s">
        <v>137</v>
      </c>
      <c r="M214" s="16" t="s">
        <v>84</v>
      </c>
      <c r="N214" s="16" t="s">
        <v>84</v>
      </c>
      <c r="O214" s="16" t="s">
        <v>70</v>
      </c>
      <c r="P214" s="16" t="s">
        <v>71</v>
      </c>
      <c r="Q214" s="16" t="s">
        <v>130</v>
      </c>
      <c r="R214" s="16" t="s">
        <v>130</v>
      </c>
      <c r="S214" s="17">
        <v>2638478</v>
      </c>
      <c r="T214" s="17">
        <v>2202.13</v>
      </c>
      <c r="U214" s="17">
        <v>0</v>
      </c>
      <c r="V214" s="17"/>
      <c r="W214" s="17">
        <v>19.23</v>
      </c>
      <c r="X214" s="17">
        <v>1846.99</v>
      </c>
      <c r="Y214" s="17">
        <v>298.60000000000002</v>
      </c>
      <c r="Z214" s="18">
        <f t="shared" si="75"/>
        <v>8.3462132335384263E-4</v>
      </c>
      <c r="AA214" s="19">
        <v>0.2</v>
      </c>
      <c r="AB214" s="17">
        <f t="shared" si="71"/>
        <v>369.39800000000002</v>
      </c>
      <c r="AC214" s="17">
        <v>0</v>
      </c>
      <c r="AD214" s="17">
        <v>0</v>
      </c>
      <c r="AE214" s="17">
        <f t="shared" si="76"/>
        <v>369.39800000000002</v>
      </c>
      <c r="AF214" s="17">
        <f t="shared" si="73"/>
        <v>59.103680000000004</v>
      </c>
      <c r="AG214" s="17">
        <f t="shared" si="77"/>
        <v>428.50168000000002</v>
      </c>
      <c r="AH214" s="17">
        <f t="shared" si="69"/>
        <v>7.3879600000000005</v>
      </c>
      <c r="AI214" s="17">
        <v>0</v>
      </c>
      <c r="AJ214" s="17">
        <f t="shared" si="78"/>
        <v>7.3879600000000005</v>
      </c>
      <c r="AK214" s="20"/>
      <c r="AL214" s="17">
        <f t="shared" si="79"/>
        <v>362.01004</v>
      </c>
      <c r="AM214" s="17"/>
      <c r="AN214" s="21"/>
      <c r="AO214" s="17">
        <f t="shared" si="80"/>
        <v>0</v>
      </c>
      <c r="AP214" s="17"/>
      <c r="AQ214" s="16"/>
      <c r="AR214" s="17">
        <f t="shared" si="72"/>
        <v>0</v>
      </c>
      <c r="AS214" s="17"/>
      <c r="AT214" s="17">
        <v>428.50168000000002</v>
      </c>
      <c r="AU214" s="17">
        <f t="shared" si="81"/>
        <v>428.50168000000002</v>
      </c>
      <c r="AV214" s="17">
        <f t="shared" si="82"/>
        <v>0</v>
      </c>
      <c r="AW214" s="17" t="str">
        <f t="shared" si="67"/>
        <v>SFA</v>
      </c>
      <c r="AX214" s="22">
        <v>44676</v>
      </c>
      <c r="AY214" s="22"/>
      <c r="AZ214" s="1" t="s">
        <v>100</v>
      </c>
      <c r="BA214" s="22" t="str">
        <f t="shared" si="83"/>
        <v>FIRE</v>
      </c>
      <c r="BB214" s="22"/>
      <c r="BC214" s="22"/>
      <c r="BD214" s="22"/>
    </row>
    <row r="215" spans="1:56" ht="14.25" customHeight="1" x14ac:dyDescent="0.2">
      <c r="A215" s="12" t="s">
        <v>324</v>
      </c>
      <c r="B215" s="1" t="s">
        <v>57</v>
      </c>
      <c r="C215" s="13">
        <v>44629</v>
      </c>
      <c r="D215" s="13">
        <v>44650</v>
      </c>
      <c r="E215" s="13">
        <v>44649</v>
      </c>
      <c r="F215" s="13">
        <v>44957</v>
      </c>
      <c r="G215" s="14" t="str">
        <f t="shared" si="74"/>
        <v>000-214/AIB RDC/2022</v>
      </c>
      <c r="H215" s="1">
        <v>5</v>
      </c>
      <c r="I215" s="1" t="s">
        <v>91</v>
      </c>
      <c r="J215" s="1" t="s">
        <v>284</v>
      </c>
      <c r="K215" s="1" t="s">
        <v>285</v>
      </c>
      <c r="L215" s="16" t="s">
        <v>118</v>
      </c>
      <c r="M215" s="16" t="s">
        <v>84</v>
      </c>
      <c r="N215" s="16" t="s">
        <v>84</v>
      </c>
      <c r="O215" s="16" t="s">
        <v>152</v>
      </c>
      <c r="P215" s="16" t="s">
        <v>153</v>
      </c>
      <c r="Q215" s="16" t="s">
        <v>66</v>
      </c>
      <c r="R215" s="16" t="s">
        <v>66</v>
      </c>
      <c r="S215" s="17">
        <v>82237</v>
      </c>
      <c r="T215" s="17">
        <v>3381.1</v>
      </c>
      <c r="U215" s="17">
        <v>0</v>
      </c>
      <c r="V215" s="17"/>
      <c r="W215" s="17">
        <v>28.86</v>
      </c>
      <c r="X215" s="17">
        <v>2885.1</v>
      </c>
      <c r="Y215" s="17">
        <v>466.36</v>
      </c>
      <c r="Z215" s="18">
        <f t="shared" si="75"/>
        <v>4.1114097060933642E-2</v>
      </c>
      <c r="AA215" s="19">
        <v>0.1467</v>
      </c>
      <c r="AB215" s="17">
        <f t="shared" si="71"/>
        <v>423.24417</v>
      </c>
      <c r="AC215" s="17">
        <v>0</v>
      </c>
      <c r="AD215" s="17">
        <f>3%*X215</f>
        <v>86.552999999999997</v>
      </c>
      <c r="AE215" s="17">
        <f t="shared" si="76"/>
        <v>509.79716999999999</v>
      </c>
      <c r="AF215" s="17">
        <f t="shared" si="73"/>
        <v>81.567547200000007</v>
      </c>
      <c r="AG215" s="17">
        <f t="shared" si="77"/>
        <v>591.36471719999997</v>
      </c>
      <c r="AH215" s="17">
        <f t="shared" si="69"/>
        <v>10.195943400000001</v>
      </c>
      <c r="AI215" s="17">
        <v>0</v>
      </c>
      <c r="AJ215" s="17">
        <f t="shared" si="78"/>
        <v>10.195943400000001</v>
      </c>
      <c r="AK215" s="20"/>
      <c r="AL215" s="17">
        <f t="shared" si="79"/>
        <v>499.60122660000002</v>
      </c>
      <c r="AM215" s="17" t="s">
        <v>198</v>
      </c>
      <c r="AN215" s="21"/>
      <c r="AO215" s="17">
        <f t="shared" si="80"/>
        <v>0</v>
      </c>
      <c r="AP215" s="17"/>
      <c r="AQ215" s="16"/>
      <c r="AR215" s="17">
        <f t="shared" si="72"/>
        <v>0</v>
      </c>
      <c r="AS215" s="17"/>
      <c r="AT215" s="17">
        <v>591.36471719999997</v>
      </c>
      <c r="AU215" s="17">
        <f t="shared" si="81"/>
        <v>591.36471719999997</v>
      </c>
      <c r="AV215" s="17">
        <f t="shared" si="82"/>
        <v>0</v>
      </c>
      <c r="AW215" s="17" t="str">
        <f t="shared" si="67"/>
        <v>ACTIVA</v>
      </c>
      <c r="AX215" s="22">
        <v>44699</v>
      </c>
      <c r="AY215" s="22"/>
      <c r="AZ215" s="1" t="s">
        <v>68</v>
      </c>
      <c r="BA215" s="22" t="str">
        <f t="shared" si="83"/>
        <v>COMP MOTOR</v>
      </c>
      <c r="BB215" s="22"/>
      <c r="BC215" s="22"/>
      <c r="BD215" s="1" t="s">
        <v>457</v>
      </c>
    </row>
    <row r="216" spans="1:56" ht="14.25" customHeight="1" x14ac:dyDescent="0.2">
      <c r="A216" s="12" t="s">
        <v>324</v>
      </c>
      <c r="B216" s="1" t="s">
        <v>57</v>
      </c>
      <c r="C216" s="13">
        <v>44629</v>
      </c>
      <c r="D216" s="13">
        <v>44651</v>
      </c>
      <c r="E216" s="13">
        <v>44650</v>
      </c>
      <c r="F216" s="13">
        <v>44680</v>
      </c>
      <c r="G216" s="14" t="str">
        <f t="shared" si="74"/>
        <v>000-215/AIB RDC/2022</v>
      </c>
      <c r="H216" s="1">
        <v>0</v>
      </c>
      <c r="I216" s="1" t="s">
        <v>74</v>
      </c>
      <c r="J216" s="1" t="s">
        <v>458</v>
      </c>
      <c r="K216" s="1" t="s">
        <v>117</v>
      </c>
      <c r="L216" s="1" t="s">
        <v>118</v>
      </c>
      <c r="M216" s="16" t="s">
        <v>105</v>
      </c>
      <c r="N216" s="16" t="s">
        <v>119</v>
      </c>
      <c r="O216" s="16" t="s">
        <v>64</v>
      </c>
      <c r="P216" s="16" t="s">
        <v>65</v>
      </c>
      <c r="Q216" s="16" t="s">
        <v>66</v>
      </c>
      <c r="R216" s="16" t="s">
        <v>66</v>
      </c>
      <c r="S216" s="17"/>
      <c r="T216" s="17">
        <v>34.799999999999997</v>
      </c>
      <c r="U216" s="17"/>
      <c r="V216" s="17"/>
      <c r="W216" s="17">
        <v>10</v>
      </c>
      <c r="X216" s="17">
        <v>25</v>
      </c>
      <c r="Y216" s="17">
        <f>(X216+W216)*0.16</f>
        <v>5.6000000000000005</v>
      </c>
      <c r="Z216" s="18" t="e">
        <f t="shared" si="75"/>
        <v>#DIV/0!</v>
      </c>
      <c r="AA216" s="19">
        <v>0.15</v>
      </c>
      <c r="AB216" s="17">
        <f t="shared" si="71"/>
        <v>3.75</v>
      </c>
      <c r="AC216" s="17">
        <v>0</v>
      </c>
      <c r="AD216" s="17">
        <v>0</v>
      </c>
      <c r="AE216" s="17">
        <f t="shared" si="76"/>
        <v>3.75</v>
      </c>
      <c r="AF216" s="17">
        <f t="shared" si="73"/>
        <v>0.6</v>
      </c>
      <c r="AG216" s="17">
        <f t="shared" si="77"/>
        <v>4.3499999999999996</v>
      </c>
      <c r="AH216" s="17">
        <f t="shared" si="69"/>
        <v>7.4999999999999997E-2</v>
      </c>
      <c r="AI216" s="17">
        <v>0</v>
      </c>
      <c r="AJ216" s="17">
        <f t="shared" si="78"/>
        <v>7.4999999999999997E-2</v>
      </c>
      <c r="AK216" s="20"/>
      <c r="AL216" s="17">
        <f t="shared" si="79"/>
        <v>3.6749999999999998</v>
      </c>
      <c r="AM216" s="17"/>
      <c r="AN216" s="21"/>
      <c r="AO216" s="17">
        <f t="shared" si="80"/>
        <v>0</v>
      </c>
      <c r="AP216" s="17"/>
      <c r="AQ216" s="16"/>
      <c r="AR216" s="17">
        <f t="shared" si="72"/>
        <v>0</v>
      </c>
      <c r="AS216" s="17"/>
      <c r="AT216" s="17">
        <v>4.3499999999999996</v>
      </c>
      <c r="AU216" s="17">
        <f t="shared" si="81"/>
        <v>4.3499999999999996</v>
      </c>
      <c r="AV216" s="17">
        <f t="shared" si="82"/>
        <v>0</v>
      </c>
      <c r="AW216" s="17" t="str">
        <f t="shared" si="67"/>
        <v>ACTIVA</v>
      </c>
      <c r="AX216" s="22">
        <v>44699</v>
      </c>
      <c r="AY216" s="22"/>
      <c r="AZ216" s="1" t="s">
        <v>110</v>
      </c>
      <c r="BA216" s="22" t="str">
        <f t="shared" si="83"/>
        <v>MARINE CARGO / GIT</v>
      </c>
      <c r="BB216" s="22"/>
      <c r="BC216" s="22"/>
      <c r="BD216" s="22"/>
    </row>
    <row r="217" spans="1:56" ht="14.25" customHeight="1" x14ac:dyDescent="0.2">
      <c r="A217" s="12" t="s">
        <v>324</v>
      </c>
      <c r="B217" s="1" t="s">
        <v>57</v>
      </c>
      <c r="C217" s="13">
        <v>44629</v>
      </c>
      <c r="D217" s="13">
        <v>44651</v>
      </c>
      <c r="E217" s="13">
        <v>44650</v>
      </c>
      <c r="F217" s="13">
        <v>44680</v>
      </c>
      <c r="G217" s="14" t="str">
        <f t="shared" si="74"/>
        <v>000-216/AIB RDC/2022</v>
      </c>
      <c r="H217" s="1">
        <v>0</v>
      </c>
      <c r="I217" s="1" t="s">
        <v>74</v>
      </c>
      <c r="J217" s="1" t="s">
        <v>459</v>
      </c>
      <c r="K217" s="1" t="s">
        <v>117</v>
      </c>
      <c r="L217" s="1" t="s">
        <v>118</v>
      </c>
      <c r="M217" s="16" t="s">
        <v>105</v>
      </c>
      <c r="N217" s="16" t="s">
        <v>119</v>
      </c>
      <c r="O217" s="16" t="s">
        <v>64</v>
      </c>
      <c r="P217" s="16" t="s">
        <v>65</v>
      </c>
      <c r="Q217" s="16" t="s">
        <v>66</v>
      </c>
      <c r="R217" s="16" t="s">
        <v>66</v>
      </c>
      <c r="S217" s="17"/>
      <c r="T217" s="17">
        <v>47.5</v>
      </c>
      <c r="U217" s="17"/>
      <c r="V217" s="17"/>
      <c r="W217" s="17">
        <v>10</v>
      </c>
      <c r="X217" s="17">
        <v>30.95</v>
      </c>
      <c r="Y217" s="17">
        <f>(X217+W217)*0.16</f>
        <v>6.5520000000000005</v>
      </c>
      <c r="Z217" s="18" t="e">
        <f t="shared" si="75"/>
        <v>#DIV/0!</v>
      </c>
      <c r="AA217" s="19">
        <v>0.15</v>
      </c>
      <c r="AB217" s="17">
        <f t="shared" si="71"/>
        <v>4.6425000000000001</v>
      </c>
      <c r="AC217" s="17">
        <v>0</v>
      </c>
      <c r="AD217" s="17">
        <v>0</v>
      </c>
      <c r="AE217" s="17">
        <f t="shared" si="76"/>
        <v>4.6425000000000001</v>
      </c>
      <c r="AF217" s="17">
        <f t="shared" si="73"/>
        <v>0.74280000000000002</v>
      </c>
      <c r="AG217" s="17">
        <f t="shared" si="77"/>
        <v>5.3853</v>
      </c>
      <c r="AH217" s="17">
        <f t="shared" si="69"/>
        <v>9.2850000000000002E-2</v>
      </c>
      <c r="AI217" s="17">
        <v>0</v>
      </c>
      <c r="AJ217" s="17">
        <f t="shared" si="78"/>
        <v>9.2850000000000002E-2</v>
      </c>
      <c r="AK217" s="20"/>
      <c r="AL217" s="17">
        <f t="shared" si="79"/>
        <v>4.5496499999999997</v>
      </c>
      <c r="AM217" s="17"/>
      <c r="AN217" s="21"/>
      <c r="AO217" s="17">
        <f t="shared" si="80"/>
        <v>0</v>
      </c>
      <c r="AP217" s="17"/>
      <c r="AQ217" s="16"/>
      <c r="AR217" s="17">
        <f t="shared" si="72"/>
        <v>0</v>
      </c>
      <c r="AS217" s="17"/>
      <c r="AT217" s="17">
        <v>5.3853</v>
      </c>
      <c r="AU217" s="17">
        <f t="shared" si="81"/>
        <v>5.3853</v>
      </c>
      <c r="AV217" s="17">
        <f t="shared" si="82"/>
        <v>0</v>
      </c>
      <c r="AW217" s="17" t="str">
        <f t="shared" ref="AW217:AW280" si="84">Q217</f>
        <v>ACTIVA</v>
      </c>
      <c r="AX217" s="22">
        <v>44699</v>
      </c>
      <c r="AY217" s="22"/>
      <c r="AZ217" s="1" t="s">
        <v>110</v>
      </c>
      <c r="BA217" s="22" t="str">
        <f t="shared" si="83"/>
        <v>MARINE CARGO / GIT</v>
      </c>
      <c r="BB217" s="22"/>
      <c r="BC217" s="22"/>
      <c r="BD217" s="22"/>
    </row>
    <row r="218" spans="1:56" ht="14.25" customHeight="1" x14ac:dyDescent="0.2">
      <c r="A218" s="12" t="s">
        <v>324</v>
      </c>
      <c r="B218" s="1" t="s">
        <v>57</v>
      </c>
      <c r="C218" s="13">
        <v>44638</v>
      </c>
      <c r="D218" s="13">
        <v>44651</v>
      </c>
      <c r="E218" s="13">
        <v>44650</v>
      </c>
      <c r="F218" s="13">
        <v>44680</v>
      </c>
      <c r="G218" s="14" t="str">
        <f t="shared" si="74"/>
        <v>000-217/AIB RDC/2022</v>
      </c>
      <c r="H218" s="1">
        <v>0</v>
      </c>
      <c r="I218" s="1" t="s">
        <v>74</v>
      </c>
      <c r="J218" s="1" t="s">
        <v>460</v>
      </c>
      <c r="K218" s="1" t="s">
        <v>117</v>
      </c>
      <c r="L218" s="1" t="s">
        <v>118</v>
      </c>
      <c r="M218" s="16" t="s">
        <v>105</v>
      </c>
      <c r="N218" s="16" t="s">
        <v>119</v>
      </c>
      <c r="O218" s="16" t="s">
        <v>64</v>
      </c>
      <c r="P218" s="16" t="s">
        <v>65</v>
      </c>
      <c r="Q218" s="16" t="s">
        <v>66</v>
      </c>
      <c r="R218" s="16" t="s">
        <v>66</v>
      </c>
      <c r="S218" s="17"/>
      <c r="T218" s="17">
        <v>158.63</v>
      </c>
      <c r="U218" s="17"/>
      <c r="V218" s="17"/>
      <c r="W218" s="17">
        <v>10</v>
      </c>
      <c r="X218" s="17">
        <v>126.75</v>
      </c>
      <c r="Y218" s="17">
        <f>(X218+W218)*0.16</f>
        <v>21.88</v>
      </c>
      <c r="Z218" s="18" t="e">
        <f t="shared" si="75"/>
        <v>#DIV/0!</v>
      </c>
      <c r="AA218" s="19">
        <v>0.15</v>
      </c>
      <c r="AB218" s="17">
        <f t="shared" si="71"/>
        <v>19.012499999999999</v>
      </c>
      <c r="AC218" s="17">
        <v>0</v>
      </c>
      <c r="AD218" s="17">
        <v>0</v>
      </c>
      <c r="AE218" s="17">
        <f t="shared" si="76"/>
        <v>19.012499999999999</v>
      </c>
      <c r="AF218" s="17">
        <f t="shared" si="73"/>
        <v>3.0419999999999998</v>
      </c>
      <c r="AG218" s="17">
        <f t="shared" si="77"/>
        <v>22.054499999999997</v>
      </c>
      <c r="AH218" s="17">
        <f t="shared" si="69"/>
        <v>0.38024999999999998</v>
      </c>
      <c r="AI218" s="17">
        <v>0</v>
      </c>
      <c r="AJ218" s="17">
        <f t="shared" si="78"/>
        <v>0.38024999999999998</v>
      </c>
      <c r="AK218" s="20"/>
      <c r="AL218" s="17">
        <f t="shared" si="79"/>
        <v>18.632249999999999</v>
      </c>
      <c r="AM218" s="17"/>
      <c r="AN218" s="21"/>
      <c r="AO218" s="17">
        <f t="shared" si="80"/>
        <v>0</v>
      </c>
      <c r="AP218" s="17"/>
      <c r="AQ218" s="16"/>
      <c r="AR218" s="17">
        <f t="shared" si="72"/>
        <v>0</v>
      </c>
      <c r="AS218" s="17"/>
      <c r="AT218" s="17">
        <v>22.054499999999997</v>
      </c>
      <c r="AU218" s="17">
        <f t="shared" si="81"/>
        <v>22.054499999999997</v>
      </c>
      <c r="AV218" s="17">
        <f t="shared" si="82"/>
        <v>0</v>
      </c>
      <c r="AW218" s="17" t="str">
        <f t="shared" si="84"/>
        <v>ACTIVA</v>
      </c>
      <c r="AX218" s="22">
        <v>44699</v>
      </c>
      <c r="AY218" s="22"/>
      <c r="AZ218" s="1" t="s">
        <v>110</v>
      </c>
      <c r="BA218" s="22" t="str">
        <f t="shared" si="83"/>
        <v>MARINE CARGO / GIT</v>
      </c>
      <c r="BB218" s="22"/>
      <c r="BC218" s="22"/>
      <c r="BD218" s="22"/>
    </row>
    <row r="219" spans="1:56" ht="14.25" customHeight="1" x14ac:dyDescent="0.2">
      <c r="A219" s="12" t="s">
        <v>324</v>
      </c>
      <c r="B219" s="1" t="s">
        <v>57</v>
      </c>
      <c r="C219" s="13">
        <v>44638</v>
      </c>
      <c r="D219" s="13">
        <v>44649</v>
      </c>
      <c r="E219" s="13">
        <v>44651</v>
      </c>
      <c r="F219" s="13">
        <v>45015</v>
      </c>
      <c r="G219" s="14" t="str">
        <f t="shared" si="74"/>
        <v>000-218/AIB RDC/2022</v>
      </c>
      <c r="H219" s="1">
        <v>0</v>
      </c>
      <c r="I219" s="1" t="s">
        <v>74</v>
      </c>
      <c r="J219" s="15">
        <v>30000009</v>
      </c>
      <c r="K219" s="16" t="s">
        <v>461</v>
      </c>
      <c r="L219" s="16" t="s">
        <v>137</v>
      </c>
      <c r="M219" s="16" t="s">
        <v>84</v>
      </c>
      <c r="N219" s="16" t="s">
        <v>84</v>
      </c>
      <c r="O219" s="16" t="s">
        <v>73</v>
      </c>
      <c r="P219" s="16" t="s">
        <v>73</v>
      </c>
      <c r="Q219" s="16" t="s">
        <v>107</v>
      </c>
      <c r="R219" s="16" t="s">
        <v>107</v>
      </c>
      <c r="S219" s="17"/>
      <c r="T219" s="17">
        <v>1507.92</v>
      </c>
      <c r="U219" s="17">
        <v>0</v>
      </c>
      <c r="V219" s="17"/>
      <c r="W219" s="17">
        <v>40</v>
      </c>
      <c r="X219" s="17">
        <v>1244</v>
      </c>
      <c r="Y219" s="17">
        <v>204.44</v>
      </c>
      <c r="Z219" s="18" t="e">
        <f t="shared" si="75"/>
        <v>#DIV/0!</v>
      </c>
      <c r="AA219" s="19">
        <v>0.1</v>
      </c>
      <c r="AB219" s="17">
        <f t="shared" si="71"/>
        <v>124.4</v>
      </c>
      <c r="AC219" s="17">
        <v>0</v>
      </c>
      <c r="AD219" s="17">
        <v>0</v>
      </c>
      <c r="AE219" s="17">
        <f t="shared" si="76"/>
        <v>124.4</v>
      </c>
      <c r="AF219" s="17">
        <f t="shared" si="73"/>
        <v>19.904</v>
      </c>
      <c r="AG219" s="17">
        <f t="shared" si="77"/>
        <v>144.304</v>
      </c>
      <c r="AH219" s="17">
        <f t="shared" si="69"/>
        <v>2.488</v>
      </c>
      <c r="AI219" s="17">
        <v>0</v>
      </c>
      <c r="AJ219" s="17">
        <f t="shared" si="78"/>
        <v>2.488</v>
      </c>
      <c r="AK219" s="20"/>
      <c r="AL219" s="17">
        <f t="shared" si="79"/>
        <v>121.91200000000001</v>
      </c>
      <c r="AM219" s="17"/>
      <c r="AN219" s="21"/>
      <c r="AO219" s="17">
        <f t="shared" si="80"/>
        <v>0</v>
      </c>
      <c r="AP219" s="17"/>
      <c r="AQ219" s="16"/>
      <c r="AR219" s="17">
        <f t="shared" si="72"/>
        <v>0</v>
      </c>
      <c r="AS219" s="17"/>
      <c r="AT219" s="17">
        <v>144.304</v>
      </c>
      <c r="AU219" s="17">
        <f t="shared" si="81"/>
        <v>144.304</v>
      </c>
      <c r="AV219" s="17">
        <f t="shared" si="82"/>
        <v>0</v>
      </c>
      <c r="AW219" s="17" t="str">
        <f t="shared" si="84"/>
        <v>RAWSUR</v>
      </c>
      <c r="AX219" s="22">
        <v>44701</v>
      </c>
      <c r="AY219" s="22"/>
      <c r="AZ219" s="1" t="s">
        <v>100</v>
      </c>
      <c r="BA219" s="22" t="str">
        <f t="shared" si="83"/>
        <v>MOTOR TPL</v>
      </c>
      <c r="BB219" s="22"/>
      <c r="BC219" s="22"/>
      <c r="BD219" s="22"/>
    </row>
    <row r="220" spans="1:56" ht="14.25" customHeight="1" x14ac:dyDescent="0.2">
      <c r="A220" s="1" t="s">
        <v>324</v>
      </c>
      <c r="B220" s="1" t="s">
        <v>57</v>
      </c>
      <c r="C220" s="13">
        <v>44638</v>
      </c>
      <c r="D220" s="13">
        <v>44627</v>
      </c>
      <c r="E220" s="13">
        <v>44628</v>
      </c>
      <c r="F220" s="13">
        <v>44658</v>
      </c>
      <c r="G220" s="14" t="str">
        <f t="shared" si="74"/>
        <v>000-219/AIB RDC/2022</v>
      </c>
      <c r="H220" s="1">
        <v>0</v>
      </c>
      <c r="I220" s="1" t="s">
        <v>74</v>
      </c>
      <c r="J220" s="1" t="s">
        <v>462</v>
      </c>
      <c r="K220" s="1" t="s">
        <v>463</v>
      </c>
      <c r="L220" s="16"/>
      <c r="M220" s="1" t="s">
        <v>105</v>
      </c>
      <c r="N220" s="1" t="s">
        <v>106</v>
      </c>
      <c r="O220" s="1" t="s">
        <v>73</v>
      </c>
      <c r="P220" s="1" t="s">
        <v>73</v>
      </c>
      <c r="Q220" s="1" t="s">
        <v>107</v>
      </c>
      <c r="R220" s="1" t="s">
        <v>107</v>
      </c>
      <c r="S220" s="17"/>
      <c r="T220" s="17">
        <v>217.92</v>
      </c>
      <c r="U220" s="17">
        <v>0</v>
      </c>
      <c r="V220" s="17"/>
      <c r="W220" s="17">
        <v>30</v>
      </c>
      <c r="X220" s="17">
        <v>154.68</v>
      </c>
      <c r="Y220" s="17">
        <v>29.55</v>
      </c>
      <c r="Z220" s="18" t="e">
        <f t="shared" si="75"/>
        <v>#DIV/0!</v>
      </c>
      <c r="AA220" s="19">
        <v>0.1</v>
      </c>
      <c r="AB220" s="17">
        <f>AA220*X220</f>
        <v>15.468000000000002</v>
      </c>
      <c r="AC220" s="17">
        <v>0</v>
      </c>
      <c r="AD220" s="17">
        <v>0</v>
      </c>
      <c r="AE220" s="17">
        <f t="shared" si="76"/>
        <v>15.468000000000002</v>
      </c>
      <c r="AF220" s="17">
        <f t="shared" si="73"/>
        <v>2.4748800000000002</v>
      </c>
      <c r="AG220" s="17">
        <f t="shared" si="77"/>
        <v>17.942880000000002</v>
      </c>
      <c r="AH220" s="17">
        <f t="shared" si="69"/>
        <v>0.30936000000000002</v>
      </c>
      <c r="AI220" s="17">
        <v>0</v>
      </c>
      <c r="AJ220" s="17">
        <f t="shared" si="78"/>
        <v>0.30936000000000002</v>
      </c>
      <c r="AK220" s="20"/>
      <c r="AL220" s="17">
        <f t="shared" si="79"/>
        <v>15.158640000000002</v>
      </c>
      <c r="AM220" s="17" t="s">
        <v>108</v>
      </c>
      <c r="AN220" s="21">
        <v>0.4</v>
      </c>
      <c r="AO220" s="17">
        <f t="shared" si="80"/>
        <v>6.0634560000000013</v>
      </c>
      <c r="AP220" s="17">
        <v>6.0634560000000013</v>
      </c>
      <c r="AQ220" s="16">
        <v>44834</v>
      </c>
      <c r="AR220" s="17">
        <f t="shared" si="72"/>
        <v>0</v>
      </c>
      <c r="AS220" s="17" t="s">
        <v>109</v>
      </c>
      <c r="AT220" s="17">
        <v>17.942880000000002</v>
      </c>
      <c r="AU220" s="17">
        <f t="shared" si="81"/>
        <v>17.942880000000002</v>
      </c>
      <c r="AV220" s="17">
        <f t="shared" si="82"/>
        <v>0</v>
      </c>
      <c r="AW220" s="17" t="str">
        <f t="shared" si="84"/>
        <v>RAWSUR</v>
      </c>
      <c r="AX220" s="22">
        <v>44701</v>
      </c>
      <c r="AY220" s="22"/>
      <c r="AZ220" s="1" t="s">
        <v>110</v>
      </c>
      <c r="BA220" s="22" t="str">
        <f t="shared" si="83"/>
        <v>MOTOR TPL</v>
      </c>
      <c r="BB220" s="22"/>
      <c r="BC220" s="22"/>
      <c r="BD220" s="22"/>
    </row>
    <row r="221" spans="1:56" ht="14.25" customHeight="1" x14ac:dyDescent="0.2">
      <c r="A221" s="1" t="s">
        <v>324</v>
      </c>
      <c r="B221" s="1" t="s">
        <v>57</v>
      </c>
      <c r="C221" s="13">
        <v>44638</v>
      </c>
      <c r="D221" s="13">
        <v>44643</v>
      </c>
      <c r="E221" s="13">
        <v>44643</v>
      </c>
      <c r="F221" s="13">
        <v>44673</v>
      </c>
      <c r="G221" s="14" t="str">
        <f t="shared" si="74"/>
        <v>000-220/AIB RDC/2022</v>
      </c>
      <c r="H221" s="1">
        <v>0</v>
      </c>
      <c r="I221" s="1" t="s">
        <v>74</v>
      </c>
      <c r="J221" s="1" t="s">
        <v>464</v>
      </c>
      <c r="K221" s="1" t="s">
        <v>463</v>
      </c>
      <c r="L221" s="16"/>
      <c r="M221" s="1" t="s">
        <v>105</v>
      </c>
      <c r="N221" s="1" t="s">
        <v>106</v>
      </c>
      <c r="O221" s="1" t="s">
        <v>73</v>
      </c>
      <c r="P221" s="1" t="s">
        <v>73</v>
      </c>
      <c r="Q221" s="1" t="s">
        <v>107</v>
      </c>
      <c r="R221" s="1" t="s">
        <v>107</v>
      </c>
      <c r="S221" s="17"/>
      <c r="T221" s="17">
        <v>250.47</v>
      </c>
      <c r="U221" s="17">
        <v>0</v>
      </c>
      <c r="V221" s="17"/>
      <c r="W221" s="17">
        <v>30</v>
      </c>
      <c r="X221" s="17">
        <v>182.25</v>
      </c>
      <c r="Y221" s="17">
        <v>33.96</v>
      </c>
      <c r="Z221" s="18" t="e">
        <f t="shared" si="75"/>
        <v>#DIV/0!</v>
      </c>
      <c r="AA221" s="19">
        <v>0.1</v>
      </c>
      <c r="AB221" s="17">
        <f>AA221*X221</f>
        <v>18.225000000000001</v>
      </c>
      <c r="AC221" s="17">
        <v>0</v>
      </c>
      <c r="AD221" s="17">
        <v>0</v>
      </c>
      <c r="AE221" s="17">
        <f t="shared" si="76"/>
        <v>18.225000000000001</v>
      </c>
      <c r="AF221" s="17">
        <f t="shared" si="73"/>
        <v>2.9160000000000004</v>
      </c>
      <c r="AG221" s="17">
        <f t="shared" si="77"/>
        <v>21.141000000000002</v>
      </c>
      <c r="AH221" s="17">
        <f t="shared" si="69"/>
        <v>0.36450000000000005</v>
      </c>
      <c r="AI221" s="17">
        <v>0</v>
      </c>
      <c r="AJ221" s="17">
        <f t="shared" si="78"/>
        <v>0.36450000000000005</v>
      </c>
      <c r="AK221" s="20"/>
      <c r="AL221" s="17">
        <f t="shared" si="79"/>
        <v>17.860500000000002</v>
      </c>
      <c r="AM221" s="17" t="s">
        <v>108</v>
      </c>
      <c r="AN221" s="21">
        <v>0.4</v>
      </c>
      <c r="AO221" s="17">
        <f t="shared" si="80"/>
        <v>7.1442000000000014</v>
      </c>
      <c r="AP221" s="17">
        <v>7.1442000000000014</v>
      </c>
      <c r="AQ221" s="16">
        <v>44834</v>
      </c>
      <c r="AR221" s="17">
        <f t="shared" si="72"/>
        <v>0</v>
      </c>
      <c r="AS221" s="17" t="s">
        <v>109</v>
      </c>
      <c r="AT221" s="17">
        <v>21.141000000000002</v>
      </c>
      <c r="AU221" s="17">
        <f t="shared" si="81"/>
        <v>21.141000000000002</v>
      </c>
      <c r="AV221" s="17">
        <f t="shared" si="82"/>
        <v>0</v>
      </c>
      <c r="AW221" s="17" t="str">
        <f t="shared" si="84"/>
        <v>RAWSUR</v>
      </c>
      <c r="AX221" s="22">
        <v>44701</v>
      </c>
      <c r="AY221" s="22"/>
      <c r="AZ221" s="1" t="s">
        <v>110</v>
      </c>
      <c r="BA221" s="22" t="str">
        <f t="shared" si="83"/>
        <v>MOTOR TPL</v>
      </c>
      <c r="BB221" s="22"/>
      <c r="BC221" s="22"/>
      <c r="BD221" s="22"/>
    </row>
    <row r="222" spans="1:56" ht="14.25" customHeight="1" x14ac:dyDescent="0.2">
      <c r="A222" s="1" t="s">
        <v>324</v>
      </c>
      <c r="B222" s="1" t="s">
        <v>57</v>
      </c>
      <c r="C222" s="13">
        <v>44643</v>
      </c>
      <c r="D222" s="13">
        <v>44652</v>
      </c>
      <c r="E222" s="13">
        <v>44621</v>
      </c>
      <c r="F222" s="13">
        <v>44985</v>
      </c>
      <c r="G222" s="14" t="str">
        <f t="shared" si="74"/>
        <v>000-221/AIB RDC/2022</v>
      </c>
      <c r="H222" s="1">
        <v>2</v>
      </c>
      <c r="I222" s="1" t="s">
        <v>58</v>
      </c>
      <c r="J222" s="1" t="s">
        <v>465</v>
      </c>
      <c r="K222" s="1" t="s">
        <v>136</v>
      </c>
      <c r="L222" s="1" t="s">
        <v>137</v>
      </c>
      <c r="M222" s="1" t="s">
        <v>84</v>
      </c>
      <c r="N222" s="1" t="s">
        <v>84</v>
      </c>
      <c r="O222" s="1" t="s">
        <v>466</v>
      </c>
      <c r="P222" s="1" t="s">
        <v>71</v>
      </c>
      <c r="Q222" s="1" t="s">
        <v>107</v>
      </c>
      <c r="R222" s="1" t="s">
        <v>467</v>
      </c>
      <c r="S222" s="17">
        <v>250000000</v>
      </c>
      <c r="T222" s="17">
        <f>3564336.57-179189.55</f>
        <v>3385147.02</v>
      </c>
      <c r="U222" s="17">
        <f>453093.57-179189.55</f>
        <v>273904.02</v>
      </c>
      <c r="V222" s="17">
        <v>-179189.55</v>
      </c>
      <c r="W222" s="17">
        <v>0</v>
      </c>
      <c r="X222" s="17">
        <v>2567530.21</v>
      </c>
      <c r="Y222" s="17">
        <v>483299.8</v>
      </c>
      <c r="Z222" s="18">
        <f t="shared" si="75"/>
        <v>1.3540588080000001E-2</v>
      </c>
      <c r="AA222" s="19">
        <v>0.3</v>
      </c>
      <c r="AB222" s="17">
        <v>0</v>
      </c>
      <c r="AC222" s="17">
        <f>30%*U222</f>
        <v>82171.206000000006</v>
      </c>
      <c r="AD222" s="17">
        <v>0</v>
      </c>
      <c r="AE222" s="17">
        <f t="shared" si="76"/>
        <v>82171.206000000006</v>
      </c>
      <c r="AF222" s="17">
        <f t="shared" si="73"/>
        <v>13147.392960000001</v>
      </c>
      <c r="AG222" s="17">
        <f t="shared" si="77"/>
        <v>95318.598960000003</v>
      </c>
      <c r="AH222" s="17">
        <f t="shared" si="69"/>
        <v>1643.4241200000001</v>
      </c>
      <c r="AI222" s="17">
        <v>0</v>
      </c>
      <c r="AJ222" s="17">
        <f t="shared" si="78"/>
        <v>1643.4241200000001</v>
      </c>
      <c r="AK222" s="20"/>
      <c r="AL222" s="17">
        <f t="shared" si="79"/>
        <v>80527.78188000001</v>
      </c>
      <c r="AM222" s="17"/>
      <c r="AN222" s="21"/>
      <c r="AO222" s="17">
        <f t="shared" si="80"/>
        <v>0</v>
      </c>
      <c r="AP222" s="17"/>
      <c r="AQ222" s="16"/>
      <c r="AR222" s="17">
        <f t="shared" si="72"/>
        <v>0</v>
      </c>
      <c r="AS222" s="17"/>
      <c r="AT222" s="17">
        <v>95318.598960000003</v>
      </c>
      <c r="AU222" s="17">
        <f t="shared" si="81"/>
        <v>95318.598960000003</v>
      </c>
      <c r="AV222" s="17">
        <f t="shared" si="82"/>
        <v>0</v>
      </c>
      <c r="AW222" s="17" t="str">
        <f t="shared" si="84"/>
        <v>RAWSUR</v>
      </c>
      <c r="AX222" s="22">
        <v>44701</v>
      </c>
      <c r="AY222" s="22"/>
      <c r="AZ222" s="1" t="s">
        <v>68</v>
      </c>
      <c r="BA222" s="22" t="str">
        <f t="shared" si="83"/>
        <v>PROPERTY DAMAGE &amp; BI</v>
      </c>
      <c r="BB222" s="22"/>
      <c r="BC222" s="22"/>
      <c r="BD222" s="22"/>
    </row>
    <row r="223" spans="1:56" ht="14.25" customHeight="1" x14ac:dyDescent="0.2">
      <c r="A223" s="1" t="s">
        <v>324</v>
      </c>
      <c r="B223" s="1" t="s">
        <v>57</v>
      </c>
      <c r="C223" s="13">
        <v>44873</v>
      </c>
      <c r="D223" s="13">
        <v>44865</v>
      </c>
      <c r="E223" s="13">
        <v>44621</v>
      </c>
      <c r="F223" s="13">
        <v>44985</v>
      </c>
      <c r="G223" s="14" t="str">
        <f t="shared" si="74"/>
        <v>000-222/AIB RDC/2022</v>
      </c>
      <c r="H223" s="1">
        <v>0</v>
      </c>
      <c r="I223" s="1" t="s">
        <v>74</v>
      </c>
      <c r="J223" s="24" t="s">
        <v>468</v>
      </c>
      <c r="K223" s="1" t="s">
        <v>136</v>
      </c>
      <c r="L223" s="1" t="s">
        <v>137</v>
      </c>
      <c r="M223" s="1" t="s">
        <v>84</v>
      </c>
      <c r="N223" s="1" t="s">
        <v>84</v>
      </c>
      <c r="O223" s="1" t="s">
        <v>64</v>
      </c>
      <c r="P223" s="1" t="s">
        <v>65</v>
      </c>
      <c r="Q223" s="1" t="s">
        <v>130</v>
      </c>
      <c r="R223" s="1" t="s">
        <v>469</v>
      </c>
      <c r="S223" s="17">
        <v>15000000</v>
      </c>
      <c r="T223" s="17">
        <v>25632.38</v>
      </c>
      <c r="U223" s="17">
        <v>3258.35</v>
      </c>
      <c r="V223" s="17">
        <v>0</v>
      </c>
      <c r="W223" s="17">
        <v>0</v>
      </c>
      <c r="X223" s="17">
        <v>18464</v>
      </c>
      <c r="Y223" s="17">
        <v>3475.57</v>
      </c>
      <c r="Z223" s="18">
        <f t="shared" si="75"/>
        <v>1.7088253333333333E-3</v>
      </c>
      <c r="AA223" s="19">
        <v>0</v>
      </c>
      <c r="AB223" s="17">
        <v>0</v>
      </c>
      <c r="AC223" s="17">
        <f>30%*U223</f>
        <v>977.50499999999988</v>
      </c>
      <c r="AD223" s="17">
        <v>0</v>
      </c>
      <c r="AE223" s="17">
        <f t="shared" si="76"/>
        <v>977.50499999999988</v>
      </c>
      <c r="AF223" s="17">
        <f t="shared" si="73"/>
        <v>156.40079999999998</v>
      </c>
      <c r="AG223" s="17">
        <f t="shared" si="77"/>
        <v>1133.9057999999998</v>
      </c>
      <c r="AH223" s="17">
        <f t="shared" si="69"/>
        <v>19.550099999999997</v>
      </c>
      <c r="AI223" s="17">
        <v>0</v>
      </c>
      <c r="AJ223" s="17">
        <f t="shared" si="78"/>
        <v>19.550099999999997</v>
      </c>
      <c r="AK223" s="20"/>
      <c r="AL223" s="17">
        <f t="shared" si="79"/>
        <v>957.95489999999984</v>
      </c>
      <c r="AM223" s="17"/>
      <c r="AN223" s="21"/>
      <c r="AO223" s="17">
        <f t="shared" si="80"/>
        <v>0</v>
      </c>
      <c r="AP223" s="17"/>
      <c r="AQ223" s="16"/>
      <c r="AR223" s="17">
        <f t="shared" si="72"/>
        <v>0</v>
      </c>
      <c r="AS223" s="17"/>
      <c r="AT223" s="17">
        <v>1133.9057999999998</v>
      </c>
      <c r="AU223" s="17">
        <f t="shared" si="81"/>
        <v>1133.9057999999998</v>
      </c>
      <c r="AV223" s="17">
        <f t="shared" si="82"/>
        <v>0</v>
      </c>
      <c r="AW223" s="17" t="str">
        <f t="shared" si="84"/>
        <v>SFA</v>
      </c>
      <c r="AX223" s="22">
        <v>44887</v>
      </c>
      <c r="AY223" s="22"/>
      <c r="AZ223" s="1" t="s">
        <v>100</v>
      </c>
      <c r="BA223" s="22" t="str">
        <f t="shared" si="83"/>
        <v>MARINE CARGO / GIT</v>
      </c>
      <c r="BB223" s="22"/>
      <c r="BC223" s="22"/>
      <c r="BD223" s="22"/>
    </row>
    <row r="224" spans="1:56" ht="14.25" customHeight="1" x14ac:dyDescent="0.2">
      <c r="A224" s="1" t="s">
        <v>324</v>
      </c>
      <c r="B224" s="1" t="s">
        <v>57</v>
      </c>
      <c r="C224" s="13">
        <v>44750</v>
      </c>
      <c r="D224" s="13">
        <v>44723</v>
      </c>
      <c r="E224" s="13">
        <v>44621</v>
      </c>
      <c r="F224" s="13">
        <v>44985</v>
      </c>
      <c r="G224" s="14" t="str">
        <f t="shared" si="74"/>
        <v>000-223/AIB RDC/2022</v>
      </c>
      <c r="H224" s="1">
        <v>0</v>
      </c>
      <c r="I224" s="1" t="s">
        <v>74</v>
      </c>
      <c r="J224" s="46" t="s">
        <v>470</v>
      </c>
      <c r="K224" s="1" t="s">
        <v>345</v>
      </c>
      <c r="L224" s="1" t="s">
        <v>137</v>
      </c>
      <c r="M224" s="1" t="s">
        <v>84</v>
      </c>
      <c r="N224" s="1" t="s">
        <v>84</v>
      </c>
      <c r="O224" s="1" t="s">
        <v>64</v>
      </c>
      <c r="P224" s="1" t="s">
        <v>65</v>
      </c>
      <c r="Q224" s="1" t="s">
        <v>130</v>
      </c>
      <c r="R224" s="1" t="s">
        <v>469</v>
      </c>
      <c r="S224" s="17">
        <v>10000000</v>
      </c>
      <c r="T224" s="17">
        <v>309057.27</v>
      </c>
      <c r="U224" s="17">
        <v>39286.94</v>
      </c>
      <c r="V224" s="17">
        <v>0</v>
      </c>
      <c r="W224" s="17">
        <v>0</v>
      </c>
      <c r="X224" s="17">
        <v>222626</v>
      </c>
      <c r="Y224" s="17">
        <v>41906.07</v>
      </c>
      <c r="Z224" s="18">
        <f t="shared" si="75"/>
        <v>3.0905727000000001E-2</v>
      </c>
      <c r="AA224" s="19">
        <v>0</v>
      </c>
      <c r="AB224" s="17">
        <v>0</v>
      </c>
      <c r="AC224" s="17">
        <f>30%*U224</f>
        <v>11786.082</v>
      </c>
      <c r="AD224" s="17"/>
      <c r="AE224" s="17">
        <f t="shared" si="76"/>
        <v>11786.082</v>
      </c>
      <c r="AF224" s="17">
        <f t="shared" si="73"/>
        <v>1885.7731200000001</v>
      </c>
      <c r="AG224" s="17">
        <f t="shared" si="77"/>
        <v>13671.85512</v>
      </c>
      <c r="AH224" s="17">
        <f t="shared" si="69"/>
        <v>235.72164000000001</v>
      </c>
      <c r="AI224" s="17">
        <v>0</v>
      </c>
      <c r="AJ224" s="17">
        <f t="shared" si="78"/>
        <v>235.72164000000001</v>
      </c>
      <c r="AK224" s="20"/>
      <c r="AL224" s="17">
        <f t="shared" si="79"/>
        <v>11550.360360000001</v>
      </c>
      <c r="AM224" s="17"/>
      <c r="AN224" s="21"/>
      <c r="AO224" s="17">
        <f t="shared" si="80"/>
        <v>0</v>
      </c>
      <c r="AP224" s="17"/>
      <c r="AQ224" s="16"/>
      <c r="AR224" s="17">
        <f t="shared" si="72"/>
        <v>0</v>
      </c>
      <c r="AS224" s="17"/>
      <c r="AT224" s="17">
        <v>13671.85512</v>
      </c>
      <c r="AU224" s="17">
        <f t="shared" si="81"/>
        <v>13671.85512</v>
      </c>
      <c r="AV224" s="17">
        <f t="shared" si="82"/>
        <v>0</v>
      </c>
      <c r="AW224" s="17" t="str">
        <f t="shared" si="84"/>
        <v>SFA</v>
      </c>
      <c r="AX224" s="22">
        <v>44781</v>
      </c>
      <c r="AY224" s="22"/>
      <c r="AZ224" s="1" t="s">
        <v>68</v>
      </c>
      <c r="BA224" s="22" t="str">
        <f t="shared" si="83"/>
        <v>MARINE CARGO / GIT</v>
      </c>
      <c r="BB224" s="22"/>
    </row>
    <row r="225" spans="1:56" ht="14.25" customHeight="1" x14ac:dyDescent="0.2">
      <c r="A225" s="1" t="s">
        <v>324</v>
      </c>
      <c r="B225" s="1" t="s">
        <v>57</v>
      </c>
      <c r="C225" s="13">
        <v>44628</v>
      </c>
      <c r="D225" s="13">
        <v>44672</v>
      </c>
      <c r="E225" s="13">
        <v>44650</v>
      </c>
      <c r="F225" s="13">
        <v>45049</v>
      </c>
      <c r="G225" s="14" t="str">
        <f t="shared" si="74"/>
        <v>000-224/AIB RDC/2022</v>
      </c>
      <c r="H225" s="1">
        <v>0</v>
      </c>
      <c r="I225" s="1" t="s">
        <v>74</v>
      </c>
      <c r="J225" s="1" t="s">
        <v>471</v>
      </c>
      <c r="K225" s="1" t="s">
        <v>365</v>
      </c>
      <c r="L225" s="1" t="s">
        <v>366</v>
      </c>
      <c r="M225" s="1" t="s">
        <v>84</v>
      </c>
      <c r="N225" s="1" t="s">
        <v>84</v>
      </c>
      <c r="O225" s="1" t="s">
        <v>281</v>
      </c>
      <c r="P225" s="1" t="s">
        <v>166</v>
      </c>
      <c r="Q225" s="1" t="s">
        <v>130</v>
      </c>
      <c r="R225" s="1" t="s">
        <v>130</v>
      </c>
      <c r="S225" s="17">
        <v>5552191.1200000001</v>
      </c>
      <c r="T225" s="17">
        <v>20268.84</v>
      </c>
      <c r="U225" s="17">
        <v>0</v>
      </c>
      <c r="V225" s="1"/>
      <c r="W225" s="17">
        <v>95.41</v>
      </c>
      <c r="X225" s="17">
        <v>17081.57</v>
      </c>
      <c r="Y225" s="17">
        <v>2748.32</v>
      </c>
      <c r="Z225" s="18">
        <f t="shared" si="75"/>
        <v>3.6506019987294675E-3</v>
      </c>
      <c r="AA225" s="19">
        <v>0.15</v>
      </c>
      <c r="AB225" s="17">
        <f>AA225*X225</f>
        <v>2562.2354999999998</v>
      </c>
      <c r="AC225" s="17"/>
      <c r="AD225" s="17"/>
      <c r="AE225" s="17">
        <f t="shared" si="76"/>
        <v>2562.2354999999998</v>
      </c>
      <c r="AF225" s="17">
        <f t="shared" si="73"/>
        <v>409.95767999999998</v>
      </c>
      <c r="AG225" s="17">
        <f t="shared" si="77"/>
        <v>2972.1931799999998</v>
      </c>
      <c r="AH225" s="17">
        <f t="shared" si="69"/>
        <v>51.244709999999998</v>
      </c>
      <c r="AI225" s="17">
        <v>0</v>
      </c>
      <c r="AJ225" s="17">
        <f t="shared" si="78"/>
        <v>51.244709999999998</v>
      </c>
      <c r="AK225" s="20"/>
      <c r="AL225" s="17">
        <f t="shared" si="79"/>
        <v>2510.9907899999998</v>
      </c>
      <c r="AM225" s="17"/>
      <c r="AN225" s="1"/>
      <c r="AO225" s="17">
        <f t="shared" si="80"/>
        <v>0</v>
      </c>
      <c r="AP225" s="17"/>
      <c r="AQ225" s="16"/>
      <c r="AR225" s="17">
        <f t="shared" si="72"/>
        <v>0</v>
      </c>
      <c r="AS225" s="17"/>
      <c r="AT225" s="17">
        <v>2972.1931799999998</v>
      </c>
      <c r="AU225" s="17">
        <f t="shared" si="81"/>
        <v>2972.1931799999998</v>
      </c>
      <c r="AV225" s="17">
        <f t="shared" si="82"/>
        <v>0</v>
      </c>
      <c r="AW225" s="17" t="str">
        <f t="shared" si="84"/>
        <v>SFA</v>
      </c>
      <c r="AX225" s="22">
        <v>44699</v>
      </c>
      <c r="AY225" s="22"/>
      <c r="AZ225" s="1" t="s">
        <v>367</v>
      </c>
      <c r="BA225" s="22" t="str">
        <f t="shared" si="83"/>
        <v>TRC</v>
      </c>
      <c r="BB225" s="22"/>
      <c r="BC225" s="22"/>
      <c r="BD225" s="22"/>
    </row>
    <row r="226" spans="1:56" ht="14.25" customHeight="1" x14ac:dyDescent="0.2">
      <c r="A226" s="1" t="s">
        <v>324</v>
      </c>
      <c r="B226" s="1" t="s">
        <v>57</v>
      </c>
      <c r="C226" s="13">
        <v>44643</v>
      </c>
      <c r="D226" s="13">
        <v>44652</v>
      </c>
      <c r="E226" s="13">
        <v>44651</v>
      </c>
      <c r="F226" s="13">
        <v>45015</v>
      </c>
      <c r="G226" s="14" t="str">
        <f t="shared" si="74"/>
        <v>000-225/AIB RDC/2022</v>
      </c>
      <c r="H226" s="1">
        <v>0</v>
      </c>
      <c r="I226" s="1" t="s">
        <v>74</v>
      </c>
      <c r="J226" s="1" t="s">
        <v>472</v>
      </c>
      <c r="K226" s="1" t="s">
        <v>473</v>
      </c>
      <c r="L226" s="16"/>
      <c r="M226" s="1" t="s">
        <v>62</v>
      </c>
      <c r="N226" s="1" t="s">
        <v>209</v>
      </c>
      <c r="O226" s="1" t="s">
        <v>64</v>
      </c>
      <c r="P226" s="1" t="s">
        <v>65</v>
      </c>
      <c r="Q226" s="1" t="s">
        <v>107</v>
      </c>
      <c r="R226" s="1" t="s">
        <v>107</v>
      </c>
      <c r="S226" s="17">
        <v>25000000</v>
      </c>
      <c r="T226" s="17">
        <v>41418</v>
      </c>
      <c r="U226" s="17">
        <v>0</v>
      </c>
      <c r="V226" s="17"/>
      <c r="W226" s="17">
        <v>100</v>
      </c>
      <c r="X226" s="17">
        <v>35000</v>
      </c>
      <c r="Y226" s="17">
        <v>5616</v>
      </c>
      <c r="Z226" s="18">
        <f t="shared" si="75"/>
        <v>1.65672E-3</v>
      </c>
      <c r="AA226" s="19">
        <v>0.15</v>
      </c>
      <c r="AB226" s="17">
        <f>AA226*X226</f>
        <v>5250</v>
      </c>
      <c r="AC226" s="17"/>
      <c r="AD226" s="17"/>
      <c r="AE226" s="17">
        <f t="shared" si="76"/>
        <v>5250</v>
      </c>
      <c r="AF226" s="17">
        <f t="shared" si="73"/>
        <v>840</v>
      </c>
      <c r="AG226" s="17">
        <f t="shared" si="77"/>
        <v>6090</v>
      </c>
      <c r="AH226" s="17">
        <f t="shared" si="69"/>
        <v>105</v>
      </c>
      <c r="AI226" s="17">
        <v>0</v>
      </c>
      <c r="AJ226" s="17">
        <f t="shared" si="78"/>
        <v>105</v>
      </c>
      <c r="AK226" s="20"/>
      <c r="AL226" s="17">
        <f t="shared" si="79"/>
        <v>5145</v>
      </c>
      <c r="AM226" s="17" t="s">
        <v>108</v>
      </c>
      <c r="AN226" s="21">
        <v>0.4</v>
      </c>
      <c r="AO226" s="17">
        <f t="shared" si="80"/>
        <v>2058</v>
      </c>
      <c r="AP226" s="17">
        <v>2058</v>
      </c>
      <c r="AQ226" s="16">
        <v>44834</v>
      </c>
      <c r="AR226" s="17">
        <f t="shared" si="72"/>
        <v>0</v>
      </c>
      <c r="AS226" s="17" t="s">
        <v>109</v>
      </c>
      <c r="AT226" s="17">
        <v>6090</v>
      </c>
      <c r="AU226" s="17">
        <f t="shared" si="81"/>
        <v>6090</v>
      </c>
      <c r="AV226" s="17">
        <f t="shared" si="82"/>
        <v>0</v>
      </c>
      <c r="AW226" s="17" t="str">
        <f t="shared" si="84"/>
        <v>RAWSUR</v>
      </c>
      <c r="AX226" s="22">
        <v>44701</v>
      </c>
      <c r="AY226" s="22"/>
      <c r="AZ226" s="1" t="s">
        <v>110</v>
      </c>
      <c r="BA226" s="22" t="str">
        <f t="shared" si="83"/>
        <v>MARINE CARGO / GIT</v>
      </c>
      <c r="BB226" s="22"/>
      <c r="BC226" s="22"/>
      <c r="BD226" s="22"/>
    </row>
    <row r="227" spans="1:56" ht="14.25" customHeight="1" x14ac:dyDescent="0.2">
      <c r="A227" s="1" t="s">
        <v>324</v>
      </c>
      <c r="B227" s="1" t="s">
        <v>57</v>
      </c>
      <c r="C227" s="13">
        <v>44643</v>
      </c>
      <c r="D227" s="13">
        <v>44652</v>
      </c>
      <c r="E227" s="13">
        <v>44651</v>
      </c>
      <c r="F227" s="13">
        <v>45015</v>
      </c>
      <c r="G227" s="14" t="str">
        <f t="shared" si="74"/>
        <v>000-226/AIB RDC/2022</v>
      </c>
      <c r="H227" s="1">
        <v>0</v>
      </c>
      <c r="I227" s="1" t="s">
        <v>74</v>
      </c>
      <c r="J227" s="1" t="s">
        <v>474</v>
      </c>
      <c r="K227" s="1" t="s">
        <v>475</v>
      </c>
      <c r="L227" s="16"/>
      <c r="M227" s="1" t="s">
        <v>62</v>
      </c>
      <c r="N227" s="1" t="s">
        <v>209</v>
      </c>
      <c r="O227" s="1" t="s">
        <v>64</v>
      </c>
      <c r="P227" s="1" t="s">
        <v>65</v>
      </c>
      <c r="Q227" s="1" t="s">
        <v>107</v>
      </c>
      <c r="R227" s="1" t="s">
        <v>107</v>
      </c>
      <c r="S227" s="17">
        <v>45000000</v>
      </c>
      <c r="T227" s="17">
        <v>74458</v>
      </c>
      <c r="U227" s="17">
        <v>0</v>
      </c>
      <c r="V227" s="17"/>
      <c r="W227" s="17">
        <v>100</v>
      </c>
      <c r="X227" s="17">
        <v>63000</v>
      </c>
      <c r="Y227" s="17">
        <v>10096</v>
      </c>
      <c r="Z227" s="18">
        <f t="shared" si="75"/>
        <v>1.6546222222222223E-3</v>
      </c>
      <c r="AA227" s="19">
        <v>0.15</v>
      </c>
      <c r="AB227" s="17">
        <f>AA227*X227</f>
        <v>9450</v>
      </c>
      <c r="AC227" s="17"/>
      <c r="AD227" s="17"/>
      <c r="AE227" s="17">
        <f t="shared" si="76"/>
        <v>9450</v>
      </c>
      <c r="AF227" s="17">
        <f t="shared" si="73"/>
        <v>1512</v>
      </c>
      <c r="AG227" s="17">
        <f t="shared" si="77"/>
        <v>10962</v>
      </c>
      <c r="AH227" s="17">
        <f t="shared" si="69"/>
        <v>189</v>
      </c>
      <c r="AI227" s="17">
        <v>0</v>
      </c>
      <c r="AJ227" s="17">
        <f t="shared" si="78"/>
        <v>189</v>
      </c>
      <c r="AK227" s="20"/>
      <c r="AL227" s="17">
        <f t="shared" si="79"/>
        <v>9261</v>
      </c>
      <c r="AM227" s="17" t="s">
        <v>108</v>
      </c>
      <c r="AN227" s="21">
        <v>0.4</v>
      </c>
      <c r="AO227" s="17">
        <f t="shared" si="80"/>
        <v>3704.4</v>
      </c>
      <c r="AP227" s="17">
        <v>3704.4</v>
      </c>
      <c r="AQ227" s="16">
        <v>44834</v>
      </c>
      <c r="AR227" s="17">
        <f t="shared" si="72"/>
        <v>0</v>
      </c>
      <c r="AS227" s="17" t="s">
        <v>109</v>
      </c>
      <c r="AT227" s="17">
        <v>10962</v>
      </c>
      <c r="AU227" s="17">
        <f t="shared" si="81"/>
        <v>10962</v>
      </c>
      <c r="AV227" s="17">
        <f t="shared" si="82"/>
        <v>0</v>
      </c>
      <c r="AW227" s="17" t="str">
        <f t="shared" si="84"/>
        <v>RAWSUR</v>
      </c>
      <c r="AX227" s="22">
        <v>44701</v>
      </c>
      <c r="AY227" s="22"/>
      <c r="AZ227" s="1" t="s">
        <v>110</v>
      </c>
      <c r="BA227" s="22" t="str">
        <f t="shared" si="83"/>
        <v>MARINE CARGO / GIT</v>
      </c>
      <c r="BB227" s="22"/>
      <c r="BC227" s="22"/>
      <c r="BD227" s="22"/>
    </row>
    <row r="228" spans="1:56" ht="14.25" customHeight="1" x14ac:dyDescent="0.2">
      <c r="A228" s="1" t="s">
        <v>324</v>
      </c>
      <c r="B228" s="1" t="s">
        <v>57</v>
      </c>
      <c r="C228" s="13">
        <v>44643</v>
      </c>
      <c r="D228" s="13">
        <v>44652</v>
      </c>
      <c r="E228" s="13">
        <v>44651</v>
      </c>
      <c r="F228" s="13">
        <v>45015</v>
      </c>
      <c r="G228" s="14" t="str">
        <f t="shared" si="74"/>
        <v>000-227/AIB RDC/2022</v>
      </c>
      <c r="H228" s="1">
        <v>0</v>
      </c>
      <c r="I228" s="1" t="s">
        <v>74</v>
      </c>
      <c r="J228" s="1" t="s">
        <v>476</v>
      </c>
      <c r="K228" s="1" t="s">
        <v>477</v>
      </c>
      <c r="L228" s="1" t="s">
        <v>478</v>
      </c>
      <c r="M228" s="1" t="s">
        <v>62</v>
      </c>
      <c r="N228" s="1" t="s">
        <v>209</v>
      </c>
      <c r="O228" s="1" t="s">
        <v>185</v>
      </c>
      <c r="P228" s="1" t="s">
        <v>186</v>
      </c>
      <c r="Q228" s="1" t="s">
        <v>107</v>
      </c>
      <c r="R228" s="1" t="s">
        <v>107</v>
      </c>
      <c r="S228" s="17">
        <v>10000000</v>
      </c>
      <c r="T228" s="17">
        <v>107028.36</v>
      </c>
      <c r="U228" s="17">
        <v>13827.55</v>
      </c>
      <c r="V228" s="17"/>
      <c r="W228" s="17">
        <v>100</v>
      </c>
      <c r="X228" s="17">
        <v>76774.45</v>
      </c>
      <c r="Y228" s="17">
        <v>14512.32</v>
      </c>
      <c r="Z228" s="18">
        <f t="shared" si="75"/>
        <v>1.0702836E-2</v>
      </c>
      <c r="AA228" s="19">
        <v>0</v>
      </c>
      <c r="AB228" s="17">
        <f>AA228*X228</f>
        <v>0</v>
      </c>
      <c r="AC228" s="17">
        <f>30%*U228</f>
        <v>4148.2649999999994</v>
      </c>
      <c r="AD228" s="17"/>
      <c r="AE228" s="17">
        <f t="shared" si="76"/>
        <v>4148.2649999999994</v>
      </c>
      <c r="AF228" s="17">
        <f t="shared" ref="AF228:AF259" si="85">16%*AE228</f>
        <v>663.72239999999988</v>
      </c>
      <c r="AG228" s="17">
        <f t="shared" si="77"/>
        <v>4811.9873999999991</v>
      </c>
      <c r="AH228" s="17">
        <f t="shared" si="69"/>
        <v>82.965299999999985</v>
      </c>
      <c r="AI228" s="17">
        <v>0</v>
      </c>
      <c r="AJ228" s="17">
        <f t="shared" si="78"/>
        <v>82.965299999999985</v>
      </c>
      <c r="AK228" s="20"/>
      <c r="AL228" s="17">
        <f t="shared" si="79"/>
        <v>4065.2996999999996</v>
      </c>
      <c r="AM228" s="17"/>
      <c r="AN228" s="21"/>
      <c r="AO228" s="17">
        <f t="shared" si="80"/>
        <v>0</v>
      </c>
      <c r="AP228" s="17"/>
      <c r="AQ228" s="16"/>
      <c r="AR228" s="17">
        <f t="shared" si="72"/>
        <v>0</v>
      </c>
      <c r="AS228" s="17"/>
      <c r="AT228" s="17">
        <v>4811.9873999999991</v>
      </c>
      <c r="AU228" s="17">
        <f t="shared" si="81"/>
        <v>4811.9873999999991</v>
      </c>
      <c r="AV228" s="17">
        <f t="shared" si="82"/>
        <v>0</v>
      </c>
      <c r="AW228" s="17" t="str">
        <f t="shared" si="84"/>
        <v>RAWSUR</v>
      </c>
      <c r="AX228" s="22">
        <v>44701</v>
      </c>
      <c r="AY228" s="22"/>
      <c r="AZ228" s="1" t="s">
        <v>100</v>
      </c>
      <c r="BA228" s="22" t="str">
        <f t="shared" si="83"/>
        <v>AVIATION HULL ALL RISK</v>
      </c>
      <c r="BB228" s="22"/>
      <c r="BC228" s="22"/>
      <c r="BD228" s="22"/>
    </row>
    <row r="229" spans="1:56" ht="14.25" customHeight="1" x14ac:dyDescent="0.2">
      <c r="A229" s="1" t="s">
        <v>324</v>
      </c>
      <c r="B229" s="1" t="s">
        <v>57</v>
      </c>
      <c r="C229" s="13">
        <v>44628</v>
      </c>
      <c r="D229" s="13">
        <v>44656</v>
      </c>
      <c r="E229" s="13">
        <v>44637</v>
      </c>
      <c r="F229" s="13">
        <v>44637</v>
      </c>
      <c r="G229" s="14" t="str">
        <f t="shared" si="74"/>
        <v>000-228/AIB RDC/2022</v>
      </c>
      <c r="H229" s="1">
        <v>1</v>
      </c>
      <c r="I229" s="1" t="s">
        <v>310</v>
      </c>
      <c r="J229" s="1" t="s">
        <v>479</v>
      </c>
      <c r="K229" s="1" t="s">
        <v>207</v>
      </c>
      <c r="L229" s="16" t="s">
        <v>208</v>
      </c>
      <c r="M229" s="1" t="s">
        <v>62</v>
      </c>
      <c r="N229" s="16" t="s">
        <v>209</v>
      </c>
      <c r="O229" s="1" t="s">
        <v>308</v>
      </c>
      <c r="P229" s="1" t="s">
        <v>71</v>
      </c>
      <c r="Q229" s="16" t="s">
        <v>130</v>
      </c>
      <c r="R229" s="16" t="s">
        <v>130</v>
      </c>
      <c r="S229" s="17"/>
      <c r="T229" s="17">
        <v>-266.95999999999998</v>
      </c>
      <c r="U229" s="17"/>
      <c r="V229" s="17"/>
      <c r="W229" s="17">
        <v>0</v>
      </c>
      <c r="X229" s="17">
        <v>-230.14</v>
      </c>
      <c r="Y229" s="17">
        <v>-36.82</v>
      </c>
      <c r="Z229" s="18" t="e">
        <f t="shared" si="75"/>
        <v>#DIV/0!</v>
      </c>
      <c r="AA229" s="19">
        <v>0.2</v>
      </c>
      <c r="AB229" s="17">
        <f t="shared" ref="AB229:AB242" si="86">(AA229*X229)</f>
        <v>-46.027999999999999</v>
      </c>
      <c r="AC229" s="17"/>
      <c r="AD229" s="17"/>
      <c r="AE229" s="17">
        <f t="shared" si="76"/>
        <v>-46.027999999999999</v>
      </c>
      <c r="AF229" s="17">
        <f t="shared" si="85"/>
        <v>-7.3644800000000004</v>
      </c>
      <c r="AG229" s="17">
        <f t="shared" si="77"/>
        <v>-53.392479999999999</v>
      </c>
      <c r="AH229" s="17">
        <f t="shared" ref="AH229:AH292" si="87">2%*AE229</f>
        <v>-0.92056000000000004</v>
      </c>
      <c r="AI229" s="17"/>
      <c r="AJ229" s="17">
        <f t="shared" si="78"/>
        <v>-0.92056000000000004</v>
      </c>
      <c r="AK229" s="20"/>
      <c r="AL229" s="17">
        <f t="shared" si="79"/>
        <v>-45.107439999999997</v>
      </c>
      <c r="AM229" s="17"/>
      <c r="AN229" s="21"/>
      <c r="AO229" s="17">
        <f t="shared" si="80"/>
        <v>0</v>
      </c>
      <c r="AP229" s="17"/>
      <c r="AQ229" s="16"/>
      <c r="AR229" s="17">
        <f t="shared" si="72"/>
        <v>0</v>
      </c>
      <c r="AS229" s="17"/>
      <c r="AT229" s="17">
        <v>-53.392479999999999</v>
      </c>
      <c r="AU229" s="17">
        <f t="shared" si="81"/>
        <v>-53.392479999999999</v>
      </c>
      <c r="AV229" s="17">
        <f t="shared" si="82"/>
        <v>0</v>
      </c>
      <c r="AW229" s="17" t="str">
        <f t="shared" si="84"/>
        <v>SFA</v>
      </c>
      <c r="AX229" s="22">
        <v>44699</v>
      </c>
      <c r="AY229" s="22"/>
      <c r="AZ229" s="1" t="s">
        <v>145</v>
      </c>
      <c r="BA229" s="22" t="str">
        <f t="shared" si="83"/>
        <v>FIRE/HOME</v>
      </c>
      <c r="BB229" s="22"/>
      <c r="BC229" s="22"/>
      <c r="BD229" s="22"/>
    </row>
    <row r="230" spans="1:56" ht="14.25" customHeight="1" x14ac:dyDescent="0.2">
      <c r="A230" s="1" t="s">
        <v>324</v>
      </c>
      <c r="B230" s="1" t="s">
        <v>57</v>
      </c>
      <c r="C230" s="13">
        <v>44628</v>
      </c>
      <c r="D230" s="13">
        <v>44656</v>
      </c>
      <c r="E230" s="13">
        <v>44637</v>
      </c>
      <c r="F230" s="13">
        <v>44637</v>
      </c>
      <c r="G230" s="14" t="str">
        <f t="shared" si="74"/>
        <v>000-229/AIB RDC/2022</v>
      </c>
      <c r="H230" s="1">
        <v>1</v>
      </c>
      <c r="I230" s="1" t="s">
        <v>310</v>
      </c>
      <c r="J230" s="1" t="s">
        <v>480</v>
      </c>
      <c r="K230" s="1" t="s">
        <v>207</v>
      </c>
      <c r="L230" s="16" t="s">
        <v>208</v>
      </c>
      <c r="M230" s="1" t="s">
        <v>62</v>
      </c>
      <c r="N230" s="16" t="s">
        <v>209</v>
      </c>
      <c r="O230" s="1" t="s">
        <v>70</v>
      </c>
      <c r="P230" s="1" t="s">
        <v>71</v>
      </c>
      <c r="Q230" s="16" t="s">
        <v>130</v>
      </c>
      <c r="R230" s="16" t="s">
        <v>130</v>
      </c>
      <c r="S230" s="17"/>
      <c r="T230" s="17">
        <v>-7179.3</v>
      </c>
      <c r="U230" s="17"/>
      <c r="V230" s="17"/>
      <c r="W230" s="17">
        <v>0</v>
      </c>
      <c r="X230" s="17">
        <v>-6189.05</v>
      </c>
      <c r="Y230" s="17">
        <v>-990.25</v>
      </c>
      <c r="Z230" s="18" t="e">
        <f t="shared" si="75"/>
        <v>#DIV/0!</v>
      </c>
      <c r="AA230" s="19">
        <v>0.1</v>
      </c>
      <c r="AB230" s="17">
        <f t="shared" si="86"/>
        <v>-618.90500000000009</v>
      </c>
      <c r="AC230" s="17"/>
      <c r="AD230" s="17"/>
      <c r="AE230" s="17">
        <f t="shared" si="76"/>
        <v>-618.90500000000009</v>
      </c>
      <c r="AF230" s="17">
        <f t="shared" si="85"/>
        <v>-99.024800000000013</v>
      </c>
      <c r="AG230" s="17">
        <f t="shared" si="77"/>
        <v>-717.92980000000011</v>
      </c>
      <c r="AH230" s="17">
        <f t="shared" si="87"/>
        <v>-12.378100000000002</v>
      </c>
      <c r="AI230" s="17"/>
      <c r="AJ230" s="17">
        <f t="shared" si="78"/>
        <v>-12.378100000000002</v>
      </c>
      <c r="AK230" s="20"/>
      <c r="AL230" s="17">
        <f t="shared" si="79"/>
        <v>-606.52690000000007</v>
      </c>
      <c r="AM230" s="17"/>
      <c r="AN230" s="21"/>
      <c r="AO230" s="17">
        <f t="shared" si="80"/>
        <v>0</v>
      </c>
      <c r="AP230" s="17"/>
      <c r="AQ230" s="16"/>
      <c r="AR230" s="17">
        <f t="shared" si="72"/>
        <v>0</v>
      </c>
      <c r="AS230" s="17"/>
      <c r="AT230" s="17">
        <v>-717.92980000000011</v>
      </c>
      <c r="AU230" s="17">
        <f t="shared" si="81"/>
        <v>-717.92980000000011</v>
      </c>
      <c r="AV230" s="17">
        <f t="shared" si="82"/>
        <v>0</v>
      </c>
      <c r="AW230" s="17" t="str">
        <f t="shared" si="84"/>
        <v>SFA</v>
      </c>
      <c r="AX230" s="22">
        <v>44699</v>
      </c>
      <c r="AY230" s="22"/>
      <c r="AZ230" s="1" t="s">
        <v>145</v>
      </c>
      <c r="BA230" s="22" t="str">
        <f t="shared" si="83"/>
        <v>FIRE</v>
      </c>
      <c r="BB230" s="22"/>
      <c r="BC230" s="22"/>
      <c r="BD230" s="22"/>
    </row>
    <row r="231" spans="1:56" ht="14.25" customHeight="1" x14ac:dyDescent="0.2">
      <c r="A231" s="1" t="s">
        <v>324</v>
      </c>
      <c r="B231" s="1" t="s">
        <v>57</v>
      </c>
      <c r="C231" s="13">
        <v>44628</v>
      </c>
      <c r="D231" s="13">
        <v>44656</v>
      </c>
      <c r="E231" s="13">
        <v>44637</v>
      </c>
      <c r="F231" s="13">
        <v>44637</v>
      </c>
      <c r="G231" s="14" t="str">
        <f t="shared" si="74"/>
        <v>000-230/AIB RDC/2022</v>
      </c>
      <c r="H231" s="1">
        <v>1</v>
      </c>
      <c r="I231" s="1" t="s">
        <v>310</v>
      </c>
      <c r="J231" s="1" t="s">
        <v>481</v>
      </c>
      <c r="K231" s="1" t="s">
        <v>400</v>
      </c>
      <c r="L231" s="16" t="s">
        <v>208</v>
      </c>
      <c r="M231" s="16" t="s">
        <v>62</v>
      </c>
      <c r="N231" s="16" t="s">
        <v>209</v>
      </c>
      <c r="O231" s="1" t="s">
        <v>70</v>
      </c>
      <c r="P231" s="1" t="s">
        <v>71</v>
      </c>
      <c r="Q231" s="16" t="s">
        <v>130</v>
      </c>
      <c r="R231" s="16" t="s">
        <v>130</v>
      </c>
      <c r="S231" s="17"/>
      <c r="T231" s="17">
        <v>-2490.6</v>
      </c>
      <c r="U231" s="17"/>
      <c r="V231" s="17"/>
      <c r="W231" s="17">
        <v>0</v>
      </c>
      <c r="X231" s="17">
        <v>-2147.0700000000002</v>
      </c>
      <c r="Y231" s="17">
        <v>-343.53</v>
      </c>
      <c r="Z231" s="18" t="e">
        <f t="shared" si="75"/>
        <v>#DIV/0!</v>
      </c>
      <c r="AA231" s="19">
        <v>0.1</v>
      </c>
      <c r="AB231" s="17">
        <f t="shared" si="86"/>
        <v>-214.70700000000002</v>
      </c>
      <c r="AC231" s="17">
        <v>0</v>
      </c>
      <c r="AD231" s="17">
        <v>0</v>
      </c>
      <c r="AE231" s="17">
        <f t="shared" si="76"/>
        <v>-214.70700000000002</v>
      </c>
      <c r="AF231" s="17">
        <f t="shared" si="85"/>
        <v>-34.353120000000004</v>
      </c>
      <c r="AG231" s="17">
        <f t="shared" si="77"/>
        <v>-249.06012000000004</v>
      </c>
      <c r="AH231" s="17">
        <f t="shared" si="87"/>
        <v>-4.2941400000000005</v>
      </c>
      <c r="AI231" s="17">
        <v>0</v>
      </c>
      <c r="AJ231" s="17">
        <f t="shared" si="78"/>
        <v>-4.2941400000000005</v>
      </c>
      <c r="AK231" s="20"/>
      <c r="AL231" s="17">
        <f t="shared" si="79"/>
        <v>-210.41286000000002</v>
      </c>
      <c r="AM231" s="17"/>
      <c r="AN231" s="21"/>
      <c r="AO231" s="17">
        <f t="shared" si="80"/>
        <v>0</v>
      </c>
      <c r="AP231" s="17"/>
      <c r="AQ231" s="16"/>
      <c r="AR231" s="17">
        <f t="shared" si="72"/>
        <v>0</v>
      </c>
      <c r="AS231" s="17"/>
      <c r="AT231" s="17">
        <v>-249.06012000000004</v>
      </c>
      <c r="AU231" s="17">
        <f t="shared" si="81"/>
        <v>-249.06012000000004</v>
      </c>
      <c r="AV231" s="17">
        <f t="shared" si="82"/>
        <v>0</v>
      </c>
      <c r="AW231" s="17" t="str">
        <f t="shared" si="84"/>
        <v>SFA</v>
      </c>
      <c r="AX231" s="22">
        <v>44699</v>
      </c>
      <c r="AY231" s="22"/>
      <c r="AZ231" s="1" t="s">
        <v>145</v>
      </c>
      <c r="BA231" s="22" t="str">
        <f t="shared" si="83"/>
        <v>FIRE</v>
      </c>
      <c r="BB231" s="22"/>
      <c r="BC231" s="22"/>
      <c r="BD231" s="22"/>
    </row>
    <row r="232" spans="1:56" ht="14.25" customHeight="1" x14ac:dyDescent="0.2">
      <c r="A232" s="1" t="s">
        <v>324</v>
      </c>
      <c r="B232" s="1" t="s">
        <v>57</v>
      </c>
      <c r="C232" s="13">
        <v>44628</v>
      </c>
      <c r="D232" s="13">
        <v>44663</v>
      </c>
      <c r="E232" s="13">
        <v>44637</v>
      </c>
      <c r="F232" s="13">
        <v>44637</v>
      </c>
      <c r="G232" s="14" t="str">
        <f t="shared" si="74"/>
        <v>000-231/AIB RDC/2022</v>
      </c>
      <c r="H232" s="1">
        <v>1</v>
      </c>
      <c r="I232" s="1" t="s">
        <v>310</v>
      </c>
      <c r="J232" s="1" t="s">
        <v>482</v>
      </c>
      <c r="K232" s="1" t="s">
        <v>419</v>
      </c>
      <c r="L232" s="1" t="s">
        <v>420</v>
      </c>
      <c r="M232" s="16" t="s">
        <v>62</v>
      </c>
      <c r="N232" s="16" t="s">
        <v>209</v>
      </c>
      <c r="O232" s="1" t="s">
        <v>70</v>
      </c>
      <c r="P232" s="1" t="s">
        <v>71</v>
      </c>
      <c r="Q232" s="16" t="s">
        <v>130</v>
      </c>
      <c r="R232" s="16" t="s">
        <v>130</v>
      </c>
      <c r="S232" s="17"/>
      <c r="T232" s="17">
        <v>-1545.08</v>
      </c>
      <c r="U232" s="17"/>
      <c r="V232" s="17"/>
      <c r="W232" s="17">
        <v>0</v>
      </c>
      <c r="X232" s="17">
        <v>-1331.96</v>
      </c>
      <c r="Y232" s="17">
        <v>-213.11</v>
      </c>
      <c r="Z232" s="18" t="e">
        <f t="shared" si="75"/>
        <v>#DIV/0!</v>
      </c>
      <c r="AA232" s="19">
        <v>0.1</v>
      </c>
      <c r="AB232" s="17">
        <f t="shared" si="86"/>
        <v>-133.196</v>
      </c>
      <c r="AC232" s="17"/>
      <c r="AD232" s="17"/>
      <c r="AE232" s="17">
        <f t="shared" si="76"/>
        <v>-133.196</v>
      </c>
      <c r="AF232" s="17">
        <f t="shared" si="85"/>
        <v>-21.311360000000001</v>
      </c>
      <c r="AG232" s="17">
        <f t="shared" si="77"/>
        <v>-154.50736000000001</v>
      </c>
      <c r="AH232" s="17">
        <f t="shared" si="87"/>
        <v>-2.6639200000000001</v>
      </c>
      <c r="AI232" s="17">
        <v>0</v>
      </c>
      <c r="AJ232" s="17">
        <f t="shared" si="78"/>
        <v>-2.6639200000000001</v>
      </c>
      <c r="AK232" s="20"/>
      <c r="AL232" s="17">
        <f t="shared" si="79"/>
        <v>-130.53208000000001</v>
      </c>
      <c r="AM232" s="17"/>
      <c r="AN232" s="21"/>
      <c r="AO232" s="17">
        <f t="shared" si="80"/>
        <v>0</v>
      </c>
      <c r="AP232" s="17"/>
      <c r="AQ232" s="16"/>
      <c r="AR232" s="17">
        <f t="shared" si="72"/>
        <v>0</v>
      </c>
      <c r="AS232" s="17"/>
      <c r="AT232" s="17">
        <v>-154.50736000000001</v>
      </c>
      <c r="AU232" s="17">
        <f t="shared" si="81"/>
        <v>-154.50736000000001</v>
      </c>
      <c r="AV232" s="17">
        <f t="shared" si="82"/>
        <v>0</v>
      </c>
      <c r="AW232" s="17" t="str">
        <f t="shared" si="84"/>
        <v>SFA</v>
      </c>
      <c r="AX232" s="22">
        <v>44699</v>
      </c>
      <c r="AY232" s="22"/>
      <c r="AZ232" s="1" t="s">
        <v>145</v>
      </c>
      <c r="BA232" s="22" t="str">
        <f t="shared" si="83"/>
        <v>FIRE</v>
      </c>
      <c r="BB232" s="22"/>
      <c r="BC232" s="22"/>
      <c r="BD232" s="22"/>
    </row>
    <row r="233" spans="1:56" ht="14.25" customHeight="1" x14ac:dyDescent="0.2">
      <c r="A233" s="1" t="s">
        <v>324</v>
      </c>
      <c r="B233" s="1" t="s">
        <v>57</v>
      </c>
      <c r="C233" s="13">
        <v>44628</v>
      </c>
      <c r="D233" s="13">
        <v>44663</v>
      </c>
      <c r="E233" s="13">
        <v>44637</v>
      </c>
      <c r="F233" s="13">
        <v>44637</v>
      </c>
      <c r="G233" s="14" t="str">
        <f t="shared" si="74"/>
        <v>000-232/AIB RDC/2022</v>
      </c>
      <c r="H233" s="1">
        <v>6</v>
      </c>
      <c r="I233" s="1" t="s">
        <v>310</v>
      </c>
      <c r="J233" s="1" t="s">
        <v>206</v>
      </c>
      <c r="K233" s="1" t="s">
        <v>207</v>
      </c>
      <c r="L233" s="1" t="s">
        <v>208</v>
      </c>
      <c r="M233" s="16" t="s">
        <v>62</v>
      </c>
      <c r="N233" s="16" t="s">
        <v>209</v>
      </c>
      <c r="O233" s="1" t="s">
        <v>73</v>
      </c>
      <c r="P233" s="1" t="s">
        <v>73</v>
      </c>
      <c r="Q233" s="16" t="s">
        <v>130</v>
      </c>
      <c r="R233" s="16" t="s">
        <v>130</v>
      </c>
      <c r="S233" s="17"/>
      <c r="T233" s="17">
        <v>-1612.86</v>
      </c>
      <c r="U233" s="17"/>
      <c r="V233" s="17"/>
      <c r="W233" s="17">
        <v>0</v>
      </c>
      <c r="X233" s="17">
        <v>-1390.4</v>
      </c>
      <c r="Y233" s="17">
        <v>-222.46</v>
      </c>
      <c r="Z233" s="18" t="e">
        <f t="shared" si="75"/>
        <v>#DIV/0!</v>
      </c>
      <c r="AA233" s="19">
        <v>0.1</v>
      </c>
      <c r="AB233" s="17">
        <f t="shared" si="86"/>
        <v>-139.04000000000002</v>
      </c>
      <c r="AC233" s="17"/>
      <c r="AD233" s="17"/>
      <c r="AE233" s="17">
        <f t="shared" si="76"/>
        <v>-139.04000000000002</v>
      </c>
      <c r="AF233" s="17">
        <f t="shared" si="85"/>
        <v>-22.246400000000005</v>
      </c>
      <c r="AG233" s="17">
        <f t="shared" si="77"/>
        <v>-161.28640000000001</v>
      </c>
      <c r="AH233" s="17">
        <f t="shared" si="87"/>
        <v>-2.7808000000000006</v>
      </c>
      <c r="AI233" s="17">
        <v>0</v>
      </c>
      <c r="AJ233" s="17">
        <f t="shared" si="78"/>
        <v>-2.7808000000000006</v>
      </c>
      <c r="AK233" s="20"/>
      <c r="AL233" s="17">
        <f t="shared" si="79"/>
        <v>-136.25920000000002</v>
      </c>
      <c r="AM233" s="17"/>
      <c r="AN233" s="21"/>
      <c r="AO233" s="17">
        <f t="shared" si="80"/>
        <v>0</v>
      </c>
      <c r="AP233" s="17"/>
      <c r="AQ233" s="16"/>
      <c r="AR233" s="17">
        <f t="shared" si="72"/>
        <v>0</v>
      </c>
      <c r="AS233" s="17"/>
      <c r="AT233" s="17">
        <v>-161.28640000000001</v>
      </c>
      <c r="AU233" s="17">
        <f t="shared" si="81"/>
        <v>-161.28640000000001</v>
      </c>
      <c r="AV233" s="17">
        <f t="shared" si="82"/>
        <v>0</v>
      </c>
      <c r="AW233" s="17" t="str">
        <f t="shared" si="84"/>
        <v>SFA</v>
      </c>
      <c r="AX233" s="22">
        <v>44699</v>
      </c>
      <c r="AY233" s="22"/>
      <c r="AZ233" s="1" t="s">
        <v>145</v>
      </c>
      <c r="BA233" s="22" t="str">
        <f t="shared" si="83"/>
        <v>MOTOR TPL</v>
      </c>
      <c r="BB233" s="22"/>
      <c r="BC233" s="1" t="s">
        <v>79</v>
      </c>
      <c r="BD233" s="1"/>
    </row>
    <row r="234" spans="1:56" ht="14.25" customHeight="1" x14ac:dyDescent="0.2">
      <c r="A234" s="1" t="s">
        <v>324</v>
      </c>
      <c r="B234" s="1" t="s">
        <v>57</v>
      </c>
      <c r="C234" s="13">
        <v>44628</v>
      </c>
      <c r="D234" s="13">
        <v>44663</v>
      </c>
      <c r="E234" s="13">
        <v>44637</v>
      </c>
      <c r="F234" s="13">
        <v>44637</v>
      </c>
      <c r="G234" s="14" t="str">
        <f t="shared" si="74"/>
        <v>000-233/AIB RDC/2022</v>
      </c>
      <c r="H234" s="1">
        <v>1</v>
      </c>
      <c r="I234" s="1" t="s">
        <v>310</v>
      </c>
      <c r="J234" s="1" t="s">
        <v>483</v>
      </c>
      <c r="K234" s="1" t="s">
        <v>400</v>
      </c>
      <c r="L234" s="1" t="s">
        <v>208</v>
      </c>
      <c r="M234" s="16" t="s">
        <v>62</v>
      </c>
      <c r="N234" s="16" t="s">
        <v>209</v>
      </c>
      <c r="O234" s="1" t="s">
        <v>73</v>
      </c>
      <c r="P234" s="1" t="s">
        <v>73</v>
      </c>
      <c r="Q234" s="16" t="s">
        <v>130</v>
      </c>
      <c r="R234" s="16" t="s">
        <v>130</v>
      </c>
      <c r="S234" s="17"/>
      <c r="T234" s="17">
        <v>-709.81</v>
      </c>
      <c r="U234" s="17"/>
      <c r="V234" s="17"/>
      <c r="W234" s="17">
        <v>0</v>
      </c>
      <c r="X234" s="17">
        <v>-611.91</v>
      </c>
      <c r="Y234" s="17">
        <v>-97.91</v>
      </c>
      <c r="Z234" s="18" t="e">
        <f t="shared" si="75"/>
        <v>#DIV/0!</v>
      </c>
      <c r="AA234" s="19">
        <v>0.1</v>
      </c>
      <c r="AB234" s="17">
        <f t="shared" si="86"/>
        <v>-61.191000000000003</v>
      </c>
      <c r="AC234" s="17">
        <v>0</v>
      </c>
      <c r="AD234" s="17">
        <v>0</v>
      </c>
      <c r="AE234" s="17">
        <f t="shared" si="76"/>
        <v>-61.191000000000003</v>
      </c>
      <c r="AF234" s="17">
        <f t="shared" si="85"/>
        <v>-9.790560000000001</v>
      </c>
      <c r="AG234" s="17">
        <f t="shared" si="77"/>
        <v>-70.981560000000002</v>
      </c>
      <c r="AH234" s="17">
        <f t="shared" si="87"/>
        <v>-1.2238200000000001</v>
      </c>
      <c r="AI234" s="17"/>
      <c r="AJ234" s="17">
        <f t="shared" si="78"/>
        <v>-1.2238200000000001</v>
      </c>
      <c r="AK234" s="20"/>
      <c r="AL234" s="17">
        <f t="shared" si="79"/>
        <v>-59.967179999999999</v>
      </c>
      <c r="AM234" s="17"/>
      <c r="AN234" s="21"/>
      <c r="AO234" s="17">
        <f t="shared" si="80"/>
        <v>0</v>
      </c>
      <c r="AP234" s="17"/>
      <c r="AQ234" s="16"/>
      <c r="AR234" s="17">
        <f t="shared" si="72"/>
        <v>0</v>
      </c>
      <c r="AS234" s="17"/>
      <c r="AT234" s="17">
        <v>-70.981560000000002</v>
      </c>
      <c r="AU234" s="17">
        <f t="shared" si="81"/>
        <v>-70.981560000000002</v>
      </c>
      <c r="AV234" s="17">
        <f t="shared" si="82"/>
        <v>0</v>
      </c>
      <c r="AW234" s="17" t="str">
        <f t="shared" si="84"/>
        <v>SFA</v>
      </c>
      <c r="AX234" s="22">
        <v>44699</v>
      </c>
      <c r="AY234" s="22"/>
      <c r="AZ234" s="1" t="s">
        <v>145</v>
      </c>
      <c r="BA234" s="22" t="str">
        <f t="shared" si="83"/>
        <v>MOTOR TPL</v>
      </c>
      <c r="BB234" s="22"/>
      <c r="BC234" s="22"/>
      <c r="BD234" s="22"/>
    </row>
    <row r="235" spans="1:56" ht="14.25" customHeight="1" x14ac:dyDescent="0.2">
      <c r="A235" s="1" t="s">
        <v>324</v>
      </c>
      <c r="B235" s="1" t="s">
        <v>57</v>
      </c>
      <c r="C235" s="13">
        <v>44628</v>
      </c>
      <c r="D235" s="13">
        <v>44664</v>
      </c>
      <c r="E235" s="13">
        <v>44637</v>
      </c>
      <c r="F235" s="13">
        <v>44637</v>
      </c>
      <c r="G235" s="14" t="str">
        <f t="shared" si="74"/>
        <v>000-234/AIB RDC/2022</v>
      </c>
      <c r="H235" s="1">
        <v>1</v>
      </c>
      <c r="I235" s="1" t="s">
        <v>310</v>
      </c>
      <c r="J235" s="1" t="s">
        <v>484</v>
      </c>
      <c r="K235" s="1" t="s">
        <v>207</v>
      </c>
      <c r="L235" s="1" t="s">
        <v>208</v>
      </c>
      <c r="M235" s="16" t="s">
        <v>62</v>
      </c>
      <c r="N235" s="16" t="s">
        <v>209</v>
      </c>
      <c r="O235" s="1" t="s">
        <v>233</v>
      </c>
      <c r="P235" s="1" t="s">
        <v>234</v>
      </c>
      <c r="Q235" s="16" t="s">
        <v>130</v>
      </c>
      <c r="R235" s="16" t="s">
        <v>130</v>
      </c>
      <c r="S235" s="17"/>
      <c r="T235" s="17">
        <v>-942.21</v>
      </c>
      <c r="U235" s="17"/>
      <c r="V235" s="17"/>
      <c r="W235" s="17">
        <v>0</v>
      </c>
      <c r="X235" s="17">
        <v>-690.41</v>
      </c>
      <c r="Y235" s="17">
        <v>-129.96</v>
      </c>
      <c r="Z235" s="18" t="e">
        <f t="shared" si="75"/>
        <v>#DIV/0!</v>
      </c>
      <c r="AA235" s="19">
        <v>0.15</v>
      </c>
      <c r="AB235" s="17">
        <f t="shared" si="86"/>
        <v>-103.5615</v>
      </c>
      <c r="AC235" s="17"/>
      <c r="AD235" s="17"/>
      <c r="AE235" s="17">
        <f t="shared" si="76"/>
        <v>-103.5615</v>
      </c>
      <c r="AF235" s="17">
        <f t="shared" si="85"/>
        <v>-16.569839999999999</v>
      </c>
      <c r="AG235" s="17">
        <f t="shared" si="77"/>
        <v>-120.13133999999999</v>
      </c>
      <c r="AH235" s="17">
        <f t="shared" si="87"/>
        <v>-2.0712299999999999</v>
      </c>
      <c r="AI235" s="17"/>
      <c r="AJ235" s="17">
        <f t="shared" si="78"/>
        <v>-2.0712299999999999</v>
      </c>
      <c r="AK235" s="20"/>
      <c r="AL235" s="17">
        <f t="shared" si="79"/>
        <v>-101.49027</v>
      </c>
      <c r="AM235" s="17"/>
      <c r="AN235" s="21"/>
      <c r="AO235" s="17">
        <f t="shared" si="80"/>
        <v>0</v>
      </c>
      <c r="AP235" s="17"/>
      <c r="AQ235" s="16"/>
      <c r="AR235" s="17">
        <f t="shared" si="72"/>
        <v>0</v>
      </c>
      <c r="AS235" s="17"/>
      <c r="AT235" s="17">
        <v>-120.13133999999999</v>
      </c>
      <c r="AU235" s="17">
        <f t="shared" si="81"/>
        <v>-120.13133999999999</v>
      </c>
      <c r="AV235" s="17">
        <f t="shared" si="82"/>
        <v>0</v>
      </c>
      <c r="AW235" s="17" t="str">
        <f t="shared" si="84"/>
        <v>SFA</v>
      </c>
      <c r="AX235" s="22">
        <v>44699</v>
      </c>
      <c r="AY235" s="22"/>
      <c r="AZ235" s="1" t="s">
        <v>145</v>
      </c>
      <c r="BA235" s="22" t="str">
        <f t="shared" si="83"/>
        <v>PVT</v>
      </c>
      <c r="BB235" s="22"/>
      <c r="BC235" s="22"/>
      <c r="BD235" s="22"/>
    </row>
    <row r="236" spans="1:56" ht="14.25" customHeight="1" x14ac:dyDescent="0.2">
      <c r="A236" s="1" t="s">
        <v>324</v>
      </c>
      <c r="B236" s="1" t="s">
        <v>57</v>
      </c>
      <c r="C236" s="13">
        <v>44643</v>
      </c>
      <c r="D236" s="13">
        <v>44622</v>
      </c>
      <c r="E236" s="13">
        <v>44624</v>
      </c>
      <c r="F236" s="13">
        <v>44654</v>
      </c>
      <c r="G236" s="14" t="str">
        <f t="shared" si="74"/>
        <v>000-235/AIB RDC/2022</v>
      </c>
      <c r="H236" s="1">
        <v>0</v>
      </c>
      <c r="I236" s="1" t="s">
        <v>74</v>
      </c>
      <c r="J236" s="1" t="s">
        <v>485</v>
      </c>
      <c r="K236" s="1" t="s">
        <v>181</v>
      </c>
      <c r="L236" s="16"/>
      <c r="M236" s="1" t="s">
        <v>105</v>
      </c>
      <c r="N236" s="1" t="s">
        <v>106</v>
      </c>
      <c r="O236" s="1" t="s">
        <v>64</v>
      </c>
      <c r="P236" s="1" t="s">
        <v>65</v>
      </c>
      <c r="Q236" s="1" t="s">
        <v>107</v>
      </c>
      <c r="R236" s="1" t="s">
        <v>107</v>
      </c>
      <c r="S236" s="17">
        <v>5383</v>
      </c>
      <c r="T236" s="17">
        <v>129.80000000000001</v>
      </c>
      <c r="U236" s="17">
        <v>0</v>
      </c>
      <c r="V236" s="17">
        <v>0</v>
      </c>
      <c r="W236" s="17">
        <v>10</v>
      </c>
      <c r="X236" s="17">
        <v>100</v>
      </c>
      <c r="Y236" s="17">
        <v>17.600000000000001</v>
      </c>
      <c r="Z236" s="18">
        <f t="shared" si="75"/>
        <v>2.4112948170165339E-2</v>
      </c>
      <c r="AA236" s="19">
        <v>0.15</v>
      </c>
      <c r="AB236" s="17">
        <f t="shared" si="86"/>
        <v>15</v>
      </c>
      <c r="AC236" s="17"/>
      <c r="AD236" s="17"/>
      <c r="AE236" s="17">
        <f t="shared" si="76"/>
        <v>15</v>
      </c>
      <c r="AF236" s="17">
        <f t="shared" si="85"/>
        <v>2.4</v>
      </c>
      <c r="AG236" s="17">
        <f t="shared" si="77"/>
        <v>17.399999999999999</v>
      </c>
      <c r="AH236" s="17">
        <f t="shared" si="87"/>
        <v>0.3</v>
      </c>
      <c r="AI236" s="17"/>
      <c r="AJ236" s="17">
        <f t="shared" si="78"/>
        <v>0.3</v>
      </c>
      <c r="AK236" s="20"/>
      <c r="AL236" s="17">
        <f t="shared" si="79"/>
        <v>14.7</v>
      </c>
      <c r="AM236" s="17" t="s">
        <v>108</v>
      </c>
      <c r="AN236" s="21">
        <v>0.4</v>
      </c>
      <c r="AO236" s="17">
        <f t="shared" si="80"/>
        <v>5.88</v>
      </c>
      <c r="AP236" s="17">
        <v>5.88</v>
      </c>
      <c r="AQ236" s="16">
        <v>44834</v>
      </c>
      <c r="AR236" s="17">
        <f t="shared" si="72"/>
        <v>0</v>
      </c>
      <c r="AS236" s="17" t="s">
        <v>109</v>
      </c>
      <c r="AT236" s="17">
        <v>17.399999999999999</v>
      </c>
      <c r="AU236" s="17">
        <f t="shared" si="81"/>
        <v>17.399999999999999</v>
      </c>
      <c r="AV236" s="17">
        <f t="shared" si="82"/>
        <v>0</v>
      </c>
      <c r="AW236" s="17" t="str">
        <f t="shared" si="84"/>
        <v>RAWSUR</v>
      </c>
      <c r="AX236" s="22">
        <v>44701</v>
      </c>
      <c r="AY236" s="22"/>
      <c r="AZ236" s="1" t="s">
        <v>110</v>
      </c>
      <c r="BA236" s="22" t="str">
        <f t="shared" si="83"/>
        <v>MARINE CARGO / GIT</v>
      </c>
      <c r="BB236" s="22"/>
      <c r="BC236" s="22"/>
      <c r="BD236" s="22"/>
    </row>
    <row r="237" spans="1:56" ht="14.25" customHeight="1" x14ac:dyDescent="0.2">
      <c r="A237" s="1" t="s">
        <v>324</v>
      </c>
      <c r="B237" s="1" t="s">
        <v>57</v>
      </c>
      <c r="C237" s="13">
        <v>44643</v>
      </c>
      <c r="D237" s="13">
        <v>44645</v>
      </c>
      <c r="E237" s="13">
        <v>44648</v>
      </c>
      <c r="F237" s="13">
        <v>44678</v>
      </c>
      <c r="G237" s="14" t="str">
        <f t="shared" si="74"/>
        <v>000-236/AIB RDC/2022</v>
      </c>
      <c r="H237" s="1">
        <v>0</v>
      </c>
      <c r="I237" s="1" t="s">
        <v>74</v>
      </c>
      <c r="J237" s="1" t="s">
        <v>486</v>
      </c>
      <c r="K237" s="1" t="s">
        <v>181</v>
      </c>
      <c r="L237" s="16"/>
      <c r="M237" s="1" t="s">
        <v>105</v>
      </c>
      <c r="N237" s="1" t="s">
        <v>106</v>
      </c>
      <c r="O237" s="1" t="s">
        <v>64</v>
      </c>
      <c r="P237" s="1" t="s">
        <v>65</v>
      </c>
      <c r="Q237" s="1" t="s">
        <v>107</v>
      </c>
      <c r="R237" s="1" t="s">
        <v>107</v>
      </c>
      <c r="S237" s="17">
        <v>13441</v>
      </c>
      <c r="T237" s="17">
        <v>129.80000000000001</v>
      </c>
      <c r="U237" s="17">
        <v>0</v>
      </c>
      <c r="V237" s="17">
        <v>0</v>
      </c>
      <c r="W237" s="17">
        <v>10</v>
      </c>
      <c r="X237" s="17">
        <v>100</v>
      </c>
      <c r="Y237" s="17">
        <v>17.600000000000001</v>
      </c>
      <c r="Z237" s="18">
        <f t="shared" si="75"/>
        <v>9.6570195669965046E-3</v>
      </c>
      <c r="AA237" s="19">
        <v>0.15</v>
      </c>
      <c r="AB237" s="17">
        <f t="shared" si="86"/>
        <v>15</v>
      </c>
      <c r="AC237" s="17"/>
      <c r="AD237" s="17"/>
      <c r="AE237" s="17">
        <f t="shared" si="76"/>
        <v>15</v>
      </c>
      <c r="AF237" s="17">
        <f t="shared" si="85"/>
        <v>2.4</v>
      </c>
      <c r="AG237" s="17">
        <f t="shared" si="77"/>
        <v>17.399999999999999</v>
      </c>
      <c r="AH237" s="17">
        <f t="shared" si="87"/>
        <v>0.3</v>
      </c>
      <c r="AI237" s="17"/>
      <c r="AJ237" s="17">
        <f t="shared" si="78"/>
        <v>0.3</v>
      </c>
      <c r="AK237" s="20"/>
      <c r="AL237" s="17">
        <f t="shared" si="79"/>
        <v>14.7</v>
      </c>
      <c r="AM237" s="17" t="s">
        <v>108</v>
      </c>
      <c r="AN237" s="21">
        <v>0.4</v>
      </c>
      <c r="AO237" s="17">
        <f t="shared" si="80"/>
        <v>5.88</v>
      </c>
      <c r="AP237" s="30">
        <v>5.88</v>
      </c>
      <c r="AQ237" s="29">
        <v>45229</v>
      </c>
      <c r="AR237" s="17">
        <f t="shared" si="72"/>
        <v>0</v>
      </c>
      <c r="AS237" s="17"/>
      <c r="AT237" s="17">
        <v>17.399999999999999</v>
      </c>
      <c r="AU237" s="17">
        <f t="shared" si="81"/>
        <v>17.399999999999999</v>
      </c>
      <c r="AV237" s="17">
        <f t="shared" si="82"/>
        <v>0</v>
      </c>
      <c r="AW237" s="17" t="str">
        <f t="shared" si="84"/>
        <v>RAWSUR</v>
      </c>
      <c r="AX237" s="22">
        <v>44994</v>
      </c>
      <c r="AY237" s="22"/>
      <c r="AZ237" s="1" t="s">
        <v>110</v>
      </c>
      <c r="BA237" s="22" t="str">
        <f t="shared" si="83"/>
        <v>MARINE CARGO / GIT</v>
      </c>
      <c r="BB237" s="22"/>
      <c r="BC237" s="22"/>
      <c r="BD237" s="1" t="s">
        <v>275</v>
      </c>
    </row>
    <row r="238" spans="1:56" ht="14.25" customHeight="1" x14ac:dyDescent="0.2">
      <c r="A238" s="1" t="s">
        <v>324</v>
      </c>
      <c r="B238" s="1" t="s">
        <v>57</v>
      </c>
      <c r="C238" s="13">
        <v>44638</v>
      </c>
      <c r="D238" s="13">
        <v>44655</v>
      </c>
      <c r="E238" s="13">
        <v>44627</v>
      </c>
      <c r="F238" s="13">
        <v>44902</v>
      </c>
      <c r="G238" s="14" t="str">
        <f t="shared" si="74"/>
        <v>000-237/AIB RDC/2022</v>
      </c>
      <c r="H238" s="1">
        <v>3</v>
      </c>
      <c r="I238" s="1" t="s">
        <v>91</v>
      </c>
      <c r="J238" s="1" t="s">
        <v>370</v>
      </c>
      <c r="K238" s="1" t="s">
        <v>371</v>
      </c>
      <c r="L238" s="16"/>
      <c r="M238" s="1" t="s">
        <v>95</v>
      </c>
      <c r="N238" s="1" t="s">
        <v>102</v>
      </c>
      <c r="O238" s="1" t="s">
        <v>192</v>
      </c>
      <c r="P238" s="1" t="s">
        <v>98</v>
      </c>
      <c r="Q238" s="1" t="s">
        <v>66</v>
      </c>
      <c r="R238" s="1" t="s">
        <v>66</v>
      </c>
      <c r="S238" s="17">
        <v>0</v>
      </c>
      <c r="T238" s="17">
        <v>182.32</v>
      </c>
      <c r="U238" s="17">
        <v>0</v>
      </c>
      <c r="V238" s="17">
        <v>0</v>
      </c>
      <c r="W238" s="17">
        <v>10</v>
      </c>
      <c r="X238" s="17">
        <v>147.18</v>
      </c>
      <c r="Y238" s="17">
        <v>25.14</v>
      </c>
      <c r="Z238" s="18" t="e">
        <f t="shared" si="75"/>
        <v>#DIV/0!</v>
      </c>
      <c r="AA238" s="19">
        <v>0.1</v>
      </c>
      <c r="AB238" s="17">
        <f t="shared" si="86"/>
        <v>14.718000000000002</v>
      </c>
      <c r="AC238" s="17">
        <v>0</v>
      </c>
      <c r="AD238" s="17">
        <v>0</v>
      </c>
      <c r="AE238" s="17">
        <f t="shared" si="76"/>
        <v>14.718000000000002</v>
      </c>
      <c r="AF238" s="17">
        <f t="shared" si="85"/>
        <v>2.3548800000000005</v>
      </c>
      <c r="AG238" s="17">
        <f t="shared" si="77"/>
        <v>17.072880000000001</v>
      </c>
      <c r="AH238" s="17">
        <f t="shared" si="87"/>
        <v>0.29436000000000007</v>
      </c>
      <c r="AI238" s="17">
        <v>0</v>
      </c>
      <c r="AJ238" s="17">
        <f t="shared" si="78"/>
        <v>0.29436000000000007</v>
      </c>
      <c r="AK238" s="20"/>
      <c r="AL238" s="17">
        <f t="shared" si="79"/>
        <v>14.423640000000002</v>
      </c>
      <c r="AM238" s="17" t="s">
        <v>87</v>
      </c>
      <c r="AN238" s="21">
        <v>0.35</v>
      </c>
      <c r="AO238" s="17">
        <f t="shared" si="80"/>
        <v>5.0482740000000002</v>
      </c>
      <c r="AP238" s="17"/>
      <c r="AQ238" s="16"/>
      <c r="AR238" s="17">
        <f t="shared" si="72"/>
        <v>5.0482740000000002</v>
      </c>
      <c r="AS238" s="17"/>
      <c r="AT238" s="17">
        <v>17.072880000000001</v>
      </c>
      <c r="AU238" s="17">
        <f t="shared" si="81"/>
        <v>17.072880000000001</v>
      </c>
      <c r="AV238" s="17">
        <f t="shared" si="82"/>
        <v>0</v>
      </c>
      <c r="AW238" s="17" t="str">
        <f t="shared" si="84"/>
        <v>ACTIVA</v>
      </c>
      <c r="AX238" s="22">
        <v>44701</v>
      </c>
      <c r="AY238" s="22"/>
      <c r="AZ238" s="1" t="s">
        <v>68</v>
      </c>
      <c r="BA238" s="22" t="str">
        <f t="shared" si="83"/>
        <v>GPA</v>
      </c>
      <c r="BB238" s="22"/>
      <c r="BC238" s="22"/>
      <c r="BD238" s="22"/>
    </row>
    <row r="239" spans="1:56" ht="14.25" customHeight="1" x14ac:dyDescent="0.2">
      <c r="A239" s="12" t="s">
        <v>369</v>
      </c>
      <c r="B239" s="1" t="s">
        <v>57</v>
      </c>
      <c r="C239" s="13">
        <v>44652</v>
      </c>
      <c r="D239" s="13">
        <v>44652</v>
      </c>
      <c r="E239" s="13">
        <v>44652</v>
      </c>
      <c r="F239" s="13">
        <v>45016</v>
      </c>
      <c r="G239" s="14" t="str">
        <f t="shared" si="74"/>
        <v>000-238/AIB RDC/2022</v>
      </c>
      <c r="H239" s="1">
        <v>0</v>
      </c>
      <c r="I239" s="1" t="s">
        <v>74</v>
      </c>
      <c r="J239" s="15" t="s">
        <v>487</v>
      </c>
      <c r="K239" s="16" t="s">
        <v>488</v>
      </c>
      <c r="L239" s="16" t="s">
        <v>137</v>
      </c>
      <c r="M239" s="16" t="s">
        <v>84</v>
      </c>
      <c r="N239" s="16" t="s">
        <v>84</v>
      </c>
      <c r="O239" s="16" t="s">
        <v>152</v>
      </c>
      <c r="P239" s="16" t="s">
        <v>153</v>
      </c>
      <c r="Q239" s="16" t="s">
        <v>79</v>
      </c>
      <c r="R239" s="16" t="s">
        <v>79</v>
      </c>
      <c r="S239" s="17">
        <v>812603.42</v>
      </c>
      <c r="T239" s="17">
        <v>32001.93</v>
      </c>
      <c r="U239" s="17">
        <v>0</v>
      </c>
      <c r="V239" s="17"/>
      <c r="W239" s="17">
        <v>160</v>
      </c>
      <c r="X239" s="17">
        <v>26960.28</v>
      </c>
      <c r="Y239" s="17">
        <v>4339.24</v>
      </c>
      <c r="Z239" s="18">
        <f t="shared" si="75"/>
        <v>3.9381977988721728E-2</v>
      </c>
      <c r="AA239" s="19">
        <v>0.15</v>
      </c>
      <c r="AB239" s="17">
        <f t="shared" si="86"/>
        <v>4044.0419999999995</v>
      </c>
      <c r="AC239" s="17">
        <v>0</v>
      </c>
      <c r="AD239" s="17">
        <v>0</v>
      </c>
      <c r="AE239" s="17">
        <f t="shared" si="76"/>
        <v>4044.0419999999995</v>
      </c>
      <c r="AF239" s="17">
        <f t="shared" si="85"/>
        <v>647.04671999999994</v>
      </c>
      <c r="AG239" s="17">
        <f t="shared" si="77"/>
        <v>4691.0887199999997</v>
      </c>
      <c r="AH239" s="17">
        <f t="shared" si="87"/>
        <v>80.880839999999992</v>
      </c>
      <c r="AI239" s="17">
        <v>0</v>
      </c>
      <c r="AJ239" s="17">
        <f t="shared" si="78"/>
        <v>80.880839999999992</v>
      </c>
      <c r="AK239" s="20"/>
      <c r="AL239" s="17">
        <f t="shared" si="79"/>
        <v>3963.1611599999997</v>
      </c>
      <c r="AM239" s="17"/>
      <c r="AN239" s="21"/>
      <c r="AO239" s="17">
        <f t="shared" si="80"/>
        <v>0</v>
      </c>
      <c r="AP239" s="17"/>
      <c r="AQ239" s="16"/>
      <c r="AR239" s="17">
        <f t="shared" si="72"/>
        <v>0</v>
      </c>
      <c r="AS239" s="17"/>
      <c r="AT239" s="17">
        <v>4691.0887199999997</v>
      </c>
      <c r="AU239" s="17">
        <f t="shared" si="81"/>
        <v>4691.0887199999997</v>
      </c>
      <c r="AV239" s="17">
        <f t="shared" si="82"/>
        <v>0</v>
      </c>
      <c r="AW239" s="17" t="str">
        <f t="shared" si="84"/>
        <v>MAYFAIR</v>
      </c>
      <c r="AX239" s="22">
        <v>44699</v>
      </c>
      <c r="AY239" s="22"/>
      <c r="AZ239" s="1" t="s">
        <v>68</v>
      </c>
      <c r="BA239" s="22" t="str">
        <f t="shared" si="83"/>
        <v>COMP MOTOR</v>
      </c>
      <c r="BB239" s="22"/>
      <c r="BC239" s="22"/>
      <c r="BD239" s="22"/>
    </row>
    <row r="240" spans="1:56" ht="14.25" customHeight="1" x14ac:dyDescent="0.2">
      <c r="A240" s="12" t="s">
        <v>369</v>
      </c>
      <c r="B240" s="1" t="s">
        <v>57</v>
      </c>
      <c r="C240" s="13">
        <v>44652</v>
      </c>
      <c r="D240" s="13">
        <v>44649</v>
      </c>
      <c r="E240" s="13">
        <v>44652</v>
      </c>
      <c r="F240" s="13">
        <v>45016</v>
      </c>
      <c r="G240" s="14" t="str">
        <f t="shared" si="74"/>
        <v>000-239/AIB RDC/2022</v>
      </c>
      <c r="H240" s="1">
        <v>0</v>
      </c>
      <c r="I240" s="1" t="s">
        <v>74</v>
      </c>
      <c r="J240" s="1" t="s">
        <v>489</v>
      </c>
      <c r="K240" s="16" t="s">
        <v>490</v>
      </c>
      <c r="L240" s="16" t="s">
        <v>123</v>
      </c>
      <c r="M240" s="16" t="s">
        <v>84</v>
      </c>
      <c r="N240" s="16" t="s">
        <v>84</v>
      </c>
      <c r="O240" s="16" t="s">
        <v>70</v>
      </c>
      <c r="P240" s="16" t="s">
        <v>71</v>
      </c>
      <c r="Q240" s="16" t="s">
        <v>86</v>
      </c>
      <c r="R240" s="16" t="s">
        <v>86</v>
      </c>
      <c r="S240" s="17">
        <v>12600000</v>
      </c>
      <c r="T240" s="17">
        <v>13604.62</v>
      </c>
      <c r="U240" s="17">
        <v>0</v>
      </c>
      <c r="V240" s="17"/>
      <c r="W240" s="17">
        <v>116.12</v>
      </c>
      <c r="X240" s="17">
        <v>11612</v>
      </c>
      <c r="Y240" s="17">
        <v>1876.5</v>
      </c>
      <c r="Z240" s="18">
        <f t="shared" si="75"/>
        <v>1.0797317460317462E-3</v>
      </c>
      <c r="AA240" s="19">
        <v>0.1</v>
      </c>
      <c r="AB240" s="17">
        <f t="shared" si="86"/>
        <v>1161.2</v>
      </c>
      <c r="AC240" s="17">
        <v>0</v>
      </c>
      <c r="AD240" s="17">
        <v>0</v>
      </c>
      <c r="AE240" s="17">
        <f t="shared" si="76"/>
        <v>1161.2</v>
      </c>
      <c r="AF240" s="17">
        <f t="shared" si="85"/>
        <v>185.792</v>
      </c>
      <c r="AG240" s="17">
        <f t="shared" si="77"/>
        <v>1346.992</v>
      </c>
      <c r="AH240" s="17">
        <f t="shared" si="87"/>
        <v>23.224</v>
      </c>
      <c r="AI240" s="17">
        <v>0</v>
      </c>
      <c r="AJ240" s="17">
        <f t="shared" si="78"/>
        <v>23.224</v>
      </c>
      <c r="AK240" s="20"/>
      <c r="AL240" s="17">
        <f t="shared" si="79"/>
        <v>1137.9760000000001</v>
      </c>
      <c r="AM240" s="17"/>
      <c r="AN240" s="21"/>
      <c r="AO240" s="17">
        <f t="shared" si="80"/>
        <v>0</v>
      </c>
      <c r="AP240" s="17"/>
      <c r="AQ240" s="16"/>
      <c r="AR240" s="17">
        <f t="shared" si="72"/>
        <v>0</v>
      </c>
      <c r="AS240" s="17"/>
      <c r="AT240" s="17">
        <v>1346.992</v>
      </c>
      <c r="AU240" s="17">
        <f t="shared" si="81"/>
        <v>1346.992</v>
      </c>
      <c r="AV240" s="17">
        <f t="shared" si="82"/>
        <v>0</v>
      </c>
      <c r="AW240" s="17" t="str">
        <f t="shared" si="84"/>
        <v>SUNU</v>
      </c>
      <c r="AX240" s="22">
        <v>44711</v>
      </c>
      <c r="AY240" s="22"/>
      <c r="AZ240" s="1" t="s">
        <v>68</v>
      </c>
      <c r="BA240" s="22" t="str">
        <f t="shared" si="83"/>
        <v>FIRE</v>
      </c>
      <c r="BB240" s="22"/>
      <c r="BC240" s="22"/>
      <c r="BD240" s="22"/>
    </row>
    <row r="241" spans="1:56" ht="14.25" customHeight="1" x14ac:dyDescent="0.2">
      <c r="A241" s="12" t="s">
        <v>369</v>
      </c>
      <c r="B241" s="1" t="s">
        <v>57</v>
      </c>
      <c r="C241" s="13">
        <v>44652</v>
      </c>
      <c r="D241" s="13">
        <v>44652</v>
      </c>
      <c r="E241" s="13">
        <v>44652</v>
      </c>
      <c r="F241" s="13">
        <v>45016</v>
      </c>
      <c r="G241" s="14" t="str">
        <f t="shared" si="74"/>
        <v>000-240/AIB RDC/2022</v>
      </c>
      <c r="H241" s="1">
        <v>0</v>
      </c>
      <c r="I241" s="1" t="s">
        <v>74</v>
      </c>
      <c r="J241" s="1" t="s">
        <v>491</v>
      </c>
      <c r="K241" s="1" t="s">
        <v>492</v>
      </c>
      <c r="L241" s="16" t="s">
        <v>123</v>
      </c>
      <c r="M241" s="16" t="s">
        <v>84</v>
      </c>
      <c r="N241" s="16" t="s">
        <v>84</v>
      </c>
      <c r="O241" s="16" t="s">
        <v>70</v>
      </c>
      <c r="P241" s="16" t="s">
        <v>71</v>
      </c>
      <c r="Q241" s="16" t="s">
        <v>66</v>
      </c>
      <c r="R241" s="16" t="s">
        <v>66</v>
      </c>
      <c r="S241" s="17"/>
      <c r="T241" s="17">
        <v>679.28</v>
      </c>
      <c r="U241" s="17">
        <v>0</v>
      </c>
      <c r="V241" s="17"/>
      <c r="W241" s="17">
        <v>10</v>
      </c>
      <c r="X241" s="17">
        <v>575.59</v>
      </c>
      <c r="Y241" s="17">
        <v>93.69</v>
      </c>
      <c r="Z241" s="18" t="e">
        <f t="shared" si="75"/>
        <v>#DIV/0!</v>
      </c>
      <c r="AA241" s="19">
        <v>0.1</v>
      </c>
      <c r="AB241" s="17">
        <f t="shared" si="86"/>
        <v>57.559000000000005</v>
      </c>
      <c r="AC241" s="17">
        <v>0</v>
      </c>
      <c r="AD241" s="17">
        <v>0</v>
      </c>
      <c r="AE241" s="17">
        <f t="shared" si="76"/>
        <v>57.559000000000005</v>
      </c>
      <c r="AF241" s="17">
        <f t="shared" si="85"/>
        <v>9.2094400000000007</v>
      </c>
      <c r="AG241" s="17">
        <f t="shared" si="77"/>
        <v>66.768439999999998</v>
      </c>
      <c r="AH241" s="17">
        <f t="shared" si="87"/>
        <v>1.1511800000000001</v>
      </c>
      <c r="AI241" s="17">
        <v>0</v>
      </c>
      <c r="AJ241" s="17">
        <f t="shared" si="78"/>
        <v>1.1511800000000001</v>
      </c>
      <c r="AK241" s="20"/>
      <c r="AL241" s="17">
        <f t="shared" si="79"/>
        <v>56.407820000000001</v>
      </c>
      <c r="AM241" s="17"/>
      <c r="AN241" s="21"/>
      <c r="AO241" s="17">
        <f t="shared" si="80"/>
        <v>0</v>
      </c>
      <c r="AP241" s="17"/>
      <c r="AQ241" s="16"/>
      <c r="AR241" s="17">
        <f t="shared" si="72"/>
        <v>0</v>
      </c>
      <c r="AS241" s="17"/>
      <c r="AT241" s="17">
        <v>66.768439999999998</v>
      </c>
      <c r="AU241" s="17">
        <f t="shared" si="81"/>
        <v>66.768439999999998</v>
      </c>
      <c r="AV241" s="17">
        <f t="shared" si="82"/>
        <v>0</v>
      </c>
      <c r="AW241" s="17" t="str">
        <f t="shared" si="84"/>
        <v>ACTIVA</v>
      </c>
      <c r="AX241" s="22">
        <v>44701</v>
      </c>
      <c r="AY241" s="22"/>
      <c r="AZ241" s="1" t="s">
        <v>68</v>
      </c>
      <c r="BA241" s="22" t="str">
        <f t="shared" si="83"/>
        <v>FIRE</v>
      </c>
      <c r="BB241" s="22"/>
      <c r="BC241" s="22"/>
      <c r="BD241" s="22"/>
    </row>
    <row r="242" spans="1:56" ht="14.25" customHeight="1" x14ac:dyDescent="0.2">
      <c r="A242" s="12" t="s">
        <v>369</v>
      </c>
      <c r="B242" s="1" t="s">
        <v>57</v>
      </c>
      <c r="C242" s="13">
        <v>44652</v>
      </c>
      <c r="D242" s="13">
        <v>44652</v>
      </c>
      <c r="E242" s="13">
        <v>44652</v>
      </c>
      <c r="F242" s="13">
        <v>45016</v>
      </c>
      <c r="G242" s="14" t="str">
        <f t="shared" si="74"/>
        <v>000-241/AIB RDC/2022</v>
      </c>
      <c r="H242" s="1">
        <v>0</v>
      </c>
      <c r="I242" s="1" t="s">
        <v>74</v>
      </c>
      <c r="J242" s="1" t="s">
        <v>493</v>
      </c>
      <c r="K242" s="1" t="s">
        <v>492</v>
      </c>
      <c r="L242" s="16" t="s">
        <v>123</v>
      </c>
      <c r="M242" s="16" t="s">
        <v>84</v>
      </c>
      <c r="N242" s="16" t="s">
        <v>84</v>
      </c>
      <c r="O242" s="16" t="s">
        <v>89</v>
      </c>
      <c r="P242" s="16" t="s">
        <v>90</v>
      </c>
      <c r="Q242" s="16" t="s">
        <v>66</v>
      </c>
      <c r="R242" s="16" t="s">
        <v>66</v>
      </c>
      <c r="S242" s="17"/>
      <c r="T242" s="17">
        <v>2719.28</v>
      </c>
      <c r="U242" s="17">
        <v>0</v>
      </c>
      <c r="V242" s="17"/>
      <c r="W242" s="17">
        <v>23.21</v>
      </c>
      <c r="X242" s="17">
        <v>2321</v>
      </c>
      <c r="Y242" s="17">
        <v>375.07</v>
      </c>
      <c r="Z242" s="18" t="e">
        <f t="shared" si="75"/>
        <v>#DIV/0!</v>
      </c>
      <c r="AA242" s="19">
        <v>0.15</v>
      </c>
      <c r="AB242" s="17">
        <f t="shared" si="86"/>
        <v>348.15</v>
      </c>
      <c r="AC242" s="17">
        <v>0</v>
      </c>
      <c r="AD242" s="17">
        <v>0</v>
      </c>
      <c r="AE242" s="17">
        <f t="shared" si="76"/>
        <v>348.15</v>
      </c>
      <c r="AF242" s="17">
        <f t="shared" si="85"/>
        <v>55.704000000000001</v>
      </c>
      <c r="AG242" s="17">
        <f t="shared" si="77"/>
        <v>403.85399999999998</v>
      </c>
      <c r="AH242" s="17">
        <f t="shared" si="87"/>
        <v>6.9630000000000001</v>
      </c>
      <c r="AI242" s="17">
        <v>0</v>
      </c>
      <c r="AJ242" s="17">
        <f t="shared" si="78"/>
        <v>6.9630000000000001</v>
      </c>
      <c r="AK242" s="20"/>
      <c r="AL242" s="17">
        <f t="shared" si="79"/>
        <v>341.18699999999995</v>
      </c>
      <c r="AM242" s="17"/>
      <c r="AN242" s="21"/>
      <c r="AO242" s="17">
        <f t="shared" si="80"/>
        <v>0</v>
      </c>
      <c r="AP242" s="17"/>
      <c r="AQ242" s="16"/>
      <c r="AR242" s="17">
        <f t="shared" si="72"/>
        <v>0</v>
      </c>
      <c r="AS242" s="17"/>
      <c r="AT242" s="17">
        <v>403.85399999999998</v>
      </c>
      <c r="AU242" s="17">
        <f t="shared" si="81"/>
        <v>403.85399999999998</v>
      </c>
      <c r="AV242" s="17">
        <f t="shared" si="82"/>
        <v>0</v>
      </c>
      <c r="AW242" s="17" t="str">
        <f t="shared" si="84"/>
        <v>ACTIVA</v>
      </c>
      <c r="AX242" s="22">
        <v>44701</v>
      </c>
      <c r="AY242" s="22"/>
      <c r="AZ242" s="1" t="s">
        <v>68</v>
      </c>
      <c r="BA242" s="22" t="str">
        <f t="shared" si="83"/>
        <v>GENERAL LIABILITY</v>
      </c>
      <c r="BB242" s="22"/>
      <c r="BC242" s="22"/>
      <c r="BD242" s="22"/>
    </row>
    <row r="243" spans="1:56" ht="14.25" customHeight="1" x14ac:dyDescent="0.2">
      <c r="A243" s="1" t="s">
        <v>369</v>
      </c>
      <c r="B243" s="1" t="s">
        <v>57</v>
      </c>
      <c r="C243" s="13">
        <v>44653</v>
      </c>
      <c r="D243" s="13">
        <v>44650</v>
      </c>
      <c r="E243" s="13">
        <v>44653</v>
      </c>
      <c r="F243" s="13">
        <v>45017</v>
      </c>
      <c r="G243" s="14" t="str">
        <f t="shared" si="74"/>
        <v>000-242/AIB RDC/2022</v>
      </c>
      <c r="H243" s="1">
        <v>0</v>
      </c>
      <c r="I243" s="1" t="s">
        <v>74</v>
      </c>
      <c r="J243" s="1" t="s">
        <v>494</v>
      </c>
      <c r="K243" s="1" t="s">
        <v>203</v>
      </c>
      <c r="L243" s="1" t="s">
        <v>204</v>
      </c>
      <c r="M243" s="1" t="s">
        <v>62</v>
      </c>
      <c r="N243" s="1" t="s">
        <v>106</v>
      </c>
      <c r="O243" s="1" t="s">
        <v>73</v>
      </c>
      <c r="P243" s="1" t="s">
        <v>73</v>
      </c>
      <c r="Q243" s="1" t="s">
        <v>130</v>
      </c>
      <c r="R243" s="1" t="s">
        <v>130</v>
      </c>
      <c r="S243" s="17">
        <v>0</v>
      </c>
      <c r="T243" s="17">
        <v>3196.44</v>
      </c>
      <c r="U243" s="17"/>
      <c r="V243" s="17"/>
      <c r="W243" s="17"/>
      <c r="X243" s="17">
        <v>3087.5</v>
      </c>
      <c r="Y243" s="17"/>
      <c r="Z243" s="18" t="e">
        <f t="shared" si="75"/>
        <v>#DIV/0!</v>
      </c>
      <c r="AA243" s="19">
        <v>0.1</v>
      </c>
      <c r="AB243" s="17">
        <f>AA243*X243</f>
        <v>308.75</v>
      </c>
      <c r="AC243" s="17">
        <v>0</v>
      </c>
      <c r="AD243" s="17">
        <v>0</v>
      </c>
      <c r="AE243" s="17">
        <f t="shared" si="76"/>
        <v>308.75</v>
      </c>
      <c r="AF243" s="17">
        <f t="shared" si="85"/>
        <v>49.4</v>
      </c>
      <c r="AG243" s="17">
        <f t="shared" si="77"/>
        <v>358.15</v>
      </c>
      <c r="AH243" s="17">
        <f t="shared" si="87"/>
        <v>6.1749999999999998</v>
      </c>
      <c r="AI243" s="17">
        <v>0</v>
      </c>
      <c r="AJ243" s="17">
        <f t="shared" si="78"/>
        <v>6.1749999999999998</v>
      </c>
      <c r="AK243" s="20"/>
      <c r="AL243" s="17">
        <f t="shared" si="79"/>
        <v>302.57499999999999</v>
      </c>
      <c r="AM243" s="17"/>
      <c r="AN243" s="21"/>
      <c r="AO243" s="17">
        <f t="shared" si="80"/>
        <v>0</v>
      </c>
      <c r="AP243" s="17"/>
      <c r="AQ243" s="16"/>
      <c r="AR243" s="17">
        <f t="shared" si="72"/>
        <v>0</v>
      </c>
      <c r="AS243" s="17"/>
      <c r="AT243" s="17">
        <v>358.15</v>
      </c>
      <c r="AU243" s="17">
        <f t="shared" si="81"/>
        <v>358.15</v>
      </c>
      <c r="AV243" s="17">
        <f t="shared" si="82"/>
        <v>0</v>
      </c>
      <c r="AW243" s="17" t="str">
        <f t="shared" si="84"/>
        <v>SFA</v>
      </c>
      <c r="AX243" s="22">
        <v>44676</v>
      </c>
      <c r="AY243" s="22"/>
      <c r="AZ243" s="1" t="s">
        <v>68</v>
      </c>
      <c r="BA243" s="22" t="str">
        <f t="shared" si="83"/>
        <v>MOTOR TPL</v>
      </c>
      <c r="BB243" s="22"/>
      <c r="BC243" s="22"/>
      <c r="BD243" s="22"/>
    </row>
    <row r="244" spans="1:56" ht="14.25" customHeight="1" x14ac:dyDescent="0.2">
      <c r="A244" s="1" t="s">
        <v>369</v>
      </c>
      <c r="B244" s="1" t="s">
        <v>57</v>
      </c>
      <c r="C244" s="13">
        <v>44653</v>
      </c>
      <c r="D244" s="13">
        <v>44646</v>
      </c>
      <c r="E244" s="13">
        <v>44653</v>
      </c>
      <c r="F244" s="13">
        <v>45017</v>
      </c>
      <c r="G244" s="14" t="str">
        <f t="shared" si="74"/>
        <v>000-243/AIB RDC/2022</v>
      </c>
      <c r="H244" s="1">
        <v>0</v>
      </c>
      <c r="I244" s="1" t="s">
        <v>74</v>
      </c>
      <c r="J244" s="1" t="s">
        <v>495</v>
      </c>
      <c r="K244" s="1" t="s">
        <v>203</v>
      </c>
      <c r="L244" s="1" t="s">
        <v>204</v>
      </c>
      <c r="M244" s="1" t="s">
        <v>62</v>
      </c>
      <c r="N244" s="1" t="s">
        <v>106</v>
      </c>
      <c r="O244" s="1" t="s">
        <v>73</v>
      </c>
      <c r="P244" s="1" t="s">
        <v>73</v>
      </c>
      <c r="Q244" s="1" t="s">
        <v>130</v>
      </c>
      <c r="R244" s="1" t="s">
        <v>130</v>
      </c>
      <c r="S244" s="17">
        <v>0</v>
      </c>
      <c r="T244" s="17">
        <v>327.14999999999998</v>
      </c>
      <c r="U244" s="17"/>
      <c r="V244" s="17"/>
      <c r="W244" s="17"/>
      <c r="X244" s="17">
        <v>316</v>
      </c>
      <c r="Y244" s="17"/>
      <c r="Z244" s="18" t="e">
        <f t="shared" si="75"/>
        <v>#DIV/0!</v>
      </c>
      <c r="AA244" s="19">
        <v>0.1</v>
      </c>
      <c r="AB244" s="17">
        <f>AA244*X244</f>
        <v>31.6</v>
      </c>
      <c r="AC244" s="17">
        <v>0</v>
      </c>
      <c r="AD244" s="17">
        <v>0</v>
      </c>
      <c r="AE244" s="17">
        <f t="shared" si="76"/>
        <v>31.6</v>
      </c>
      <c r="AF244" s="17">
        <f t="shared" si="85"/>
        <v>5.056</v>
      </c>
      <c r="AG244" s="17">
        <f t="shared" si="77"/>
        <v>36.655999999999999</v>
      </c>
      <c r="AH244" s="17">
        <f t="shared" si="87"/>
        <v>0.63200000000000001</v>
      </c>
      <c r="AI244" s="17">
        <v>0</v>
      </c>
      <c r="AJ244" s="17">
        <f t="shared" si="78"/>
        <v>0.63200000000000001</v>
      </c>
      <c r="AK244" s="20"/>
      <c r="AL244" s="17">
        <f t="shared" si="79"/>
        <v>30.968</v>
      </c>
      <c r="AM244" s="17"/>
      <c r="AN244" s="21"/>
      <c r="AO244" s="17">
        <f t="shared" si="80"/>
        <v>0</v>
      </c>
      <c r="AP244" s="17"/>
      <c r="AQ244" s="16"/>
      <c r="AR244" s="17">
        <f t="shared" si="72"/>
        <v>0</v>
      </c>
      <c r="AS244" s="17"/>
      <c r="AT244" s="17">
        <v>36.655999999999999</v>
      </c>
      <c r="AU244" s="17">
        <f t="shared" si="81"/>
        <v>36.655999999999999</v>
      </c>
      <c r="AV244" s="17">
        <f t="shared" si="82"/>
        <v>0</v>
      </c>
      <c r="AW244" s="17" t="str">
        <f t="shared" si="84"/>
        <v>SFA</v>
      </c>
      <c r="AX244" s="22">
        <v>44676</v>
      </c>
      <c r="AY244" s="22"/>
      <c r="AZ244" s="1" t="s">
        <v>68</v>
      </c>
      <c r="BA244" s="22" t="str">
        <f t="shared" si="83"/>
        <v>MOTOR TPL</v>
      </c>
      <c r="BB244" s="22"/>
      <c r="BC244" s="22"/>
      <c r="BD244" s="22"/>
    </row>
    <row r="245" spans="1:56" ht="14.25" customHeight="1" x14ac:dyDescent="0.2">
      <c r="A245" s="12" t="s">
        <v>496</v>
      </c>
      <c r="B245" s="1" t="s">
        <v>57</v>
      </c>
      <c r="C245" s="13">
        <v>44749</v>
      </c>
      <c r="D245" s="13">
        <v>44691</v>
      </c>
      <c r="E245" s="13">
        <v>44687</v>
      </c>
      <c r="F245" s="13">
        <v>44707</v>
      </c>
      <c r="G245" s="14" t="str">
        <f t="shared" si="74"/>
        <v>000-244/AIB RDC/2022</v>
      </c>
      <c r="H245" s="1">
        <v>0</v>
      </c>
      <c r="I245" s="1" t="s">
        <v>74</v>
      </c>
      <c r="J245" s="1" t="s">
        <v>497</v>
      </c>
      <c r="K245" s="16" t="s">
        <v>238</v>
      </c>
      <c r="L245" s="16" t="s">
        <v>498</v>
      </c>
      <c r="M245" s="16" t="s">
        <v>84</v>
      </c>
      <c r="N245" s="16" t="s">
        <v>84</v>
      </c>
      <c r="O245" s="16" t="s">
        <v>240</v>
      </c>
      <c r="P245" s="16" t="s">
        <v>98</v>
      </c>
      <c r="Q245" s="16" t="s">
        <v>86</v>
      </c>
      <c r="R245" s="16" t="s">
        <v>86</v>
      </c>
      <c r="S245" s="17">
        <v>0</v>
      </c>
      <c r="T245" s="17">
        <v>32.6</v>
      </c>
      <c r="U245" s="17">
        <v>0</v>
      </c>
      <c r="V245" s="17"/>
      <c r="W245" s="17"/>
      <c r="X245" s="17">
        <v>27.55</v>
      </c>
      <c r="Y245" s="17"/>
      <c r="Z245" s="18" t="e">
        <f t="shared" si="75"/>
        <v>#DIV/0!</v>
      </c>
      <c r="AA245" s="19">
        <v>0.2</v>
      </c>
      <c r="AB245" s="17">
        <f t="shared" ref="AB245:AB276" si="88">(AA245*X245)</f>
        <v>5.5100000000000007</v>
      </c>
      <c r="AC245" s="17">
        <v>0</v>
      </c>
      <c r="AD245" s="17">
        <v>0</v>
      </c>
      <c r="AE245" s="17">
        <f t="shared" si="76"/>
        <v>5.5100000000000007</v>
      </c>
      <c r="AF245" s="17">
        <f t="shared" si="85"/>
        <v>0.88160000000000016</v>
      </c>
      <c r="AG245" s="17">
        <f t="shared" si="77"/>
        <v>6.3916000000000004</v>
      </c>
      <c r="AH245" s="17">
        <f t="shared" si="87"/>
        <v>0.11020000000000002</v>
      </c>
      <c r="AI245" s="17">
        <v>0</v>
      </c>
      <c r="AJ245" s="17">
        <f t="shared" si="78"/>
        <v>0.11020000000000002</v>
      </c>
      <c r="AK245" s="20"/>
      <c r="AL245" s="17">
        <f t="shared" si="79"/>
        <v>5.3998000000000008</v>
      </c>
      <c r="AM245" s="17"/>
      <c r="AN245" s="21"/>
      <c r="AO245" s="17">
        <f t="shared" si="80"/>
        <v>0</v>
      </c>
      <c r="AP245" s="17"/>
      <c r="AQ245" s="16"/>
      <c r="AR245" s="17">
        <f t="shared" si="72"/>
        <v>0</v>
      </c>
      <c r="AS245" s="17"/>
      <c r="AT245" s="17">
        <v>6.3916000000000004</v>
      </c>
      <c r="AU245" s="17">
        <f t="shared" si="81"/>
        <v>6.3916000000000004</v>
      </c>
      <c r="AV245" s="17">
        <f t="shared" si="82"/>
        <v>0</v>
      </c>
      <c r="AW245" s="17" t="str">
        <f t="shared" si="84"/>
        <v>SUNU</v>
      </c>
      <c r="AX245" s="22">
        <v>44713</v>
      </c>
      <c r="AY245" s="22"/>
      <c r="AZ245" s="1" t="s">
        <v>110</v>
      </c>
      <c r="BA245" s="22" t="str">
        <f t="shared" si="83"/>
        <v>TRAVEL</v>
      </c>
      <c r="BB245" s="22"/>
      <c r="BC245" s="22"/>
      <c r="BD245" s="22"/>
    </row>
    <row r="246" spans="1:56" ht="14.25" customHeight="1" x14ac:dyDescent="0.2">
      <c r="A246" s="1" t="s">
        <v>324</v>
      </c>
      <c r="B246" s="1" t="s">
        <v>57</v>
      </c>
      <c r="C246" s="13">
        <v>44628</v>
      </c>
      <c r="D246" s="13">
        <v>44636</v>
      </c>
      <c r="E246" s="13">
        <v>44629</v>
      </c>
      <c r="F246" s="13">
        <v>44757</v>
      </c>
      <c r="G246" s="14" t="str">
        <f t="shared" si="74"/>
        <v>000-245/AIB RDC/2022</v>
      </c>
      <c r="H246" s="1">
        <v>0</v>
      </c>
      <c r="I246" s="1" t="s">
        <v>74</v>
      </c>
      <c r="J246" s="1" t="s">
        <v>499</v>
      </c>
      <c r="K246" s="1" t="s">
        <v>500</v>
      </c>
      <c r="L246" s="1" t="s">
        <v>498</v>
      </c>
      <c r="M246" s="1" t="s">
        <v>62</v>
      </c>
      <c r="N246" s="1" t="s">
        <v>78</v>
      </c>
      <c r="O246" s="1" t="s">
        <v>70</v>
      </c>
      <c r="P246" s="1" t="s">
        <v>71</v>
      </c>
      <c r="Q246" s="1" t="s">
        <v>130</v>
      </c>
      <c r="R246" s="1" t="s">
        <v>130</v>
      </c>
      <c r="S246" s="17">
        <v>849390</v>
      </c>
      <c r="T246" s="17">
        <v>728.8</v>
      </c>
      <c r="U246" s="17">
        <v>0</v>
      </c>
      <c r="V246" s="17">
        <v>0</v>
      </c>
      <c r="W246" s="17">
        <v>13.02</v>
      </c>
      <c r="X246" s="17">
        <v>604.61</v>
      </c>
      <c r="Y246" s="17">
        <v>98.82</v>
      </c>
      <c r="Z246" s="18">
        <f t="shared" si="75"/>
        <v>8.5802752563604459E-4</v>
      </c>
      <c r="AA246" s="19">
        <v>0.2</v>
      </c>
      <c r="AB246" s="17">
        <f t="shared" si="88"/>
        <v>120.92200000000001</v>
      </c>
      <c r="AC246" s="17">
        <v>0</v>
      </c>
      <c r="AD246" s="17">
        <v>0</v>
      </c>
      <c r="AE246" s="17">
        <f t="shared" si="76"/>
        <v>120.92200000000001</v>
      </c>
      <c r="AF246" s="17">
        <f t="shared" si="85"/>
        <v>19.347520000000003</v>
      </c>
      <c r="AG246" s="17">
        <f t="shared" si="77"/>
        <v>140.26952</v>
      </c>
      <c r="AH246" s="17">
        <f t="shared" si="87"/>
        <v>2.4184400000000004</v>
      </c>
      <c r="AI246" s="17">
        <v>0</v>
      </c>
      <c r="AJ246" s="17">
        <f t="shared" si="78"/>
        <v>2.4184400000000004</v>
      </c>
      <c r="AK246" s="20"/>
      <c r="AL246" s="17">
        <f t="shared" si="79"/>
        <v>118.50356000000001</v>
      </c>
      <c r="AM246" s="17"/>
      <c r="AN246" s="21"/>
      <c r="AO246" s="17">
        <f t="shared" si="80"/>
        <v>0</v>
      </c>
      <c r="AP246" s="17"/>
      <c r="AQ246" s="16"/>
      <c r="AR246" s="17">
        <f t="shared" si="72"/>
        <v>0</v>
      </c>
      <c r="AS246" s="17"/>
      <c r="AT246" s="17">
        <v>140.26952</v>
      </c>
      <c r="AU246" s="17">
        <f t="shared" si="81"/>
        <v>140.26952</v>
      </c>
      <c r="AV246" s="17">
        <f t="shared" si="82"/>
        <v>0</v>
      </c>
      <c r="AW246" s="17" t="str">
        <f t="shared" si="84"/>
        <v>SFA</v>
      </c>
      <c r="AX246" s="22">
        <v>44676</v>
      </c>
      <c r="AY246" s="22"/>
      <c r="AZ246" s="1" t="s">
        <v>110</v>
      </c>
      <c r="BA246" s="22" t="str">
        <f t="shared" si="83"/>
        <v>FIRE</v>
      </c>
      <c r="BB246" s="22"/>
      <c r="BC246" s="22"/>
      <c r="BD246" s="22"/>
    </row>
    <row r="247" spans="1:56" ht="14.25" customHeight="1" x14ac:dyDescent="0.2">
      <c r="A247" s="1" t="s">
        <v>324</v>
      </c>
      <c r="B247" s="1" t="s">
        <v>57</v>
      </c>
      <c r="C247" s="13">
        <v>44638</v>
      </c>
      <c r="D247" s="13">
        <v>44649</v>
      </c>
      <c r="E247" s="13">
        <v>44629</v>
      </c>
      <c r="F247" s="13">
        <v>44993</v>
      </c>
      <c r="G247" s="14" t="str">
        <f t="shared" si="74"/>
        <v>000-246/AIB RDC/2022</v>
      </c>
      <c r="H247" s="1">
        <v>0</v>
      </c>
      <c r="I247" s="1" t="s">
        <v>74</v>
      </c>
      <c r="J247" s="1" t="s">
        <v>501</v>
      </c>
      <c r="K247" s="1" t="s">
        <v>502</v>
      </c>
      <c r="L247" s="1"/>
      <c r="M247" s="1" t="s">
        <v>84</v>
      </c>
      <c r="N247" s="1" t="s">
        <v>84</v>
      </c>
      <c r="O247" s="1" t="s">
        <v>70</v>
      </c>
      <c r="P247" s="1" t="s">
        <v>71</v>
      </c>
      <c r="Q247" s="1" t="s">
        <v>66</v>
      </c>
      <c r="R247" s="1" t="s">
        <v>66</v>
      </c>
      <c r="S247" s="17">
        <v>0</v>
      </c>
      <c r="T247" s="17">
        <v>4472.24</v>
      </c>
      <c r="U247" s="17">
        <v>0</v>
      </c>
      <c r="V247" s="17">
        <v>0</v>
      </c>
      <c r="W247" s="17">
        <v>44.28</v>
      </c>
      <c r="X247" s="17">
        <v>4427.8900000000003</v>
      </c>
      <c r="Y247" s="17">
        <v>0</v>
      </c>
      <c r="Z247" s="18" t="e">
        <f t="shared" si="75"/>
        <v>#DIV/0!</v>
      </c>
      <c r="AA247" s="19">
        <v>0.1</v>
      </c>
      <c r="AB247" s="17">
        <f t="shared" si="88"/>
        <v>442.78900000000004</v>
      </c>
      <c r="AC247" s="17">
        <v>0</v>
      </c>
      <c r="AD247" s="17">
        <v>0</v>
      </c>
      <c r="AE247" s="17">
        <f t="shared" si="76"/>
        <v>442.78900000000004</v>
      </c>
      <c r="AF247" s="17">
        <f t="shared" si="85"/>
        <v>70.846240000000009</v>
      </c>
      <c r="AG247" s="17">
        <f t="shared" si="77"/>
        <v>513.63524000000007</v>
      </c>
      <c r="AH247" s="17">
        <f t="shared" si="87"/>
        <v>8.8557800000000011</v>
      </c>
      <c r="AI247" s="17">
        <v>0</v>
      </c>
      <c r="AJ247" s="17">
        <f t="shared" si="78"/>
        <v>8.8557800000000011</v>
      </c>
      <c r="AK247" s="20"/>
      <c r="AL247" s="17">
        <f t="shared" si="79"/>
        <v>433.93322000000006</v>
      </c>
      <c r="AM247" s="17" t="s">
        <v>87</v>
      </c>
      <c r="AN247" s="21">
        <v>0.35</v>
      </c>
      <c r="AO247" s="17">
        <f t="shared" si="80"/>
        <v>151.87662700000001</v>
      </c>
      <c r="AP247" s="17"/>
      <c r="AQ247" s="16"/>
      <c r="AR247" s="17">
        <f t="shared" si="72"/>
        <v>151.87662700000001</v>
      </c>
      <c r="AS247" s="17"/>
      <c r="AT247" s="17">
        <v>513.63524000000007</v>
      </c>
      <c r="AU247" s="17">
        <f t="shared" si="81"/>
        <v>513.63524000000007</v>
      </c>
      <c r="AV247" s="17">
        <f t="shared" si="82"/>
        <v>0</v>
      </c>
      <c r="AW247" s="17" t="str">
        <f t="shared" si="84"/>
        <v>ACTIVA</v>
      </c>
      <c r="AX247" s="22">
        <v>44699</v>
      </c>
      <c r="AY247" s="22"/>
      <c r="AZ247" s="1" t="s">
        <v>68</v>
      </c>
      <c r="BA247" s="22" t="str">
        <f t="shared" si="83"/>
        <v>FIRE</v>
      </c>
      <c r="BB247" s="22"/>
      <c r="BC247" s="22"/>
      <c r="BD247" s="22"/>
    </row>
    <row r="248" spans="1:56" ht="14.25" customHeight="1" x14ac:dyDescent="0.2">
      <c r="A248" s="1" t="s">
        <v>324</v>
      </c>
      <c r="B248" s="1" t="s">
        <v>57</v>
      </c>
      <c r="C248" s="13">
        <v>44638</v>
      </c>
      <c r="D248" s="13">
        <v>44649</v>
      </c>
      <c r="E248" s="13">
        <v>44629</v>
      </c>
      <c r="F248" s="13">
        <v>44993</v>
      </c>
      <c r="G248" s="14" t="str">
        <f t="shared" si="74"/>
        <v>000-247/AIB RDC/2022</v>
      </c>
      <c r="H248" s="1">
        <v>0</v>
      </c>
      <c r="I248" s="1" t="s">
        <v>74</v>
      </c>
      <c r="J248" s="1" t="s">
        <v>503</v>
      </c>
      <c r="K248" s="1" t="s">
        <v>502</v>
      </c>
      <c r="L248" s="1"/>
      <c r="M248" s="1" t="s">
        <v>84</v>
      </c>
      <c r="N248" s="1" t="s">
        <v>84</v>
      </c>
      <c r="O248" s="1" t="s">
        <v>89</v>
      </c>
      <c r="P248" s="1" t="s">
        <v>90</v>
      </c>
      <c r="Q248" s="1" t="s">
        <v>66</v>
      </c>
      <c r="R248" s="1" t="s">
        <v>66</v>
      </c>
      <c r="S248" s="17">
        <v>0</v>
      </c>
      <c r="T248" s="17">
        <v>3044.61</v>
      </c>
      <c r="U248" s="17">
        <v>0</v>
      </c>
      <c r="V248" s="17">
        <v>0</v>
      </c>
      <c r="W248" s="17">
        <v>30.14</v>
      </c>
      <c r="X248" s="17">
        <v>3014.47</v>
      </c>
      <c r="Y248" s="17">
        <v>0</v>
      </c>
      <c r="Z248" s="18" t="e">
        <f t="shared" si="75"/>
        <v>#DIV/0!</v>
      </c>
      <c r="AA248" s="19">
        <v>0.15</v>
      </c>
      <c r="AB248" s="17">
        <f t="shared" si="88"/>
        <v>452.17049999999995</v>
      </c>
      <c r="AC248" s="17">
        <v>0</v>
      </c>
      <c r="AD248" s="17">
        <v>0</v>
      </c>
      <c r="AE248" s="17">
        <f t="shared" si="76"/>
        <v>452.17049999999995</v>
      </c>
      <c r="AF248" s="17">
        <f t="shared" si="85"/>
        <v>72.347279999999998</v>
      </c>
      <c r="AG248" s="17">
        <f t="shared" si="77"/>
        <v>524.5177799999999</v>
      </c>
      <c r="AH248" s="17">
        <f t="shared" si="87"/>
        <v>9.0434099999999997</v>
      </c>
      <c r="AI248" s="17">
        <v>0</v>
      </c>
      <c r="AJ248" s="17">
        <f t="shared" si="78"/>
        <v>9.0434099999999997</v>
      </c>
      <c r="AK248" s="20"/>
      <c r="AL248" s="17">
        <f t="shared" si="79"/>
        <v>443.12708999999995</v>
      </c>
      <c r="AM248" s="17" t="s">
        <v>87</v>
      </c>
      <c r="AN248" s="21">
        <v>0.35</v>
      </c>
      <c r="AO248" s="17">
        <f t="shared" si="80"/>
        <v>155.09448149999997</v>
      </c>
      <c r="AP248" s="17"/>
      <c r="AQ248" s="16"/>
      <c r="AR248" s="17">
        <f t="shared" si="72"/>
        <v>155.09448149999997</v>
      </c>
      <c r="AS248" s="17"/>
      <c r="AT248" s="17">
        <v>524.5177799999999</v>
      </c>
      <c r="AU248" s="17">
        <f t="shared" si="81"/>
        <v>524.5177799999999</v>
      </c>
      <c r="AV248" s="17">
        <f t="shared" si="82"/>
        <v>0</v>
      </c>
      <c r="AW248" s="17" t="str">
        <f t="shared" si="84"/>
        <v>ACTIVA</v>
      </c>
      <c r="AX248" s="22">
        <v>44699</v>
      </c>
      <c r="AY248" s="22"/>
      <c r="AZ248" s="1" t="s">
        <v>68</v>
      </c>
      <c r="BA248" s="22" t="str">
        <f t="shared" si="83"/>
        <v>GENERAL LIABILITY</v>
      </c>
      <c r="BB248" s="22"/>
      <c r="BC248" s="22"/>
      <c r="BD248" s="22"/>
    </row>
    <row r="249" spans="1:56" ht="14.25" customHeight="1" x14ac:dyDescent="0.2">
      <c r="A249" s="1" t="s">
        <v>369</v>
      </c>
      <c r="B249" s="1" t="s">
        <v>57</v>
      </c>
      <c r="C249" s="13">
        <v>44663</v>
      </c>
      <c r="D249" s="13">
        <v>44673</v>
      </c>
      <c r="E249" s="13">
        <v>44671</v>
      </c>
      <c r="F249" s="13">
        <v>45035</v>
      </c>
      <c r="G249" s="14" t="str">
        <f t="shared" si="74"/>
        <v>000-248/AIB RDC/2022</v>
      </c>
      <c r="H249" s="1">
        <v>0</v>
      </c>
      <c r="I249" s="1" t="s">
        <v>74</v>
      </c>
      <c r="J249" s="1" t="s">
        <v>504</v>
      </c>
      <c r="K249" s="1" t="s">
        <v>321</v>
      </c>
      <c r="L249" s="16" t="s">
        <v>137</v>
      </c>
      <c r="M249" s="1" t="s">
        <v>84</v>
      </c>
      <c r="N249" s="1" t="s">
        <v>84</v>
      </c>
      <c r="O249" s="1" t="s">
        <v>152</v>
      </c>
      <c r="P249" s="1" t="s">
        <v>153</v>
      </c>
      <c r="Q249" s="1" t="s">
        <v>130</v>
      </c>
      <c r="R249" s="1" t="s">
        <v>130</v>
      </c>
      <c r="S249" s="17">
        <v>204647.07</v>
      </c>
      <c r="T249" s="17">
        <v>10843.51</v>
      </c>
      <c r="U249" s="17">
        <v>0</v>
      </c>
      <c r="V249" s="17">
        <v>0</v>
      </c>
      <c r="W249" s="17">
        <v>135.74</v>
      </c>
      <c r="X249" s="17">
        <v>9053.69</v>
      </c>
      <c r="Y249" s="17">
        <v>1470.3</v>
      </c>
      <c r="Z249" s="18">
        <f t="shared" si="75"/>
        <v>5.2986392622186088E-2</v>
      </c>
      <c r="AA249" s="19">
        <v>0.15</v>
      </c>
      <c r="AB249" s="17">
        <f t="shared" si="88"/>
        <v>1358.0535</v>
      </c>
      <c r="AC249" s="17"/>
      <c r="AD249" s="17"/>
      <c r="AE249" s="17">
        <f t="shared" si="76"/>
        <v>1358.0535</v>
      </c>
      <c r="AF249" s="17">
        <f t="shared" si="85"/>
        <v>217.28855999999999</v>
      </c>
      <c r="AG249" s="17">
        <f t="shared" si="77"/>
        <v>1575.3420599999999</v>
      </c>
      <c r="AH249" s="17">
        <f t="shared" si="87"/>
        <v>27.161069999999999</v>
      </c>
      <c r="AI249" s="17">
        <v>0</v>
      </c>
      <c r="AJ249" s="17">
        <f t="shared" si="78"/>
        <v>27.161069999999999</v>
      </c>
      <c r="AK249" s="20"/>
      <c r="AL249" s="17">
        <f t="shared" si="79"/>
        <v>1330.8924299999999</v>
      </c>
      <c r="AM249" s="17" t="s">
        <v>289</v>
      </c>
      <c r="AN249" s="21">
        <v>0.5</v>
      </c>
      <c r="AO249" s="17">
        <f t="shared" si="80"/>
        <v>665.44621499999994</v>
      </c>
      <c r="AP249" s="17">
        <v>665.44621499999994</v>
      </c>
      <c r="AQ249" s="16">
        <v>44867</v>
      </c>
      <c r="AR249" s="17">
        <f t="shared" si="72"/>
        <v>0</v>
      </c>
      <c r="AS249" s="17" t="s">
        <v>290</v>
      </c>
      <c r="AT249" s="17">
        <v>1575.3420599999999</v>
      </c>
      <c r="AU249" s="17">
        <f t="shared" si="81"/>
        <v>1575.3420599999999</v>
      </c>
      <c r="AV249" s="17">
        <f t="shared" si="82"/>
        <v>0</v>
      </c>
      <c r="AW249" s="17" t="str">
        <f t="shared" si="84"/>
        <v>SFA</v>
      </c>
      <c r="AX249" s="22">
        <v>44699</v>
      </c>
      <c r="AY249" s="22"/>
      <c r="AZ249" s="1" t="s">
        <v>68</v>
      </c>
      <c r="BA249" s="22" t="str">
        <f t="shared" si="83"/>
        <v>COMP MOTOR</v>
      </c>
      <c r="BB249" s="22"/>
      <c r="BC249" s="22"/>
      <c r="BD249" s="22"/>
    </row>
    <row r="250" spans="1:56" ht="14.25" customHeight="1" x14ac:dyDescent="0.2">
      <c r="A250" s="1" t="s">
        <v>369</v>
      </c>
      <c r="B250" s="1" t="s">
        <v>57</v>
      </c>
      <c r="C250" s="13">
        <v>44663</v>
      </c>
      <c r="D250" s="13">
        <v>44670</v>
      </c>
      <c r="E250" s="13">
        <v>44670</v>
      </c>
      <c r="F250" s="13">
        <v>45034</v>
      </c>
      <c r="G250" s="14" t="str">
        <f t="shared" si="74"/>
        <v>000-249/AIB RDC/2022</v>
      </c>
      <c r="H250" s="1">
        <v>0</v>
      </c>
      <c r="I250" s="1" t="s">
        <v>74</v>
      </c>
      <c r="J250" s="1" t="s">
        <v>505</v>
      </c>
      <c r="K250" s="16" t="s">
        <v>409</v>
      </c>
      <c r="L250" s="16" t="s">
        <v>137</v>
      </c>
      <c r="M250" s="1" t="s">
        <v>84</v>
      </c>
      <c r="N250" s="1" t="s">
        <v>84</v>
      </c>
      <c r="O250" s="1" t="s">
        <v>152</v>
      </c>
      <c r="P250" s="1" t="s">
        <v>153</v>
      </c>
      <c r="Q250" s="1" t="s">
        <v>130</v>
      </c>
      <c r="R250" s="1" t="s">
        <v>130</v>
      </c>
      <c r="S250" s="17">
        <v>741713</v>
      </c>
      <c r="T250" s="17">
        <v>28259.74</v>
      </c>
      <c r="U250" s="17">
        <v>0</v>
      </c>
      <c r="V250" s="17">
        <v>0</v>
      </c>
      <c r="W250" s="17">
        <v>353.8</v>
      </c>
      <c r="X250" s="17">
        <v>23595.14</v>
      </c>
      <c r="Y250" s="17">
        <v>3831.83</v>
      </c>
      <c r="Z250" s="18">
        <f t="shared" si="75"/>
        <v>3.8100640004961488E-2</v>
      </c>
      <c r="AA250" s="19">
        <v>0.15</v>
      </c>
      <c r="AB250" s="17">
        <f t="shared" si="88"/>
        <v>3539.2709999999997</v>
      </c>
      <c r="AC250" s="17"/>
      <c r="AD250" s="17"/>
      <c r="AE250" s="17">
        <f t="shared" si="76"/>
        <v>3539.2709999999997</v>
      </c>
      <c r="AF250" s="17">
        <f t="shared" si="85"/>
        <v>566.28336000000002</v>
      </c>
      <c r="AG250" s="17">
        <f t="shared" si="77"/>
        <v>4105.5543600000001</v>
      </c>
      <c r="AH250" s="17">
        <f t="shared" si="87"/>
        <v>70.785420000000002</v>
      </c>
      <c r="AI250" s="17">
        <v>0</v>
      </c>
      <c r="AJ250" s="17">
        <f t="shared" si="78"/>
        <v>70.785420000000002</v>
      </c>
      <c r="AK250" s="20"/>
      <c r="AL250" s="17">
        <f t="shared" si="79"/>
        <v>3468.4855799999996</v>
      </c>
      <c r="AM250" s="17" t="s">
        <v>289</v>
      </c>
      <c r="AN250" s="21">
        <v>0.5</v>
      </c>
      <c r="AO250" s="17">
        <f t="shared" si="80"/>
        <v>1734.2427899999998</v>
      </c>
      <c r="AP250" s="17">
        <v>1734.2427899999998</v>
      </c>
      <c r="AQ250" s="16">
        <v>44867</v>
      </c>
      <c r="AR250" s="17">
        <f t="shared" si="72"/>
        <v>0</v>
      </c>
      <c r="AS250" s="17" t="s">
        <v>290</v>
      </c>
      <c r="AT250" s="17">
        <v>4105.5543600000001</v>
      </c>
      <c r="AU250" s="17">
        <f t="shared" si="81"/>
        <v>4105.5543600000001</v>
      </c>
      <c r="AV250" s="17">
        <f t="shared" si="82"/>
        <v>0</v>
      </c>
      <c r="AW250" s="17" t="str">
        <f t="shared" si="84"/>
        <v>SFA</v>
      </c>
      <c r="AX250" s="22">
        <v>44699</v>
      </c>
      <c r="AY250" s="22"/>
      <c r="AZ250" s="1" t="s">
        <v>68</v>
      </c>
      <c r="BA250" s="22" t="str">
        <f t="shared" si="83"/>
        <v>COMP MOTOR</v>
      </c>
      <c r="BB250" s="22"/>
      <c r="BC250" s="22"/>
      <c r="BD250" s="22"/>
    </row>
    <row r="251" spans="1:56" ht="14.25" customHeight="1" x14ac:dyDescent="0.2">
      <c r="A251" s="1" t="s">
        <v>369</v>
      </c>
      <c r="B251" s="1" t="s">
        <v>57</v>
      </c>
      <c r="C251" s="13">
        <v>44655</v>
      </c>
      <c r="D251" s="13">
        <v>44657</v>
      </c>
      <c r="E251" s="13">
        <v>44657</v>
      </c>
      <c r="F251" s="13">
        <v>45021</v>
      </c>
      <c r="G251" s="14" t="str">
        <f t="shared" si="74"/>
        <v>000-250/AIB RDC/2022</v>
      </c>
      <c r="H251" s="1">
        <v>0</v>
      </c>
      <c r="I251" s="1" t="s">
        <v>74</v>
      </c>
      <c r="J251" s="1" t="s">
        <v>506</v>
      </c>
      <c r="K251" s="1" t="s">
        <v>507</v>
      </c>
      <c r="L251" s="1"/>
      <c r="M251" s="1" t="s">
        <v>84</v>
      </c>
      <c r="N251" s="1" t="s">
        <v>84</v>
      </c>
      <c r="O251" s="1" t="s">
        <v>152</v>
      </c>
      <c r="P251" s="1" t="s">
        <v>153</v>
      </c>
      <c r="Q251" s="1" t="s">
        <v>130</v>
      </c>
      <c r="R251" s="1" t="s">
        <v>130</v>
      </c>
      <c r="S251" s="17">
        <v>198797.02</v>
      </c>
      <c r="T251" s="17">
        <v>10578.04</v>
      </c>
      <c r="U251" s="17">
        <v>0</v>
      </c>
      <c r="V251" s="17">
        <v>0</v>
      </c>
      <c r="W251" s="17">
        <v>0</v>
      </c>
      <c r="X251" s="17">
        <v>8831.9699999999993</v>
      </c>
      <c r="Y251" s="17"/>
      <c r="Z251" s="18">
        <f t="shared" si="75"/>
        <v>5.3210254358943616E-2</v>
      </c>
      <c r="AA251" s="19">
        <v>0.15</v>
      </c>
      <c r="AB251" s="17">
        <f t="shared" si="88"/>
        <v>1324.7954999999999</v>
      </c>
      <c r="AC251" s="17"/>
      <c r="AD251" s="17"/>
      <c r="AE251" s="17">
        <f t="shared" si="76"/>
        <v>1324.7954999999999</v>
      </c>
      <c r="AF251" s="17">
        <f t="shared" si="85"/>
        <v>211.96727999999999</v>
      </c>
      <c r="AG251" s="17">
        <f t="shared" si="77"/>
        <v>1536.76278</v>
      </c>
      <c r="AH251" s="17">
        <f t="shared" si="87"/>
        <v>26.495909999999999</v>
      </c>
      <c r="AI251" s="17">
        <v>0</v>
      </c>
      <c r="AJ251" s="17">
        <f t="shared" si="78"/>
        <v>26.495909999999999</v>
      </c>
      <c r="AK251" s="20"/>
      <c r="AL251" s="17">
        <f t="shared" si="79"/>
        <v>1298.2995899999999</v>
      </c>
      <c r="AM251" s="17" t="s">
        <v>87</v>
      </c>
      <c r="AN251" s="21">
        <v>0.35</v>
      </c>
      <c r="AO251" s="17">
        <f t="shared" si="80"/>
        <v>454.40485649999994</v>
      </c>
      <c r="AP251" s="17"/>
      <c r="AQ251" s="16"/>
      <c r="AR251" s="17">
        <f t="shared" si="72"/>
        <v>454.40485649999994</v>
      </c>
      <c r="AS251" s="17"/>
      <c r="AT251" s="17">
        <v>1536.76278</v>
      </c>
      <c r="AU251" s="17">
        <f t="shared" si="81"/>
        <v>1536.76278</v>
      </c>
      <c r="AV251" s="17">
        <f t="shared" si="82"/>
        <v>0</v>
      </c>
      <c r="AW251" s="17" t="str">
        <f t="shared" si="84"/>
        <v>SFA</v>
      </c>
      <c r="AX251" s="22">
        <v>44699</v>
      </c>
      <c r="AY251" s="22"/>
      <c r="AZ251" s="22"/>
      <c r="BA251" s="22" t="str">
        <f t="shared" si="83"/>
        <v>COMP MOTOR</v>
      </c>
      <c r="BB251" s="22"/>
      <c r="BC251" s="22"/>
      <c r="BD251" s="22"/>
    </row>
    <row r="252" spans="1:56" ht="14.25" customHeight="1" x14ac:dyDescent="0.2">
      <c r="A252" s="1" t="s">
        <v>369</v>
      </c>
      <c r="B252" s="1" t="s">
        <v>57</v>
      </c>
      <c r="C252" s="13">
        <v>44750</v>
      </c>
      <c r="D252" s="13">
        <v>44682</v>
      </c>
      <c r="E252" s="13">
        <v>44652</v>
      </c>
      <c r="F252" s="13">
        <v>45016</v>
      </c>
      <c r="G252" s="14" t="str">
        <f t="shared" si="74"/>
        <v>000-251/AIB RDC/2022</v>
      </c>
      <c r="H252" s="1">
        <v>1</v>
      </c>
      <c r="I252" s="1" t="s">
        <v>58</v>
      </c>
      <c r="J252" s="1" t="s">
        <v>508</v>
      </c>
      <c r="K252" s="1" t="s">
        <v>509</v>
      </c>
      <c r="L252" s="1" t="s">
        <v>83</v>
      </c>
      <c r="M252" s="1" t="s">
        <v>84</v>
      </c>
      <c r="N252" s="1" t="s">
        <v>84</v>
      </c>
      <c r="O252" s="1" t="s">
        <v>89</v>
      </c>
      <c r="P252" s="1" t="s">
        <v>90</v>
      </c>
      <c r="Q252" s="1" t="s">
        <v>107</v>
      </c>
      <c r="R252" s="1" t="s">
        <v>87</v>
      </c>
      <c r="S252" s="17">
        <f>83205400+6807780.55+1357848.09</f>
        <v>91371028.640000001</v>
      </c>
      <c r="T252" s="17">
        <f>5722.51+803.36+123.53</f>
        <v>6649.4</v>
      </c>
      <c r="U252" s="17">
        <v>0</v>
      </c>
      <c r="V252" s="17">
        <v>0</v>
      </c>
      <c r="W252" s="17">
        <f>50+50+50</f>
        <v>150</v>
      </c>
      <c r="X252" s="17">
        <f>4799.59+630.81+54.69</f>
        <v>5485.0899999999992</v>
      </c>
      <c r="Y252" s="17">
        <f>775.93+108.93+16.75</f>
        <v>901.6099999999999</v>
      </c>
      <c r="Z252" s="18">
        <f t="shared" si="75"/>
        <v>7.2773614338944356E-5</v>
      </c>
      <c r="AA252" s="19">
        <v>0.08</v>
      </c>
      <c r="AB252" s="17">
        <f t="shared" si="88"/>
        <v>438.80719999999997</v>
      </c>
      <c r="AC252" s="17">
        <v>0</v>
      </c>
      <c r="AD252" s="17">
        <v>0</v>
      </c>
      <c r="AE252" s="17">
        <f t="shared" si="76"/>
        <v>438.80719999999997</v>
      </c>
      <c r="AF252" s="17">
        <f t="shared" si="85"/>
        <v>70.209152000000003</v>
      </c>
      <c r="AG252" s="17">
        <f t="shared" si="77"/>
        <v>509.01635199999998</v>
      </c>
      <c r="AH252" s="17">
        <f t="shared" si="87"/>
        <v>8.7761440000000004</v>
      </c>
      <c r="AI252" s="17">
        <v>0</v>
      </c>
      <c r="AJ252" s="17">
        <f t="shared" si="78"/>
        <v>8.7761440000000004</v>
      </c>
      <c r="AK252" s="20"/>
      <c r="AL252" s="17">
        <f t="shared" si="79"/>
        <v>430.03105599999998</v>
      </c>
      <c r="AM252" s="17" t="s">
        <v>87</v>
      </c>
      <c r="AN252" s="21">
        <v>0.35</v>
      </c>
      <c r="AO252" s="17">
        <f t="shared" si="80"/>
        <v>150.51086959999998</v>
      </c>
      <c r="AP252" s="17"/>
      <c r="AQ252" s="16"/>
      <c r="AR252" s="17">
        <f t="shared" ref="AR252:AR315" si="89">AO252-AP252</f>
        <v>150.51086959999998</v>
      </c>
      <c r="AS252" s="17"/>
      <c r="AT252" s="17">
        <f>445.41+58.53+5.07635199999993</f>
        <v>509.01635199999998</v>
      </c>
      <c r="AU252" s="17">
        <f t="shared" si="81"/>
        <v>509.01635199999998</v>
      </c>
      <c r="AV252" s="17">
        <f t="shared" si="82"/>
        <v>0</v>
      </c>
      <c r="AW252" s="17" t="str">
        <f t="shared" si="84"/>
        <v>RAWSUR</v>
      </c>
      <c r="AX252" s="22">
        <v>44946</v>
      </c>
      <c r="AY252" s="22"/>
      <c r="AZ252" s="1" t="s">
        <v>100</v>
      </c>
      <c r="BA252" s="22" t="str">
        <f t="shared" si="83"/>
        <v>GENERAL LIABILITY</v>
      </c>
      <c r="BB252" s="26"/>
      <c r="BC252" s="22"/>
      <c r="BD252" s="1"/>
    </row>
    <row r="253" spans="1:56" ht="14.25" customHeight="1" x14ac:dyDescent="0.2">
      <c r="A253" s="1" t="s">
        <v>369</v>
      </c>
      <c r="B253" s="1" t="s">
        <v>57</v>
      </c>
      <c r="C253" s="13">
        <v>44750</v>
      </c>
      <c r="D253" s="13">
        <v>44739</v>
      </c>
      <c r="E253" s="13">
        <v>44652</v>
      </c>
      <c r="F253" s="13">
        <v>45016</v>
      </c>
      <c r="G253" s="14" t="str">
        <f t="shared" si="74"/>
        <v>000-252/AIB RDC/2022</v>
      </c>
      <c r="H253" s="1">
        <v>0</v>
      </c>
      <c r="I253" s="1" t="s">
        <v>74</v>
      </c>
      <c r="J253" s="24" t="s">
        <v>510</v>
      </c>
      <c r="K253" s="1" t="s">
        <v>175</v>
      </c>
      <c r="L253" s="16" t="s">
        <v>77</v>
      </c>
      <c r="M253" s="1" t="s">
        <v>84</v>
      </c>
      <c r="N253" s="1" t="s">
        <v>84</v>
      </c>
      <c r="O253" s="1" t="s">
        <v>70</v>
      </c>
      <c r="P253" s="1" t="s">
        <v>71</v>
      </c>
      <c r="Q253" s="1" t="s">
        <v>130</v>
      </c>
      <c r="R253" s="1" t="s">
        <v>511</v>
      </c>
      <c r="S253" s="17">
        <v>50000000</v>
      </c>
      <c r="T253" s="17">
        <f>148931.77-9516.49</f>
        <v>139415.28</v>
      </c>
      <c r="U253" s="17">
        <v>18932</v>
      </c>
      <c r="V253" s="17">
        <v>-9516.49</v>
      </c>
      <c r="W253" s="17"/>
      <c r="X253" s="17">
        <v>107281.36</v>
      </c>
      <c r="Y253" s="17">
        <v>20194.14</v>
      </c>
      <c r="Z253" s="18">
        <f t="shared" si="75"/>
        <v>2.7883055999999998E-3</v>
      </c>
      <c r="AA253" s="19">
        <v>0</v>
      </c>
      <c r="AB253" s="17">
        <f t="shared" si="88"/>
        <v>0</v>
      </c>
      <c r="AC253" s="17">
        <f>30%*(U253+V253)</f>
        <v>2824.6529999999998</v>
      </c>
      <c r="AD253" s="17">
        <v>13211.99</v>
      </c>
      <c r="AE253" s="17">
        <f t="shared" si="76"/>
        <v>16036.643</v>
      </c>
      <c r="AF253" s="17">
        <f t="shared" si="85"/>
        <v>2565.8628800000001</v>
      </c>
      <c r="AG253" s="17">
        <f t="shared" si="77"/>
        <v>18602.505880000001</v>
      </c>
      <c r="AH253" s="17">
        <f t="shared" si="87"/>
        <v>320.73286000000002</v>
      </c>
      <c r="AI253" s="17">
        <v>0</v>
      </c>
      <c r="AJ253" s="17">
        <f t="shared" si="78"/>
        <v>320.73286000000002</v>
      </c>
      <c r="AK253" s="20"/>
      <c r="AL253" s="17">
        <f t="shared" si="79"/>
        <v>15715.91014</v>
      </c>
      <c r="AM253" s="17" t="s">
        <v>512</v>
      </c>
      <c r="AN253" s="19">
        <v>0.48759218726355003</v>
      </c>
      <c r="AO253" s="17">
        <f t="shared" si="80"/>
        <v>7662.9550000000045</v>
      </c>
      <c r="AP253" s="17">
        <v>7662.9550000000045</v>
      </c>
      <c r="AQ253" s="16">
        <v>44825</v>
      </c>
      <c r="AR253" s="17">
        <f t="shared" si="89"/>
        <v>0</v>
      </c>
      <c r="AS253" s="17" t="s">
        <v>513</v>
      </c>
      <c r="AT253" s="17">
        <f>3276.60588+15325.9</f>
        <v>18602.505880000001</v>
      </c>
      <c r="AU253" s="17">
        <f t="shared" si="81"/>
        <v>18602.505880000001</v>
      </c>
      <c r="AV253" s="17">
        <f t="shared" si="82"/>
        <v>0</v>
      </c>
      <c r="AW253" s="17" t="str">
        <f t="shared" si="84"/>
        <v>SFA</v>
      </c>
      <c r="AX253" s="22">
        <v>44781</v>
      </c>
      <c r="AY253" s="22"/>
      <c r="AZ253" s="1" t="s">
        <v>100</v>
      </c>
      <c r="BA253" s="22" t="str">
        <f t="shared" si="83"/>
        <v>FIRE</v>
      </c>
      <c r="BB253" s="22"/>
      <c r="BC253" s="22"/>
      <c r="BD253" s="22"/>
    </row>
    <row r="254" spans="1:56" ht="14.25" customHeight="1" x14ac:dyDescent="0.2">
      <c r="A254" s="1" t="s">
        <v>369</v>
      </c>
      <c r="B254" s="1" t="s">
        <v>57</v>
      </c>
      <c r="C254" s="13">
        <v>44662</v>
      </c>
      <c r="D254" s="13">
        <v>44664</v>
      </c>
      <c r="E254" s="13">
        <v>44664</v>
      </c>
      <c r="F254" s="13">
        <v>44957</v>
      </c>
      <c r="G254" s="14" t="str">
        <f t="shared" si="74"/>
        <v>000-253/AIB RDC/2022</v>
      </c>
      <c r="H254" s="1">
        <v>6</v>
      </c>
      <c r="I254" s="1" t="s">
        <v>91</v>
      </c>
      <c r="J254" s="1" t="s">
        <v>284</v>
      </c>
      <c r="K254" s="1" t="s">
        <v>285</v>
      </c>
      <c r="L254" s="1" t="s">
        <v>83</v>
      </c>
      <c r="M254" s="1" t="s">
        <v>84</v>
      </c>
      <c r="N254" s="1" t="s">
        <v>84</v>
      </c>
      <c r="O254" s="1" t="s">
        <v>152</v>
      </c>
      <c r="P254" s="1" t="s">
        <v>153</v>
      </c>
      <c r="Q254" s="1" t="s">
        <v>66</v>
      </c>
      <c r="R254" s="1" t="s">
        <v>66</v>
      </c>
      <c r="S254" s="17">
        <v>87230</v>
      </c>
      <c r="T254" s="17">
        <v>3135.45</v>
      </c>
      <c r="U254" s="17">
        <v>0</v>
      </c>
      <c r="V254" s="17">
        <v>0</v>
      </c>
      <c r="W254" s="17">
        <v>26.76</v>
      </c>
      <c r="X254" s="17">
        <v>2676.18</v>
      </c>
      <c r="Y254" s="17">
        <v>432.47</v>
      </c>
      <c r="Z254" s="18">
        <f t="shared" si="75"/>
        <v>3.5944629141350451E-2</v>
      </c>
      <c r="AA254" s="19">
        <v>0.1469</v>
      </c>
      <c r="AB254" s="17">
        <f t="shared" si="88"/>
        <v>393.13084199999997</v>
      </c>
      <c r="AC254" s="17">
        <v>0</v>
      </c>
      <c r="AD254" s="17">
        <f>3%*X254</f>
        <v>80.285399999999996</v>
      </c>
      <c r="AE254" s="17">
        <f t="shared" si="76"/>
        <v>473.41624199999995</v>
      </c>
      <c r="AF254" s="17">
        <f t="shared" si="85"/>
        <v>75.746598719999994</v>
      </c>
      <c r="AG254" s="17">
        <f t="shared" si="77"/>
        <v>549.16284071999996</v>
      </c>
      <c r="AH254" s="17">
        <f t="shared" si="87"/>
        <v>9.4683248399999993</v>
      </c>
      <c r="AI254" s="17">
        <v>0</v>
      </c>
      <c r="AJ254" s="17">
        <f t="shared" si="78"/>
        <v>9.4683248399999993</v>
      </c>
      <c r="AK254" s="20"/>
      <c r="AL254" s="17">
        <f t="shared" si="79"/>
        <v>463.94791715999997</v>
      </c>
      <c r="AM254" s="17" t="s">
        <v>198</v>
      </c>
      <c r="AN254" s="21"/>
      <c r="AO254" s="17">
        <f t="shared" si="80"/>
        <v>0</v>
      </c>
      <c r="AP254" s="17"/>
      <c r="AQ254" s="16"/>
      <c r="AR254" s="17">
        <f t="shared" si="89"/>
        <v>0</v>
      </c>
      <c r="AS254" s="17"/>
      <c r="AT254" s="17">
        <v>549.16284071999996</v>
      </c>
      <c r="AU254" s="17">
        <f t="shared" si="81"/>
        <v>549.16284071999996</v>
      </c>
      <c r="AV254" s="17">
        <f t="shared" si="82"/>
        <v>0</v>
      </c>
      <c r="AW254" s="17" t="str">
        <f t="shared" si="84"/>
        <v>ACTIVA</v>
      </c>
      <c r="AX254" s="22">
        <v>44701</v>
      </c>
      <c r="AY254" s="22"/>
      <c r="AZ254" s="1" t="s">
        <v>68</v>
      </c>
      <c r="BA254" s="22" t="str">
        <f t="shared" si="83"/>
        <v>COMP MOTOR</v>
      </c>
      <c r="BB254" s="22"/>
      <c r="BC254" s="22"/>
      <c r="BD254" s="1" t="s">
        <v>457</v>
      </c>
    </row>
    <row r="255" spans="1:56" ht="14.25" customHeight="1" x14ac:dyDescent="0.2">
      <c r="A255" s="1" t="s">
        <v>369</v>
      </c>
      <c r="B255" s="1" t="s">
        <v>57</v>
      </c>
      <c r="C255" s="13">
        <v>44662</v>
      </c>
      <c r="D255" s="13">
        <v>44666</v>
      </c>
      <c r="E255" s="13">
        <v>44666</v>
      </c>
      <c r="F255" s="13">
        <v>44695</v>
      </c>
      <c r="G255" s="14" t="str">
        <f t="shared" si="74"/>
        <v>000-254/AIB RDC/2022</v>
      </c>
      <c r="H255" s="1">
        <v>1</v>
      </c>
      <c r="I255" s="1" t="s">
        <v>217</v>
      </c>
      <c r="J255" s="1" t="s">
        <v>514</v>
      </c>
      <c r="K255" s="1" t="s">
        <v>515</v>
      </c>
      <c r="L255" s="1" t="s">
        <v>516</v>
      </c>
      <c r="M255" s="1" t="s">
        <v>84</v>
      </c>
      <c r="N255" s="1" t="s">
        <v>84</v>
      </c>
      <c r="O255" s="1" t="s">
        <v>70</v>
      </c>
      <c r="P255" s="1" t="s">
        <v>71</v>
      </c>
      <c r="Q255" s="1" t="s">
        <v>79</v>
      </c>
      <c r="R255" s="1" t="s">
        <v>79</v>
      </c>
      <c r="S255" s="17">
        <v>18246456.469999999</v>
      </c>
      <c r="T255" s="17">
        <v>3785.75</v>
      </c>
      <c r="U255" s="17">
        <v>0</v>
      </c>
      <c r="V255" s="17">
        <v>0</v>
      </c>
      <c r="W255" s="17">
        <v>20</v>
      </c>
      <c r="X255" s="17">
        <v>3188.26</v>
      </c>
      <c r="Y255" s="17">
        <v>513.32000000000005</v>
      </c>
      <c r="Z255" s="18">
        <f t="shared" si="75"/>
        <v>2.0747864146796719E-4</v>
      </c>
      <c r="AA255" s="19">
        <v>0.15</v>
      </c>
      <c r="AB255" s="17">
        <f t="shared" si="88"/>
        <v>478.23900000000003</v>
      </c>
      <c r="AC255" s="17"/>
      <c r="AD255" s="17"/>
      <c r="AE255" s="17">
        <f t="shared" si="76"/>
        <v>478.23900000000003</v>
      </c>
      <c r="AF255" s="17">
        <f t="shared" si="85"/>
        <v>76.518240000000006</v>
      </c>
      <c r="AG255" s="17">
        <f t="shared" si="77"/>
        <v>554.75724000000002</v>
      </c>
      <c r="AH255" s="17">
        <f t="shared" si="87"/>
        <v>9.5647800000000007</v>
      </c>
      <c r="AI255" s="17">
        <v>0</v>
      </c>
      <c r="AJ255" s="17">
        <f t="shared" si="78"/>
        <v>9.5647800000000007</v>
      </c>
      <c r="AK255" s="20"/>
      <c r="AL255" s="17">
        <f t="shared" si="79"/>
        <v>468.67422000000005</v>
      </c>
      <c r="AM255" s="17" t="s">
        <v>80</v>
      </c>
      <c r="AN255" s="21">
        <v>0.3</v>
      </c>
      <c r="AO255" s="23">
        <f t="shared" si="80"/>
        <v>140.60226600000001</v>
      </c>
      <c r="AP255" s="17">
        <v>93.73</v>
      </c>
      <c r="AQ255" s="16">
        <v>45188</v>
      </c>
      <c r="AR255" s="17">
        <f t="shared" si="89"/>
        <v>46.87226600000001</v>
      </c>
      <c r="AS255" s="17"/>
      <c r="AT255" s="17">
        <v>554.75724000000002</v>
      </c>
      <c r="AU255" s="17">
        <f t="shared" si="81"/>
        <v>554.75724000000002</v>
      </c>
      <c r="AV255" s="17">
        <f t="shared" si="82"/>
        <v>0</v>
      </c>
      <c r="AW255" s="17" t="str">
        <f t="shared" si="84"/>
        <v>MAYFAIR</v>
      </c>
      <c r="AX255" s="22">
        <v>45203</v>
      </c>
      <c r="AY255" s="22"/>
      <c r="AZ255" s="1" t="s">
        <v>68</v>
      </c>
      <c r="BA255" s="22" t="str">
        <f t="shared" si="83"/>
        <v>FIRE</v>
      </c>
      <c r="BB255" s="22"/>
      <c r="BC255" s="22"/>
      <c r="BD255" s="1" t="s">
        <v>517</v>
      </c>
    </row>
    <row r="256" spans="1:56" ht="14.25" customHeight="1" x14ac:dyDescent="0.2">
      <c r="A256" s="1" t="s">
        <v>369</v>
      </c>
      <c r="B256" s="1" t="s">
        <v>57</v>
      </c>
      <c r="C256" s="13">
        <v>44662</v>
      </c>
      <c r="D256" s="13">
        <v>44666</v>
      </c>
      <c r="E256" s="13">
        <v>44666</v>
      </c>
      <c r="F256" s="13">
        <v>44695</v>
      </c>
      <c r="G256" s="14" t="str">
        <f t="shared" si="74"/>
        <v>000-255/AIB RDC/2022</v>
      </c>
      <c r="H256" s="1">
        <v>1</v>
      </c>
      <c r="I256" s="1" t="s">
        <v>217</v>
      </c>
      <c r="J256" s="1" t="s">
        <v>518</v>
      </c>
      <c r="K256" s="1" t="s">
        <v>515</v>
      </c>
      <c r="L256" s="1" t="s">
        <v>516</v>
      </c>
      <c r="M256" s="1" t="s">
        <v>84</v>
      </c>
      <c r="N256" s="1" t="s">
        <v>84</v>
      </c>
      <c r="O256" s="1" t="s">
        <v>233</v>
      </c>
      <c r="P256" s="1" t="s">
        <v>234</v>
      </c>
      <c r="Q256" s="1" t="s">
        <v>79</v>
      </c>
      <c r="R256" s="1" t="s">
        <v>79</v>
      </c>
      <c r="S256" s="17">
        <v>18246456.469999999</v>
      </c>
      <c r="T256" s="17">
        <v>4346.67</v>
      </c>
      <c r="U256" s="17">
        <v>0</v>
      </c>
      <c r="V256" s="17">
        <v>0</v>
      </c>
      <c r="W256" s="17">
        <v>20</v>
      </c>
      <c r="X256" s="17">
        <v>3663.62</v>
      </c>
      <c r="Y256" s="17">
        <v>589.38</v>
      </c>
      <c r="Z256" s="18">
        <f t="shared" si="75"/>
        <v>2.3821995285202904E-4</v>
      </c>
      <c r="AA256" s="19">
        <v>0.15</v>
      </c>
      <c r="AB256" s="17">
        <f t="shared" si="88"/>
        <v>549.54300000000001</v>
      </c>
      <c r="AC256" s="17"/>
      <c r="AD256" s="17"/>
      <c r="AE256" s="17">
        <f t="shared" si="76"/>
        <v>549.54300000000001</v>
      </c>
      <c r="AF256" s="17">
        <f t="shared" si="85"/>
        <v>87.926879999999997</v>
      </c>
      <c r="AG256" s="17">
        <f t="shared" si="77"/>
        <v>637.46987999999999</v>
      </c>
      <c r="AH256" s="17">
        <f t="shared" si="87"/>
        <v>10.99086</v>
      </c>
      <c r="AI256" s="17">
        <v>0</v>
      </c>
      <c r="AJ256" s="17">
        <f t="shared" si="78"/>
        <v>10.99086</v>
      </c>
      <c r="AK256" s="20"/>
      <c r="AL256" s="17">
        <f t="shared" si="79"/>
        <v>538.55214000000001</v>
      </c>
      <c r="AM256" s="17" t="s">
        <v>80</v>
      </c>
      <c r="AN256" s="21">
        <v>0.3</v>
      </c>
      <c r="AO256" s="23">
        <f t="shared" si="80"/>
        <v>161.565642</v>
      </c>
      <c r="AP256" s="17">
        <v>161.565642</v>
      </c>
      <c r="AQ256" s="16">
        <v>45188</v>
      </c>
      <c r="AR256" s="17">
        <f t="shared" si="89"/>
        <v>0</v>
      </c>
      <c r="AS256" s="17"/>
      <c r="AT256" s="17">
        <v>637.46987999999999</v>
      </c>
      <c r="AU256" s="17">
        <f t="shared" si="81"/>
        <v>637.46987999999999</v>
      </c>
      <c r="AV256" s="17">
        <f t="shared" si="82"/>
        <v>0</v>
      </c>
      <c r="AW256" s="17" t="str">
        <f t="shared" si="84"/>
        <v>MAYFAIR</v>
      </c>
      <c r="AX256" s="22">
        <v>45203</v>
      </c>
      <c r="AY256" s="22"/>
      <c r="AZ256" s="1" t="s">
        <v>68</v>
      </c>
      <c r="BA256" s="22" t="str">
        <f t="shared" si="83"/>
        <v>PVT</v>
      </c>
      <c r="BB256" s="22"/>
      <c r="BC256" s="22"/>
      <c r="BD256" s="1" t="s">
        <v>517</v>
      </c>
    </row>
    <row r="257" spans="1:56" ht="14.25" customHeight="1" x14ac:dyDescent="0.2">
      <c r="A257" s="1" t="s">
        <v>369</v>
      </c>
      <c r="B257" s="1" t="s">
        <v>57</v>
      </c>
      <c r="C257" s="13">
        <v>44662</v>
      </c>
      <c r="D257" s="13">
        <v>44666</v>
      </c>
      <c r="E257" s="13">
        <v>44666</v>
      </c>
      <c r="F257" s="13">
        <v>44957</v>
      </c>
      <c r="G257" s="14" t="str">
        <f t="shared" si="74"/>
        <v>000-256/AIB RDC/2022</v>
      </c>
      <c r="H257" s="1">
        <v>7</v>
      </c>
      <c r="I257" s="1" t="s">
        <v>91</v>
      </c>
      <c r="J257" s="1" t="s">
        <v>284</v>
      </c>
      <c r="K257" s="1" t="s">
        <v>285</v>
      </c>
      <c r="L257" s="1" t="s">
        <v>83</v>
      </c>
      <c r="M257" s="1" t="s">
        <v>84</v>
      </c>
      <c r="N257" s="1" t="s">
        <v>84</v>
      </c>
      <c r="O257" s="1" t="s">
        <v>152</v>
      </c>
      <c r="P257" s="1" t="s">
        <v>153</v>
      </c>
      <c r="Q257" s="1" t="s">
        <v>66</v>
      </c>
      <c r="R257" s="1" t="s">
        <v>66</v>
      </c>
      <c r="S257" s="17">
        <v>886849</v>
      </c>
      <c r="T257" s="17">
        <v>32202.83</v>
      </c>
      <c r="U257" s="17">
        <v>0</v>
      </c>
      <c r="V257" s="17">
        <v>0</v>
      </c>
      <c r="W257" s="17">
        <v>276.86</v>
      </c>
      <c r="X257" s="17">
        <v>27486.2</v>
      </c>
      <c r="Y257" s="17">
        <v>4441.7700000000004</v>
      </c>
      <c r="Z257" s="18">
        <f t="shared" si="75"/>
        <v>3.6311514136002865E-2</v>
      </c>
      <c r="AA257" s="19">
        <v>0.14598343896209701</v>
      </c>
      <c r="AB257" s="17">
        <f t="shared" si="88"/>
        <v>4012.5299999999907</v>
      </c>
      <c r="AC257" s="17">
        <v>0</v>
      </c>
      <c r="AD257" s="17">
        <f>3%*X257</f>
        <v>824.58600000000001</v>
      </c>
      <c r="AE257" s="17">
        <f t="shared" si="76"/>
        <v>4837.1159999999909</v>
      </c>
      <c r="AF257" s="17">
        <f t="shared" si="85"/>
        <v>773.93855999999857</v>
      </c>
      <c r="AG257" s="17">
        <f t="shared" si="77"/>
        <v>5611.0545599999896</v>
      </c>
      <c r="AH257" s="17">
        <f t="shared" si="87"/>
        <v>96.742319999999822</v>
      </c>
      <c r="AI257" s="17">
        <v>0</v>
      </c>
      <c r="AJ257" s="17">
        <f t="shared" si="78"/>
        <v>96.742319999999822</v>
      </c>
      <c r="AK257" s="20"/>
      <c r="AL257" s="17">
        <f t="shared" si="79"/>
        <v>4740.3736799999915</v>
      </c>
      <c r="AM257" s="17" t="s">
        <v>198</v>
      </c>
      <c r="AN257" s="21"/>
      <c r="AO257" s="17">
        <f t="shared" si="80"/>
        <v>0</v>
      </c>
      <c r="AP257" s="17"/>
      <c r="AQ257" s="16"/>
      <c r="AR257" s="17">
        <f t="shared" si="89"/>
        <v>0</v>
      </c>
      <c r="AS257" s="17"/>
      <c r="AT257" s="17">
        <f>956.52+4654.53455999999</f>
        <v>5611.0545599999896</v>
      </c>
      <c r="AU257" s="17">
        <f t="shared" si="81"/>
        <v>5611.0545599999896</v>
      </c>
      <c r="AV257" s="17">
        <f t="shared" si="82"/>
        <v>0</v>
      </c>
      <c r="AW257" s="17" t="str">
        <f t="shared" si="84"/>
        <v>ACTIVA</v>
      </c>
      <c r="AX257" s="22">
        <v>44748</v>
      </c>
      <c r="AY257" s="22"/>
      <c r="AZ257" s="1" t="s">
        <v>68</v>
      </c>
      <c r="BA257" s="22" t="str">
        <f t="shared" si="83"/>
        <v>COMP MOTOR</v>
      </c>
      <c r="BB257" s="26"/>
      <c r="BC257" s="22"/>
      <c r="BD257" s="22"/>
    </row>
    <row r="258" spans="1:56" ht="14.25" customHeight="1" x14ac:dyDescent="0.2">
      <c r="A258" s="1" t="s">
        <v>369</v>
      </c>
      <c r="B258" s="1" t="s">
        <v>57</v>
      </c>
      <c r="C258" s="13">
        <v>44663</v>
      </c>
      <c r="D258" s="13">
        <v>44666</v>
      </c>
      <c r="E258" s="13">
        <v>44666</v>
      </c>
      <c r="F258" s="13">
        <v>44957</v>
      </c>
      <c r="G258" s="14" t="str">
        <f t="shared" si="74"/>
        <v>000-257/AIB RDC/2022</v>
      </c>
      <c r="H258" s="1">
        <v>8</v>
      </c>
      <c r="I258" s="1" t="s">
        <v>91</v>
      </c>
      <c r="J258" s="1" t="s">
        <v>284</v>
      </c>
      <c r="K258" s="1" t="s">
        <v>285</v>
      </c>
      <c r="L258" s="1" t="s">
        <v>83</v>
      </c>
      <c r="M258" s="1" t="s">
        <v>84</v>
      </c>
      <c r="N258" s="1" t="s">
        <v>84</v>
      </c>
      <c r="O258" s="1" t="s">
        <v>152</v>
      </c>
      <c r="P258" s="1" t="s">
        <v>153</v>
      </c>
      <c r="Q258" s="1" t="s">
        <v>66</v>
      </c>
      <c r="R258" s="1" t="s">
        <v>66</v>
      </c>
      <c r="S258" s="17">
        <v>96780</v>
      </c>
      <c r="T258" s="17">
        <v>3987.75</v>
      </c>
      <c r="U258" s="17">
        <v>0</v>
      </c>
      <c r="V258" s="17">
        <v>0</v>
      </c>
      <c r="W258" s="17">
        <v>34.04</v>
      </c>
      <c r="X258" s="17">
        <v>3403.68</v>
      </c>
      <c r="Y258" s="17">
        <v>550.03</v>
      </c>
      <c r="Z258" s="18">
        <f t="shared" si="75"/>
        <v>4.1204277743335398E-2</v>
      </c>
      <c r="AA258" s="19">
        <v>0.14604780707939599</v>
      </c>
      <c r="AB258" s="17">
        <f t="shared" si="88"/>
        <v>497.09999999999854</v>
      </c>
      <c r="AC258" s="17">
        <v>0</v>
      </c>
      <c r="AD258" s="17">
        <f>3%*X258</f>
        <v>102.11039999999998</v>
      </c>
      <c r="AE258" s="17">
        <f t="shared" si="76"/>
        <v>599.21039999999857</v>
      </c>
      <c r="AF258" s="17">
        <f t="shared" si="85"/>
        <v>95.873663999999778</v>
      </c>
      <c r="AG258" s="17">
        <f t="shared" si="77"/>
        <v>695.08406399999831</v>
      </c>
      <c r="AH258" s="17">
        <f t="shared" si="87"/>
        <v>11.984207999999972</v>
      </c>
      <c r="AI258" s="17">
        <v>0</v>
      </c>
      <c r="AJ258" s="17">
        <f t="shared" si="78"/>
        <v>11.984207999999972</v>
      </c>
      <c r="AK258" s="20"/>
      <c r="AL258" s="17">
        <f t="shared" si="79"/>
        <v>587.2261919999986</v>
      </c>
      <c r="AM258" s="17" t="s">
        <v>198</v>
      </c>
      <c r="AN258" s="21"/>
      <c r="AO258" s="17">
        <f t="shared" si="80"/>
        <v>0</v>
      </c>
      <c r="AP258" s="17"/>
      <c r="AQ258" s="16"/>
      <c r="AR258" s="17">
        <f t="shared" si="89"/>
        <v>0</v>
      </c>
      <c r="AS258" s="17"/>
      <c r="AT258" s="17">
        <f>118.45+576.634063999998</f>
        <v>695.08406399999808</v>
      </c>
      <c r="AU258" s="17">
        <v>695.08406399999808</v>
      </c>
      <c r="AV258" s="17">
        <f t="shared" si="82"/>
        <v>0</v>
      </c>
      <c r="AW258" s="17" t="str">
        <f t="shared" si="84"/>
        <v>ACTIVA</v>
      </c>
      <c r="AX258" s="22">
        <v>44748</v>
      </c>
      <c r="AY258" s="22"/>
      <c r="AZ258" s="1" t="s">
        <v>68</v>
      </c>
      <c r="BA258" s="22" t="str">
        <f t="shared" si="83"/>
        <v>COMP MOTOR</v>
      </c>
      <c r="BB258" s="26"/>
      <c r="BC258" s="22"/>
      <c r="BD258" s="22"/>
    </row>
    <row r="259" spans="1:56" ht="14.25" customHeight="1" x14ac:dyDescent="0.2">
      <c r="A259" s="1" t="s">
        <v>369</v>
      </c>
      <c r="B259" s="1" t="s">
        <v>57</v>
      </c>
      <c r="C259" s="13">
        <v>44663</v>
      </c>
      <c r="D259" s="13">
        <v>44678</v>
      </c>
      <c r="E259" s="13">
        <v>44666</v>
      </c>
      <c r="F259" s="13">
        <v>44810</v>
      </c>
      <c r="G259" s="14" t="str">
        <f t="shared" si="74"/>
        <v>000-258/AIB RDC/2022</v>
      </c>
      <c r="H259" s="1">
        <v>5</v>
      </c>
      <c r="I259" s="1" t="s">
        <v>91</v>
      </c>
      <c r="J259" s="1" t="s">
        <v>429</v>
      </c>
      <c r="K259" s="1" t="s">
        <v>335</v>
      </c>
      <c r="L259" s="1" t="s">
        <v>137</v>
      </c>
      <c r="M259" s="1" t="s">
        <v>84</v>
      </c>
      <c r="N259" s="1" t="s">
        <v>84</v>
      </c>
      <c r="O259" s="1" t="s">
        <v>152</v>
      </c>
      <c r="P259" s="1" t="s">
        <v>153</v>
      </c>
      <c r="Q259" s="1" t="s">
        <v>130</v>
      </c>
      <c r="R259" s="1" t="s">
        <v>130</v>
      </c>
      <c r="S259" s="17">
        <v>0</v>
      </c>
      <c r="T259" s="17">
        <v>1428.29</v>
      </c>
      <c r="U259" s="17">
        <v>0</v>
      </c>
      <c r="V259" s="17">
        <v>0</v>
      </c>
      <c r="W259" s="17">
        <v>17.89</v>
      </c>
      <c r="X259" s="17">
        <v>1192.52</v>
      </c>
      <c r="Y259" s="17">
        <v>193.67</v>
      </c>
      <c r="Z259" s="18" t="e">
        <f t="shared" si="75"/>
        <v>#DIV/0!</v>
      </c>
      <c r="AA259" s="19">
        <v>0.15</v>
      </c>
      <c r="AB259" s="17">
        <f t="shared" si="88"/>
        <v>178.87799999999999</v>
      </c>
      <c r="AC259" s="17">
        <v>0</v>
      </c>
      <c r="AD259" s="17">
        <v>0</v>
      </c>
      <c r="AE259" s="17">
        <f t="shared" si="76"/>
        <v>178.87799999999999</v>
      </c>
      <c r="AF259" s="17">
        <f t="shared" si="85"/>
        <v>28.620479999999997</v>
      </c>
      <c r="AG259" s="17">
        <f t="shared" si="77"/>
        <v>207.49847999999997</v>
      </c>
      <c r="AH259" s="17">
        <f t="shared" si="87"/>
        <v>3.5775599999999996</v>
      </c>
      <c r="AI259" s="17">
        <v>0</v>
      </c>
      <c r="AJ259" s="17">
        <f t="shared" si="78"/>
        <v>3.5775599999999996</v>
      </c>
      <c r="AK259" s="20"/>
      <c r="AL259" s="17">
        <f t="shared" si="79"/>
        <v>175.30043999999998</v>
      </c>
      <c r="AM259" s="17" t="s">
        <v>430</v>
      </c>
      <c r="AN259" s="21">
        <v>0.5</v>
      </c>
      <c r="AO259" s="17">
        <f t="shared" si="80"/>
        <v>87.65021999999999</v>
      </c>
      <c r="AP259" s="17">
        <v>87.65021999999999</v>
      </c>
      <c r="AQ259" s="16">
        <v>44809</v>
      </c>
      <c r="AR259" s="17">
        <f t="shared" si="89"/>
        <v>0</v>
      </c>
      <c r="AS259" s="17" t="s">
        <v>431</v>
      </c>
      <c r="AT259" s="17">
        <v>207.49847999999997</v>
      </c>
      <c r="AU259" s="17">
        <f t="shared" ref="AU259:AU277" si="90">AG259</f>
        <v>207.49847999999997</v>
      </c>
      <c r="AV259" s="17">
        <f t="shared" si="82"/>
        <v>0</v>
      </c>
      <c r="AW259" s="17" t="str">
        <f t="shared" si="84"/>
        <v>SFA</v>
      </c>
      <c r="AX259" s="22">
        <v>44699</v>
      </c>
      <c r="AY259" s="22"/>
      <c r="AZ259" s="1" t="s">
        <v>68</v>
      </c>
      <c r="BA259" s="22" t="str">
        <f t="shared" si="83"/>
        <v>COMP MOTOR</v>
      </c>
      <c r="BB259" s="22"/>
      <c r="BC259" s="22"/>
      <c r="BD259" s="22"/>
    </row>
    <row r="260" spans="1:56" ht="14.25" customHeight="1" x14ac:dyDescent="0.2">
      <c r="A260" s="1" t="s">
        <v>369</v>
      </c>
      <c r="B260" s="1" t="s">
        <v>57</v>
      </c>
      <c r="C260" s="13">
        <v>44671</v>
      </c>
      <c r="D260" s="13">
        <v>44673</v>
      </c>
      <c r="E260" s="13">
        <v>44674</v>
      </c>
      <c r="F260" s="13">
        <v>45038</v>
      </c>
      <c r="G260" s="14" t="str">
        <f t="shared" si="74"/>
        <v>000-259/AIB RDC/2022</v>
      </c>
      <c r="H260" s="1">
        <v>0</v>
      </c>
      <c r="I260" s="1" t="s">
        <v>74</v>
      </c>
      <c r="J260" s="44" t="s">
        <v>519</v>
      </c>
      <c r="K260" s="1" t="s">
        <v>345</v>
      </c>
      <c r="L260" s="1" t="s">
        <v>137</v>
      </c>
      <c r="M260" s="1" t="s">
        <v>84</v>
      </c>
      <c r="N260" s="1" t="s">
        <v>84</v>
      </c>
      <c r="O260" s="1" t="s">
        <v>73</v>
      </c>
      <c r="P260" s="1" t="s">
        <v>73</v>
      </c>
      <c r="Q260" s="1" t="s">
        <v>107</v>
      </c>
      <c r="R260" s="1" t="s">
        <v>107</v>
      </c>
      <c r="S260" s="17">
        <v>0</v>
      </c>
      <c r="T260" s="17">
        <v>308755.21999999997</v>
      </c>
      <c r="U260" s="17">
        <v>0</v>
      </c>
      <c r="V260" s="17">
        <v>0</v>
      </c>
      <c r="W260" s="17">
        <f>500+300+100+100</f>
        <v>1000</v>
      </c>
      <c r="X260" s="17">
        <v>260657.93</v>
      </c>
      <c r="Y260" s="17">
        <f>15444.88+15341.67+2665.6+8413.09</f>
        <v>41865.240000000005</v>
      </c>
      <c r="Z260" s="18" t="e">
        <f t="shared" si="75"/>
        <v>#DIV/0!</v>
      </c>
      <c r="AA260" s="19">
        <v>0.1</v>
      </c>
      <c r="AB260" s="17">
        <f t="shared" si="88"/>
        <v>26065.793000000001</v>
      </c>
      <c r="AC260" s="17"/>
      <c r="AD260" s="17"/>
      <c r="AE260" s="17">
        <f t="shared" si="76"/>
        <v>26065.793000000001</v>
      </c>
      <c r="AF260" s="17">
        <f t="shared" ref="AF260:AF291" si="91">16%*AE260</f>
        <v>4170.5268800000003</v>
      </c>
      <c r="AG260" s="17">
        <f t="shared" si="77"/>
        <v>30236.319880000003</v>
      </c>
      <c r="AH260" s="17">
        <f t="shared" si="87"/>
        <v>521.31586000000004</v>
      </c>
      <c r="AI260" s="17">
        <v>0</v>
      </c>
      <c r="AJ260" s="17">
        <f t="shared" si="78"/>
        <v>521.31586000000004</v>
      </c>
      <c r="AK260" s="20"/>
      <c r="AL260" s="17">
        <f t="shared" si="79"/>
        <v>25544.477140000003</v>
      </c>
      <c r="AM260" s="17"/>
      <c r="AN260" s="21"/>
      <c r="AO260" s="17">
        <f t="shared" si="80"/>
        <v>0</v>
      </c>
      <c r="AP260" s="17"/>
      <c r="AQ260" s="16"/>
      <c r="AR260" s="17">
        <f t="shared" si="89"/>
        <v>0</v>
      </c>
      <c r="AS260" s="17"/>
      <c r="AT260" s="17">
        <v>30236.319880000003</v>
      </c>
      <c r="AU260" s="17">
        <f t="shared" si="90"/>
        <v>30236.319880000003</v>
      </c>
      <c r="AV260" s="17">
        <f t="shared" si="82"/>
        <v>0</v>
      </c>
      <c r="AW260" s="17" t="str">
        <f t="shared" si="84"/>
        <v>RAWSUR</v>
      </c>
      <c r="AX260" s="22">
        <v>44797</v>
      </c>
      <c r="AY260" s="22"/>
      <c r="AZ260" s="1" t="s">
        <v>68</v>
      </c>
      <c r="BA260" s="22" t="str">
        <f t="shared" si="83"/>
        <v>MOTOR TPL</v>
      </c>
      <c r="BB260" s="22"/>
      <c r="BC260" s="22"/>
      <c r="BD260" s="22"/>
    </row>
    <row r="261" spans="1:56" ht="14.25" customHeight="1" x14ac:dyDescent="0.2">
      <c r="A261" s="1" t="s">
        <v>496</v>
      </c>
      <c r="B261" s="1" t="s">
        <v>57</v>
      </c>
      <c r="C261" s="13">
        <v>44671</v>
      </c>
      <c r="D261" s="13">
        <v>44684</v>
      </c>
      <c r="E261" s="13">
        <v>44682</v>
      </c>
      <c r="F261" s="13">
        <v>44742</v>
      </c>
      <c r="G261" s="14" t="str">
        <f t="shared" si="74"/>
        <v>000-260/AIB RDC/2022</v>
      </c>
      <c r="H261" s="1">
        <v>2</v>
      </c>
      <c r="I261" s="1" t="s">
        <v>217</v>
      </c>
      <c r="J261" s="1" t="s">
        <v>520</v>
      </c>
      <c r="K261" s="1" t="s">
        <v>365</v>
      </c>
      <c r="L261" s="1" t="s">
        <v>366</v>
      </c>
      <c r="M261" s="1" t="s">
        <v>84</v>
      </c>
      <c r="N261" s="1" t="s">
        <v>84</v>
      </c>
      <c r="O261" s="1" t="s">
        <v>281</v>
      </c>
      <c r="P261" s="1" t="s">
        <v>166</v>
      </c>
      <c r="Q261" s="1" t="s">
        <v>130</v>
      </c>
      <c r="R261" s="1" t="s">
        <v>130</v>
      </c>
      <c r="S261" s="17">
        <v>0</v>
      </c>
      <c r="T261" s="17">
        <v>2061.6</v>
      </c>
      <c r="U261" s="17">
        <v>0</v>
      </c>
      <c r="V261" s="17">
        <v>0</v>
      </c>
      <c r="W261" s="17">
        <v>20</v>
      </c>
      <c r="X261" s="17">
        <v>1727.12</v>
      </c>
      <c r="Y261" s="17">
        <v>279.54000000000002</v>
      </c>
      <c r="Z261" s="18" t="e">
        <f t="shared" si="75"/>
        <v>#DIV/0!</v>
      </c>
      <c r="AA261" s="19">
        <v>0.15</v>
      </c>
      <c r="AB261" s="17">
        <f t="shared" si="88"/>
        <v>259.06799999999998</v>
      </c>
      <c r="AC261" s="17"/>
      <c r="AD261" s="17"/>
      <c r="AE261" s="17">
        <f t="shared" si="76"/>
        <v>259.06799999999998</v>
      </c>
      <c r="AF261" s="17">
        <f t="shared" si="91"/>
        <v>41.450879999999998</v>
      </c>
      <c r="AG261" s="17">
        <f t="shared" si="77"/>
        <v>300.51887999999997</v>
      </c>
      <c r="AH261" s="17">
        <f t="shared" si="87"/>
        <v>5.1813599999999997</v>
      </c>
      <c r="AI261" s="17">
        <v>0</v>
      </c>
      <c r="AJ261" s="17">
        <f t="shared" si="78"/>
        <v>5.1813599999999997</v>
      </c>
      <c r="AK261" s="20"/>
      <c r="AL261" s="17">
        <f t="shared" si="79"/>
        <v>253.88663999999997</v>
      </c>
      <c r="AM261" s="17"/>
      <c r="AN261" s="21"/>
      <c r="AO261" s="17">
        <f t="shared" si="80"/>
        <v>0</v>
      </c>
      <c r="AP261" s="17"/>
      <c r="AQ261" s="16"/>
      <c r="AR261" s="17">
        <f t="shared" si="89"/>
        <v>0</v>
      </c>
      <c r="AS261" s="17"/>
      <c r="AT261" s="17">
        <v>300.51887999999997</v>
      </c>
      <c r="AU261" s="17">
        <f t="shared" si="90"/>
        <v>300.51887999999997</v>
      </c>
      <c r="AV261" s="17">
        <f t="shared" si="82"/>
        <v>0</v>
      </c>
      <c r="AW261" s="17" t="str">
        <f t="shared" si="84"/>
        <v>SFA</v>
      </c>
      <c r="AX261" s="22">
        <v>44735</v>
      </c>
      <c r="AY261" s="22"/>
      <c r="AZ261" s="1" t="s">
        <v>367</v>
      </c>
      <c r="BA261" s="22" t="str">
        <f t="shared" si="83"/>
        <v>TRC</v>
      </c>
      <c r="BB261" s="22"/>
      <c r="BC261" s="22"/>
      <c r="BD261" s="22"/>
    </row>
    <row r="262" spans="1:56" ht="14.25" customHeight="1" x14ac:dyDescent="0.2">
      <c r="A262" s="1" t="s">
        <v>496</v>
      </c>
      <c r="B262" s="1" t="s">
        <v>57</v>
      </c>
      <c r="C262" s="13">
        <v>44671</v>
      </c>
      <c r="D262" s="13">
        <v>44684</v>
      </c>
      <c r="E262" s="13">
        <v>44682</v>
      </c>
      <c r="F262" s="13">
        <v>44742</v>
      </c>
      <c r="G262" s="14" t="str">
        <f t="shared" si="74"/>
        <v>000-261/AIB RDC/2022</v>
      </c>
      <c r="H262" s="1">
        <v>3</v>
      </c>
      <c r="I262" s="1" t="s">
        <v>217</v>
      </c>
      <c r="J262" s="1" t="s">
        <v>364</v>
      </c>
      <c r="K262" s="1" t="s">
        <v>365</v>
      </c>
      <c r="L262" s="1" t="s">
        <v>366</v>
      </c>
      <c r="M262" s="1" t="s">
        <v>84</v>
      </c>
      <c r="N262" s="1" t="s">
        <v>84</v>
      </c>
      <c r="O262" s="1" t="s">
        <v>281</v>
      </c>
      <c r="P262" s="1" t="s">
        <v>166</v>
      </c>
      <c r="Q262" s="1" t="s">
        <v>130</v>
      </c>
      <c r="R262" s="1" t="s">
        <v>130</v>
      </c>
      <c r="S262" s="17">
        <v>0</v>
      </c>
      <c r="T262" s="17">
        <v>3903.78</v>
      </c>
      <c r="U262" s="17">
        <v>0</v>
      </c>
      <c r="V262" s="17">
        <v>0</v>
      </c>
      <c r="W262" s="17">
        <v>26.41</v>
      </c>
      <c r="X262" s="17">
        <v>3281.88</v>
      </c>
      <c r="Y262" s="17">
        <v>529.33000000000004</v>
      </c>
      <c r="Z262" s="18" t="e">
        <f t="shared" si="75"/>
        <v>#DIV/0!</v>
      </c>
      <c r="AA262" s="19">
        <v>0.15</v>
      </c>
      <c r="AB262" s="17">
        <f t="shared" si="88"/>
        <v>492.28199999999998</v>
      </c>
      <c r="AC262" s="17"/>
      <c r="AD262" s="17"/>
      <c r="AE262" s="17">
        <f t="shared" si="76"/>
        <v>492.28199999999998</v>
      </c>
      <c r="AF262" s="17">
        <f t="shared" si="91"/>
        <v>78.765119999999996</v>
      </c>
      <c r="AG262" s="17">
        <f t="shared" si="77"/>
        <v>571.04711999999995</v>
      </c>
      <c r="AH262" s="17">
        <f t="shared" si="87"/>
        <v>9.8456399999999995</v>
      </c>
      <c r="AI262" s="17">
        <v>0</v>
      </c>
      <c r="AJ262" s="17">
        <f t="shared" si="78"/>
        <v>9.8456399999999995</v>
      </c>
      <c r="AK262" s="20"/>
      <c r="AL262" s="17">
        <f t="shared" si="79"/>
        <v>482.43635999999998</v>
      </c>
      <c r="AM262" s="17"/>
      <c r="AN262" s="21"/>
      <c r="AO262" s="17">
        <f t="shared" si="80"/>
        <v>0</v>
      </c>
      <c r="AP262" s="17"/>
      <c r="AQ262" s="16"/>
      <c r="AR262" s="17">
        <f t="shared" si="89"/>
        <v>0</v>
      </c>
      <c r="AS262" s="17"/>
      <c r="AT262" s="17">
        <v>571.04711999999995</v>
      </c>
      <c r="AU262" s="17">
        <f t="shared" si="90"/>
        <v>571.04711999999995</v>
      </c>
      <c r="AV262" s="17">
        <f t="shared" si="82"/>
        <v>0</v>
      </c>
      <c r="AW262" s="17" t="str">
        <f t="shared" si="84"/>
        <v>SFA</v>
      </c>
      <c r="AX262" s="22">
        <v>44735</v>
      </c>
      <c r="AY262" s="22"/>
      <c r="AZ262" s="1" t="s">
        <v>367</v>
      </c>
      <c r="BA262" s="22" t="str">
        <f t="shared" si="83"/>
        <v>TRC</v>
      </c>
      <c r="BB262" s="22"/>
      <c r="BC262" s="22"/>
      <c r="BD262" s="22"/>
    </row>
    <row r="263" spans="1:56" ht="14.25" customHeight="1" x14ac:dyDescent="0.2">
      <c r="A263" s="1" t="s">
        <v>496</v>
      </c>
      <c r="B263" s="1" t="s">
        <v>57</v>
      </c>
      <c r="C263" s="13">
        <v>44659</v>
      </c>
      <c r="D263" s="13">
        <v>44659</v>
      </c>
      <c r="E263" s="13">
        <v>44689</v>
      </c>
      <c r="F263" s="13">
        <v>44697</v>
      </c>
      <c r="G263" s="14" t="str">
        <f t="shared" si="74"/>
        <v>000-262/AIB RDC/2022</v>
      </c>
      <c r="H263" s="1">
        <v>0</v>
      </c>
      <c r="I263" s="1" t="s">
        <v>74</v>
      </c>
      <c r="J263" s="1" t="s">
        <v>521</v>
      </c>
      <c r="K263" s="1" t="s">
        <v>522</v>
      </c>
      <c r="L263" s="1" t="s">
        <v>94</v>
      </c>
      <c r="M263" s="1" t="s">
        <v>84</v>
      </c>
      <c r="N263" s="1" t="s">
        <v>84</v>
      </c>
      <c r="O263" s="1" t="s">
        <v>240</v>
      </c>
      <c r="P263" s="1" t="s">
        <v>98</v>
      </c>
      <c r="Q263" s="1" t="s">
        <v>86</v>
      </c>
      <c r="R263" s="1" t="s">
        <v>86</v>
      </c>
      <c r="S263" s="17">
        <v>0</v>
      </c>
      <c r="T263" s="17">
        <v>15.22</v>
      </c>
      <c r="U263" s="17">
        <v>0</v>
      </c>
      <c r="V263" s="17">
        <v>0</v>
      </c>
      <c r="W263" s="17">
        <v>0.26</v>
      </c>
      <c r="X263" s="17">
        <v>12.86</v>
      </c>
      <c r="Y263" s="17">
        <v>2.1</v>
      </c>
      <c r="Z263" s="18" t="e">
        <f t="shared" si="75"/>
        <v>#DIV/0!</v>
      </c>
      <c r="AA263" s="19">
        <v>0.2</v>
      </c>
      <c r="AB263" s="17">
        <f t="shared" si="88"/>
        <v>2.5720000000000001</v>
      </c>
      <c r="AC263" s="17"/>
      <c r="AD263" s="17"/>
      <c r="AE263" s="17">
        <f t="shared" si="76"/>
        <v>2.5720000000000001</v>
      </c>
      <c r="AF263" s="17">
        <f t="shared" si="91"/>
        <v>0.41152</v>
      </c>
      <c r="AG263" s="17">
        <f t="shared" si="77"/>
        <v>2.9835199999999999</v>
      </c>
      <c r="AH263" s="17">
        <f t="shared" si="87"/>
        <v>5.144E-2</v>
      </c>
      <c r="AI263" s="17">
        <v>0</v>
      </c>
      <c r="AJ263" s="17">
        <f t="shared" si="78"/>
        <v>5.144E-2</v>
      </c>
      <c r="AK263" s="20"/>
      <c r="AL263" s="17">
        <f t="shared" si="79"/>
        <v>2.5205600000000001</v>
      </c>
      <c r="AM263" s="17"/>
      <c r="AN263" s="21"/>
      <c r="AO263" s="17">
        <f t="shared" si="80"/>
        <v>0</v>
      </c>
      <c r="AP263" s="17"/>
      <c r="AQ263" s="16"/>
      <c r="AR263" s="17">
        <f t="shared" si="89"/>
        <v>0</v>
      </c>
      <c r="AS263" s="17"/>
      <c r="AT263" s="17">
        <v>2.9835199999999999</v>
      </c>
      <c r="AU263" s="17">
        <f t="shared" si="90"/>
        <v>2.9835199999999999</v>
      </c>
      <c r="AV263" s="17">
        <f t="shared" si="82"/>
        <v>0</v>
      </c>
      <c r="AW263" s="17" t="str">
        <f t="shared" si="84"/>
        <v>SUNU</v>
      </c>
      <c r="AX263" s="22">
        <v>44711</v>
      </c>
      <c r="AY263" s="22"/>
      <c r="AZ263" s="1" t="s">
        <v>110</v>
      </c>
      <c r="BA263" s="22" t="str">
        <f t="shared" si="83"/>
        <v>TRAVEL</v>
      </c>
      <c r="BB263" s="22"/>
      <c r="BC263" s="22"/>
      <c r="BD263" s="22"/>
    </row>
    <row r="264" spans="1:56" ht="14.25" customHeight="1" x14ac:dyDescent="0.2">
      <c r="A264" s="1" t="s">
        <v>439</v>
      </c>
      <c r="B264" s="1" t="s">
        <v>57</v>
      </c>
      <c r="C264" s="13">
        <v>44803</v>
      </c>
      <c r="D264" s="13">
        <v>44802</v>
      </c>
      <c r="E264" s="13">
        <v>44802</v>
      </c>
      <c r="F264" s="13">
        <v>44957</v>
      </c>
      <c r="G264" s="14" t="str">
        <f t="shared" si="74"/>
        <v>000-263/AIB RDC/2022</v>
      </c>
      <c r="H264" s="1">
        <v>17</v>
      </c>
      <c r="I264" s="1" t="s">
        <v>91</v>
      </c>
      <c r="J264" s="1" t="s">
        <v>523</v>
      </c>
      <c r="K264" s="1" t="s">
        <v>285</v>
      </c>
      <c r="L264" s="1" t="s">
        <v>83</v>
      </c>
      <c r="M264" s="1" t="s">
        <v>84</v>
      </c>
      <c r="N264" s="1" t="s">
        <v>85</v>
      </c>
      <c r="O264" s="1" t="s">
        <v>152</v>
      </c>
      <c r="P264" s="1" t="s">
        <v>153</v>
      </c>
      <c r="Q264" s="1" t="s">
        <v>66</v>
      </c>
      <c r="R264" s="1" t="s">
        <v>66</v>
      </c>
      <c r="S264" s="17">
        <v>169084.31</v>
      </c>
      <c r="T264" s="17">
        <v>4086.17</v>
      </c>
      <c r="U264" s="17">
        <v>0</v>
      </c>
      <c r="V264" s="17">
        <v>0</v>
      </c>
      <c r="W264" s="17">
        <v>34.880000000000003</v>
      </c>
      <c r="X264" s="17">
        <v>3487.69</v>
      </c>
      <c r="Y264" s="17">
        <v>563.6</v>
      </c>
      <c r="Z264" s="18">
        <f t="shared" si="75"/>
        <v>2.4166464647133731E-2</v>
      </c>
      <c r="AA264" s="19">
        <v>0.14515338232469099</v>
      </c>
      <c r="AB264" s="17">
        <f t="shared" si="88"/>
        <v>506.25000000000153</v>
      </c>
      <c r="AC264" s="17">
        <v>0</v>
      </c>
      <c r="AD264" s="17">
        <f>3%*X264</f>
        <v>104.6307</v>
      </c>
      <c r="AE264" s="17">
        <f t="shared" si="76"/>
        <v>610.88070000000153</v>
      </c>
      <c r="AF264" s="17">
        <f t="shared" si="91"/>
        <v>97.74091200000025</v>
      </c>
      <c r="AG264" s="17">
        <f t="shared" si="77"/>
        <v>708.62161200000173</v>
      </c>
      <c r="AH264" s="17">
        <f t="shared" si="87"/>
        <v>12.217614000000031</v>
      </c>
      <c r="AI264" s="17">
        <v>0</v>
      </c>
      <c r="AJ264" s="17">
        <f t="shared" si="78"/>
        <v>12.217614000000031</v>
      </c>
      <c r="AK264" s="20"/>
      <c r="AL264" s="17">
        <f t="shared" si="79"/>
        <v>598.6630860000015</v>
      </c>
      <c r="AM264" s="17" t="s">
        <v>198</v>
      </c>
      <c r="AN264" s="21"/>
      <c r="AO264" s="17">
        <f t="shared" si="80"/>
        <v>0</v>
      </c>
      <c r="AP264" s="17"/>
      <c r="AQ264" s="16"/>
      <c r="AR264" s="17">
        <f t="shared" si="89"/>
        <v>0</v>
      </c>
      <c r="AS264" s="17"/>
      <c r="AT264" s="17">
        <v>708.62161200000173</v>
      </c>
      <c r="AU264" s="17">
        <f t="shared" si="90"/>
        <v>708.62161200000173</v>
      </c>
      <c r="AV264" s="17">
        <f t="shared" si="82"/>
        <v>0</v>
      </c>
      <c r="AW264" s="17" t="str">
        <f t="shared" si="84"/>
        <v>ACTIVA</v>
      </c>
      <c r="AX264" s="22">
        <v>44831</v>
      </c>
      <c r="AY264" s="22"/>
      <c r="AZ264" s="1" t="s">
        <v>68</v>
      </c>
      <c r="BA264" s="22" t="str">
        <f t="shared" si="83"/>
        <v>COMP MOTOR</v>
      </c>
      <c r="BB264" s="22"/>
      <c r="BC264" s="22"/>
      <c r="BD264" s="1" t="s">
        <v>457</v>
      </c>
    </row>
    <row r="265" spans="1:56" ht="14.25" customHeight="1" x14ac:dyDescent="0.2">
      <c r="A265" s="1" t="s">
        <v>369</v>
      </c>
      <c r="B265" s="1" t="s">
        <v>57</v>
      </c>
      <c r="C265" s="13">
        <v>44655</v>
      </c>
      <c r="D265" s="13">
        <v>44662</v>
      </c>
      <c r="E265" s="13">
        <v>44658</v>
      </c>
      <c r="F265" s="13">
        <v>45022</v>
      </c>
      <c r="G265" s="14" t="str">
        <f t="shared" si="74"/>
        <v>000-264/AIB RDC/2022</v>
      </c>
      <c r="H265" s="1">
        <v>0</v>
      </c>
      <c r="I265" s="1" t="s">
        <v>74</v>
      </c>
      <c r="J265" s="1" t="s">
        <v>524</v>
      </c>
      <c r="K265" s="1" t="s">
        <v>525</v>
      </c>
      <c r="L265" s="1"/>
      <c r="M265" s="1" t="s">
        <v>105</v>
      </c>
      <c r="N265" s="1" t="s">
        <v>184</v>
      </c>
      <c r="O265" s="1" t="s">
        <v>70</v>
      </c>
      <c r="P265" s="1" t="s">
        <v>71</v>
      </c>
      <c r="Q265" s="1" t="s">
        <v>130</v>
      </c>
      <c r="R265" s="1" t="s">
        <v>130</v>
      </c>
      <c r="S265" s="17">
        <v>0</v>
      </c>
      <c r="T265" s="17">
        <v>6562.93</v>
      </c>
      <c r="U265" s="17">
        <v>0</v>
      </c>
      <c r="V265" s="17">
        <v>0</v>
      </c>
      <c r="W265" s="17"/>
      <c r="X265" s="17">
        <v>5524.18</v>
      </c>
      <c r="Y265" s="17"/>
      <c r="Z265" s="18" t="e">
        <f t="shared" si="75"/>
        <v>#DIV/0!</v>
      </c>
      <c r="AA265" s="19">
        <v>0.1</v>
      </c>
      <c r="AB265" s="17">
        <f t="shared" si="88"/>
        <v>552.41800000000001</v>
      </c>
      <c r="AC265" s="17"/>
      <c r="AD265" s="17"/>
      <c r="AE265" s="17">
        <f t="shared" si="76"/>
        <v>552.41800000000001</v>
      </c>
      <c r="AF265" s="17">
        <f t="shared" si="91"/>
        <v>88.386880000000005</v>
      </c>
      <c r="AG265" s="17">
        <f t="shared" si="77"/>
        <v>640.80488000000003</v>
      </c>
      <c r="AH265" s="17">
        <f t="shared" si="87"/>
        <v>11.048360000000001</v>
      </c>
      <c r="AI265" s="17"/>
      <c r="AJ265" s="17">
        <f t="shared" si="78"/>
        <v>11.048360000000001</v>
      </c>
      <c r="AK265" s="20"/>
      <c r="AL265" s="17">
        <f t="shared" si="79"/>
        <v>541.36964</v>
      </c>
      <c r="AM265" s="17"/>
      <c r="AN265" s="21"/>
      <c r="AO265" s="17">
        <f t="shared" si="80"/>
        <v>0</v>
      </c>
      <c r="AP265" s="17"/>
      <c r="AQ265" s="16"/>
      <c r="AR265" s="17">
        <f t="shared" si="89"/>
        <v>0</v>
      </c>
      <c r="AS265" s="17"/>
      <c r="AT265" s="17">
        <v>640.80488000000003</v>
      </c>
      <c r="AU265" s="17">
        <f t="shared" si="90"/>
        <v>640.80488000000003</v>
      </c>
      <c r="AV265" s="17">
        <f t="shared" si="82"/>
        <v>0</v>
      </c>
      <c r="AW265" s="17" t="str">
        <f t="shared" si="84"/>
        <v>SFA</v>
      </c>
      <c r="AX265" s="22">
        <v>44699</v>
      </c>
      <c r="AY265" s="22"/>
      <c r="AZ265" s="1" t="s">
        <v>68</v>
      </c>
      <c r="BA265" s="22" t="str">
        <f t="shared" si="83"/>
        <v>FIRE</v>
      </c>
      <c r="BB265" s="22"/>
      <c r="BC265" s="22"/>
      <c r="BD265" s="22"/>
    </row>
    <row r="266" spans="1:56" ht="14.25" customHeight="1" x14ac:dyDescent="0.2">
      <c r="A266" s="1" t="s">
        <v>369</v>
      </c>
      <c r="B266" s="1" t="s">
        <v>57</v>
      </c>
      <c r="C266" s="13">
        <v>44663</v>
      </c>
      <c r="D266" s="13">
        <v>44679</v>
      </c>
      <c r="E266" s="13">
        <v>44679</v>
      </c>
      <c r="F266" s="13">
        <v>44724</v>
      </c>
      <c r="G266" s="14" t="str">
        <f t="shared" si="74"/>
        <v>000-265/AIB RDC/2022</v>
      </c>
      <c r="H266" s="1">
        <v>1</v>
      </c>
      <c r="I266" s="1" t="s">
        <v>91</v>
      </c>
      <c r="J266" s="1" t="s">
        <v>526</v>
      </c>
      <c r="K266" s="1" t="s">
        <v>527</v>
      </c>
      <c r="L266" s="1"/>
      <c r="M266" s="1" t="s">
        <v>105</v>
      </c>
      <c r="N266" s="1" t="s">
        <v>184</v>
      </c>
      <c r="O266" s="1" t="s">
        <v>152</v>
      </c>
      <c r="P266" s="1" t="s">
        <v>153</v>
      </c>
      <c r="Q266" s="1" t="s">
        <v>130</v>
      </c>
      <c r="R266" s="1" t="s">
        <v>130</v>
      </c>
      <c r="S266" s="17">
        <v>0</v>
      </c>
      <c r="T266" s="17">
        <v>770.99</v>
      </c>
      <c r="U266" s="17">
        <v>0</v>
      </c>
      <c r="V266" s="17">
        <v>0</v>
      </c>
      <c r="W266" s="17">
        <v>9.66</v>
      </c>
      <c r="X266" s="17">
        <v>643.72</v>
      </c>
      <c r="Y266" s="17">
        <v>104.54</v>
      </c>
      <c r="Z266" s="18" t="e">
        <f t="shared" si="75"/>
        <v>#DIV/0!</v>
      </c>
      <c r="AA266" s="19">
        <v>0.15</v>
      </c>
      <c r="AB266" s="17">
        <f t="shared" si="88"/>
        <v>96.558000000000007</v>
      </c>
      <c r="AC266" s="17">
        <v>0</v>
      </c>
      <c r="AD266" s="17">
        <v>0</v>
      </c>
      <c r="AE266" s="17">
        <f t="shared" si="76"/>
        <v>96.558000000000007</v>
      </c>
      <c r="AF266" s="17">
        <f t="shared" si="91"/>
        <v>15.449280000000002</v>
      </c>
      <c r="AG266" s="17">
        <f t="shared" si="77"/>
        <v>112.00728000000001</v>
      </c>
      <c r="AH266" s="17">
        <f t="shared" si="87"/>
        <v>1.9311600000000002</v>
      </c>
      <c r="AI266" s="17"/>
      <c r="AJ266" s="17">
        <f t="shared" si="78"/>
        <v>1.9311600000000002</v>
      </c>
      <c r="AK266" s="20"/>
      <c r="AL266" s="17">
        <f t="shared" si="79"/>
        <v>94.626840000000001</v>
      </c>
      <c r="AM266" s="17"/>
      <c r="AN266" s="21"/>
      <c r="AO266" s="17">
        <f t="shared" si="80"/>
        <v>0</v>
      </c>
      <c r="AP266" s="17"/>
      <c r="AQ266" s="16"/>
      <c r="AR266" s="17">
        <f t="shared" si="89"/>
        <v>0</v>
      </c>
      <c r="AS266" s="17"/>
      <c r="AT266" s="17">
        <v>112.00728000000001</v>
      </c>
      <c r="AU266" s="17">
        <f t="shared" si="90"/>
        <v>112.00728000000001</v>
      </c>
      <c r="AV266" s="17">
        <f t="shared" si="82"/>
        <v>0</v>
      </c>
      <c r="AW266" s="17" t="str">
        <f t="shared" si="84"/>
        <v>SFA</v>
      </c>
      <c r="AX266" s="22">
        <v>44699</v>
      </c>
      <c r="AY266" s="22"/>
      <c r="AZ266" s="1" t="s">
        <v>68</v>
      </c>
      <c r="BA266" s="22" t="str">
        <f t="shared" si="83"/>
        <v>COMP MOTOR</v>
      </c>
      <c r="BB266" s="22"/>
      <c r="BC266" s="22"/>
      <c r="BD266" s="22"/>
    </row>
    <row r="267" spans="1:56" ht="14.25" customHeight="1" x14ac:dyDescent="0.2">
      <c r="A267" s="1" t="s">
        <v>369</v>
      </c>
      <c r="B267" s="1" t="s">
        <v>57</v>
      </c>
      <c r="C267" s="13">
        <v>44669</v>
      </c>
      <c r="D267" s="13">
        <v>44677</v>
      </c>
      <c r="E267" s="13">
        <v>44676</v>
      </c>
      <c r="F267" s="13">
        <v>44705</v>
      </c>
      <c r="G267" s="14" t="str">
        <f t="shared" si="74"/>
        <v>000-266/AIB RDC/2022</v>
      </c>
      <c r="H267" s="1">
        <v>0</v>
      </c>
      <c r="I267" s="1" t="s">
        <v>74</v>
      </c>
      <c r="J267" s="1" t="s">
        <v>528</v>
      </c>
      <c r="K267" s="1" t="s">
        <v>117</v>
      </c>
      <c r="L267" s="1" t="s">
        <v>118</v>
      </c>
      <c r="M267" s="1" t="s">
        <v>105</v>
      </c>
      <c r="N267" s="1" t="s">
        <v>184</v>
      </c>
      <c r="O267" s="1" t="s">
        <v>64</v>
      </c>
      <c r="P267" s="1" t="s">
        <v>65</v>
      </c>
      <c r="Q267" s="1" t="s">
        <v>66</v>
      </c>
      <c r="R267" s="1" t="s">
        <v>66</v>
      </c>
      <c r="S267" s="17">
        <v>0</v>
      </c>
      <c r="T267" s="17">
        <v>38.4</v>
      </c>
      <c r="U267" s="17">
        <v>0</v>
      </c>
      <c r="V267" s="17">
        <v>0</v>
      </c>
      <c r="W267" s="17">
        <v>10</v>
      </c>
      <c r="X267" s="17">
        <v>23.1</v>
      </c>
      <c r="Y267" s="17">
        <f>(X267+W267)*0.16</f>
        <v>5.2960000000000003</v>
      </c>
      <c r="Z267" s="18" t="e">
        <f t="shared" si="75"/>
        <v>#DIV/0!</v>
      </c>
      <c r="AA267" s="19">
        <v>0.15</v>
      </c>
      <c r="AB267" s="17">
        <f t="shared" si="88"/>
        <v>3.4650000000000003</v>
      </c>
      <c r="AC267" s="17">
        <v>0</v>
      </c>
      <c r="AD267" s="17">
        <v>0</v>
      </c>
      <c r="AE267" s="17">
        <f t="shared" si="76"/>
        <v>3.4650000000000003</v>
      </c>
      <c r="AF267" s="17">
        <f t="shared" si="91"/>
        <v>0.55440000000000011</v>
      </c>
      <c r="AG267" s="17">
        <f t="shared" si="77"/>
        <v>4.0194000000000001</v>
      </c>
      <c r="AH267" s="17">
        <f t="shared" si="87"/>
        <v>6.9300000000000014E-2</v>
      </c>
      <c r="AI267" s="17">
        <v>0</v>
      </c>
      <c r="AJ267" s="17">
        <f t="shared" si="78"/>
        <v>6.9300000000000014E-2</v>
      </c>
      <c r="AK267" s="20"/>
      <c r="AL267" s="17">
        <f t="shared" si="79"/>
        <v>3.3957000000000002</v>
      </c>
      <c r="AM267" s="17"/>
      <c r="AN267" s="21"/>
      <c r="AO267" s="17">
        <f t="shared" si="80"/>
        <v>0</v>
      </c>
      <c r="AP267" s="17"/>
      <c r="AQ267" s="16"/>
      <c r="AR267" s="17">
        <f t="shared" si="89"/>
        <v>0</v>
      </c>
      <c r="AS267" s="17"/>
      <c r="AT267" s="17">
        <v>4.0194000000000001</v>
      </c>
      <c r="AU267" s="17">
        <f t="shared" si="90"/>
        <v>4.0194000000000001</v>
      </c>
      <c r="AV267" s="17">
        <f t="shared" si="82"/>
        <v>0</v>
      </c>
      <c r="AW267" s="17" t="str">
        <f t="shared" si="84"/>
        <v>ACTIVA</v>
      </c>
      <c r="AX267" s="22">
        <v>44701</v>
      </c>
      <c r="AY267" s="22"/>
      <c r="AZ267" s="1" t="s">
        <v>110</v>
      </c>
      <c r="BA267" s="22" t="str">
        <f t="shared" si="83"/>
        <v>MARINE CARGO / GIT</v>
      </c>
      <c r="BB267" s="22"/>
      <c r="BC267" s="22"/>
      <c r="BD267" s="22"/>
    </row>
    <row r="268" spans="1:56" ht="14.25" customHeight="1" x14ac:dyDescent="0.2">
      <c r="A268" s="1" t="s">
        <v>369</v>
      </c>
      <c r="B268" s="1" t="s">
        <v>57</v>
      </c>
      <c r="C268" s="13">
        <v>44663</v>
      </c>
      <c r="D268" s="13">
        <v>44679</v>
      </c>
      <c r="E268" s="13">
        <v>44678</v>
      </c>
      <c r="F268" s="13">
        <v>45042</v>
      </c>
      <c r="G268" s="14" t="str">
        <f t="shared" ref="G268:G331" si="92">TEXT(ROW(G268)-1,"000-000") &amp; "/AIB RDC/2022"</f>
        <v>000-267/AIB RDC/2022</v>
      </c>
      <c r="H268" s="1">
        <v>0</v>
      </c>
      <c r="I268" s="1" t="s">
        <v>74</v>
      </c>
      <c r="J268" s="1" t="s">
        <v>529</v>
      </c>
      <c r="K268" s="1" t="s">
        <v>530</v>
      </c>
      <c r="L268" s="1"/>
      <c r="M268" s="1" t="s">
        <v>105</v>
      </c>
      <c r="N268" s="1" t="s">
        <v>184</v>
      </c>
      <c r="O268" s="1" t="s">
        <v>70</v>
      </c>
      <c r="P268" s="1" t="s">
        <v>71</v>
      </c>
      <c r="Q268" s="1" t="s">
        <v>130</v>
      </c>
      <c r="R268" s="1" t="s">
        <v>130</v>
      </c>
      <c r="S268" s="17">
        <v>0</v>
      </c>
      <c r="T268" s="17">
        <v>508.64</v>
      </c>
      <c r="U268" s="17">
        <v>0</v>
      </c>
      <c r="V268" s="17">
        <v>0</v>
      </c>
      <c r="W268" s="17">
        <v>20</v>
      </c>
      <c r="X268" s="17">
        <v>411.05</v>
      </c>
      <c r="Y268" s="17">
        <v>68.97</v>
      </c>
      <c r="Z268" s="18" t="e">
        <f t="shared" ref="Z268:Z331" si="93">T268/S268</f>
        <v>#DIV/0!</v>
      </c>
      <c r="AA268" s="19">
        <v>0.1</v>
      </c>
      <c r="AB268" s="17">
        <f t="shared" si="88"/>
        <v>41.105000000000004</v>
      </c>
      <c r="AC268" s="17"/>
      <c r="AD268" s="17"/>
      <c r="AE268" s="17">
        <f t="shared" ref="AE268:AE331" si="94">SUM(AB268:AD268)</f>
        <v>41.105000000000004</v>
      </c>
      <c r="AF268" s="17">
        <f t="shared" si="91"/>
        <v>6.5768000000000004</v>
      </c>
      <c r="AG268" s="17">
        <f t="shared" ref="AG268:AG331" si="95">AF268+AE268</f>
        <v>47.681800000000003</v>
      </c>
      <c r="AH268" s="17">
        <f t="shared" si="87"/>
        <v>0.82210000000000005</v>
      </c>
      <c r="AI268" s="17"/>
      <c r="AJ268" s="17">
        <f t="shared" ref="AJ268:AJ331" si="96">AH268-AI268</f>
        <v>0.82210000000000005</v>
      </c>
      <c r="AK268" s="20"/>
      <c r="AL268" s="17">
        <f t="shared" ref="AL268:AL331" si="97">AE268-AH268</f>
        <v>40.282900000000005</v>
      </c>
      <c r="AM268" s="17"/>
      <c r="AN268" s="21"/>
      <c r="AO268" s="17">
        <f t="shared" ref="AO268:AO331" si="98">AL268*AN268</f>
        <v>0</v>
      </c>
      <c r="AP268" s="17"/>
      <c r="AQ268" s="16"/>
      <c r="AR268" s="17">
        <f t="shared" si="89"/>
        <v>0</v>
      </c>
      <c r="AS268" s="17"/>
      <c r="AT268" s="17">
        <v>47.681800000000003</v>
      </c>
      <c r="AU268" s="17">
        <f t="shared" si="90"/>
        <v>47.681800000000003</v>
      </c>
      <c r="AV268" s="17">
        <f t="shared" ref="AV268:AV331" si="99">AU268-AT268</f>
        <v>0</v>
      </c>
      <c r="AW268" s="17" t="str">
        <f t="shared" si="84"/>
        <v>SFA</v>
      </c>
      <c r="AX268" s="22">
        <v>44699</v>
      </c>
      <c r="AY268" s="22"/>
      <c r="AZ268" s="1" t="s">
        <v>100</v>
      </c>
      <c r="BA268" s="22" t="str">
        <f t="shared" ref="BA268:BA310" si="100">O268</f>
        <v>FIRE</v>
      </c>
      <c r="BB268" s="22"/>
      <c r="BC268" s="22"/>
      <c r="BD268" s="22"/>
    </row>
    <row r="269" spans="1:56" ht="14.25" customHeight="1" x14ac:dyDescent="0.2">
      <c r="A269" s="1" t="s">
        <v>369</v>
      </c>
      <c r="B269" s="1" t="s">
        <v>57</v>
      </c>
      <c r="C269" s="13">
        <v>44655</v>
      </c>
      <c r="D269" s="13">
        <v>44658</v>
      </c>
      <c r="E269" s="13">
        <v>44655</v>
      </c>
      <c r="F269" s="13">
        <v>44657</v>
      </c>
      <c r="G269" s="14" t="str">
        <f t="shared" si="92"/>
        <v>000-268/AIB RDC/2022</v>
      </c>
      <c r="H269" s="1">
        <v>0</v>
      </c>
      <c r="I269" s="1" t="s">
        <v>74</v>
      </c>
      <c r="J269" s="1" t="s">
        <v>531</v>
      </c>
      <c r="K269" s="1" t="s">
        <v>251</v>
      </c>
      <c r="L269" s="1"/>
      <c r="M269" s="1" t="s">
        <v>105</v>
      </c>
      <c r="N269" s="1" t="s">
        <v>106</v>
      </c>
      <c r="O269" s="1" t="s">
        <v>64</v>
      </c>
      <c r="P269" s="1" t="s">
        <v>65</v>
      </c>
      <c r="Q269" s="1" t="s">
        <v>130</v>
      </c>
      <c r="R269" s="1" t="s">
        <v>130</v>
      </c>
      <c r="S269" s="17">
        <v>416.5</v>
      </c>
      <c r="T269" s="17">
        <v>141.6</v>
      </c>
      <c r="U269" s="17">
        <v>0</v>
      </c>
      <c r="V269" s="17">
        <v>0</v>
      </c>
      <c r="W269" s="17"/>
      <c r="X269" s="17">
        <v>100</v>
      </c>
      <c r="Y269" s="17"/>
      <c r="Z269" s="18">
        <f t="shared" si="93"/>
        <v>0.33997599039615845</v>
      </c>
      <c r="AA269" s="19">
        <v>0.15</v>
      </c>
      <c r="AB269" s="17">
        <f t="shared" si="88"/>
        <v>15</v>
      </c>
      <c r="AC269" s="17"/>
      <c r="AD269" s="17"/>
      <c r="AE269" s="17">
        <f t="shared" si="94"/>
        <v>15</v>
      </c>
      <c r="AF269" s="17">
        <f t="shared" si="91"/>
        <v>2.4</v>
      </c>
      <c r="AG269" s="17">
        <f t="shared" si="95"/>
        <v>17.399999999999999</v>
      </c>
      <c r="AH269" s="17">
        <f t="shared" si="87"/>
        <v>0.3</v>
      </c>
      <c r="AI269" s="17"/>
      <c r="AJ269" s="17">
        <f t="shared" si="96"/>
        <v>0.3</v>
      </c>
      <c r="AK269" s="20"/>
      <c r="AL269" s="17">
        <f t="shared" si="97"/>
        <v>14.7</v>
      </c>
      <c r="AM269" s="17" t="s">
        <v>108</v>
      </c>
      <c r="AN269" s="21">
        <v>0.4</v>
      </c>
      <c r="AO269" s="17">
        <f t="shared" si="98"/>
        <v>5.88</v>
      </c>
      <c r="AP269" s="17">
        <v>5.88</v>
      </c>
      <c r="AQ269" s="16">
        <v>44834</v>
      </c>
      <c r="AR269" s="17">
        <f t="shared" si="89"/>
        <v>0</v>
      </c>
      <c r="AS269" s="17" t="s">
        <v>109</v>
      </c>
      <c r="AT269" s="17">
        <v>17.399999999999999</v>
      </c>
      <c r="AU269" s="17">
        <f t="shared" si="90"/>
        <v>17.399999999999999</v>
      </c>
      <c r="AV269" s="17">
        <f t="shared" si="99"/>
        <v>0</v>
      </c>
      <c r="AW269" s="17" t="str">
        <f t="shared" si="84"/>
        <v>SFA</v>
      </c>
      <c r="AX269" s="22">
        <v>44699</v>
      </c>
      <c r="AY269" s="22"/>
      <c r="AZ269" s="1" t="s">
        <v>110</v>
      </c>
      <c r="BA269" s="22" t="str">
        <f t="shared" si="100"/>
        <v>MARINE CARGO / GIT</v>
      </c>
      <c r="BB269" s="22"/>
      <c r="BC269" s="22"/>
      <c r="BD269" s="22"/>
    </row>
    <row r="270" spans="1:56" ht="14.25" customHeight="1" x14ac:dyDescent="0.2">
      <c r="A270" s="1" t="s">
        <v>369</v>
      </c>
      <c r="B270" s="1" t="s">
        <v>57</v>
      </c>
      <c r="C270" s="13">
        <v>44655</v>
      </c>
      <c r="D270" s="13">
        <v>44658</v>
      </c>
      <c r="E270" s="13">
        <v>44655</v>
      </c>
      <c r="F270" s="13">
        <v>44657</v>
      </c>
      <c r="G270" s="14" t="str">
        <f t="shared" si="92"/>
        <v>000-269/AIB RDC/2022</v>
      </c>
      <c r="H270" s="1">
        <v>0</v>
      </c>
      <c r="I270" s="1" t="s">
        <v>74</v>
      </c>
      <c r="J270" s="1" t="s">
        <v>532</v>
      </c>
      <c r="K270" s="1" t="s">
        <v>251</v>
      </c>
      <c r="L270" s="1"/>
      <c r="M270" s="1" t="s">
        <v>105</v>
      </c>
      <c r="N270" s="1" t="s">
        <v>106</v>
      </c>
      <c r="O270" s="1" t="s">
        <v>64</v>
      </c>
      <c r="P270" s="1" t="s">
        <v>65</v>
      </c>
      <c r="Q270" s="1" t="s">
        <v>130</v>
      </c>
      <c r="R270" s="1" t="s">
        <v>130</v>
      </c>
      <c r="S270" s="17">
        <v>309.58999999999997</v>
      </c>
      <c r="T270" s="17">
        <v>141.6</v>
      </c>
      <c r="U270" s="17">
        <v>0</v>
      </c>
      <c r="V270" s="17">
        <v>0</v>
      </c>
      <c r="W270" s="17"/>
      <c r="X270" s="17">
        <v>100</v>
      </c>
      <c r="Y270" s="17"/>
      <c r="Z270" s="18">
        <f t="shared" si="93"/>
        <v>0.4573791143124778</v>
      </c>
      <c r="AA270" s="19">
        <v>0.15</v>
      </c>
      <c r="AB270" s="17">
        <f t="shared" si="88"/>
        <v>15</v>
      </c>
      <c r="AC270" s="17"/>
      <c r="AD270" s="17"/>
      <c r="AE270" s="17">
        <f t="shared" si="94"/>
        <v>15</v>
      </c>
      <c r="AF270" s="17">
        <f t="shared" si="91"/>
        <v>2.4</v>
      </c>
      <c r="AG270" s="17">
        <f t="shared" si="95"/>
        <v>17.399999999999999</v>
      </c>
      <c r="AH270" s="17">
        <f t="shared" si="87"/>
        <v>0.3</v>
      </c>
      <c r="AI270" s="17"/>
      <c r="AJ270" s="17">
        <f t="shared" si="96"/>
        <v>0.3</v>
      </c>
      <c r="AK270" s="20"/>
      <c r="AL270" s="17">
        <f t="shared" si="97"/>
        <v>14.7</v>
      </c>
      <c r="AM270" s="17" t="s">
        <v>108</v>
      </c>
      <c r="AN270" s="21">
        <v>0.4</v>
      </c>
      <c r="AO270" s="17">
        <f t="shared" si="98"/>
        <v>5.88</v>
      </c>
      <c r="AP270" s="17">
        <v>5.88</v>
      </c>
      <c r="AQ270" s="16">
        <v>44834</v>
      </c>
      <c r="AR270" s="17">
        <f t="shared" si="89"/>
        <v>0</v>
      </c>
      <c r="AS270" s="17" t="s">
        <v>109</v>
      </c>
      <c r="AT270" s="17">
        <v>17.399999999999999</v>
      </c>
      <c r="AU270" s="17">
        <f t="shared" si="90"/>
        <v>17.399999999999999</v>
      </c>
      <c r="AV270" s="17">
        <f t="shared" si="99"/>
        <v>0</v>
      </c>
      <c r="AW270" s="17" t="str">
        <f t="shared" si="84"/>
        <v>SFA</v>
      </c>
      <c r="AX270" s="22">
        <v>44699</v>
      </c>
      <c r="AY270" s="22"/>
      <c r="AZ270" s="1" t="s">
        <v>110</v>
      </c>
      <c r="BA270" s="22" t="str">
        <f t="shared" si="100"/>
        <v>MARINE CARGO / GIT</v>
      </c>
      <c r="BB270" s="22"/>
      <c r="BC270" s="22"/>
      <c r="BD270" s="22"/>
    </row>
    <row r="271" spans="1:56" ht="14.25" customHeight="1" x14ac:dyDescent="0.2">
      <c r="A271" s="1" t="s">
        <v>369</v>
      </c>
      <c r="B271" s="1" t="s">
        <v>57</v>
      </c>
      <c r="C271" s="13">
        <v>44655</v>
      </c>
      <c r="D271" s="13">
        <v>44658</v>
      </c>
      <c r="E271" s="13">
        <v>44655</v>
      </c>
      <c r="F271" s="13">
        <v>44657</v>
      </c>
      <c r="G271" s="14" t="str">
        <f t="shared" si="92"/>
        <v>000-270/AIB RDC/2022</v>
      </c>
      <c r="H271" s="1">
        <v>0</v>
      </c>
      <c r="I271" s="1" t="s">
        <v>74</v>
      </c>
      <c r="J271" s="1" t="s">
        <v>533</v>
      </c>
      <c r="K271" s="1" t="s">
        <v>251</v>
      </c>
      <c r="L271" s="1"/>
      <c r="M271" s="1" t="s">
        <v>105</v>
      </c>
      <c r="N271" s="1" t="s">
        <v>106</v>
      </c>
      <c r="O271" s="1" t="s">
        <v>64</v>
      </c>
      <c r="P271" s="1" t="s">
        <v>65</v>
      </c>
      <c r="Q271" s="1" t="s">
        <v>130</v>
      </c>
      <c r="R271" s="1" t="s">
        <v>130</v>
      </c>
      <c r="S271" s="17">
        <v>950.43</v>
      </c>
      <c r="T271" s="17">
        <v>141.6</v>
      </c>
      <c r="U271" s="17">
        <v>0</v>
      </c>
      <c r="V271" s="17">
        <v>0</v>
      </c>
      <c r="W271" s="17"/>
      <c r="X271" s="17">
        <v>100</v>
      </c>
      <c r="Y271" s="17"/>
      <c r="Z271" s="18">
        <f t="shared" si="93"/>
        <v>0.14898519617436318</v>
      </c>
      <c r="AA271" s="19">
        <v>0.15</v>
      </c>
      <c r="AB271" s="17">
        <f t="shared" si="88"/>
        <v>15</v>
      </c>
      <c r="AC271" s="17"/>
      <c r="AD271" s="17"/>
      <c r="AE271" s="17">
        <f t="shared" si="94"/>
        <v>15</v>
      </c>
      <c r="AF271" s="17">
        <f t="shared" si="91"/>
        <v>2.4</v>
      </c>
      <c r="AG271" s="17">
        <f t="shared" si="95"/>
        <v>17.399999999999999</v>
      </c>
      <c r="AH271" s="17">
        <f t="shared" si="87"/>
        <v>0.3</v>
      </c>
      <c r="AI271" s="17"/>
      <c r="AJ271" s="17">
        <f t="shared" si="96"/>
        <v>0.3</v>
      </c>
      <c r="AK271" s="20"/>
      <c r="AL271" s="17">
        <f t="shared" si="97"/>
        <v>14.7</v>
      </c>
      <c r="AM271" s="17" t="s">
        <v>108</v>
      </c>
      <c r="AN271" s="21">
        <v>0.4</v>
      </c>
      <c r="AO271" s="17">
        <f t="shared" si="98"/>
        <v>5.88</v>
      </c>
      <c r="AP271" s="17">
        <v>5.88</v>
      </c>
      <c r="AQ271" s="16">
        <v>44834</v>
      </c>
      <c r="AR271" s="17">
        <f t="shared" si="89"/>
        <v>0</v>
      </c>
      <c r="AS271" s="17" t="s">
        <v>109</v>
      </c>
      <c r="AT271" s="17">
        <v>17.399999999999999</v>
      </c>
      <c r="AU271" s="17">
        <f t="shared" si="90"/>
        <v>17.399999999999999</v>
      </c>
      <c r="AV271" s="17">
        <f t="shared" si="99"/>
        <v>0</v>
      </c>
      <c r="AW271" s="17" t="str">
        <f t="shared" si="84"/>
        <v>SFA</v>
      </c>
      <c r="AX271" s="22">
        <v>44699</v>
      </c>
      <c r="AY271" s="22"/>
      <c r="AZ271" s="1" t="s">
        <v>110</v>
      </c>
      <c r="BA271" s="22" t="str">
        <f t="shared" si="100"/>
        <v>MARINE CARGO / GIT</v>
      </c>
      <c r="BB271" s="22"/>
      <c r="BC271" s="22"/>
      <c r="BD271" s="22"/>
    </row>
    <row r="272" spans="1:56" ht="14.25" customHeight="1" x14ac:dyDescent="0.2">
      <c r="A272" s="1" t="s">
        <v>369</v>
      </c>
      <c r="B272" s="1" t="s">
        <v>57</v>
      </c>
      <c r="C272" s="13">
        <v>44655</v>
      </c>
      <c r="D272" s="13">
        <v>44656</v>
      </c>
      <c r="E272" s="13">
        <v>44657</v>
      </c>
      <c r="F272" s="13">
        <v>44747</v>
      </c>
      <c r="G272" s="14" t="str">
        <f t="shared" si="92"/>
        <v>000-271/AIB RDC/2022</v>
      </c>
      <c r="H272" s="1">
        <v>0</v>
      </c>
      <c r="I272" s="1" t="s">
        <v>74</v>
      </c>
      <c r="J272" s="1" t="s">
        <v>534</v>
      </c>
      <c r="K272" s="1" t="s">
        <v>228</v>
      </c>
      <c r="L272" s="1"/>
      <c r="M272" s="1" t="s">
        <v>105</v>
      </c>
      <c r="N272" s="1" t="s">
        <v>191</v>
      </c>
      <c r="O272" s="1" t="s">
        <v>64</v>
      </c>
      <c r="P272" s="1" t="s">
        <v>65</v>
      </c>
      <c r="Q272" s="1" t="s">
        <v>107</v>
      </c>
      <c r="R272" s="1" t="s">
        <v>107</v>
      </c>
      <c r="S272" s="17">
        <v>2938282.96</v>
      </c>
      <c r="T272" s="17">
        <v>10618.94</v>
      </c>
      <c r="U272" s="17">
        <v>0</v>
      </c>
      <c r="V272" s="17">
        <v>0</v>
      </c>
      <c r="W272" s="17"/>
      <c r="X272" s="17">
        <v>8709.1</v>
      </c>
      <c r="Y272" s="17"/>
      <c r="Z272" s="18">
        <f t="shared" si="93"/>
        <v>3.6139950251762006E-3</v>
      </c>
      <c r="AA272" s="19">
        <v>0.15</v>
      </c>
      <c r="AB272" s="17">
        <f t="shared" si="88"/>
        <v>1306.365</v>
      </c>
      <c r="AC272" s="17"/>
      <c r="AD272" s="17"/>
      <c r="AE272" s="17">
        <f t="shared" si="94"/>
        <v>1306.365</v>
      </c>
      <c r="AF272" s="17">
        <f t="shared" si="91"/>
        <v>209.01840000000001</v>
      </c>
      <c r="AG272" s="17">
        <f t="shared" si="95"/>
        <v>1515.3833999999999</v>
      </c>
      <c r="AH272" s="17">
        <f t="shared" si="87"/>
        <v>26.127300000000002</v>
      </c>
      <c r="AI272" s="17"/>
      <c r="AJ272" s="17">
        <f t="shared" si="96"/>
        <v>26.127300000000002</v>
      </c>
      <c r="AK272" s="20"/>
      <c r="AL272" s="17">
        <f t="shared" si="97"/>
        <v>1280.2376999999999</v>
      </c>
      <c r="AM272" s="17" t="s">
        <v>108</v>
      </c>
      <c r="AN272" s="21">
        <v>0.4</v>
      </c>
      <c r="AO272" s="17">
        <f t="shared" si="98"/>
        <v>512.09507999999994</v>
      </c>
      <c r="AP272" s="17">
        <v>512.09507999999994</v>
      </c>
      <c r="AQ272" s="16">
        <v>44834</v>
      </c>
      <c r="AR272" s="17">
        <f t="shared" si="89"/>
        <v>0</v>
      </c>
      <c r="AS272" s="17" t="s">
        <v>109</v>
      </c>
      <c r="AT272" s="17">
        <v>1515.3833999999999</v>
      </c>
      <c r="AU272" s="17">
        <f t="shared" si="90"/>
        <v>1515.3833999999999</v>
      </c>
      <c r="AV272" s="17">
        <f t="shared" si="99"/>
        <v>0</v>
      </c>
      <c r="AW272" s="17" t="str">
        <f t="shared" si="84"/>
        <v>RAWSUR</v>
      </c>
      <c r="AX272" s="22">
        <v>44701</v>
      </c>
      <c r="AY272" s="22"/>
      <c r="AZ272" s="1" t="s">
        <v>110</v>
      </c>
      <c r="BA272" s="22" t="str">
        <f t="shared" si="100"/>
        <v>MARINE CARGO / GIT</v>
      </c>
      <c r="BB272" s="22"/>
      <c r="BC272" s="22"/>
      <c r="BD272" s="22"/>
    </row>
    <row r="273" spans="1:56" ht="14.25" customHeight="1" x14ac:dyDescent="0.2">
      <c r="A273" s="1" t="s">
        <v>369</v>
      </c>
      <c r="B273" s="1" t="s">
        <v>57</v>
      </c>
      <c r="C273" s="13">
        <v>44663</v>
      </c>
      <c r="D273" s="13">
        <v>44669</v>
      </c>
      <c r="E273" s="13">
        <v>44672</v>
      </c>
      <c r="F273" s="13">
        <v>44762</v>
      </c>
      <c r="G273" s="14" t="str">
        <f t="shared" si="92"/>
        <v>000-272/AIB RDC/2022</v>
      </c>
      <c r="H273" s="1">
        <v>0</v>
      </c>
      <c r="I273" s="1" t="s">
        <v>74</v>
      </c>
      <c r="J273" s="1" t="s">
        <v>535</v>
      </c>
      <c r="K273" s="1" t="s">
        <v>536</v>
      </c>
      <c r="L273" s="1"/>
      <c r="M273" s="1" t="s">
        <v>105</v>
      </c>
      <c r="N273" s="1" t="s">
        <v>191</v>
      </c>
      <c r="O273" s="1" t="s">
        <v>64</v>
      </c>
      <c r="P273" s="1" t="s">
        <v>65</v>
      </c>
      <c r="Q273" s="1" t="s">
        <v>107</v>
      </c>
      <c r="R273" s="1" t="s">
        <v>107</v>
      </c>
      <c r="S273" s="17">
        <v>32659</v>
      </c>
      <c r="T273" s="17">
        <v>165.95</v>
      </c>
      <c r="U273" s="17">
        <v>0</v>
      </c>
      <c r="V273" s="17">
        <v>0</v>
      </c>
      <c r="W273" s="17">
        <v>10</v>
      </c>
      <c r="X273" s="17">
        <v>130.84</v>
      </c>
      <c r="Y273" s="17">
        <v>22.5</v>
      </c>
      <c r="Z273" s="18">
        <f t="shared" si="93"/>
        <v>5.0812945895465263E-3</v>
      </c>
      <c r="AA273" s="19">
        <v>0.15</v>
      </c>
      <c r="AB273" s="17">
        <f t="shared" si="88"/>
        <v>19.626000000000001</v>
      </c>
      <c r="AC273" s="17"/>
      <c r="AD273" s="17"/>
      <c r="AE273" s="17">
        <f t="shared" si="94"/>
        <v>19.626000000000001</v>
      </c>
      <c r="AF273" s="17">
        <f t="shared" si="91"/>
        <v>3.1401600000000003</v>
      </c>
      <c r="AG273" s="17">
        <f t="shared" si="95"/>
        <v>22.766160000000003</v>
      </c>
      <c r="AH273" s="17">
        <f t="shared" si="87"/>
        <v>0.39252000000000004</v>
      </c>
      <c r="AI273" s="17"/>
      <c r="AJ273" s="17">
        <f t="shared" si="96"/>
        <v>0.39252000000000004</v>
      </c>
      <c r="AK273" s="20"/>
      <c r="AL273" s="17">
        <f t="shared" si="97"/>
        <v>19.23348</v>
      </c>
      <c r="AM273" s="17" t="s">
        <v>108</v>
      </c>
      <c r="AN273" s="21">
        <v>0.4</v>
      </c>
      <c r="AO273" s="17">
        <f t="shared" si="98"/>
        <v>7.6933920000000002</v>
      </c>
      <c r="AP273" s="17">
        <v>7.6933920000000002</v>
      </c>
      <c r="AQ273" s="16">
        <v>44834</v>
      </c>
      <c r="AR273" s="17">
        <f t="shared" si="89"/>
        <v>0</v>
      </c>
      <c r="AS273" s="17" t="s">
        <v>109</v>
      </c>
      <c r="AT273" s="17">
        <v>22.766160000000003</v>
      </c>
      <c r="AU273" s="17">
        <f t="shared" si="90"/>
        <v>22.766160000000003</v>
      </c>
      <c r="AV273" s="17">
        <f t="shared" si="99"/>
        <v>0</v>
      </c>
      <c r="AW273" s="17" t="str">
        <f t="shared" si="84"/>
        <v>RAWSUR</v>
      </c>
      <c r="AX273" s="22">
        <v>44701</v>
      </c>
      <c r="AY273" s="22"/>
      <c r="AZ273" s="1" t="s">
        <v>110</v>
      </c>
      <c r="BA273" s="22" t="str">
        <f t="shared" si="100"/>
        <v>MARINE CARGO / GIT</v>
      </c>
      <c r="BB273" s="22"/>
      <c r="BC273" s="22"/>
      <c r="BD273" s="22"/>
    </row>
    <row r="274" spans="1:56" ht="14.25" customHeight="1" x14ac:dyDescent="0.2">
      <c r="A274" s="1" t="s">
        <v>369</v>
      </c>
      <c r="B274" s="1" t="s">
        <v>57</v>
      </c>
      <c r="C274" s="13">
        <v>44666</v>
      </c>
      <c r="D274" s="13">
        <v>44670</v>
      </c>
      <c r="E274" s="13">
        <v>44670</v>
      </c>
      <c r="F274" s="13">
        <v>44699</v>
      </c>
      <c r="G274" s="14" t="str">
        <f t="shared" si="92"/>
        <v>000-273/AIB RDC/2022</v>
      </c>
      <c r="H274" s="1">
        <v>0</v>
      </c>
      <c r="I274" s="1" t="s">
        <v>74</v>
      </c>
      <c r="J274" s="1" t="s">
        <v>537</v>
      </c>
      <c r="K274" s="1" t="s">
        <v>538</v>
      </c>
      <c r="L274" s="1"/>
      <c r="M274" s="1" t="s">
        <v>105</v>
      </c>
      <c r="N274" s="1" t="s">
        <v>191</v>
      </c>
      <c r="O274" s="1" t="s">
        <v>64</v>
      </c>
      <c r="P274" s="1" t="s">
        <v>65</v>
      </c>
      <c r="Q274" s="1" t="s">
        <v>107</v>
      </c>
      <c r="R274" s="1" t="s">
        <v>107</v>
      </c>
      <c r="S274" s="17">
        <v>1127</v>
      </c>
      <c r="T274" s="17">
        <v>129.80000000000001</v>
      </c>
      <c r="U274" s="17">
        <v>0</v>
      </c>
      <c r="V274" s="17">
        <v>0</v>
      </c>
      <c r="W274" s="17">
        <v>10</v>
      </c>
      <c r="X274" s="17">
        <v>100</v>
      </c>
      <c r="Y274" s="17">
        <v>17.600000000000001</v>
      </c>
      <c r="Z274" s="18">
        <f t="shared" si="93"/>
        <v>0.11517302573203195</v>
      </c>
      <c r="AA274" s="19">
        <v>0.15</v>
      </c>
      <c r="AB274" s="17">
        <f t="shared" si="88"/>
        <v>15</v>
      </c>
      <c r="AC274" s="17"/>
      <c r="AD274" s="17"/>
      <c r="AE274" s="17">
        <f t="shared" si="94"/>
        <v>15</v>
      </c>
      <c r="AF274" s="17">
        <f t="shared" si="91"/>
        <v>2.4</v>
      </c>
      <c r="AG274" s="17">
        <f t="shared" si="95"/>
        <v>17.399999999999999</v>
      </c>
      <c r="AH274" s="17">
        <f t="shared" si="87"/>
        <v>0.3</v>
      </c>
      <c r="AI274" s="17"/>
      <c r="AJ274" s="17">
        <f t="shared" si="96"/>
        <v>0.3</v>
      </c>
      <c r="AK274" s="20"/>
      <c r="AL274" s="17">
        <f t="shared" si="97"/>
        <v>14.7</v>
      </c>
      <c r="AM274" s="17" t="s">
        <v>108</v>
      </c>
      <c r="AN274" s="21">
        <v>0.4</v>
      </c>
      <c r="AO274" s="17">
        <f t="shared" si="98"/>
        <v>5.88</v>
      </c>
      <c r="AP274" s="17">
        <v>5.88</v>
      </c>
      <c r="AQ274" s="16">
        <v>44834</v>
      </c>
      <c r="AR274" s="17">
        <f t="shared" si="89"/>
        <v>0</v>
      </c>
      <c r="AS274" s="17" t="s">
        <v>109</v>
      </c>
      <c r="AT274" s="17">
        <v>17.399999999999999</v>
      </c>
      <c r="AU274" s="17">
        <f t="shared" si="90"/>
        <v>17.399999999999999</v>
      </c>
      <c r="AV274" s="17">
        <f t="shared" si="99"/>
        <v>0</v>
      </c>
      <c r="AW274" s="17" t="str">
        <f t="shared" si="84"/>
        <v>RAWSUR</v>
      </c>
      <c r="AX274" s="22">
        <v>44701</v>
      </c>
      <c r="AY274" s="22"/>
      <c r="AZ274" s="1" t="s">
        <v>110</v>
      </c>
      <c r="BA274" s="22" t="str">
        <f t="shared" si="100"/>
        <v>MARINE CARGO / GIT</v>
      </c>
      <c r="BB274" s="22"/>
      <c r="BC274" s="22"/>
      <c r="BD274" s="22"/>
    </row>
    <row r="275" spans="1:56" ht="14.25" customHeight="1" x14ac:dyDescent="0.2">
      <c r="A275" s="1" t="s">
        <v>369</v>
      </c>
      <c r="B275" s="1" t="s">
        <v>57</v>
      </c>
      <c r="C275" s="13">
        <v>44666</v>
      </c>
      <c r="D275" s="13">
        <v>44672</v>
      </c>
      <c r="E275" s="13">
        <v>44670</v>
      </c>
      <c r="F275" s="13">
        <v>45034</v>
      </c>
      <c r="G275" s="14" t="str">
        <f t="shared" si="92"/>
        <v>000-274/AIB RDC/2022</v>
      </c>
      <c r="H275" s="1">
        <v>0</v>
      </c>
      <c r="I275" s="1" t="s">
        <v>74</v>
      </c>
      <c r="J275" s="1" t="s">
        <v>539</v>
      </c>
      <c r="K275" s="1" t="s">
        <v>540</v>
      </c>
      <c r="L275" s="1" t="s">
        <v>388</v>
      </c>
      <c r="M275" s="1" t="s">
        <v>105</v>
      </c>
      <c r="N275" s="1" t="s">
        <v>541</v>
      </c>
      <c r="O275" s="1" t="s">
        <v>70</v>
      </c>
      <c r="P275" s="1" t="s">
        <v>71</v>
      </c>
      <c r="Q275" s="1" t="s">
        <v>130</v>
      </c>
      <c r="R275" s="1" t="s">
        <v>130</v>
      </c>
      <c r="S275" s="17">
        <v>90000</v>
      </c>
      <c r="T275" s="17">
        <v>365.83</v>
      </c>
      <c r="U275" s="17">
        <v>0</v>
      </c>
      <c r="V275" s="17">
        <v>0</v>
      </c>
      <c r="W275" s="17">
        <v>20</v>
      </c>
      <c r="X275" s="17">
        <v>290.02999999999997</v>
      </c>
      <c r="Y275" s="17">
        <v>49.6</v>
      </c>
      <c r="Z275" s="18">
        <f t="shared" si="93"/>
        <v>4.0647777777777774E-3</v>
      </c>
      <c r="AA275" s="19">
        <v>0.1</v>
      </c>
      <c r="AB275" s="17">
        <f t="shared" si="88"/>
        <v>29.003</v>
      </c>
      <c r="AC275" s="17">
        <v>0</v>
      </c>
      <c r="AD275" s="17">
        <v>0</v>
      </c>
      <c r="AE275" s="17">
        <f t="shared" si="94"/>
        <v>29.003</v>
      </c>
      <c r="AF275" s="17">
        <f t="shared" si="91"/>
        <v>4.6404800000000002</v>
      </c>
      <c r="AG275" s="17">
        <f t="shared" si="95"/>
        <v>33.643479999999997</v>
      </c>
      <c r="AH275" s="17">
        <f t="shared" si="87"/>
        <v>0.58006000000000002</v>
      </c>
      <c r="AI275" s="17"/>
      <c r="AJ275" s="17">
        <f t="shared" si="96"/>
        <v>0.58006000000000002</v>
      </c>
      <c r="AK275" s="20"/>
      <c r="AL275" s="17">
        <f t="shared" si="97"/>
        <v>28.422940000000001</v>
      </c>
      <c r="AM275" s="17"/>
      <c r="AN275" s="21"/>
      <c r="AO275" s="17">
        <f t="shared" si="98"/>
        <v>0</v>
      </c>
      <c r="AP275" s="17"/>
      <c r="AQ275" s="16"/>
      <c r="AR275" s="17">
        <f t="shared" si="89"/>
        <v>0</v>
      </c>
      <c r="AS275" s="17"/>
      <c r="AT275" s="17">
        <v>33.643479999999997</v>
      </c>
      <c r="AU275" s="17">
        <f t="shared" si="90"/>
        <v>33.643479999999997</v>
      </c>
      <c r="AV275" s="17">
        <f t="shared" si="99"/>
        <v>0</v>
      </c>
      <c r="AW275" s="17" t="str">
        <f t="shared" si="84"/>
        <v>SFA</v>
      </c>
      <c r="AX275" s="22">
        <v>44699</v>
      </c>
      <c r="AY275" s="22"/>
      <c r="AZ275" s="1" t="s">
        <v>68</v>
      </c>
      <c r="BA275" s="22" t="str">
        <f t="shared" si="100"/>
        <v>FIRE</v>
      </c>
      <c r="BB275" s="22"/>
      <c r="BC275" s="22"/>
      <c r="BD275" s="22"/>
    </row>
    <row r="276" spans="1:56" ht="14.25" customHeight="1" x14ac:dyDescent="0.2">
      <c r="A276" s="1" t="s">
        <v>369</v>
      </c>
      <c r="B276" s="47" t="s">
        <v>57</v>
      </c>
      <c r="C276" s="48">
        <v>44656</v>
      </c>
      <c r="D276" s="48">
        <v>44662</v>
      </c>
      <c r="E276" s="48">
        <v>44658</v>
      </c>
      <c r="F276" s="48">
        <v>44786</v>
      </c>
      <c r="G276" s="14" t="str">
        <f t="shared" si="92"/>
        <v>000-275/AIB RDC/2022</v>
      </c>
      <c r="H276" s="1">
        <v>2</v>
      </c>
      <c r="I276" s="1" t="s">
        <v>91</v>
      </c>
      <c r="J276" s="47" t="s">
        <v>542</v>
      </c>
      <c r="K276" s="1" t="s">
        <v>543</v>
      </c>
      <c r="L276" s="16" t="s">
        <v>544</v>
      </c>
      <c r="M276" s="1" t="s">
        <v>62</v>
      </c>
      <c r="N276" s="1" t="s">
        <v>209</v>
      </c>
      <c r="O276" s="1" t="s">
        <v>73</v>
      </c>
      <c r="P276" s="1" t="s">
        <v>73</v>
      </c>
      <c r="Q276" s="1" t="s">
        <v>79</v>
      </c>
      <c r="R276" s="1" t="s">
        <v>79</v>
      </c>
      <c r="S276" s="17"/>
      <c r="T276" s="17">
        <v>161.21</v>
      </c>
      <c r="U276" s="17">
        <v>0</v>
      </c>
      <c r="V276" s="17">
        <v>0</v>
      </c>
      <c r="W276" s="17"/>
      <c r="X276" s="17">
        <v>116.62</v>
      </c>
      <c r="Y276" s="17"/>
      <c r="Z276" s="18" t="e">
        <f t="shared" si="93"/>
        <v>#DIV/0!</v>
      </c>
      <c r="AA276" s="19">
        <v>0.1</v>
      </c>
      <c r="AB276" s="17">
        <f t="shared" si="88"/>
        <v>11.662000000000001</v>
      </c>
      <c r="AC276" s="17"/>
      <c r="AD276" s="17"/>
      <c r="AE276" s="17">
        <f t="shared" si="94"/>
        <v>11.662000000000001</v>
      </c>
      <c r="AF276" s="17">
        <f t="shared" si="91"/>
        <v>1.8659200000000002</v>
      </c>
      <c r="AG276" s="17">
        <f t="shared" si="95"/>
        <v>13.527920000000002</v>
      </c>
      <c r="AH276" s="17">
        <f t="shared" si="87"/>
        <v>0.23324000000000003</v>
      </c>
      <c r="AI276" s="17"/>
      <c r="AJ276" s="17">
        <f t="shared" si="96"/>
        <v>0.23324000000000003</v>
      </c>
      <c r="AK276" s="20"/>
      <c r="AL276" s="17">
        <f t="shared" si="97"/>
        <v>11.42876</v>
      </c>
      <c r="AM276" s="17"/>
      <c r="AN276" s="21"/>
      <c r="AO276" s="17">
        <f t="shared" si="98"/>
        <v>0</v>
      </c>
      <c r="AP276" s="17"/>
      <c r="AQ276" s="16"/>
      <c r="AR276" s="17">
        <f t="shared" si="89"/>
        <v>0</v>
      </c>
      <c r="AS276" s="17"/>
      <c r="AT276" s="17">
        <v>13.527920000000002</v>
      </c>
      <c r="AU276" s="17">
        <f t="shared" si="90"/>
        <v>13.527920000000002</v>
      </c>
      <c r="AV276" s="17">
        <f t="shared" si="99"/>
        <v>0</v>
      </c>
      <c r="AW276" s="17" t="str">
        <f t="shared" si="84"/>
        <v>MAYFAIR</v>
      </c>
      <c r="AX276" s="22">
        <v>44746</v>
      </c>
      <c r="AY276" s="22"/>
      <c r="AZ276" s="1" t="s">
        <v>68</v>
      </c>
      <c r="BA276" s="22" t="str">
        <f t="shared" si="100"/>
        <v>MOTOR TPL</v>
      </c>
      <c r="BB276" s="22"/>
      <c r="BC276" s="1" t="s">
        <v>79</v>
      </c>
      <c r="BD276" s="1"/>
    </row>
    <row r="277" spans="1:56" ht="14.25" customHeight="1" x14ac:dyDescent="0.2">
      <c r="A277" s="1" t="s">
        <v>369</v>
      </c>
      <c r="B277" s="1" t="s">
        <v>57</v>
      </c>
      <c r="C277" s="13">
        <v>44656</v>
      </c>
      <c r="D277" s="13">
        <v>44660</v>
      </c>
      <c r="E277" s="13">
        <v>44660</v>
      </c>
      <c r="F277" s="13">
        <v>45024</v>
      </c>
      <c r="G277" s="14" t="str">
        <f t="shared" si="92"/>
        <v>000-276/AIB RDC/2022</v>
      </c>
      <c r="H277" s="1">
        <v>0</v>
      </c>
      <c r="I277" s="1" t="s">
        <v>74</v>
      </c>
      <c r="J277" s="1" t="s">
        <v>545</v>
      </c>
      <c r="K277" s="1" t="s">
        <v>546</v>
      </c>
      <c r="L277" s="1" t="s">
        <v>160</v>
      </c>
      <c r="M277" s="1" t="s">
        <v>62</v>
      </c>
      <c r="N277" s="1" t="s">
        <v>209</v>
      </c>
      <c r="O277" s="1" t="s">
        <v>73</v>
      </c>
      <c r="P277" s="1" t="s">
        <v>73</v>
      </c>
      <c r="Q277" s="1" t="s">
        <v>79</v>
      </c>
      <c r="R277" s="1" t="s">
        <v>79</v>
      </c>
      <c r="S277" s="17">
        <v>0</v>
      </c>
      <c r="T277" s="17">
        <v>3734.7</v>
      </c>
      <c r="U277" s="17">
        <v>0</v>
      </c>
      <c r="V277" s="17">
        <v>0</v>
      </c>
      <c r="W277" s="17">
        <v>190</v>
      </c>
      <c r="X277" s="17">
        <v>2975</v>
      </c>
      <c r="Y277" s="17">
        <v>506.4</v>
      </c>
      <c r="Z277" s="18" t="e">
        <f t="shared" si="93"/>
        <v>#DIV/0!</v>
      </c>
      <c r="AA277" s="19">
        <v>0.1</v>
      </c>
      <c r="AB277" s="17">
        <f t="shared" ref="AB277:AB308" si="101">(AA277*X277)</f>
        <v>297.5</v>
      </c>
      <c r="AC277" s="17">
        <v>0</v>
      </c>
      <c r="AD277" s="17"/>
      <c r="AE277" s="17">
        <f t="shared" si="94"/>
        <v>297.5</v>
      </c>
      <c r="AF277" s="17">
        <f t="shared" si="91"/>
        <v>47.6</v>
      </c>
      <c r="AG277" s="17">
        <f t="shared" si="95"/>
        <v>345.1</v>
      </c>
      <c r="AH277" s="17">
        <f t="shared" si="87"/>
        <v>5.95</v>
      </c>
      <c r="AI277" s="17"/>
      <c r="AJ277" s="17">
        <f t="shared" si="96"/>
        <v>5.95</v>
      </c>
      <c r="AK277" s="20"/>
      <c r="AL277" s="17">
        <f t="shared" si="97"/>
        <v>291.55</v>
      </c>
      <c r="AM277" s="17"/>
      <c r="AN277" s="21"/>
      <c r="AO277" s="17">
        <f t="shared" si="98"/>
        <v>0</v>
      </c>
      <c r="AP277" s="17"/>
      <c r="AQ277" s="16"/>
      <c r="AR277" s="17">
        <f t="shared" si="89"/>
        <v>0</v>
      </c>
      <c r="AS277" s="17"/>
      <c r="AT277" s="17">
        <f>172.55+172.55</f>
        <v>345.1</v>
      </c>
      <c r="AU277" s="17">
        <f t="shared" si="90"/>
        <v>345.1</v>
      </c>
      <c r="AV277" s="17">
        <f t="shared" si="99"/>
        <v>0</v>
      </c>
      <c r="AW277" s="17" t="str">
        <f t="shared" si="84"/>
        <v>MAYFAIR</v>
      </c>
      <c r="AX277" s="22">
        <v>44772</v>
      </c>
      <c r="AY277" s="22"/>
      <c r="AZ277" s="1" t="s">
        <v>68</v>
      </c>
      <c r="BA277" s="22" t="str">
        <f t="shared" si="100"/>
        <v>MOTOR TPL</v>
      </c>
      <c r="BB277" s="22"/>
      <c r="BC277" s="22"/>
      <c r="BD277" s="22"/>
    </row>
    <row r="278" spans="1:56" ht="14.25" customHeight="1" x14ac:dyDescent="0.2">
      <c r="A278" s="1" t="s">
        <v>229</v>
      </c>
      <c r="B278" s="1" t="s">
        <v>57</v>
      </c>
      <c r="C278" s="13">
        <v>44616</v>
      </c>
      <c r="D278" s="13">
        <v>44635</v>
      </c>
      <c r="E278" s="13">
        <v>44612</v>
      </c>
      <c r="F278" s="13">
        <v>44976</v>
      </c>
      <c r="G278" s="14" t="str">
        <f t="shared" si="92"/>
        <v>000-277/AIB RDC/2022</v>
      </c>
      <c r="H278" s="1">
        <v>1</v>
      </c>
      <c r="I278" s="1" t="s">
        <v>58</v>
      </c>
      <c r="J278" s="1" t="s">
        <v>547</v>
      </c>
      <c r="K278" s="1" t="s">
        <v>548</v>
      </c>
      <c r="L278" s="2" t="s">
        <v>208</v>
      </c>
      <c r="M278" s="1" t="s">
        <v>62</v>
      </c>
      <c r="N278" s="1" t="s">
        <v>209</v>
      </c>
      <c r="O278" s="1" t="s">
        <v>89</v>
      </c>
      <c r="P278" s="1" t="s">
        <v>90</v>
      </c>
      <c r="Q278" s="1" t="s">
        <v>79</v>
      </c>
      <c r="R278" s="1" t="s">
        <v>79</v>
      </c>
      <c r="S278" s="17">
        <v>0</v>
      </c>
      <c r="T278" s="17">
        <v>2420.4</v>
      </c>
      <c r="U278" s="17">
        <v>0</v>
      </c>
      <c r="V278" s="17">
        <v>0</v>
      </c>
      <c r="W278" s="17">
        <v>20</v>
      </c>
      <c r="X278" s="17">
        <v>2352.94</v>
      </c>
      <c r="Y278" s="17">
        <v>0</v>
      </c>
      <c r="Z278" s="18" t="e">
        <f t="shared" si="93"/>
        <v>#DIV/0!</v>
      </c>
      <c r="AA278" s="19">
        <v>0.15</v>
      </c>
      <c r="AB278" s="17">
        <f t="shared" si="101"/>
        <v>352.94099999999997</v>
      </c>
      <c r="AC278" s="17"/>
      <c r="AD278" s="17"/>
      <c r="AE278" s="17">
        <f t="shared" si="94"/>
        <v>352.94099999999997</v>
      </c>
      <c r="AF278" s="17">
        <v>0</v>
      </c>
      <c r="AG278" s="17">
        <f t="shared" si="95"/>
        <v>352.94099999999997</v>
      </c>
      <c r="AH278" s="17">
        <f t="shared" si="87"/>
        <v>7.0588199999999999</v>
      </c>
      <c r="AI278" s="17"/>
      <c r="AJ278" s="17">
        <f t="shared" si="96"/>
        <v>7.0588199999999999</v>
      </c>
      <c r="AK278" s="20"/>
      <c r="AL278" s="17">
        <f t="shared" si="97"/>
        <v>345.88217999999995</v>
      </c>
      <c r="AM278" s="17"/>
      <c r="AN278" s="21"/>
      <c r="AO278" s="17">
        <f t="shared" si="98"/>
        <v>0</v>
      </c>
      <c r="AP278" s="17"/>
      <c r="AQ278" s="16"/>
      <c r="AR278" s="17">
        <f t="shared" si="89"/>
        <v>0</v>
      </c>
      <c r="AS278" s="17"/>
      <c r="AT278" s="17">
        <f>176.47+176.47</f>
        <v>352.94</v>
      </c>
      <c r="AU278" s="17">
        <v>352.94</v>
      </c>
      <c r="AV278" s="17">
        <f t="shared" si="99"/>
        <v>0</v>
      </c>
      <c r="AW278" s="17" t="str">
        <f t="shared" si="84"/>
        <v>MAYFAIR</v>
      </c>
      <c r="AX278" s="22">
        <v>45106</v>
      </c>
      <c r="AY278" s="22"/>
      <c r="AZ278" s="1" t="s">
        <v>68</v>
      </c>
      <c r="BA278" s="22" t="str">
        <f t="shared" si="100"/>
        <v>GENERAL LIABILITY</v>
      </c>
      <c r="BB278" s="26"/>
      <c r="BC278" s="22"/>
      <c r="BD278" s="1" t="s">
        <v>549</v>
      </c>
    </row>
    <row r="279" spans="1:56" ht="14.25" customHeight="1" x14ac:dyDescent="0.2">
      <c r="A279" s="1" t="s">
        <v>229</v>
      </c>
      <c r="B279" s="1" t="s">
        <v>57</v>
      </c>
      <c r="C279" s="13">
        <v>44616</v>
      </c>
      <c r="D279" s="13">
        <v>44635</v>
      </c>
      <c r="E279" s="13">
        <v>44612</v>
      </c>
      <c r="F279" s="13">
        <v>44976</v>
      </c>
      <c r="G279" s="14" t="str">
        <f t="shared" si="92"/>
        <v>000-278/AIB RDC/2022</v>
      </c>
      <c r="H279" s="1">
        <v>1</v>
      </c>
      <c r="I279" s="1" t="s">
        <v>58</v>
      </c>
      <c r="J279" s="1" t="s">
        <v>550</v>
      </c>
      <c r="K279" s="1" t="s">
        <v>548</v>
      </c>
      <c r="L279" s="2" t="s">
        <v>208</v>
      </c>
      <c r="M279" s="1" t="s">
        <v>62</v>
      </c>
      <c r="N279" s="1" t="s">
        <v>209</v>
      </c>
      <c r="O279" s="1" t="s">
        <v>466</v>
      </c>
      <c r="P279" s="1" t="s">
        <v>71</v>
      </c>
      <c r="Q279" s="1" t="s">
        <v>79</v>
      </c>
      <c r="R279" s="1" t="s">
        <v>79</v>
      </c>
      <c r="S279" s="17">
        <v>7380069.1799999997</v>
      </c>
      <c r="T279" s="17">
        <v>10052.4</v>
      </c>
      <c r="U279" s="17">
        <v>0</v>
      </c>
      <c r="V279" s="17">
        <v>0</v>
      </c>
      <c r="W279" s="17">
        <v>20</v>
      </c>
      <c r="X279" s="17">
        <v>9835.2900000000009</v>
      </c>
      <c r="Y279" s="17">
        <v>0</v>
      </c>
      <c r="Z279" s="18">
        <f t="shared" si="93"/>
        <v>1.3621010528250901E-3</v>
      </c>
      <c r="AA279" s="19">
        <v>0.15</v>
      </c>
      <c r="AB279" s="17">
        <f t="shared" si="101"/>
        <v>1475.2935</v>
      </c>
      <c r="AC279" s="17"/>
      <c r="AD279" s="17"/>
      <c r="AE279" s="17">
        <f t="shared" si="94"/>
        <v>1475.2935</v>
      </c>
      <c r="AF279" s="17">
        <v>0</v>
      </c>
      <c r="AG279" s="17">
        <f t="shared" si="95"/>
        <v>1475.2935</v>
      </c>
      <c r="AH279" s="17">
        <f t="shared" si="87"/>
        <v>29.505870000000002</v>
      </c>
      <c r="AI279" s="17"/>
      <c r="AJ279" s="17">
        <f t="shared" si="96"/>
        <v>29.505870000000002</v>
      </c>
      <c r="AK279" s="20"/>
      <c r="AL279" s="17">
        <f t="shared" si="97"/>
        <v>1445.78763</v>
      </c>
      <c r="AM279" s="17"/>
      <c r="AN279" s="21"/>
      <c r="AO279" s="17">
        <f t="shared" si="98"/>
        <v>0</v>
      </c>
      <c r="AP279" s="17"/>
      <c r="AQ279" s="16"/>
      <c r="AR279" s="17">
        <f t="shared" si="89"/>
        <v>0</v>
      </c>
      <c r="AS279" s="17"/>
      <c r="AT279" s="17">
        <f>737.65+737.6435</f>
        <v>1475.2935</v>
      </c>
      <c r="AU279" s="17">
        <f t="shared" ref="AU279:AU310" si="102">AG279</f>
        <v>1475.2935</v>
      </c>
      <c r="AV279" s="17">
        <f t="shared" si="99"/>
        <v>0</v>
      </c>
      <c r="AW279" s="17" t="str">
        <f t="shared" si="84"/>
        <v>MAYFAIR</v>
      </c>
      <c r="AX279" s="22">
        <v>45106</v>
      </c>
      <c r="AY279" s="22"/>
      <c r="AZ279" s="1" t="s">
        <v>68</v>
      </c>
      <c r="BA279" s="22" t="str">
        <f t="shared" si="100"/>
        <v>PROPERTY DAMAGE &amp; BI</v>
      </c>
      <c r="BB279" s="26"/>
      <c r="BC279" s="22"/>
      <c r="BD279" s="1" t="s">
        <v>549</v>
      </c>
    </row>
    <row r="280" spans="1:56" ht="14.25" customHeight="1" x14ac:dyDescent="0.2">
      <c r="A280" s="1" t="s">
        <v>229</v>
      </c>
      <c r="B280" s="1" t="s">
        <v>57</v>
      </c>
      <c r="C280" s="13">
        <v>44616</v>
      </c>
      <c r="D280" s="13">
        <v>44635</v>
      </c>
      <c r="E280" s="13">
        <v>44612</v>
      </c>
      <c r="F280" s="13">
        <v>44976</v>
      </c>
      <c r="G280" s="14" t="str">
        <f t="shared" si="92"/>
        <v>000-279/AIB RDC/2022</v>
      </c>
      <c r="H280" s="1">
        <v>1</v>
      </c>
      <c r="I280" s="1" t="s">
        <v>58</v>
      </c>
      <c r="J280" s="1" t="s">
        <v>551</v>
      </c>
      <c r="K280" s="1" t="s">
        <v>548</v>
      </c>
      <c r="L280" s="2" t="s">
        <v>208</v>
      </c>
      <c r="M280" s="1" t="s">
        <v>62</v>
      </c>
      <c r="N280" s="1" t="s">
        <v>209</v>
      </c>
      <c r="O280" s="1" t="s">
        <v>233</v>
      </c>
      <c r="P280" s="1" t="s">
        <v>234</v>
      </c>
      <c r="Q280" s="1" t="s">
        <v>79</v>
      </c>
      <c r="R280" s="1" t="s">
        <v>79</v>
      </c>
      <c r="S280" s="17">
        <v>7380069.1799999997</v>
      </c>
      <c r="T280" s="17">
        <v>5426.4</v>
      </c>
      <c r="U280" s="17">
        <v>0</v>
      </c>
      <c r="V280" s="17">
        <v>0</v>
      </c>
      <c r="W280" s="17">
        <v>20</v>
      </c>
      <c r="X280" s="17">
        <v>5300</v>
      </c>
      <c r="Y280" s="17">
        <v>0</v>
      </c>
      <c r="Z280" s="18">
        <f t="shared" si="93"/>
        <v>7.3527766036469587E-4</v>
      </c>
      <c r="AA280" s="19">
        <v>0.05</v>
      </c>
      <c r="AB280" s="17">
        <f t="shared" si="101"/>
        <v>265</v>
      </c>
      <c r="AC280" s="17"/>
      <c r="AD280" s="17"/>
      <c r="AE280" s="17">
        <f t="shared" si="94"/>
        <v>265</v>
      </c>
      <c r="AF280" s="17">
        <v>0</v>
      </c>
      <c r="AG280" s="17">
        <f t="shared" si="95"/>
        <v>265</v>
      </c>
      <c r="AH280" s="17">
        <f t="shared" si="87"/>
        <v>5.3</v>
      </c>
      <c r="AI280" s="17"/>
      <c r="AJ280" s="17">
        <f t="shared" si="96"/>
        <v>5.3</v>
      </c>
      <c r="AK280" s="20"/>
      <c r="AL280" s="17">
        <f t="shared" si="97"/>
        <v>259.7</v>
      </c>
      <c r="AM280" s="17"/>
      <c r="AN280" s="21"/>
      <c r="AO280" s="17">
        <f t="shared" si="98"/>
        <v>0</v>
      </c>
      <c r="AP280" s="17"/>
      <c r="AQ280" s="16"/>
      <c r="AR280" s="17">
        <f t="shared" si="89"/>
        <v>0</v>
      </c>
      <c r="AS280" s="17"/>
      <c r="AT280" s="17">
        <f>132.5+132.5</f>
        <v>265</v>
      </c>
      <c r="AU280" s="17">
        <f t="shared" si="102"/>
        <v>265</v>
      </c>
      <c r="AV280" s="17">
        <f t="shared" si="99"/>
        <v>0</v>
      </c>
      <c r="AW280" s="17" t="str">
        <f t="shared" si="84"/>
        <v>MAYFAIR</v>
      </c>
      <c r="AX280" s="22">
        <v>45106</v>
      </c>
      <c r="AY280" s="22"/>
      <c r="AZ280" s="1" t="s">
        <v>68</v>
      </c>
      <c r="BA280" s="22" t="str">
        <f t="shared" si="100"/>
        <v>PVT</v>
      </c>
      <c r="BB280" s="26"/>
      <c r="BC280" s="22"/>
      <c r="BD280" s="1" t="s">
        <v>549</v>
      </c>
    </row>
    <row r="281" spans="1:56" ht="14.25" customHeight="1" x14ac:dyDescent="0.2">
      <c r="A281" s="1" t="s">
        <v>369</v>
      </c>
      <c r="B281" s="1" t="s">
        <v>57</v>
      </c>
      <c r="C281" s="13">
        <v>44666</v>
      </c>
      <c r="D281" s="13">
        <v>44674</v>
      </c>
      <c r="E281" s="13">
        <v>44673</v>
      </c>
      <c r="F281" s="13">
        <v>44732</v>
      </c>
      <c r="G281" s="14" t="str">
        <f t="shared" si="92"/>
        <v>000-280/AIB RDC/2022</v>
      </c>
      <c r="H281" s="1">
        <v>0</v>
      </c>
      <c r="I281" s="1" t="s">
        <v>74</v>
      </c>
      <c r="J281" s="1" t="s">
        <v>552</v>
      </c>
      <c r="K281" s="1" t="s">
        <v>197</v>
      </c>
      <c r="L281" s="1" t="s">
        <v>77</v>
      </c>
      <c r="M281" s="16" t="s">
        <v>62</v>
      </c>
      <c r="N281" s="1" t="s">
        <v>209</v>
      </c>
      <c r="O281" s="1" t="s">
        <v>64</v>
      </c>
      <c r="P281" s="1" t="s">
        <v>65</v>
      </c>
      <c r="Q281" s="1" t="s">
        <v>130</v>
      </c>
      <c r="R281" s="16" t="s">
        <v>130</v>
      </c>
      <c r="S281" s="17">
        <v>6929135</v>
      </c>
      <c r="T281" s="17">
        <v>16102</v>
      </c>
      <c r="U281" s="17">
        <v>0</v>
      </c>
      <c r="V281" s="17">
        <v>0</v>
      </c>
      <c r="W281" s="17"/>
      <c r="X281" s="17">
        <v>13444.1</v>
      </c>
      <c r="Y281" s="17"/>
      <c r="Z281" s="18">
        <f t="shared" si="93"/>
        <v>2.3238109807356905E-3</v>
      </c>
      <c r="AA281" s="19">
        <v>0.15</v>
      </c>
      <c r="AB281" s="17">
        <f t="shared" si="101"/>
        <v>2016.615</v>
      </c>
      <c r="AC281" s="17">
        <v>0</v>
      </c>
      <c r="AD281" s="17">
        <v>0</v>
      </c>
      <c r="AE281" s="17">
        <f t="shared" si="94"/>
        <v>2016.615</v>
      </c>
      <c r="AF281" s="17">
        <f t="shared" ref="AF281:AF327" si="103">16%*AE281</f>
        <v>322.65840000000003</v>
      </c>
      <c r="AG281" s="17">
        <f t="shared" si="95"/>
        <v>2339.2734</v>
      </c>
      <c r="AH281" s="17">
        <f t="shared" si="87"/>
        <v>40.332300000000004</v>
      </c>
      <c r="AI281" s="17">
        <v>0</v>
      </c>
      <c r="AJ281" s="17">
        <f t="shared" si="96"/>
        <v>40.332300000000004</v>
      </c>
      <c r="AK281" s="20"/>
      <c r="AL281" s="17">
        <f t="shared" si="97"/>
        <v>1976.2827</v>
      </c>
      <c r="AM281" s="17"/>
      <c r="AN281" s="21">
        <v>0</v>
      </c>
      <c r="AO281" s="17">
        <f t="shared" si="98"/>
        <v>0</v>
      </c>
      <c r="AP281" s="17"/>
      <c r="AQ281" s="16"/>
      <c r="AR281" s="17">
        <f t="shared" si="89"/>
        <v>0</v>
      </c>
      <c r="AS281" s="17"/>
      <c r="AT281" s="17">
        <v>2339.2734</v>
      </c>
      <c r="AU281" s="17">
        <f t="shared" si="102"/>
        <v>2339.2734</v>
      </c>
      <c r="AV281" s="17">
        <f t="shared" si="99"/>
        <v>0</v>
      </c>
      <c r="AW281" s="17" t="str">
        <f t="shared" ref="AW281:AW344" si="104">Q281</f>
        <v>SFA</v>
      </c>
      <c r="AX281" s="22">
        <v>44699</v>
      </c>
      <c r="AY281" s="22"/>
      <c r="AZ281" s="1" t="s">
        <v>110</v>
      </c>
      <c r="BA281" s="22" t="str">
        <f t="shared" si="100"/>
        <v>MARINE CARGO / GIT</v>
      </c>
      <c r="BB281" s="22"/>
      <c r="BC281" s="22"/>
      <c r="BD281" s="22"/>
    </row>
    <row r="282" spans="1:56" ht="14.25" customHeight="1" x14ac:dyDescent="0.2">
      <c r="A282" s="1" t="s">
        <v>369</v>
      </c>
      <c r="B282" s="1" t="s">
        <v>57</v>
      </c>
      <c r="C282" s="13">
        <v>44666</v>
      </c>
      <c r="D282" s="13">
        <v>44674</v>
      </c>
      <c r="E282" s="13">
        <v>44673</v>
      </c>
      <c r="F282" s="13">
        <v>45037</v>
      </c>
      <c r="G282" s="14" t="str">
        <f t="shared" si="92"/>
        <v>000-281/AIB RDC/2022</v>
      </c>
      <c r="H282" s="1">
        <v>0</v>
      </c>
      <c r="I282" s="1" t="s">
        <v>74</v>
      </c>
      <c r="J282" s="1" t="s">
        <v>553</v>
      </c>
      <c r="K282" s="1" t="s">
        <v>197</v>
      </c>
      <c r="L282" s="1" t="s">
        <v>77</v>
      </c>
      <c r="M282" s="16" t="s">
        <v>62</v>
      </c>
      <c r="N282" s="1" t="s">
        <v>209</v>
      </c>
      <c r="O282" s="1" t="s">
        <v>64</v>
      </c>
      <c r="P282" s="1" t="s">
        <v>65</v>
      </c>
      <c r="Q282" s="1" t="s">
        <v>130</v>
      </c>
      <c r="R282" s="16" t="s">
        <v>130</v>
      </c>
      <c r="S282" s="17">
        <v>6333241</v>
      </c>
      <c r="T282" s="17">
        <v>16687.71</v>
      </c>
      <c r="U282" s="17">
        <v>0</v>
      </c>
      <c r="V282" s="17">
        <v>0</v>
      </c>
      <c r="W282" s="17"/>
      <c r="X282" s="17">
        <v>13933.13</v>
      </c>
      <c r="Y282" s="17"/>
      <c r="Z282" s="18">
        <f t="shared" si="93"/>
        <v>2.634939993598854E-3</v>
      </c>
      <c r="AA282" s="19">
        <v>0.15</v>
      </c>
      <c r="AB282" s="17">
        <f t="shared" si="101"/>
        <v>2089.9694999999997</v>
      </c>
      <c r="AC282" s="17">
        <v>0</v>
      </c>
      <c r="AD282" s="17">
        <v>0</v>
      </c>
      <c r="AE282" s="17">
        <f t="shared" si="94"/>
        <v>2089.9694999999997</v>
      </c>
      <c r="AF282" s="17">
        <f t="shared" si="103"/>
        <v>334.39511999999996</v>
      </c>
      <c r="AG282" s="17">
        <f t="shared" si="95"/>
        <v>2424.3646199999998</v>
      </c>
      <c r="AH282" s="17">
        <f t="shared" si="87"/>
        <v>41.799389999999995</v>
      </c>
      <c r="AI282" s="17">
        <v>0</v>
      </c>
      <c r="AJ282" s="17">
        <f t="shared" si="96"/>
        <v>41.799389999999995</v>
      </c>
      <c r="AK282" s="20"/>
      <c r="AL282" s="17">
        <f t="shared" si="97"/>
        <v>2048.1701099999996</v>
      </c>
      <c r="AM282" s="17"/>
      <c r="AN282" s="21">
        <v>0</v>
      </c>
      <c r="AO282" s="17">
        <f t="shared" si="98"/>
        <v>0</v>
      </c>
      <c r="AP282" s="17"/>
      <c r="AQ282" s="16"/>
      <c r="AR282" s="17">
        <f t="shared" si="89"/>
        <v>0</v>
      </c>
      <c r="AS282" s="17"/>
      <c r="AT282" s="17">
        <v>2424.3646199999998</v>
      </c>
      <c r="AU282" s="17">
        <f t="shared" si="102"/>
        <v>2424.3646199999998</v>
      </c>
      <c r="AV282" s="17">
        <f t="shared" si="99"/>
        <v>0</v>
      </c>
      <c r="AW282" s="17" t="str">
        <f t="shared" si="104"/>
        <v>SFA</v>
      </c>
      <c r="AX282" s="22">
        <v>44699</v>
      </c>
      <c r="AY282" s="22"/>
      <c r="AZ282" s="1" t="s">
        <v>68</v>
      </c>
      <c r="BA282" s="22" t="str">
        <f t="shared" si="100"/>
        <v>MARINE CARGO / GIT</v>
      </c>
      <c r="BB282" s="22"/>
      <c r="BC282" s="22"/>
      <c r="BD282" s="22"/>
    </row>
    <row r="283" spans="1:56" ht="14.25" customHeight="1" x14ac:dyDescent="0.2">
      <c r="A283" s="1" t="s">
        <v>496</v>
      </c>
      <c r="B283" s="1" t="s">
        <v>57</v>
      </c>
      <c r="C283" s="13">
        <v>44678</v>
      </c>
      <c r="D283" s="13">
        <v>44691</v>
      </c>
      <c r="E283" s="13">
        <v>44688</v>
      </c>
      <c r="F283" s="13">
        <v>45007</v>
      </c>
      <c r="G283" s="14" t="str">
        <f t="shared" si="92"/>
        <v>000-282/AIB RDC/2022</v>
      </c>
      <c r="H283" s="1">
        <v>1</v>
      </c>
      <c r="I283" s="1" t="s">
        <v>91</v>
      </c>
      <c r="J283" s="24" t="s">
        <v>434</v>
      </c>
      <c r="K283" s="1" t="s">
        <v>197</v>
      </c>
      <c r="L283" s="1" t="s">
        <v>77</v>
      </c>
      <c r="M283" s="16" t="s">
        <v>62</v>
      </c>
      <c r="N283" s="1" t="s">
        <v>209</v>
      </c>
      <c r="O283" s="1" t="s">
        <v>73</v>
      </c>
      <c r="P283" s="1" t="s">
        <v>73</v>
      </c>
      <c r="Q283" s="1" t="s">
        <v>130</v>
      </c>
      <c r="R283" s="1" t="s">
        <v>130</v>
      </c>
      <c r="S283" s="17">
        <v>0</v>
      </c>
      <c r="T283" s="17">
        <v>431.16</v>
      </c>
      <c r="U283" s="17">
        <v>0</v>
      </c>
      <c r="V283" s="17">
        <v>0</v>
      </c>
      <c r="W283" s="17">
        <v>5.4</v>
      </c>
      <c r="X283" s="17">
        <v>360</v>
      </c>
      <c r="Y283" s="17">
        <v>58.46</v>
      </c>
      <c r="Z283" s="18" t="e">
        <f t="shared" si="93"/>
        <v>#DIV/0!</v>
      </c>
      <c r="AA283" s="19">
        <v>0.1</v>
      </c>
      <c r="AB283" s="17">
        <f t="shared" si="101"/>
        <v>36</v>
      </c>
      <c r="AC283" s="17">
        <v>0</v>
      </c>
      <c r="AD283" s="17">
        <v>0</v>
      </c>
      <c r="AE283" s="17">
        <f t="shared" si="94"/>
        <v>36</v>
      </c>
      <c r="AF283" s="17">
        <f t="shared" si="103"/>
        <v>5.76</v>
      </c>
      <c r="AG283" s="17">
        <f t="shared" si="95"/>
        <v>41.76</v>
      </c>
      <c r="AH283" s="17">
        <f t="shared" si="87"/>
        <v>0.72</v>
      </c>
      <c r="AI283" s="17">
        <v>0</v>
      </c>
      <c r="AJ283" s="17">
        <f t="shared" si="96"/>
        <v>0.72</v>
      </c>
      <c r="AK283" s="20"/>
      <c r="AL283" s="17">
        <f t="shared" si="97"/>
        <v>35.28</v>
      </c>
      <c r="AM283" s="17" t="s">
        <v>198</v>
      </c>
      <c r="AN283" s="21">
        <v>0</v>
      </c>
      <c r="AO283" s="17">
        <f t="shared" si="98"/>
        <v>0</v>
      </c>
      <c r="AP283" s="17"/>
      <c r="AQ283" s="16"/>
      <c r="AR283" s="17">
        <f t="shared" si="89"/>
        <v>0</v>
      </c>
      <c r="AS283" s="17"/>
      <c r="AT283" s="17">
        <v>41.76</v>
      </c>
      <c r="AU283" s="17">
        <f t="shared" si="102"/>
        <v>41.76</v>
      </c>
      <c r="AV283" s="17">
        <f t="shared" si="99"/>
        <v>0</v>
      </c>
      <c r="AW283" s="17" t="str">
        <f t="shared" si="104"/>
        <v>SFA</v>
      </c>
      <c r="AX283" s="22">
        <v>44735</v>
      </c>
      <c r="AY283" s="22"/>
      <c r="AZ283" s="1" t="s">
        <v>68</v>
      </c>
      <c r="BA283" s="22" t="str">
        <f t="shared" si="100"/>
        <v>MOTOR TPL</v>
      </c>
      <c r="BB283" s="22"/>
      <c r="BC283" s="22"/>
      <c r="BD283" s="22"/>
    </row>
    <row r="284" spans="1:56" ht="14.25" customHeight="1" x14ac:dyDescent="0.2">
      <c r="A284" s="1" t="s">
        <v>496</v>
      </c>
      <c r="B284" s="1" t="s">
        <v>57</v>
      </c>
      <c r="C284" s="13">
        <v>44679</v>
      </c>
      <c r="D284" s="13">
        <v>44694</v>
      </c>
      <c r="E284" s="13">
        <v>44694</v>
      </c>
      <c r="F284" s="13">
        <v>45007</v>
      </c>
      <c r="G284" s="14" t="str">
        <f t="shared" si="92"/>
        <v>000-283/AIB RDC/2022</v>
      </c>
      <c r="H284" s="1">
        <v>1</v>
      </c>
      <c r="I284" s="1" t="s">
        <v>91</v>
      </c>
      <c r="J284" s="24" t="s">
        <v>435</v>
      </c>
      <c r="K284" s="1" t="s">
        <v>436</v>
      </c>
      <c r="L284" s="1" t="s">
        <v>77</v>
      </c>
      <c r="M284" s="1" t="s">
        <v>62</v>
      </c>
      <c r="N284" s="1" t="s">
        <v>209</v>
      </c>
      <c r="O284" s="1" t="s">
        <v>73</v>
      </c>
      <c r="P284" s="1" t="s">
        <v>73</v>
      </c>
      <c r="Q284" s="16" t="s">
        <v>130</v>
      </c>
      <c r="R284" s="16" t="s">
        <v>130</v>
      </c>
      <c r="S284" s="17">
        <v>5500</v>
      </c>
      <c r="T284" s="17">
        <v>431.16</v>
      </c>
      <c r="U284" s="17">
        <v>0</v>
      </c>
      <c r="V284" s="17">
        <v>0</v>
      </c>
      <c r="W284" s="17">
        <v>5.4</v>
      </c>
      <c r="X284" s="17">
        <v>360</v>
      </c>
      <c r="Y284" s="17">
        <v>58.46</v>
      </c>
      <c r="Z284" s="18">
        <f t="shared" si="93"/>
        <v>7.8392727272727281E-2</v>
      </c>
      <c r="AA284" s="19">
        <v>0.1</v>
      </c>
      <c r="AB284" s="17">
        <f t="shared" si="101"/>
        <v>36</v>
      </c>
      <c r="AC284" s="17">
        <v>0</v>
      </c>
      <c r="AD284" s="17">
        <v>0</v>
      </c>
      <c r="AE284" s="17">
        <f t="shared" si="94"/>
        <v>36</v>
      </c>
      <c r="AF284" s="17">
        <f t="shared" si="103"/>
        <v>5.76</v>
      </c>
      <c r="AG284" s="17">
        <f t="shared" si="95"/>
        <v>41.76</v>
      </c>
      <c r="AH284" s="17">
        <f t="shared" si="87"/>
        <v>0.72</v>
      </c>
      <c r="AI284" s="17">
        <v>0</v>
      </c>
      <c r="AJ284" s="17">
        <f t="shared" si="96"/>
        <v>0.72</v>
      </c>
      <c r="AK284" s="20"/>
      <c r="AL284" s="17">
        <f t="shared" si="97"/>
        <v>35.28</v>
      </c>
      <c r="AM284" s="17" t="s">
        <v>198</v>
      </c>
      <c r="AN284" s="21">
        <v>0</v>
      </c>
      <c r="AO284" s="17">
        <f t="shared" si="98"/>
        <v>0</v>
      </c>
      <c r="AP284" s="17"/>
      <c r="AQ284" s="16"/>
      <c r="AR284" s="17">
        <f t="shared" si="89"/>
        <v>0</v>
      </c>
      <c r="AS284" s="17"/>
      <c r="AT284" s="17">
        <v>41.76</v>
      </c>
      <c r="AU284" s="17">
        <f t="shared" si="102"/>
        <v>41.76</v>
      </c>
      <c r="AV284" s="17">
        <f t="shared" si="99"/>
        <v>0</v>
      </c>
      <c r="AW284" s="17" t="str">
        <f t="shared" si="104"/>
        <v>SFA</v>
      </c>
      <c r="AX284" s="22">
        <v>44735</v>
      </c>
      <c r="AY284" s="22"/>
      <c r="AZ284" s="1" t="s">
        <v>68</v>
      </c>
      <c r="BA284" s="22" t="str">
        <f t="shared" si="100"/>
        <v>MOTOR TPL</v>
      </c>
      <c r="BB284" s="22"/>
      <c r="BC284" s="22"/>
      <c r="BD284" s="22"/>
    </row>
    <row r="285" spans="1:56" ht="14.25" customHeight="1" x14ac:dyDescent="0.2">
      <c r="A285" s="1" t="s">
        <v>369</v>
      </c>
      <c r="B285" s="1" t="s">
        <v>57</v>
      </c>
      <c r="C285" s="13">
        <v>44666</v>
      </c>
      <c r="D285" s="13">
        <v>44678</v>
      </c>
      <c r="E285" s="13">
        <v>44677</v>
      </c>
      <c r="F285" s="13">
        <v>45041</v>
      </c>
      <c r="G285" s="14" t="str">
        <f t="shared" si="92"/>
        <v>000-284/AIB RDC/2022</v>
      </c>
      <c r="H285" s="1">
        <v>0</v>
      </c>
      <c r="I285" s="1" t="s">
        <v>74</v>
      </c>
      <c r="J285" s="1" t="s">
        <v>554</v>
      </c>
      <c r="K285" s="1" t="s">
        <v>555</v>
      </c>
      <c r="L285" s="1" t="s">
        <v>556</v>
      </c>
      <c r="M285" s="1" t="s">
        <v>95</v>
      </c>
      <c r="N285" s="1" t="s">
        <v>102</v>
      </c>
      <c r="O285" s="1" t="s">
        <v>70</v>
      </c>
      <c r="P285" s="1" t="s">
        <v>71</v>
      </c>
      <c r="Q285" s="1" t="s">
        <v>130</v>
      </c>
      <c r="R285" s="1" t="s">
        <v>130</v>
      </c>
      <c r="S285" s="17">
        <v>16000</v>
      </c>
      <c r="T285" s="17">
        <v>209.73</v>
      </c>
      <c r="U285" s="17">
        <v>0</v>
      </c>
      <c r="V285" s="17"/>
      <c r="W285" s="17">
        <v>20</v>
      </c>
      <c r="X285" s="17">
        <v>157.74</v>
      </c>
      <c r="Y285" s="17">
        <v>28.44</v>
      </c>
      <c r="Z285" s="18">
        <f t="shared" si="93"/>
        <v>1.3108125E-2</v>
      </c>
      <c r="AA285" s="19">
        <v>0.1</v>
      </c>
      <c r="AB285" s="17">
        <f t="shared" si="101"/>
        <v>15.774000000000001</v>
      </c>
      <c r="AC285" s="17"/>
      <c r="AD285" s="17"/>
      <c r="AE285" s="17">
        <f t="shared" si="94"/>
        <v>15.774000000000001</v>
      </c>
      <c r="AF285" s="17">
        <f t="shared" si="103"/>
        <v>2.5238400000000003</v>
      </c>
      <c r="AG285" s="17">
        <f t="shared" si="95"/>
        <v>18.297840000000001</v>
      </c>
      <c r="AH285" s="17">
        <f t="shared" si="87"/>
        <v>0.31548000000000004</v>
      </c>
      <c r="AI285" s="17">
        <v>0</v>
      </c>
      <c r="AJ285" s="17">
        <f t="shared" si="96"/>
        <v>0.31548000000000004</v>
      </c>
      <c r="AK285" s="20"/>
      <c r="AL285" s="17">
        <f t="shared" si="97"/>
        <v>15.45852</v>
      </c>
      <c r="AM285" s="17"/>
      <c r="AN285" s="21"/>
      <c r="AO285" s="17">
        <f t="shared" si="98"/>
        <v>0</v>
      </c>
      <c r="AP285" s="17"/>
      <c r="AQ285" s="16"/>
      <c r="AR285" s="17">
        <f t="shared" si="89"/>
        <v>0</v>
      </c>
      <c r="AS285" s="17"/>
      <c r="AT285" s="17">
        <v>18.297840000000001</v>
      </c>
      <c r="AU285" s="17">
        <f t="shared" si="102"/>
        <v>18.297840000000001</v>
      </c>
      <c r="AV285" s="17">
        <f t="shared" si="99"/>
        <v>0</v>
      </c>
      <c r="AW285" s="17" t="str">
        <f t="shared" si="104"/>
        <v>SFA</v>
      </c>
      <c r="AX285" s="22">
        <v>44699</v>
      </c>
      <c r="AY285" s="22"/>
      <c r="AZ285" s="22"/>
      <c r="BA285" s="22" t="str">
        <f t="shared" si="100"/>
        <v>FIRE</v>
      </c>
      <c r="BB285" s="22"/>
      <c r="BC285" s="22"/>
      <c r="BD285" s="22"/>
    </row>
    <row r="286" spans="1:56" ht="14.25" customHeight="1" x14ac:dyDescent="0.2">
      <c r="A286" s="1" t="s">
        <v>369</v>
      </c>
      <c r="B286" s="1" t="s">
        <v>57</v>
      </c>
      <c r="C286" s="13">
        <v>44655</v>
      </c>
      <c r="D286" s="13">
        <v>44658</v>
      </c>
      <c r="E286" s="13">
        <v>44657</v>
      </c>
      <c r="F286" s="13">
        <v>45021</v>
      </c>
      <c r="G286" s="14" t="str">
        <f t="shared" si="92"/>
        <v>000-285/AIB RDC/2022</v>
      </c>
      <c r="H286" s="1">
        <v>0</v>
      </c>
      <c r="I286" s="1" t="s">
        <v>74</v>
      </c>
      <c r="J286" s="24" t="s">
        <v>557</v>
      </c>
      <c r="K286" s="1" t="s">
        <v>122</v>
      </c>
      <c r="L286" s="1" t="s">
        <v>123</v>
      </c>
      <c r="M286" s="1" t="s">
        <v>95</v>
      </c>
      <c r="N286" s="1" t="s">
        <v>102</v>
      </c>
      <c r="O286" s="1" t="s">
        <v>70</v>
      </c>
      <c r="P286" s="1" t="s">
        <v>71</v>
      </c>
      <c r="Q286" s="1" t="s">
        <v>130</v>
      </c>
      <c r="R286" s="1" t="s">
        <v>130</v>
      </c>
      <c r="S286" s="17"/>
      <c r="T286" s="17">
        <v>702.09</v>
      </c>
      <c r="U286" s="17">
        <v>0</v>
      </c>
      <c r="V286" s="17">
        <v>0</v>
      </c>
      <c r="W286" s="17"/>
      <c r="X286" s="17">
        <v>574.99</v>
      </c>
      <c r="Y286" s="17"/>
      <c r="Z286" s="18" t="e">
        <f t="shared" si="93"/>
        <v>#DIV/0!</v>
      </c>
      <c r="AA286" s="19">
        <v>0.1</v>
      </c>
      <c r="AB286" s="17">
        <f t="shared" si="101"/>
        <v>57.499000000000002</v>
      </c>
      <c r="AC286" s="17"/>
      <c r="AD286" s="17"/>
      <c r="AE286" s="17">
        <f t="shared" si="94"/>
        <v>57.499000000000002</v>
      </c>
      <c r="AF286" s="17">
        <f t="shared" si="103"/>
        <v>9.19984</v>
      </c>
      <c r="AG286" s="17">
        <f t="shared" si="95"/>
        <v>66.698840000000004</v>
      </c>
      <c r="AH286" s="17">
        <f t="shared" si="87"/>
        <v>1.14998</v>
      </c>
      <c r="AI286" s="17">
        <v>0</v>
      </c>
      <c r="AJ286" s="17">
        <f t="shared" si="96"/>
        <v>1.14998</v>
      </c>
      <c r="AK286" s="20"/>
      <c r="AL286" s="17">
        <f t="shared" si="97"/>
        <v>56.349020000000003</v>
      </c>
      <c r="AM286" s="17" t="s">
        <v>198</v>
      </c>
      <c r="AN286" s="21"/>
      <c r="AO286" s="17">
        <f t="shared" si="98"/>
        <v>0</v>
      </c>
      <c r="AP286" s="17"/>
      <c r="AQ286" s="16"/>
      <c r="AR286" s="17">
        <f t="shared" si="89"/>
        <v>0</v>
      </c>
      <c r="AS286" s="17"/>
      <c r="AT286" s="17">
        <v>66.698840000000004</v>
      </c>
      <c r="AU286" s="17">
        <f t="shared" si="102"/>
        <v>66.698840000000004</v>
      </c>
      <c r="AV286" s="17">
        <f t="shared" si="99"/>
        <v>0</v>
      </c>
      <c r="AW286" s="17" t="str">
        <f t="shared" si="104"/>
        <v>SFA</v>
      </c>
      <c r="AX286" s="22">
        <v>44699</v>
      </c>
      <c r="AY286" s="22"/>
      <c r="AZ286" s="22"/>
      <c r="BA286" s="22" t="str">
        <f t="shared" si="100"/>
        <v>FIRE</v>
      </c>
      <c r="BB286" s="22"/>
      <c r="BC286" s="22"/>
      <c r="BD286" s="22"/>
    </row>
    <row r="287" spans="1:56" ht="14.25" customHeight="1" x14ac:dyDescent="0.2">
      <c r="A287" s="1" t="s">
        <v>324</v>
      </c>
      <c r="B287" s="1" t="s">
        <v>57</v>
      </c>
      <c r="C287" s="13">
        <v>44638</v>
      </c>
      <c r="D287" s="13">
        <v>44670</v>
      </c>
      <c r="E287" s="13">
        <v>44630</v>
      </c>
      <c r="F287" s="13">
        <v>44994</v>
      </c>
      <c r="G287" s="14" t="str">
        <f t="shared" si="92"/>
        <v>000-286/AIB RDC/2022</v>
      </c>
      <c r="H287" s="1">
        <v>0</v>
      </c>
      <c r="I287" s="1" t="s">
        <v>74</v>
      </c>
      <c r="J287" s="1" t="s">
        <v>558</v>
      </c>
      <c r="K287" s="1" t="s">
        <v>559</v>
      </c>
      <c r="L287" s="1" t="s">
        <v>118</v>
      </c>
      <c r="M287" s="1" t="s">
        <v>84</v>
      </c>
      <c r="N287" s="1" t="s">
        <v>191</v>
      </c>
      <c r="O287" s="1" t="s">
        <v>70</v>
      </c>
      <c r="P287" s="1" t="s">
        <v>71</v>
      </c>
      <c r="Q287" s="1" t="s">
        <v>66</v>
      </c>
      <c r="R287" s="1" t="s">
        <v>66</v>
      </c>
      <c r="S287" s="17"/>
      <c r="T287" s="17">
        <v>7364.36</v>
      </c>
      <c r="U287" s="17"/>
      <c r="V287" s="17"/>
      <c r="W287" s="17">
        <v>62.86</v>
      </c>
      <c r="X287" s="17">
        <v>6285.68</v>
      </c>
      <c r="Y287" s="17">
        <v>1015.77</v>
      </c>
      <c r="Z287" s="18" t="e">
        <f t="shared" si="93"/>
        <v>#DIV/0!</v>
      </c>
      <c r="AA287" s="19">
        <v>0.1</v>
      </c>
      <c r="AB287" s="17">
        <f t="shared" si="101"/>
        <v>628.5680000000001</v>
      </c>
      <c r="AC287" s="17"/>
      <c r="AD287" s="17"/>
      <c r="AE287" s="17">
        <f t="shared" si="94"/>
        <v>628.5680000000001</v>
      </c>
      <c r="AF287" s="17">
        <f t="shared" si="103"/>
        <v>100.57088000000002</v>
      </c>
      <c r="AG287" s="17">
        <f t="shared" si="95"/>
        <v>729.13888000000009</v>
      </c>
      <c r="AH287" s="17">
        <f t="shared" si="87"/>
        <v>12.571360000000002</v>
      </c>
      <c r="AI287" s="17">
        <v>0</v>
      </c>
      <c r="AJ287" s="17">
        <f t="shared" si="96"/>
        <v>12.571360000000002</v>
      </c>
      <c r="AK287" s="20"/>
      <c r="AL287" s="17">
        <f t="shared" si="97"/>
        <v>615.99664000000007</v>
      </c>
      <c r="AM287" s="17"/>
      <c r="AN287" s="21"/>
      <c r="AO287" s="17">
        <f t="shared" si="98"/>
        <v>0</v>
      </c>
      <c r="AP287" s="17"/>
      <c r="AQ287" s="16"/>
      <c r="AR287" s="17">
        <f t="shared" si="89"/>
        <v>0</v>
      </c>
      <c r="AS287" s="17"/>
      <c r="AT287" s="17">
        <v>729.13888000000009</v>
      </c>
      <c r="AU287" s="17">
        <f t="shared" si="102"/>
        <v>729.13888000000009</v>
      </c>
      <c r="AV287" s="17">
        <f t="shared" si="99"/>
        <v>0</v>
      </c>
      <c r="AW287" s="17" t="str">
        <f t="shared" si="104"/>
        <v>ACTIVA</v>
      </c>
      <c r="AX287" s="22">
        <v>44701</v>
      </c>
      <c r="AY287" s="22"/>
      <c r="AZ287" s="1" t="s">
        <v>68</v>
      </c>
      <c r="BA287" s="22" t="str">
        <f t="shared" si="100"/>
        <v>FIRE</v>
      </c>
      <c r="BB287" s="22"/>
      <c r="BC287" s="22"/>
      <c r="BD287" s="1" t="s">
        <v>560</v>
      </c>
    </row>
    <row r="288" spans="1:56" ht="14.25" customHeight="1" x14ac:dyDescent="0.2">
      <c r="A288" s="1" t="s">
        <v>324</v>
      </c>
      <c r="B288" s="1" t="s">
        <v>57</v>
      </c>
      <c r="C288" s="13">
        <v>44643</v>
      </c>
      <c r="D288" s="13">
        <v>44677</v>
      </c>
      <c r="E288" s="13">
        <v>44633</v>
      </c>
      <c r="F288" s="13">
        <v>45291</v>
      </c>
      <c r="G288" s="14" t="str">
        <f t="shared" si="92"/>
        <v>000-287/AIB RDC/2022</v>
      </c>
      <c r="H288" s="1">
        <v>0</v>
      </c>
      <c r="I288" s="1" t="s">
        <v>74</v>
      </c>
      <c r="J288" s="1" t="s">
        <v>561</v>
      </c>
      <c r="K288" s="1" t="s">
        <v>562</v>
      </c>
      <c r="L288" s="1"/>
      <c r="M288" s="1" t="s">
        <v>95</v>
      </c>
      <c r="N288" s="1" t="s">
        <v>102</v>
      </c>
      <c r="O288" s="1" t="s">
        <v>132</v>
      </c>
      <c r="P288" s="1" t="s">
        <v>90</v>
      </c>
      <c r="Q288" s="1" t="s">
        <v>79</v>
      </c>
      <c r="R288" s="1" t="s">
        <v>79</v>
      </c>
      <c r="S288" s="17"/>
      <c r="T288" s="17">
        <v>32674.89</v>
      </c>
      <c r="U288" s="17">
        <v>0</v>
      </c>
      <c r="V288" s="17">
        <v>0</v>
      </c>
      <c r="W288" s="17">
        <v>20</v>
      </c>
      <c r="X288" s="17">
        <v>27670.59</v>
      </c>
      <c r="Y288" s="17">
        <v>4430.49</v>
      </c>
      <c r="Z288" s="18" t="e">
        <f t="shared" si="93"/>
        <v>#DIV/0!</v>
      </c>
      <c r="AA288" s="19">
        <v>4.4999999999999998E-2</v>
      </c>
      <c r="AB288" s="17">
        <f t="shared" si="101"/>
        <v>1245.1765499999999</v>
      </c>
      <c r="AC288" s="17"/>
      <c r="AD288" s="17"/>
      <c r="AE288" s="17">
        <f t="shared" si="94"/>
        <v>1245.1765499999999</v>
      </c>
      <c r="AF288" s="17">
        <f t="shared" si="103"/>
        <v>199.22824799999998</v>
      </c>
      <c r="AG288" s="17">
        <f t="shared" si="95"/>
        <v>1444.4047979999998</v>
      </c>
      <c r="AH288" s="17">
        <f t="shared" si="87"/>
        <v>24.903530999999997</v>
      </c>
      <c r="AI288" s="17">
        <v>0</v>
      </c>
      <c r="AJ288" s="17">
        <f t="shared" si="96"/>
        <v>24.903530999999997</v>
      </c>
      <c r="AK288" s="20"/>
      <c r="AL288" s="17">
        <f t="shared" si="97"/>
        <v>1220.273019</v>
      </c>
      <c r="AM288" s="17"/>
      <c r="AN288" s="21"/>
      <c r="AO288" s="17">
        <f t="shared" si="98"/>
        <v>0</v>
      </c>
      <c r="AP288" s="17"/>
      <c r="AQ288" s="16"/>
      <c r="AR288" s="17">
        <f t="shared" si="89"/>
        <v>0</v>
      </c>
      <c r="AS288" s="17"/>
      <c r="AT288" s="17">
        <v>1444.4047979999998</v>
      </c>
      <c r="AU288" s="17">
        <f t="shared" si="102"/>
        <v>1444.4047979999998</v>
      </c>
      <c r="AV288" s="17">
        <f t="shared" si="99"/>
        <v>0</v>
      </c>
      <c r="AW288" s="17" t="str">
        <f t="shared" si="104"/>
        <v>MAYFAIR</v>
      </c>
      <c r="AX288" s="22">
        <v>44719</v>
      </c>
      <c r="AY288" s="22"/>
      <c r="AZ288" s="22"/>
      <c r="BA288" s="22" t="str">
        <f t="shared" si="100"/>
        <v>PI</v>
      </c>
      <c r="BB288" s="22"/>
      <c r="BC288" s="22"/>
      <c r="BD288" s="22"/>
    </row>
    <row r="289" spans="1:56" ht="14.25" customHeight="1" x14ac:dyDescent="0.2">
      <c r="A289" s="1" t="s">
        <v>369</v>
      </c>
      <c r="B289" s="1" t="s">
        <v>57</v>
      </c>
      <c r="C289" s="13">
        <v>44669</v>
      </c>
      <c r="D289" s="13">
        <v>44677</v>
      </c>
      <c r="E289" s="13">
        <v>44669</v>
      </c>
      <c r="F289" s="13">
        <v>45033</v>
      </c>
      <c r="G289" s="14" t="str">
        <f t="shared" si="92"/>
        <v>000-288/AIB RDC/2022</v>
      </c>
      <c r="H289" s="1">
        <v>0</v>
      </c>
      <c r="I289" s="1" t="s">
        <v>74</v>
      </c>
      <c r="J289" s="1" t="s">
        <v>563</v>
      </c>
      <c r="K289" s="1" t="s">
        <v>564</v>
      </c>
      <c r="L289" s="1"/>
      <c r="M289" s="1" t="s">
        <v>95</v>
      </c>
      <c r="N289" s="1" t="s">
        <v>102</v>
      </c>
      <c r="O289" s="1" t="s">
        <v>64</v>
      </c>
      <c r="P289" s="1" t="s">
        <v>65</v>
      </c>
      <c r="Q289" s="1" t="s">
        <v>79</v>
      </c>
      <c r="R289" s="1" t="s">
        <v>79</v>
      </c>
      <c r="S289" s="17">
        <v>0</v>
      </c>
      <c r="T289" s="17">
        <v>62700</v>
      </c>
      <c r="U289" s="17">
        <v>0</v>
      </c>
      <c r="V289" s="17">
        <v>0</v>
      </c>
      <c r="W289" s="17">
        <v>100</v>
      </c>
      <c r="X289" s="17">
        <v>53036</v>
      </c>
      <c r="Y289" s="17">
        <v>8501</v>
      </c>
      <c r="Z289" s="18" t="e">
        <f t="shared" si="93"/>
        <v>#DIV/0!</v>
      </c>
      <c r="AA289" s="19">
        <v>0.15</v>
      </c>
      <c r="AB289" s="17">
        <f t="shared" si="101"/>
        <v>7955.4</v>
      </c>
      <c r="AC289" s="17">
        <v>0</v>
      </c>
      <c r="AD289" s="17"/>
      <c r="AE289" s="17">
        <f t="shared" si="94"/>
        <v>7955.4</v>
      </c>
      <c r="AF289" s="17">
        <f t="shared" si="103"/>
        <v>1272.864</v>
      </c>
      <c r="AG289" s="17">
        <f t="shared" si="95"/>
        <v>9228.2639999999992</v>
      </c>
      <c r="AH289" s="17">
        <f t="shared" si="87"/>
        <v>159.108</v>
      </c>
      <c r="AI289" s="17">
        <v>0</v>
      </c>
      <c r="AJ289" s="17">
        <f t="shared" si="96"/>
        <v>159.108</v>
      </c>
      <c r="AK289" s="20"/>
      <c r="AL289" s="17">
        <f t="shared" si="97"/>
        <v>7796.2919999999995</v>
      </c>
      <c r="AM289" s="17"/>
      <c r="AN289" s="21"/>
      <c r="AO289" s="17">
        <f t="shared" si="98"/>
        <v>0</v>
      </c>
      <c r="AP289" s="17"/>
      <c r="AQ289" s="16"/>
      <c r="AR289" s="17">
        <f t="shared" si="89"/>
        <v>0</v>
      </c>
      <c r="AS289" s="17"/>
      <c r="AT289" s="17">
        <v>9228.2639999999992</v>
      </c>
      <c r="AU289" s="17">
        <f t="shared" si="102"/>
        <v>9228.2639999999992</v>
      </c>
      <c r="AV289" s="17">
        <f t="shared" si="99"/>
        <v>0</v>
      </c>
      <c r="AW289" s="17" t="str">
        <f t="shared" si="104"/>
        <v>MAYFAIR</v>
      </c>
      <c r="AX289" s="22">
        <v>44719</v>
      </c>
      <c r="AY289" s="22"/>
      <c r="AZ289" s="22"/>
      <c r="BA289" s="22" t="str">
        <f t="shared" si="100"/>
        <v>MARINE CARGO / GIT</v>
      </c>
      <c r="BB289" s="22"/>
      <c r="BC289" s="22"/>
      <c r="BD289" s="22"/>
    </row>
    <row r="290" spans="1:56" ht="14.25" customHeight="1" x14ac:dyDescent="0.2">
      <c r="A290" s="1" t="s">
        <v>369</v>
      </c>
      <c r="B290" s="1" t="s">
        <v>57</v>
      </c>
      <c r="C290" s="13">
        <v>44669</v>
      </c>
      <c r="D290" s="13">
        <v>44680</v>
      </c>
      <c r="E290" s="13">
        <v>44669</v>
      </c>
      <c r="F290" s="13">
        <v>45033</v>
      </c>
      <c r="G290" s="14" t="str">
        <f t="shared" si="92"/>
        <v>000-289/AIB RDC/2022</v>
      </c>
      <c r="H290" s="1">
        <v>0</v>
      </c>
      <c r="I290" s="1" t="s">
        <v>74</v>
      </c>
      <c r="J290" s="1" t="s">
        <v>565</v>
      </c>
      <c r="K290" s="1" t="s">
        <v>566</v>
      </c>
      <c r="L290" s="1"/>
      <c r="M290" s="1" t="s">
        <v>95</v>
      </c>
      <c r="N290" s="1" t="s">
        <v>102</v>
      </c>
      <c r="O290" s="1" t="s">
        <v>70</v>
      </c>
      <c r="P290" s="1" t="s">
        <v>71</v>
      </c>
      <c r="Q290" s="1" t="s">
        <v>79</v>
      </c>
      <c r="R290" s="1" t="s">
        <v>79</v>
      </c>
      <c r="S290" s="17">
        <f>66800000+3000000+3960000</f>
        <v>73760000</v>
      </c>
      <c r="T290" s="17">
        <f>66697+2854+3767</f>
        <v>73318</v>
      </c>
      <c r="U290" s="17">
        <v>0</v>
      </c>
      <c r="V290" s="17">
        <v>0</v>
      </c>
      <c r="W290" s="17">
        <f>100+100+100</f>
        <v>300</v>
      </c>
      <c r="X290" s="17">
        <f>56423+2369+3143</f>
        <v>61935</v>
      </c>
      <c r="Y290" s="17">
        <f>9044+395.04+518.88</f>
        <v>9957.92</v>
      </c>
      <c r="Z290" s="18">
        <f t="shared" si="93"/>
        <v>9.940075921908893E-4</v>
      </c>
      <c r="AA290" s="19">
        <v>0.15</v>
      </c>
      <c r="AB290" s="17">
        <f t="shared" si="101"/>
        <v>9290.25</v>
      </c>
      <c r="AC290" s="17">
        <v>0</v>
      </c>
      <c r="AD290" s="17"/>
      <c r="AE290" s="17">
        <f t="shared" si="94"/>
        <v>9290.25</v>
      </c>
      <c r="AF290" s="17">
        <f t="shared" si="103"/>
        <v>1486.44</v>
      </c>
      <c r="AG290" s="17">
        <f t="shared" si="95"/>
        <v>10776.69</v>
      </c>
      <c r="AH290" s="17">
        <f t="shared" si="87"/>
        <v>185.80500000000001</v>
      </c>
      <c r="AI290" s="17">
        <v>0</v>
      </c>
      <c r="AJ290" s="17">
        <f t="shared" si="96"/>
        <v>185.80500000000001</v>
      </c>
      <c r="AK290" s="20"/>
      <c r="AL290" s="17">
        <f t="shared" si="97"/>
        <v>9104.4449999999997</v>
      </c>
      <c r="AM290" s="17"/>
      <c r="AN290" s="21"/>
      <c r="AO290" s="17">
        <f t="shared" si="98"/>
        <v>0</v>
      </c>
      <c r="AP290" s="17"/>
      <c r="AQ290" s="16"/>
      <c r="AR290" s="17">
        <f t="shared" si="89"/>
        <v>0</v>
      </c>
      <c r="AS290" s="17"/>
      <c r="AT290" s="17">
        <v>10776.69</v>
      </c>
      <c r="AU290" s="17">
        <f t="shared" si="102"/>
        <v>10776.69</v>
      </c>
      <c r="AV290" s="17">
        <f t="shared" si="99"/>
        <v>0</v>
      </c>
      <c r="AW290" s="17" t="str">
        <f t="shared" si="104"/>
        <v>MAYFAIR</v>
      </c>
      <c r="AX290" s="22">
        <v>44719</v>
      </c>
      <c r="AY290" s="22"/>
      <c r="AZ290" s="22"/>
      <c r="BA290" s="22" t="str">
        <f t="shared" si="100"/>
        <v>FIRE</v>
      </c>
      <c r="BB290" s="22"/>
      <c r="BC290" s="22"/>
      <c r="BD290" s="22"/>
    </row>
    <row r="291" spans="1:56" ht="14.25" customHeight="1" x14ac:dyDescent="0.2">
      <c r="A291" s="1" t="s">
        <v>229</v>
      </c>
      <c r="B291" s="1" t="s">
        <v>57</v>
      </c>
      <c r="C291" s="13">
        <v>44701</v>
      </c>
      <c r="D291" s="13">
        <v>44712</v>
      </c>
      <c r="E291" s="13">
        <v>44593</v>
      </c>
      <c r="F291" s="13">
        <v>44769</v>
      </c>
      <c r="G291" s="14" t="str">
        <f t="shared" si="92"/>
        <v>000-290/AIB RDC/2022</v>
      </c>
      <c r="H291" s="1">
        <v>1</v>
      </c>
      <c r="I291" s="1" t="s">
        <v>91</v>
      </c>
      <c r="J291" s="1" t="s">
        <v>567</v>
      </c>
      <c r="K291" s="1" t="s">
        <v>568</v>
      </c>
      <c r="L291" s="1" t="s">
        <v>137</v>
      </c>
      <c r="M291" s="1" t="s">
        <v>84</v>
      </c>
      <c r="N291" s="1" t="s">
        <v>541</v>
      </c>
      <c r="O291" s="1" t="s">
        <v>185</v>
      </c>
      <c r="P291" s="1" t="s">
        <v>186</v>
      </c>
      <c r="Q291" s="1" t="s">
        <v>130</v>
      </c>
      <c r="R291" s="1" t="s">
        <v>130</v>
      </c>
      <c r="S291" s="17">
        <v>0</v>
      </c>
      <c r="T291" s="17">
        <v>15811.34</v>
      </c>
      <c r="U291" s="17">
        <v>1999.92</v>
      </c>
      <c r="V291" s="17">
        <v>0</v>
      </c>
      <c r="W291" s="17">
        <v>66.66</v>
      </c>
      <c r="X291" s="17">
        <v>11332.86</v>
      </c>
      <c r="Y291" s="17">
        <v>2143.91</v>
      </c>
      <c r="Z291" s="18" t="e">
        <f t="shared" si="93"/>
        <v>#DIV/0!</v>
      </c>
      <c r="AA291" s="19">
        <v>0</v>
      </c>
      <c r="AB291" s="17">
        <f t="shared" si="101"/>
        <v>0</v>
      </c>
      <c r="AC291" s="17">
        <f>30%*U291</f>
        <v>599.976</v>
      </c>
      <c r="AD291" s="17">
        <v>0</v>
      </c>
      <c r="AE291" s="17">
        <f t="shared" si="94"/>
        <v>599.976</v>
      </c>
      <c r="AF291" s="17">
        <f t="shared" si="103"/>
        <v>95.996160000000003</v>
      </c>
      <c r="AG291" s="17">
        <f t="shared" si="95"/>
        <v>695.97216000000003</v>
      </c>
      <c r="AH291" s="17">
        <f t="shared" si="87"/>
        <v>11.99952</v>
      </c>
      <c r="AI291" s="17">
        <v>0</v>
      </c>
      <c r="AJ291" s="17">
        <f t="shared" si="96"/>
        <v>11.99952</v>
      </c>
      <c r="AK291" s="20"/>
      <c r="AL291" s="17">
        <f t="shared" si="97"/>
        <v>587.97648000000004</v>
      </c>
      <c r="AM291" s="17"/>
      <c r="AN291" s="21"/>
      <c r="AO291" s="17">
        <f t="shared" si="98"/>
        <v>0</v>
      </c>
      <c r="AP291" s="17"/>
      <c r="AQ291" s="16"/>
      <c r="AR291" s="17">
        <f t="shared" si="89"/>
        <v>0</v>
      </c>
      <c r="AS291" s="17"/>
      <c r="AT291" s="17">
        <v>695.97216000000003</v>
      </c>
      <c r="AU291" s="17">
        <f t="shared" si="102"/>
        <v>695.97216000000003</v>
      </c>
      <c r="AV291" s="17">
        <f t="shared" si="99"/>
        <v>0</v>
      </c>
      <c r="AW291" s="17" t="str">
        <f t="shared" si="104"/>
        <v>SFA</v>
      </c>
      <c r="AX291" s="22">
        <v>44735</v>
      </c>
      <c r="AY291" s="22"/>
      <c r="AZ291" s="1" t="s">
        <v>68</v>
      </c>
      <c r="BA291" s="22" t="str">
        <f t="shared" si="100"/>
        <v>AVIATION HULL ALL RISK</v>
      </c>
      <c r="BB291" s="22"/>
      <c r="BC291" s="22"/>
      <c r="BD291" s="22"/>
    </row>
    <row r="292" spans="1:56" ht="14.25" customHeight="1" x14ac:dyDescent="0.2">
      <c r="A292" s="1" t="s">
        <v>324</v>
      </c>
      <c r="B292" s="1" t="s">
        <v>57</v>
      </c>
      <c r="C292" s="13">
        <v>44704</v>
      </c>
      <c r="D292" s="13">
        <v>44797</v>
      </c>
      <c r="E292" s="13">
        <v>44621</v>
      </c>
      <c r="F292" s="13">
        <v>44985</v>
      </c>
      <c r="G292" s="14" t="str">
        <f t="shared" si="92"/>
        <v>000-291/AIB RDC/2022</v>
      </c>
      <c r="H292" s="1">
        <v>3</v>
      </c>
      <c r="I292" s="1" t="s">
        <v>58</v>
      </c>
      <c r="J292" s="15">
        <v>60100003</v>
      </c>
      <c r="K292" s="1" t="s">
        <v>569</v>
      </c>
      <c r="L292" s="1" t="s">
        <v>137</v>
      </c>
      <c r="M292" s="1" t="s">
        <v>84</v>
      </c>
      <c r="N292" s="1" t="s">
        <v>84</v>
      </c>
      <c r="O292" s="1" t="s">
        <v>89</v>
      </c>
      <c r="P292" s="1" t="s">
        <v>90</v>
      </c>
      <c r="Q292" s="1" t="s">
        <v>107</v>
      </c>
      <c r="R292" s="1" t="s">
        <v>80</v>
      </c>
      <c r="S292" s="17">
        <v>1000000</v>
      </c>
      <c r="T292" s="17">
        <v>13178.52</v>
      </c>
      <c r="U292" s="17">
        <v>1672.24</v>
      </c>
      <c r="V292" s="17">
        <v>0</v>
      </c>
      <c r="W292" s="17">
        <v>20</v>
      </c>
      <c r="X292" s="17">
        <v>9476</v>
      </c>
      <c r="Y292" s="17">
        <v>1786.92</v>
      </c>
      <c r="Z292" s="18">
        <f t="shared" si="93"/>
        <v>1.3178520000000001E-2</v>
      </c>
      <c r="AA292" s="19">
        <v>0</v>
      </c>
      <c r="AB292" s="17">
        <f t="shared" si="101"/>
        <v>0</v>
      </c>
      <c r="AC292" s="17">
        <f>30%*U292</f>
        <v>501.67199999999997</v>
      </c>
      <c r="AD292" s="17">
        <v>0</v>
      </c>
      <c r="AE292" s="17">
        <f t="shared" si="94"/>
        <v>501.67199999999997</v>
      </c>
      <c r="AF292" s="17">
        <f t="shared" si="103"/>
        <v>80.26751999999999</v>
      </c>
      <c r="AG292" s="17">
        <f t="shared" si="95"/>
        <v>581.9395199999999</v>
      </c>
      <c r="AH292" s="17">
        <f t="shared" si="87"/>
        <v>10.033439999999999</v>
      </c>
      <c r="AI292" s="17">
        <v>0</v>
      </c>
      <c r="AJ292" s="17">
        <f t="shared" si="96"/>
        <v>10.033439999999999</v>
      </c>
      <c r="AK292" s="20"/>
      <c r="AL292" s="17">
        <f t="shared" si="97"/>
        <v>491.63855999999998</v>
      </c>
      <c r="AM292" s="17" t="s">
        <v>80</v>
      </c>
      <c r="AN292" s="21">
        <v>0</v>
      </c>
      <c r="AO292" s="23">
        <f t="shared" si="98"/>
        <v>0</v>
      </c>
      <c r="AP292" s="17"/>
      <c r="AQ292" s="16"/>
      <c r="AR292" s="17">
        <f t="shared" si="89"/>
        <v>0</v>
      </c>
      <c r="AS292" s="17"/>
      <c r="AT292" s="17">
        <v>581.9395199999999</v>
      </c>
      <c r="AU292" s="17">
        <f t="shared" si="102"/>
        <v>581.9395199999999</v>
      </c>
      <c r="AV292" s="17">
        <f t="shared" si="99"/>
        <v>0</v>
      </c>
      <c r="AW292" s="17" t="str">
        <f t="shared" si="104"/>
        <v>RAWSUR</v>
      </c>
      <c r="AX292" s="22">
        <v>44832</v>
      </c>
      <c r="AY292" s="22"/>
      <c r="AZ292" s="1" t="s">
        <v>100</v>
      </c>
      <c r="BA292" s="22" t="str">
        <f t="shared" si="100"/>
        <v>GENERAL LIABILITY</v>
      </c>
      <c r="BB292" s="22"/>
      <c r="BC292" s="22"/>
      <c r="BD292" s="22"/>
    </row>
    <row r="293" spans="1:56" ht="14.25" customHeight="1" x14ac:dyDescent="0.2">
      <c r="A293" s="1" t="s">
        <v>324</v>
      </c>
      <c r="B293" s="1" t="s">
        <v>57</v>
      </c>
      <c r="C293" s="13">
        <v>44627</v>
      </c>
      <c r="D293" s="13">
        <v>44682</v>
      </c>
      <c r="E293" s="13">
        <v>44621</v>
      </c>
      <c r="F293" s="13">
        <v>44985</v>
      </c>
      <c r="G293" s="14" t="str">
        <f t="shared" si="92"/>
        <v>000-292/AIB RDC/2022</v>
      </c>
      <c r="H293" s="1">
        <v>3</v>
      </c>
      <c r="I293" s="1" t="s">
        <v>58</v>
      </c>
      <c r="J293" s="15" t="s">
        <v>570</v>
      </c>
      <c r="K293" s="1" t="s">
        <v>569</v>
      </c>
      <c r="L293" s="1" t="s">
        <v>137</v>
      </c>
      <c r="M293" s="1" t="s">
        <v>84</v>
      </c>
      <c r="N293" s="1" t="s">
        <v>84</v>
      </c>
      <c r="O293" s="1" t="s">
        <v>70</v>
      </c>
      <c r="P293" s="1" t="s">
        <v>71</v>
      </c>
      <c r="Q293" s="1" t="s">
        <v>107</v>
      </c>
      <c r="R293" s="1" t="s">
        <v>80</v>
      </c>
      <c r="S293" s="17">
        <v>86446091.489999995</v>
      </c>
      <c r="T293" s="17">
        <f>286982.89+5517.71+1240.8</f>
        <v>293741.40000000002</v>
      </c>
      <c r="U293" s="17">
        <f>36477.96+698.4+156.23</f>
        <v>37332.590000000004</v>
      </c>
      <c r="V293" s="17"/>
      <c r="W293" s="17">
        <f>20+20+10</f>
        <v>50</v>
      </c>
      <c r="X293" s="17">
        <f>206707.96+3957.62+885.3</f>
        <v>211550.87999999998</v>
      </c>
      <c r="Y293" s="17">
        <f>38912.93+748.16+168.24</f>
        <v>39829.33</v>
      </c>
      <c r="Z293" s="18">
        <f t="shared" si="93"/>
        <v>3.397972018595887E-3</v>
      </c>
      <c r="AA293" s="19">
        <v>0</v>
      </c>
      <c r="AB293" s="17">
        <f t="shared" si="101"/>
        <v>0</v>
      </c>
      <c r="AC293" s="17">
        <f>30%*U293</f>
        <v>11199.777</v>
      </c>
      <c r="AD293" s="17">
        <v>0</v>
      </c>
      <c r="AE293" s="17">
        <f t="shared" si="94"/>
        <v>11199.777</v>
      </c>
      <c r="AF293" s="17">
        <f t="shared" si="103"/>
        <v>1791.96432</v>
      </c>
      <c r="AG293" s="17">
        <f t="shared" si="95"/>
        <v>12991.741320000001</v>
      </c>
      <c r="AH293" s="17">
        <f t="shared" ref="AH293:AH349" si="105">2%*AE293</f>
        <v>223.99554000000001</v>
      </c>
      <c r="AI293" s="17">
        <v>0</v>
      </c>
      <c r="AJ293" s="17">
        <f t="shared" si="96"/>
        <v>223.99554000000001</v>
      </c>
      <c r="AK293" s="20"/>
      <c r="AL293" s="17">
        <f t="shared" si="97"/>
        <v>10975.78146</v>
      </c>
      <c r="AM293" s="17" t="s">
        <v>80</v>
      </c>
      <c r="AN293" s="21">
        <v>0</v>
      </c>
      <c r="AO293" s="23">
        <f t="shared" si="98"/>
        <v>0</v>
      </c>
      <c r="AP293" s="17"/>
      <c r="AQ293" s="16"/>
      <c r="AR293" s="17">
        <f t="shared" si="89"/>
        <v>0</v>
      </c>
      <c r="AS293" s="17"/>
      <c r="AT293" s="17">
        <f>12694.33+297.411320000001</f>
        <v>12991.741320000001</v>
      </c>
      <c r="AU293" s="17">
        <f t="shared" si="102"/>
        <v>12991.741320000001</v>
      </c>
      <c r="AV293" s="17">
        <f t="shared" si="99"/>
        <v>0</v>
      </c>
      <c r="AW293" s="17" t="str">
        <f t="shared" si="104"/>
        <v>RAWSUR</v>
      </c>
      <c r="AX293" s="22">
        <v>44832</v>
      </c>
      <c r="AY293" s="22"/>
      <c r="AZ293" s="1" t="s">
        <v>100</v>
      </c>
      <c r="BA293" s="22" t="str">
        <f t="shared" si="100"/>
        <v>FIRE</v>
      </c>
      <c r="BB293" s="26"/>
      <c r="BC293" s="22"/>
      <c r="BD293" s="22"/>
    </row>
    <row r="294" spans="1:56" ht="14.25" customHeight="1" x14ac:dyDescent="0.2">
      <c r="A294" s="1" t="s">
        <v>369</v>
      </c>
      <c r="B294" s="1" t="s">
        <v>57</v>
      </c>
      <c r="C294" s="13">
        <v>44672</v>
      </c>
      <c r="D294" s="13">
        <v>44699</v>
      </c>
      <c r="E294" s="13">
        <v>44672</v>
      </c>
      <c r="F294" s="13">
        <v>45036</v>
      </c>
      <c r="G294" s="14" t="str">
        <f t="shared" si="92"/>
        <v>000-293/AIB RDC/2022</v>
      </c>
      <c r="H294" s="1">
        <v>0</v>
      </c>
      <c r="I294" s="1" t="s">
        <v>74</v>
      </c>
      <c r="J294" s="1" t="s">
        <v>571</v>
      </c>
      <c r="K294" s="1" t="s">
        <v>141</v>
      </c>
      <c r="L294" s="1" t="s">
        <v>83</v>
      </c>
      <c r="M294" s="1" t="s">
        <v>84</v>
      </c>
      <c r="N294" s="1" t="s">
        <v>84</v>
      </c>
      <c r="O294" s="1" t="s">
        <v>192</v>
      </c>
      <c r="P294" s="1" t="s">
        <v>98</v>
      </c>
      <c r="Q294" s="1" t="s">
        <v>130</v>
      </c>
      <c r="R294" s="1" t="s">
        <v>130</v>
      </c>
      <c r="S294" s="17">
        <v>0</v>
      </c>
      <c r="T294" s="17">
        <v>2392.42</v>
      </c>
      <c r="U294" s="17">
        <v>0</v>
      </c>
      <c r="V294" s="17">
        <v>0</v>
      </c>
      <c r="W294" s="17">
        <v>179.11</v>
      </c>
      <c r="X294" s="17">
        <v>1848.38</v>
      </c>
      <c r="Y294" s="17">
        <v>324.39</v>
      </c>
      <c r="Z294" s="18" t="e">
        <f t="shared" si="93"/>
        <v>#DIV/0!</v>
      </c>
      <c r="AA294" s="19">
        <v>0.1</v>
      </c>
      <c r="AB294" s="17">
        <f t="shared" si="101"/>
        <v>184.83800000000002</v>
      </c>
      <c r="AC294" s="17">
        <v>0</v>
      </c>
      <c r="AD294" s="17">
        <v>0</v>
      </c>
      <c r="AE294" s="17">
        <f t="shared" si="94"/>
        <v>184.83800000000002</v>
      </c>
      <c r="AF294" s="17">
        <f t="shared" si="103"/>
        <v>29.574080000000006</v>
      </c>
      <c r="AG294" s="17">
        <f t="shared" si="95"/>
        <v>214.41208000000003</v>
      </c>
      <c r="AH294" s="17">
        <f t="shared" si="105"/>
        <v>3.6967600000000007</v>
      </c>
      <c r="AI294" s="17">
        <v>0</v>
      </c>
      <c r="AJ294" s="17">
        <f t="shared" si="96"/>
        <v>3.6967600000000007</v>
      </c>
      <c r="AK294" s="20"/>
      <c r="AL294" s="17">
        <f t="shared" si="97"/>
        <v>181.14124000000001</v>
      </c>
      <c r="AM294" s="17" t="s">
        <v>87</v>
      </c>
      <c r="AN294" s="21">
        <v>0.35</v>
      </c>
      <c r="AO294" s="17">
        <f t="shared" si="98"/>
        <v>63.399433999999999</v>
      </c>
      <c r="AP294" s="17"/>
      <c r="AQ294" s="16"/>
      <c r="AR294" s="17">
        <f t="shared" si="89"/>
        <v>63.399433999999999</v>
      </c>
      <c r="AS294" s="17"/>
      <c r="AT294" s="17">
        <v>214.41208000000003</v>
      </c>
      <c r="AU294" s="17">
        <f t="shared" si="102"/>
        <v>214.41208000000003</v>
      </c>
      <c r="AV294" s="17">
        <f t="shared" si="99"/>
        <v>0</v>
      </c>
      <c r="AW294" s="17" t="str">
        <f t="shared" si="104"/>
        <v>SFA</v>
      </c>
      <c r="AX294" s="22">
        <v>44735</v>
      </c>
      <c r="AY294" s="22"/>
      <c r="AZ294" s="22"/>
      <c r="BA294" s="22" t="str">
        <f t="shared" si="100"/>
        <v>GPA</v>
      </c>
      <c r="BB294" s="22"/>
      <c r="BC294" s="22"/>
      <c r="BD294" s="22"/>
    </row>
    <row r="295" spans="1:56" ht="14.25" customHeight="1" x14ac:dyDescent="0.2">
      <c r="A295" s="1" t="s">
        <v>369</v>
      </c>
      <c r="B295" s="1" t="s">
        <v>57</v>
      </c>
      <c r="C295" s="13">
        <v>44706</v>
      </c>
      <c r="D295" s="13">
        <v>44712</v>
      </c>
      <c r="E295" s="13">
        <v>44652</v>
      </c>
      <c r="F295" s="13">
        <v>45016</v>
      </c>
      <c r="G295" s="14" t="str">
        <f t="shared" si="92"/>
        <v>000-294/AIB RDC/2022</v>
      </c>
      <c r="H295" s="1">
        <v>0</v>
      </c>
      <c r="I295" s="1" t="s">
        <v>74</v>
      </c>
      <c r="J295" s="1" t="s">
        <v>572</v>
      </c>
      <c r="K295" s="1" t="s">
        <v>573</v>
      </c>
      <c r="L295" s="1" t="s">
        <v>83</v>
      </c>
      <c r="M295" s="1" t="s">
        <v>84</v>
      </c>
      <c r="N295" s="1" t="s">
        <v>84</v>
      </c>
      <c r="O295" s="1" t="s">
        <v>70</v>
      </c>
      <c r="P295" s="1" t="s">
        <v>71</v>
      </c>
      <c r="Q295" s="1" t="s">
        <v>66</v>
      </c>
      <c r="R295" s="1" t="s">
        <v>66</v>
      </c>
      <c r="S295" s="17">
        <v>46433927</v>
      </c>
      <c r="T295" s="17">
        <v>46260.52</v>
      </c>
      <c r="U295" s="17">
        <v>0</v>
      </c>
      <c r="V295" s="17">
        <v>0</v>
      </c>
      <c r="W295" s="17">
        <v>394.85</v>
      </c>
      <c r="X295" s="17">
        <v>39484.910000000003</v>
      </c>
      <c r="Y295" s="17">
        <v>6380.76</v>
      </c>
      <c r="Z295" s="18">
        <f t="shared" si="93"/>
        <v>9.9626551077620462E-4</v>
      </c>
      <c r="AA295" s="19">
        <v>0.1</v>
      </c>
      <c r="AB295" s="17">
        <f t="shared" si="101"/>
        <v>3948.4910000000004</v>
      </c>
      <c r="AC295" s="17">
        <v>0</v>
      </c>
      <c r="AD295" s="17">
        <v>0</v>
      </c>
      <c r="AE295" s="17">
        <f t="shared" si="94"/>
        <v>3948.4910000000004</v>
      </c>
      <c r="AF295" s="17">
        <f t="shared" si="103"/>
        <v>631.7585600000001</v>
      </c>
      <c r="AG295" s="17">
        <f t="shared" si="95"/>
        <v>4580.2495600000002</v>
      </c>
      <c r="AH295" s="17">
        <f t="shared" si="105"/>
        <v>78.969820000000013</v>
      </c>
      <c r="AI295" s="17">
        <v>0</v>
      </c>
      <c r="AJ295" s="17">
        <f t="shared" si="96"/>
        <v>78.969820000000013</v>
      </c>
      <c r="AK295" s="20"/>
      <c r="AL295" s="17">
        <f t="shared" si="97"/>
        <v>3869.5211800000006</v>
      </c>
      <c r="AM295" s="17" t="s">
        <v>87</v>
      </c>
      <c r="AN295" s="21">
        <v>0.35</v>
      </c>
      <c r="AO295" s="17">
        <f t="shared" si="98"/>
        <v>1354.3324130000001</v>
      </c>
      <c r="AP295" s="17"/>
      <c r="AQ295" s="16"/>
      <c r="AR295" s="17">
        <f t="shared" si="89"/>
        <v>1354.3324130000001</v>
      </c>
      <c r="AS295" s="17"/>
      <c r="AT295" s="17">
        <v>4580.2495600000002</v>
      </c>
      <c r="AU295" s="17">
        <f t="shared" si="102"/>
        <v>4580.2495600000002</v>
      </c>
      <c r="AV295" s="17">
        <f t="shared" si="99"/>
        <v>0</v>
      </c>
      <c r="AW295" s="17" t="str">
        <f t="shared" si="104"/>
        <v>ACTIVA</v>
      </c>
      <c r="AX295" s="22">
        <v>44748</v>
      </c>
      <c r="AY295" s="22"/>
      <c r="AZ295" s="1" t="s">
        <v>100</v>
      </c>
      <c r="BA295" s="22" t="str">
        <f t="shared" si="100"/>
        <v>FIRE</v>
      </c>
      <c r="BB295" s="22"/>
      <c r="BC295" s="22"/>
      <c r="BD295" s="22"/>
    </row>
    <row r="296" spans="1:56" ht="14.25" customHeight="1" x14ac:dyDescent="0.2">
      <c r="A296" s="1" t="s">
        <v>369</v>
      </c>
      <c r="B296" s="1" t="s">
        <v>57</v>
      </c>
      <c r="C296" s="13">
        <v>44706</v>
      </c>
      <c r="D296" s="13">
        <v>44713</v>
      </c>
      <c r="E296" s="13">
        <v>44652</v>
      </c>
      <c r="F296" s="13">
        <v>45016</v>
      </c>
      <c r="G296" s="14" t="str">
        <f t="shared" si="92"/>
        <v>000-295/AIB RDC/2022</v>
      </c>
      <c r="H296" s="1">
        <v>0</v>
      </c>
      <c r="I296" s="1" t="s">
        <v>74</v>
      </c>
      <c r="J296" s="1" t="s">
        <v>574</v>
      </c>
      <c r="K296" s="1" t="s">
        <v>575</v>
      </c>
      <c r="L296" s="1" t="s">
        <v>576</v>
      </c>
      <c r="M296" s="1" t="s">
        <v>84</v>
      </c>
      <c r="N296" s="1" t="s">
        <v>84</v>
      </c>
      <c r="O296" s="1" t="s">
        <v>70</v>
      </c>
      <c r="P296" s="1" t="s">
        <v>71</v>
      </c>
      <c r="Q296" s="1" t="s">
        <v>66</v>
      </c>
      <c r="R296" s="1" t="s">
        <v>66</v>
      </c>
      <c r="S296" s="17">
        <v>540385.4</v>
      </c>
      <c r="T296" s="17">
        <v>536.24</v>
      </c>
      <c r="U296" s="17">
        <v>0</v>
      </c>
      <c r="V296" s="17">
        <v>0</v>
      </c>
      <c r="W296" s="17">
        <v>4.58</v>
      </c>
      <c r="X296" s="17">
        <v>457.7</v>
      </c>
      <c r="Y296" s="17">
        <v>73.959999999999994</v>
      </c>
      <c r="Z296" s="18">
        <f t="shared" si="93"/>
        <v>9.9232880829126769E-4</v>
      </c>
      <c r="AA296" s="19">
        <v>0.1</v>
      </c>
      <c r="AB296" s="17">
        <f t="shared" si="101"/>
        <v>45.77</v>
      </c>
      <c r="AC296" s="17">
        <v>0</v>
      </c>
      <c r="AD296" s="17">
        <v>0</v>
      </c>
      <c r="AE296" s="17">
        <f t="shared" si="94"/>
        <v>45.77</v>
      </c>
      <c r="AF296" s="17">
        <f t="shared" si="103"/>
        <v>7.3232000000000008</v>
      </c>
      <c r="AG296" s="17">
        <f t="shared" si="95"/>
        <v>53.093200000000003</v>
      </c>
      <c r="AH296" s="17">
        <f t="shared" si="105"/>
        <v>0.9154000000000001</v>
      </c>
      <c r="AI296" s="17">
        <v>0</v>
      </c>
      <c r="AJ296" s="17">
        <f t="shared" si="96"/>
        <v>0.9154000000000001</v>
      </c>
      <c r="AK296" s="20"/>
      <c r="AL296" s="17">
        <f t="shared" si="97"/>
        <v>44.854600000000005</v>
      </c>
      <c r="AM296" s="17" t="s">
        <v>87</v>
      </c>
      <c r="AN296" s="21">
        <v>0.35</v>
      </c>
      <c r="AO296" s="17">
        <f t="shared" si="98"/>
        <v>15.699110000000001</v>
      </c>
      <c r="AP296" s="17"/>
      <c r="AQ296" s="16"/>
      <c r="AR296" s="17">
        <f t="shared" si="89"/>
        <v>15.699110000000001</v>
      </c>
      <c r="AS296" s="17"/>
      <c r="AT296" s="17">
        <v>53.093200000000003</v>
      </c>
      <c r="AU296" s="17">
        <f t="shared" si="102"/>
        <v>53.093200000000003</v>
      </c>
      <c r="AV296" s="17">
        <f t="shared" si="99"/>
        <v>0</v>
      </c>
      <c r="AW296" s="17" t="str">
        <f t="shared" si="104"/>
        <v>ACTIVA</v>
      </c>
      <c r="AX296" s="22">
        <v>44771</v>
      </c>
      <c r="AY296" s="22"/>
      <c r="AZ296" s="1" t="s">
        <v>100</v>
      </c>
      <c r="BA296" s="22" t="str">
        <f t="shared" si="100"/>
        <v>FIRE</v>
      </c>
      <c r="BB296" s="22"/>
      <c r="BC296" s="22"/>
      <c r="BD296" s="22"/>
    </row>
    <row r="297" spans="1:56" ht="14.25" customHeight="1" x14ac:dyDescent="0.2">
      <c r="A297" s="1" t="s">
        <v>369</v>
      </c>
      <c r="B297" s="1" t="s">
        <v>57</v>
      </c>
      <c r="C297" s="13">
        <v>44706</v>
      </c>
      <c r="D297" s="13">
        <v>44714</v>
      </c>
      <c r="E297" s="13">
        <v>44652</v>
      </c>
      <c r="F297" s="13">
        <v>45016</v>
      </c>
      <c r="G297" s="14" t="str">
        <f t="shared" si="92"/>
        <v>000-296/AIB RDC/2022</v>
      </c>
      <c r="H297" s="1">
        <v>0</v>
      </c>
      <c r="I297" s="1" t="s">
        <v>74</v>
      </c>
      <c r="J297" s="1" t="s">
        <v>577</v>
      </c>
      <c r="K297" s="1" t="s">
        <v>285</v>
      </c>
      <c r="L297" s="1" t="s">
        <v>83</v>
      </c>
      <c r="M297" s="1" t="s">
        <v>84</v>
      </c>
      <c r="N297" s="1" t="s">
        <v>84</v>
      </c>
      <c r="O297" s="1" t="s">
        <v>70</v>
      </c>
      <c r="P297" s="1" t="s">
        <v>71</v>
      </c>
      <c r="Q297" s="1" t="s">
        <v>66</v>
      </c>
      <c r="R297" s="1" t="s">
        <v>66</v>
      </c>
      <c r="S297" s="17">
        <v>9187815.1999999993</v>
      </c>
      <c r="T297" s="17">
        <v>9153.5</v>
      </c>
      <c r="U297" s="17">
        <v>0</v>
      </c>
      <c r="V297" s="17">
        <v>0</v>
      </c>
      <c r="W297" s="17">
        <v>78.13</v>
      </c>
      <c r="X297" s="17">
        <v>7812.82</v>
      </c>
      <c r="Y297" s="17">
        <v>1262.55</v>
      </c>
      <c r="Z297" s="18">
        <f t="shared" si="93"/>
        <v>9.9626514037853093E-4</v>
      </c>
      <c r="AA297" s="19">
        <v>0.1</v>
      </c>
      <c r="AB297" s="17">
        <f t="shared" si="101"/>
        <v>781.28200000000004</v>
      </c>
      <c r="AC297" s="17">
        <v>0</v>
      </c>
      <c r="AD297" s="17">
        <v>0</v>
      </c>
      <c r="AE297" s="17">
        <f t="shared" si="94"/>
        <v>781.28200000000004</v>
      </c>
      <c r="AF297" s="17">
        <f t="shared" si="103"/>
        <v>125.00512000000001</v>
      </c>
      <c r="AG297" s="17">
        <f t="shared" si="95"/>
        <v>906.28712000000007</v>
      </c>
      <c r="AH297" s="17">
        <f t="shared" si="105"/>
        <v>15.625640000000001</v>
      </c>
      <c r="AI297" s="17">
        <v>0</v>
      </c>
      <c r="AJ297" s="17">
        <f t="shared" si="96"/>
        <v>15.625640000000001</v>
      </c>
      <c r="AK297" s="20"/>
      <c r="AL297" s="17">
        <f t="shared" si="97"/>
        <v>765.65636000000006</v>
      </c>
      <c r="AM297" s="17" t="s">
        <v>87</v>
      </c>
      <c r="AN297" s="21">
        <v>0.35</v>
      </c>
      <c r="AO297" s="17">
        <f t="shared" si="98"/>
        <v>267.97972600000003</v>
      </c>
      <c r="AP297" s="17"/>
      <c r="AQ297" s="16"/>
      <c r="AR297" s="17">
        <f t="shared" si="89"/>
        <v>267.97972600000003</v>
      </c>
      <c r="AS297" s="17"/>
      <c r="AT297" s="17">
        <v>906.28712000000007</v>
      </c>
      <c r="AU297" s="17">
        <f t="shared" si="102"/>
        <v>906.28712000000007</v>
      </c>
      <c r="AV297" s="17">
        <f t="shared" si="99"/>
        <v>0</v>
      </c>
      <c r="AW297" s="17" t="str">
        <f t="shared" si="104"/>
        <v>ACTIVA</v>
      </c>
      <c r="AX297" s="22">
        <v>44771</v>
      </c>
      <c r="AY297" s="22"/>
      <c r="AZ297" s="1" t="s">
        <v>100</v>
      </c>
      <c r="BA297" s="22" t="str">
        <f t="shared" si="100"/>
        <v>FIRE</v>
      </c>
      <c r="BB297" s="22"/>
      <c r="BC297" s="22"/>
      <c r="BD297" s="22"/>
    </row>
    <row r="298" spans="1:56" ht="14.25" customHeight="1" x14ac:dyDescent="0.2">
      <c r="A298" s="1" t="s">
        <v>578</v>
      </c>
      <c r="B298" s="1" t="s">
        <v>57</v>
      </c>
      <c r="C298" s="13">
        <v>44699</v>
      </c>
      <c r="D298" s="13">
        <v>45012</v>
      </c>
      <c r="E298" s="13">
        <v>44713</v>
      </c>
      <c r="F298" s="13">
        <v>45077</v>
      </c>
      <c r="G298" s="14" t="str">
        <f t="shared" si="92"/>
        <v>000-297/AIB RDC/2022</v>
      </c>
      <c r="H298" s="1">
        <v>0</v>
      </c>
      <c r="I298" s="1" t="s">
        <v>74</v>
      </c>
      <c r="J298" s="15">
        <v>60100012</v>
      </c>
      <c r="K298" s="1" t="s">
        <v>136</v>
      </c>
      <c r="L298" s="1" t="s">
        <v>137</v>
      </c>
      <c r="M298" s="1" t="s">
        <v>84</v>
      </c>
      <c r="N298" s="1" t="s">
        <v>84</v>
      </c>
      <c r="O298" s="1" t="s">
        <v>89</v>
      </c>
      <c r="P298" s="1" t="s">
        <v>90</v>
      </c>
      <c r="Q298" s="1" t="s">
        <v>107</v>
      </c>
      <c r="R298" s="1" t="s">
        <v>579</v>
      </c>
      <c r="S298" s="17">
        <v>10000000</v>
      </c>
      <c r="T298" s="17">
        <v>123830.59</v>
      </c>
      <c r="U298" s="17">
        <v>15741.18</v>
      </c>
      <c r="V298" s="17">
        <v>-6296.47</v>
      </c>
      <c r="W298" s="17">
        <v>0</v>
      </c>
      <c r="X298" s="17">
        <v>89200</v>
      </c>
      <c r="Y298" s="17">
        <v>16790.59</v>
      </c>
      <c r="Z298" s="18">
        <f t="shared" si="93"/>
        <v>1.2383059E-2</v>
      </c>
      <c r="AA298" s="19">
        <v>0</v>
      </c>
      <c r="AB298" s="17">
        <v>0</v>
      </c>
      <c r="AC298" s="17">
        <f>30%*(U298+V298)</f>
        <v>2833.4129999999996</v>
      </c>
      <c r="AD298" s="17">
        <v>0</v>
      </c>
      <c r="AE298" s="17">
        <f t="shared" si="94"/>
        <v>2833.4129999999996</v>
      </c>
      <c r="AF298" s="17">
        <f t="shared" si="103"/>
        <v>453.34607999999992</v>
      </c>
      <c r="AG298" s="17">
        <f t="shared" si="95"/>
        <v>3286.7590799999994</v>
      </c>
      <c r="AH298" s="17">
        <f t="shared" si="105"/>
        <v>56.668259999999989</v>
      </c>
      <c r="AI298" s="17">
        <v>0</v>
      </c>
      <c r="AJ298" s="17">
        <f t="shared" si="96"/>
        <v>56.668259999999989</v>
      </c>
      <c r="AK298" s="20"/>
      <c r="AL298" s="17">
        <f t="shared" si="97"/>
        <v>2776.7447399999996</v>
      </c>
      <c r="AM298" s="17"/>
      <c r="AN298" s="21"/>
      <c r="AO298" s="17">
        <f t="shared" si="98"/>
        <v>0</v>
      </c>
      <c r="AP298" s="17"/>
      <c r="AQ298" s="16"/>
      <c r="AR298" s="17">
        <f t="shared" si="89"/>
        <v>0</v>
      </c>
      <c r="AS298" s="17"/>
      <c r="AT298" s="17">
        <v>3286.7590799999994</v>
      </c>
      <c r="AU298" s="17">
        <f t="shared" si="102"/>
        <v>3286.7590799999994</v>
      </c>
      <c r="AV298" s="17">
        <f t="shared" si="99"/>
        <v>0</v>
      </c>
      <c r="AW298" s="17" t="str">
        <f t="shared" si="104"/>
        <v>RAWSUR</v>
      </c>
      <c r="AX298" s="22">
        <v>45043</v>
      </c>
      <c r="AY298" s="22"/>
      <c r="AZ298" s="1" t="s">
        <v>100</v>
      </c>
      <c r="BA298" s="22" t="str">
        <f t="shared" si="100"/>
        <v>GENERAL LIABILITY</v>
      </c>
      <c r="BB298" s="22"/>
      <c r="BC298" s="22"/>
      <c r="BD298" s="22"/>
    </row>
    <row r="299" spans="1:56" ht="14.25" customHeight="1" x14ac:dyDescent="0.2">
      <c r="A299" s="1" t="s">
        <v>578</v>
      </c>
      <c r="B299" s="1" t="s">
        <v>57</v>
      </c>
      <c r="C299" s="13">
        <v>44672</v>
      </c>
      <c r="D299" s="13">
        <v>44704</v>
      </c>
      <c r="E299" s="13">
        <v>44713</v>
      </c>
      <c r="F299" s="13">
        <v>45077</v>
      </c>
      <c r="G299" s="14" t="str">
        <f t="shared" si="92"/>
        <v>000-298/AIB RDC/2022</v>
      </c>
      <c r="H299" s="1">
        <v>0</v>
      </c>
      <c r="I299" s="1" t="s">
        <v>74</v>
      </c>
      <c r="J299" s="1" t="s">
        <v>580</v>
      </c>
      <c r="K299" s="1" t="s">
        <v>216</v>
      </c>
      <c r="L299" s="1" t="s">
        <v>137</v>
      </c>
      <c r="M299" s="1" t="s">
        <v>84</v>
      </c>
      <c r="N299" s="1" t="s">
        <v>84</v>
      </c>
      <c r="O299" s="1" t="s">
        <v>64</v>
      </c>
      <c r="P299" s="1" t="s">
        <v>65</v>
      </c>
      <c r="Q299" s="1" t="s">
        <v>130</v>
      </c>
      <c r="R299" s="1" t="s">
        <v>130</v>
      </c>
      <c r="S299" s="17">
        <v>50000000</v>
      </c>
      <c r="T299" s="17">
        <v>119021.44</v>
      </c>
      <c r="U299" s="17">
        <v>0</v>
      </c>
      <c r="V299" s="17">
        <v>0</v>
      </c>
      <c r="W299" s="17">
        <v>1490.63</v>
      </c>
      <c r="X299" s="17">
        <v>99375</v>
      </c>
      <c r="Y299" s="17">
        <v>16138.5</v>
      </c>
      <c r="Z299" s="18">
        <f t="shared" si="93"/>
        <v>2.3804288000000002E-3</v>
      </c>
      <c r="AA299" s="19">
        <v>0.15</v>
      </c>
      <c r="AB299" s="17">
        <f t="shared" ref="AB299:AB330" si="106">(AA299*X299)</f>
        <v>14906.25</v>
      </c>
      <c r="AC299" s="17">
        <v>0</v>
      </c>
      <c r="AD299" s="17">
        <v>0</v>
      </c>
      <c r="AE299" s="17">
        <f t="shared" si="94"/>
        <v>14906.25</v>
      </c>
      <c r="AF299" s="17">
        <f t="shared" si="103"/>
        <v>2385</v>
      </c>
      <c r="AG299" s="17">
        <f t="shared" si="95"/>
        <v>17291.25</v>
      </c>
      <c r="AH299" s="17">
        <f t="shared" si="105"/>
        <v>298.125</v>
      </c>
      <c r="AI299" s="17"/>
      <c r="AJ299" s="17">
        <f t="shared" si="96"/>
        <v>298.125</v>
      </c>
      <c r="AK299" s="20"/>
      <c r="AL299" s="17">
        <f t="shared" si="97"/>
        <v>14608.125</v>
      </c>
      <c r="AM299" s="17"/>
      <c r="AN299" s="21"/>
      <c r="AO299" s="17">
        <f t="shared" si="98"/>
        <v>0</v>
      </c>
      <c r="AP299" s="17"/>
      <c r="AQ299" s="16"/>
      <c r="AR299" s="17">
        <f t="shared" si="89"/>
        <v>0</v>
      </c>
      <c r="AS299" s="17"/>
      <c r="AT299" s="17">
        <v>17291.25</v>
      </c>
      <c r="AU299" s="17">
        <f t="shared" si="102"/>
        <v>17291.25</v>
      </c>
      <c r="AV299" s="17">
        <f t="shared" si="99"/>
        <v>0</v>
      </c>
      <c r="AW299" s="17" t="str">
        <f t="shared" si="104"/>
        <v>SFA</v>
      </c>
      <c r="AX299" s="22">
        <v>44735</v>
      </c>
      <c r="AY299" s="22"/>
      <c r="AZ299" s="1" t="s">
        <v>68</v>
      </c>
      <c r="BA299" s="22" t="str">
        <f t="shared" si="100"/>
        <v>MARINE CARGO / GIT</v>
      </c>
      <c r="BB299" s="22"/>
      <c r="BC299" s="22"/>
      <c r="BD299" s="22"/>
    </row>
    <row r="300" spans="1:56" ht="14.25" customHeight="1" x14ac:dyDescent="0.2">
      <c r="A300" s="1" t="s">
        <v>578</v>
      </c>
      <c r="B300" s="1" t="s">
        <v>57</v>
      </c>
      <c r="C300" s="13">
        <v>44692</v>
      </c>
      <c r="D300" s="13">
        <v>44725</v>
      </c>
      <c r="E300" s="13">
        <v>44713</v>
      </c>
      <c r="F300" s="13">
        <v>45077</v>
      </c>
      <c r="G300" s="14" t="str">
        <f t="shared" si="92"/>
        <v>000-299/AIB RDC/2022</v>
      </c>
      <c r="H300" s="1">
        <v>0</v>
      </c>
      <c r="I300" s="1" t="s">
        <v>74</v>
      </c>
      <c r="J300" s="24" t="s">
        <v>581</v>
      </c>
      <c r="K300" s="1" t="s">
        <v>216</v>
      </c>
      <c r="L300" s="1" t="s">
        <v>137</v>
      </c>
      <c r="M300" s="1" t="s">
        <v>84</v>
      </c>
      <c r="N300" s="1" t="s">
        <v>84</v>
      </c>
      <c r="O300" s="1" t="s">
        <v>70</v>
      </c>
      <c r="P300" s="1" t="s">
        <v>71</v>
      </c>
      <c r="Q300" s="1" t="s">
        <v>130</v>
      </c>
      <c r="R300" s="1" t="s">
        <v>130</v>
      </c>
      <c r="S300" s="17">
        <v>50000000</v>
      </c>
      <c r="T300" s="17">
        <v>69250.039999999994</v>
      </c>
      <c r="U300" s="17">
        <v>8426.4699999999993</v>
      </c>
      <c r="V300" s="17">
        <v>0</v>
      </c>
      <c r="W300" s="17">
        <v>260</v>
      </c>
      <c r="X300" s="17">
        <v>50000</v>
      </c>
      <c r="Y300" s="17">
        <v>9389.84</v>
      </c>
      <c r="Z300" s="18">
        <f t="shared" si="93"/>
        <v>1.3850007999999998E-3</v>
      </c>
      <c r="AA300" s="19">
        <v>0.1</v>
      </c>
      <c r="AB300" s="17">
        <f t="shared" si="106"/>
        <v>5000</v>
      </c>
      <c r="AC300" s="17">
        <v>0</v>
      </c>
      <c r="AD300" s="17">
        <v>0</v>
      </c>
      <c r="AE300" s="17">
        <f t="shared" si="94"/>
        <v>5000</v>
      </c>
      <c r="AF300" s="17">
        <f t="shared" si="103"/>
        <v>800</v>
      </c>
      <c r="AG300" s="17">
        <f t="shared" si="95"/>
        <v>5800</v>
      </c>
      <c r="AH300" s="17">
        <f t="shared" si="105"/>
        <v>100</v>
      </c>
      <c r="AI300" s="17"/>
      <c r="AJ300" s="17">
        <f t="shared" si="96"/>
        <v>100</v>
      </c>
      <c r="AK300" s="20"/>
      <c r="AL300" s="17">
        <f t="shared" si="97"/>
        <v>4900</v>
      </c>
      <c r="AM300" s="17"/>
      <c r="AN300" s="21"/>
      <c r="AO300" s="17">
        <f t="shared" si="98"/>
        <v>0</v>
      </c>
      <c r="AP300" s="17"/>
      <c r="AQ300" s="16"/>
      <c r="AR300" s="17">
        <f t="shared" si="89"/>
        <v>0</v>
      </c>
      <c r="AS300" s="17"/>
      <c r="AT300" s="17">
        <v>5800</v>
      </c>
      <c r="AU300" s="17">
        <f t="shared" si="102"/>
        <v>5800</v>
      </c>
      <c r="AV300" s="17">
        <f t="shared" si="99"/>
        <v>0</v>
      </c>
      <c r="AW300" s="17" t="str">
        <f t="shared" si="104"/>
        <v>SFA</v>
      </c>
      <c r="AX300" s="22">
        <v>44781</v>
      </c>
      <c r="AY300" s="22"/>
      <c r="AZ300" s="1" t="s">
        <v>162</v>
      </c>
      <c r="BA300" s="22" t="str">
        <f t="shared" si="100"/>
        <v>FIRE</v>
      </c>
      <c r="BB300" s="22"/>
      <c r="BC300" s="22"/>
      <c r="BD300" s="22"/>
    </row>
    <row r="301" spans="1:56" ht="14.25" customHeight="1" x14ac:dyDescent="0.2">
      <c r="A301" s="1" t="s">
        <v>578</v>
      </c>
      <c r="B301" s="1" t="s">
        <v>57</v>
      </c>
      <c r="C301" s="13">
        <v>44709</v>
      </c>
      <c r="D301" s="13">
        <v>44711</v>
      </c>
      <c r="E301" s="13">
        <v>44730</v>
      </c>
      <c r="F301" s="13">
        <v>44834</v>
      </c>
      <c r="G301" s="14" t="str">
        <f t="shared" si="92"/>
        <v>000-300/AIB RDC/2022</v>
      </c>
      <c r="H301" s="1">
        <v>0</v>
      </c>
      <c r="I301" s="1" t="s">
        <v>74</v>
      </c>
      <c r="J301" s="1" t="s">
        <v>582</v>
      </c>
      <c r="K301" s="1" t="s">
        <v>583</v>
      </c>
      <c r="L301" s="1" t="s">
        <v>94</v>
      </c>
      <c r="M301" s="1" t="s">
        <v>95</v>
      </c>
      <c r="N301" s="1" t="s">
        <v>102</v>
      </c>
      <c r="O301" s="1" t="s">
        <v>240</v>
      </c>
      <c r="P301" s="1" t="s">
        <v>98</v>
      </c>
      <c r="Q301" s="1" t="s">
        <v>86</v>
      </c>
      <c r="R301" s="1" t="s">
        <v>86</v>
      </c>
      <c r="S301" s="17">
        <v>0</v>
      </c>
      <c r="T301" s="17">
        <v>80.41</v>
      </c>
      <c r="U301" s="17">
        <v>0</v>
      </c>
      <c r="V301" s="17">
        <v>0</v>
      </c>
      <c r="W301" s="17">
        <v>1.36</v>
      </c>
      <c r="X301" s="17">
        <v>67.959999999999994</v>
      </c>
      <c r="Y301" s="17">
        <v>11.09</v>
      </c>
      <c r="Z301" s="18" t="e">
        <f t="shared" si="93"/>
        <v>#DIV/0!</v>
      </c>
      <c r="AA301" s="19">
        <v>0.2</v>
      </c>
      <c r="AB301" s="17">
        <f t="shared" si="106"/>
        <v>13.591999999999999</v>
      </c>
      <c r="AC301" s="17">
        <v>0</v>
      </c>
      <c r="AD301" s="17">
        <v>0</v>
      </c>
      <c r="AE301" s="17">
        <f t="shared" si="94"/>
        <v>13.591999999999999</v>
      </c>
      <c r="AF301" s="17">
        <f t="shared" si="103"/>
        <v>2.1747199999999998</v>
      </c>
      <c r="AG301" s="17">
        <f t="shared" si="95"/>
        <v>15.766719999999999</v>
      </c>
      <c r="AH301" s="17">
        <f t="shared" si="105"/>
        <v>0.27183999999999997</v>
      </c>
      <c r="AI301" s="17"/>
      <c r="AJ301" s="17">
        <f t="shared" si="96"/>
        <v>0.27183999999999997</v>
      </c>
      <c r="AK301" s="20"/>
      <c r="AL301" s="17">
        <f t="shared" si="97"/>
        <v>13.32016</v>
      </c>
      <c r="AM301" s="17"/>
      <c r="AN301" s="21"/>
      <c r="AO301" s="17">
        <f t="shared" si="98"/>
        <v>0</v>
      </c>
      <c r="AP301" s="17"/>
      <c r="AQ301" s="16"/>
      <c r="AR301" s="17">
        <f t="shared" si="89"/>
        <v>0</v>
      </c>
      <c r="AS301" s="17"/>
      <c r="AT301" s="17">
        <v>15.766719999999999</v>
      </c>
      <c r="AU301" s="17">
        <f t="shared" si="102"/>
        <v>15.766719999999999</v>
      </c>
      <c r="AV301" s="17">
        <f t="shared" si="99"/>
        <v>0</v>
      </c>
      <c r="AW301" s="17" t="str">
        <f t="shared" si="104"/>
        <v>SUNU</v>
      </c>
      <c r="AX301" s="22">
        <v>44749</v>
      </c>
      <c r="AY301" s="22"/>
      <c r="AZ301" s="1" t="s">
        <v>110</v>
      </c>
      <c r="BA301" s="22" t="str">
        <f t="shared" si="100"/>
        <v>TRAVEL</v>
      </c>
      <c r="BB301" s="22"/>
      <c r="BC301" s="22"/>
      <c r="BD301" s="22"/>
    </row>
    <row r="302" spans="1:56" ht="14.25" customHeight="1" x14ac:dyDescent="0.2">
      <c r="A302" s="1" t="s">
        <v>496</v>
      </c>
      <c r="B302" s="1" t="s">
        <v>57</v>
      </c>
      <c r="C302" s="13">
        <v>44705</v>
      </c>
      <c r="D302" s="13">
        <v>44708</v>
      </c>
      <c r="E302" s="13">
        <v>44708</v>
      </c>
      <c r="F302" s="13">
        <v>44961</v>
      </c>
      <c r="G302" s="14" t="str">
        <f t="shared" si="92"/>
        <v>000-301/AIB RDC/2022</v>
      </c>
      <c r="H302" s="1">
        <v>2</v>
      </c>
      <c r="I302" s="1" t="s">
        <v>91</v>
      </c>
      <c r="J302" s="1" t="s">
        <v>305</v>
      </c>
      <c r="K302" s="1" t="s">
        <v>144</v>
      </c>
      <c r="L302" s="1" t="s">
        <v>83</v>
      </c>
      <c r="M302" s="1" t="s">
        <v>84</v>
      </c>
      <c r="N302" s="1" t="s">
        <v>84</v>
      </c>
      <c r="O302" s="1" t="s">
        <v>152</v>
      </c>
      <c r="P302" s="1" t="s">
        <v>153</v>
      </c>
      <c r="Q302" s="1" t="s">
        <v>130</v>
      </c>
      <c r="R302" s="1" t="s">
        <v>130</v>
      </c>
      <c r="S302" s="17">
        <v>0</v>
      </c>
      <c r="T302" s="17">
        <v>253.28</v>
      </c>
      <c r="U302" s="17">
        <v>0</v>
      </c>
      <c r="V302" s="17">
        <v>0</v>
      </c>
      <c r="W302" s="17">
        <v>3.17</v>
      </c>
      <c r="X302" s="17">
        <v>211.48</v>
      </c>
      <c r="Y302" s="17">
        <v>34.340000000000003</v>
      </c>
      <c r="Z302" s="18" t="e">
        <f t="shared" si="93"/>
        <v>#DIV/0!</v>
      </c>
      <c r="AA302" s="19">
        <v>0.15</v>
      </c>
      <c r="AB302" s="17">
        <f t="shared" si="106"/>
        <v>31.721999999999998</v>
      </c>
      <c r="AC302" s="17">
        <v>0</v>
      </c>
      <c r="AD302" s="17">
        <v>0</v>
      </c>
      <c r="AE302" s="17">
        <f t="shared" si="94"/>
        <v>31.721999999999998</v>
      </c>
      <c r="AF302" s="17">
        <f t="shared" si="103"/>
        <v>5.07552</v>
      </c>
      <c r="AG302" s="17">
        <f t="shared" si="95"/>
        <v>36.797519999999999</v>
      </c>
      <c r="AH302" s="17">
        <f t="shared" si="105"/>
        <v>0.63444</v>
      </c>
      <c r="AI302" s="17"/>
      <c r="AJ302" s="17">
        <f t="shared" si="96"/>
        <v>0.63444</v>
      </c>
      <c r="AK302" s="20"/>
      <c r="AL302" s="17">
        <f t="shared" si="97"/>
        <v>31.087559999999996</v>
      </c>
      <c r="AM302" s="17" t="s">
        <v>87</v>
      </c>
      <c r="AN302" s="21">
        <v>0.35</v>
      </c>
      <c r="AO302" s="17">
        <f t="shared" si="98"/>
        <v>10.880645999999999</v>
      </c>
      <c r="AP302" s="17"/>
      <c r="AQ302" s="16"/>
      <c r="AR302" s="17">
        <f t="shared" si="89"/>
        <v>10.880645999999999</v>
      </c>
      <c r="AS302" s="17"/>
      <c r="AT302" s="17">
        <v>36.797519999999999</v>
      </c>
      <c r="AU302" s="17">
        <f t="shared" si="102"/>
        <v>36.797519999999999</v>
      </c>
      <c r="AV302" s="17">
        <f t="shared" si="99"/>
        <v>0</v>
      </c>
      <c r="AW302" s="17" t="str">
        <f t="shared" si="104"/>
        <v>SFA</v>
      </c>
      <c r="AX302" s="22">
        <v>45005</v>
      </c>
      <c r="AY302" s="22"/>
      <c r="AZ302" s="1" t="s">
        <v>68</v>
      </c>
      <c r="BA302" s="22" t="str">
        <f t="shared" si="100"/>
        <v>COMP MOTOR</v>
      </c>
      <c r="BB302" s="22"/>
      <c r="BC302" s="22"/>
      <c r="BD302" s="22"/>
    </row>
    <row r="303" spans="1:56" ht="14.25" customHeight="1" x14ac:dyDescent="0.2">
      <c r="A303" s="1" t="s">
        <v>496</v>
      </c>
      <c r="B303" s="1" t="s">
        <v>57</v>
      </c>
      <c r="C303" s="13">
        <v>44708</v>
      </c>
      <c r="D303" s="13">
        <v>44706</v>
      </c>
      <c r="E303" s="13">
        <v>44708</v>
      </c>
      <c r="F303" s="13">
        <v>44961</v>
      </c>
      <c r="G303" s="14" t="str">
        <f t="shared" si="92"/>
        <v>000-302/AIB RDC/2022</v>
      </c>
      <c r="H303" s="1">
        <v>3</v>
      </c>
      <c r="I303" s="1" t="s">
        <v>115</v>
      </c>
      <c r="J303" s="1" t="s">
        <v>305</v>
      </c>
      <c r="K303" s="1" t="s">
        <v>144</v>
      </c>
      <c r="L303" s="1" t="s">
        <v>83</v>
      </c>
      <c r="M303" s="1" t="s">
        <v>84</v>
      </c>
      <c r="N303" s="1" t="s">
        <v>84</v>
      </c>
      <c r="O303" s="1" t="s">
        <v>152</v>
      </c>
      <c r="P303" s="1" t="s">
        <v>153</v>
      </c>
      <c r="Q303" s="1" t="s">
        <v>130</v>
      </c>
      <c r="R303" s="1" t="s">
        <v>130</v>
      </c>
      <c r="S303" s="17">
        <v>0</v>
      </c>
      <c r="T303" s="17">
        <v>-243.14</v>
      </c>
      <c r="U303" s="17">
        <v>0</v>
      </c>
      <c r="V303" s="17">
        <v>0</v>
      </c>
      <c r="W303" s="17">
        <v>0</v>
      </c>
      <c r="X303" s="17">
        <v>-209.6</v>
      </c>
      <c r="Y303" s="17">
        <v>-33.54</v>
      </c>
      <c r="Z303" s="18" t="e">
        <f t="shared" si="93"/>
        <v>#DIV/0!</v>
      </c>
      <c r="AA303" s="19">
        <v>0.15</v>
      </c>
      <c r="AB303" s="17">
        <f t="shared" si="106"/>
        <v>-31.439999999999998</v>
      </c>
      <c r="AC303" s="17">
        <v>0</v>
      </c>
      <c r="AD303" s="17">
        <v>0</v>
      </c>
      <c r="AE303" s="17">
        <f t="shared" si="94"/>
        <v>-31.439999999999998</v>
      </c>
      <c r="AF303" s="17">
        <f t="shared" si="103"/>
        <v>-5.0303999999999993</v>
      </c>
      <c r="AG303" s="17">
        <f t="shared" si="95"/>
        <v>-36.470399999999998</v>
      </c>
      <c r="AH303" s="17">
        <f t="shared" si="105"/>
        <v>-0.62879999999999991</v>
      </c>
      <c r="AI303" s="17"/>
      <c r="AJ303" s="17">
        <f t="shared" si="96"/>
        <v>-0.62879999999999991</v>
      </c>
      <c r="AK303" s="20"/>
      <c r="AL303" s="17">
        <f t="shared" si="97"/>
        <v>-30.811199999999999</v>
      </c>
      <c r="AM303" s="17" t="s">
        <v>87</v>
      </c>
      <c r="AN303" s="21">
        <v>0.35</v>
      </c>
      <c r="AO303" s="17">
        <f t="shared" si="98"/>
        <v>-10.783919999999998</v>
      </c>
      <c r="AP303" s="17"/>
      <c r="AQ303" s="16"/>
      <c r="AR303" s="17">
        <f t="shared" si="89"/>
        <v>-10.783919999999998</v>
      </c>
      <c r="AS303" s="17"/>
      <c r="AT303" s="17">
        <v>-36.470399999999998</v>
      </c>
      <c r="AU303" s="17">
        <f t="shared" si="102"/>
        <v>-36.470399999999998</v>
      </c>
      <c r="AV303" s="17">
        <f t="shared" si="99"/>
        <v>0</v>
      </c>
      <c r="AW303" s="17" t="str">
        <f t="shared" si="104"/>
        <v>SFA</v>
      </c>
      <c r="AX303" s="22">
        <v>45005</v>
      </c>
      <c r="AY303" s="22"/>
      <c r="AZ303" s="1" t="s">
        <v>68</v>
      </c>
      <c r="BA303" s="22" t="str">
        <f t="shared" si="100"/>
        <v>COMP MOTOR</v>
      </c>
      <c r="BB303" s="22"/>
      <c r="BC303" s="22"/>
      <c r="BD303" s="22"/>
    </row>
    <row r="304" spans="1:56" ht="14.25" customHeight="1" x14ac:dyDescent="0.2">
      <c r="A304" s="1" t="s">
        <v>496</v>
      </c>
      <c r="B304" s="1" t="s">
        <v>57</v>
      </c>
      <c r="C304" s="13">
        <v>44683</v>
      </c>
      <c r="D304" s="13">
        <v>44691</v>
      </c>
      <c r="E304" s="13">
        <v>44691</v>
      </c>
      <c r="F304" s="13">
        <v>45055</v>
      </c>
      <c r="G304" s="14" t="str">
        <f t="shared" si="92"/>
        <v>000-303/AIB RDC/2022</v>
      </c>
      <c r="H304" s="1">
        <v>0</v>
      </c>
      <c r="I304" s="1" t="s">
        <v>74</v>
      </c>
      <c r="J304" s="1" t="s">
        <v>584</v>
      </c>
      <c r="K304" s="1" t="s">
        <v>585</v>
      </c>
      <c r="L304" s="1" t="s">
        <v>214</v>
      </c>
      <c r="M304" s="1" t="s">
        <v>84</v>
      </c>
      <c r="N304" s="1" t="s">
        <v>586</v>
      </c>
      <c r="O304" s="1" t="s">
        <v>73</v>
      </c>
      <c r="P304" s="1" t="s">
        <v>73</v>
      </c>
      <c r="Q304" s="1" t="s">
        <v>107</v>
      </c>
      <c r="R304" s="1" t="s">
        <v>107</v>
      </c>
      <c r="S304" s="17">
        <v>0</v>
      </c>
      <c r="T304" s="17">
        <v>24732.78</v>
      </c>
      <c r="U304" s="17">
        <v>0</v>
      </c>
      <c r="V304" s="17">
        <v>0</v>
      </c>
      <c r="W304" s="17">
        <v>400</v>
      </c>
      <c r="X304" s="17">
        <v>20560</v>
      </c>
      <c r="Y304" s="17">
        <v>3353.49</v>
      </c>
      <c r="Z304" s="18" t="e">
        <f t="shared" si="93"/>
        <v>#DIV/0!</v>
      </c>
      <c r="AA304" s="19">
        <v>0.1</v>
      </c>
      <c r="AB304" s="17">
        <f t="shared" si="106"/>
        <v>2056</v>
      </c>
      <c r="AC304" s="17"/>
      <c r="AD304" s="17"/>
      <c r="AE304" s="17">
        <f t="shared" si="94"/>
        <v>2056</v>
      </c>
      <c r="AF304" s="17">
        <f t="shared" si="103"/>
        <v>328.96</v>
      </c>
      <c r="AG304" s="17">
        <f t="shared" si="95"/>
        <v>2384.96</v>
      </c>
      <c r="AH304" s="17">
        <f t="shared" si="105"/>
        <v>41.12</v>
      </c>
      <c r="AI304" s="17"/>
      <c r="AJ304" s="17">
        <f t="shared" si="96"/>
        <v>41.12</v>
      </c>
      <c r="AK304" s="20"/>
      <c r="AL304" s="17">
        <f t="shared" si="97"/>
        <v>2014.88</v>
      </c>
      <c r="AM304" s="17"/>
      <c r="AN304" s="21"/>
      <c r="AO304" s="17">
        <f t="shared" si="98"/>
        <v>0</v>
      </c>
      <c r="AP304" s="17"/>
      <c r="AQ304" s="16"/>
      <c r="AR304" s="17">
        <f t="shared" si="89"/>
        <v>0</v>
      </c>
      <c r="AS304" s="17"/>
      <c r="AT304" s="17">
        <v>2384.96</v>
      </c>
      <c r="AU304" s="17">
        <f t="shared" si="102"/>
        <v>2384.96</v>
      </c>
      <c r="AV304" s="17">
        <f t="shared" si="99"/>
        <v>0</v>
      </c>
      <c r="AW304" s="17" t="str">
        <f t="shared" si="104"/>
        <v>RAWSUR</v>
      </c>
      <c r="AX304" s="22">
        <v>44747</v>
      </c>
      <c r="AY304" s="22"/>
      <c r="AZ304" s="22"/>
      <c r="BA304" s="22" t="str">
        <f t="shared" si="100"/>
        <v>MOTOR TPL</v>
      </c>
      <c r="BB304" s="22"/>
      <c r="BC304" s="22"/>
      <c r="BD304" s="22"/>
    </row>
    <row r="305" spans="1:56" ht="14.25" customHeight="1" x14ac:dyDescent="0.2">
      <c r="A305" s="1" t="s">
        <v>496</v>
      </c>
      <c r="B305" s="1" t="s">
        <v>57</v>
      </c>
      <c r="C305" s="13">
        <v>44699</v>
      </c>
      <c r="D305" s="13">
        <v>44711</v>
      </c>
      <c r="E305" s="13">
        <v>44693</v>
      </c>
      <c r="F305" s="13">
        <v>44957</v>
      </c>
      <c r="G305" s="14" t="str">
        <f t="shared" si="92"/>
        <v>000-304/AIB RDC/2022</v>
      </c>
      <c r="H305" s="1">
        <v>9</v>
      </c>
      <c r="I305" s="1" t="s">
        <v>91</v>
      </c>
      <c r="J305" s="1" t="s">
        <v>284</v>
      </c>
      <c r="K305" s="1" t="s">
        <v>285</v>
      </c>
      <c r="L305" s="1" t="s">
        <v>83</v>
      </c>
      <c r="M305" s="1" t="s">
        <v>84</v>
      </c>
      <c r="N305" s="1" t="s">
        <v>84</v>
      </c>
      <c r="O305" s="1" t="s">
        <v>152</v>
      </c>
      <c r="P305" s="1" t="s">
        <v>153</v>
      </c>
      <c r="Q305" s="1" t="s">
        <v>66</v>
      </c>
      <c r="R305" s="1" t="s">
        <v>66</v>
      </c>
      <c r="S305" s="17">
        <v>38860</v>
      </c>
      <c r="T305" s="17">
        <v>1319.26</v>
      </c>
      <c r="U305" s="17">
        <v>0</v>
      </c>
      <c r="V305" s="17">
        <v>0</v>
      </c>
      <c r="W305" s="17">
        <v>11.26</v>
      </c>
      <c r="X305" s="17">
        <v>1126.03</v>
      </c>
      <c r="Y305" s="17">
        <v>181.97</v>
      </c>
      <c r="Z305" s="18">
        <f t="shared" si="93"/>
        <v>3.3949047864127641E-2</v>
      </c>
      <c r="AA305" s="19">
        <v>0.14686606397527699</v>
      </c>
      <c r="AB305" s="17">
        <f t="shared" si="106"/>
        <v>165.37559401808113</v>
      </c>
      <c r="AC305" s="17">
        <v>0</v>
      </c>
      <c r="AD305" s="17">
        <f>3%*X305</f>
        <v>33.780899999999995</v>
      </c>
      <c r="AE305" s="17">
        <f t="shared" si="94"/>
        <v>199.15649401808113</v>
      </c>
      <c r="AF305" s="17">
        <f t="shared" si="103"/>
        <v>31.865039042892981</v>
      </c>
      <c r="AG305" s="17">
        <f t="shared" si="95"/>
        <v>231.02153306097412</v>
      </c>
      <c r="AH305" s="17">
        <f t="shared" si="105"/>
        <v>3.9831298803616226</v>
      </c>
      <c r="AI305" s="17">
        <v>0</v>
      </c>
      <c r="AJ305" s="17">
        <f t="shared" si="96"/>
        <v>3.9831298803616226</v>
      </c>
      <c r="AK305" s="20"/>
      <c r="AL305" s="17">
        <f t="shared" si="97"/>
        <v>195.17336413771952</v>
      </c>
      <c r="AM305" s="17" t="s">
        <v>198</v>
      </c>
      <c r="AN305" s="21"/>
      <c r="AO305" s="17">
        <f t="shared" si="98"/>
        <v>0</v>
      </c>
      <c r="AP305" s="17"/>
      <c r="AQ305" s="16"/>
      <c r="AR305" s="17">
        <f t="shared" si="89"/>
        <v>0</v>
      </c>
      <c r="AS305" s="17"/>
      <c r="AT305" s="17">
        <v>231.02153306097412</v>
      </c>
      <c r="AU305" s="17">
        <f t="shared" si="102"/>
        <v>231.02153306097412</v>
      </c>
      <c r="AV305" s="17">
        <f t="shared" si="99"/>
        <v>0</v>
      </c>
      <c r="AW305" s="17" t="str">
        <f t="shared" si="104"/>
        <v>ACTIVA</v>
      </c>
      <c r="AX305" s="22">
        <v>44748</v>
      </c>
      <c r="AY305" s="22"/>
      <c r="AZ305" s="1" t="s">
        <v>68</v>
      </c>
      <c r="BA305" s="22" t="str">
        <f t="shared" si="100"/>
        <v>COMP MOTOR</v>
      </c>
      <c r="BB305" s="22"/>
      <c r="BC305" s="22"/>
      <c r="BD305" s="1" t="s">
        <v>457</v>
      </c>
    </row>
    <row r="306" spans="1:56" ht="14.25" customHeight="1" x14ac:dyDescent="0.2">
      <c r="A306" s="1" t="s">
        <v>496</v>
      </c>
      <c r="B306" s="1" t="s">
        <v>57</v>
      </c>
      <c r="C306" s="13">
        <v>44695</v>
      </c>
      <c r="D306" s="13">
        <v>45174</v>
      </c>
      <c r="E306" s="13">
        <v>44696</v>
      </c>
      <c r="F306" s="13">
        <v>45030</v>
      </c>
      <c r="G306" s="14" t="str">
        <f t="shared" si="92"/>
        <v>000-305/AIB RDC/2022</v>
      </c>
      <c r="H306" s="1">
        <v>2</v>
      </c>
      <c r="I306" s="1" t="s">
        <v>58</v>
      </c>
      <c r="J306" s="1" t="s">
        <v>518</v>
      </c>
      <c r="K306" s="1" t="s">
        <v>515</v>
      </c>
      <c r="L306" s="1" t="s">
        <v>516</v>
      </c>
      <c r="M306" s="1" t="s">
        <v>84</v>
      </c>
      <c r="N306" s="1" t="s">
        <v>85</v>
      </c>
      <c r="O306" s="1" t="s">
        <v>233</v>
      </c>
      <c r="P306" s="1" t="s">
        <v>234</v>
      </c>
      <c r="Q306" s="1" t="s">
        <v>79</v>
      </c>
      <c r="R306" s="1" t="s">
        <v>79</v>
      </c>
      <c r="S306" s="17">
        <v>18246456.469999999</v>
      </c>
      <c r="T306" s="17">
        <v>48392.26</v>
      </c>
      <c r="U306" s="17">
        <v>0</v>
      </c>
      <c r="V306" s="17">
        <v>0</v>
      </c>
      <c r="W306" s="17">
        <v>100</v>
      </c>
      <c r="X306" s="17">
        <v>40910.39</v>
      </c>
      <c r="Y306" s="17">
        <v>6561.66</v>
      </c>
      <c r="Z306" s="18">
        <f t="shared" si="93"/>
        <v>2.652145641514799E-3</v>
      </c>
      <c r="AA306" s="19">
        <v>0.15</v>
      </c>
      <c r="AB306" s="17">
        <f t="shared" si="106"/>
        <v>6136.5585000000001</v>
      </c>
      <c r="AC306" s="17"/>
      <c r="AD306" s="17"/>
      <c r="AE306" s="17">
        <f t="shared" si="94"/>
        <v>6136.5585000000001</v>
      </c>
      <c r="AF306" s="17">
        <f t="shared" si="103"/>
        <v>981.84936000000005</v>
      </c>
      <c r="AG306" s="17">
        <f t="shared" si="95"/>
        <v>7118.4078600000003</v>
      </c>
      <c r="AH306" s="17">
        <f t="shared" si="105"/>
        <v>122.73117000000001</v>
      </c>
      <c r="AI306" s="17">
        <v>0</v>
      </c>
      <c r="AJ306" s="17">
        <f t="shared" si="96"/>
        <v>122.73117000000001</v>
      </c>
      <c r="AK306" s="20"/>
      <c r="AL306" s="17">
        <f t="shared" si="97"/>
        <v>6013.8273300000001</v>
      </c>
      <c r="AM306" s="17" t="s">
        <v>80</v>
      </c>
      <c r="AN306" s="21">
        <v>0.3</v>
      </c>
      <c r="AO306" s="23">
        <f t="shared" si="98"/>
        <v>1804.148199</v>
      </c>
      <c r="AP306" s="17">
        <v>1804.148199</v>
      </c>
      <c r="AQ306" s="16">
        <v>45188</v>
      </c>
      <c r="AR306" s="17">
        <f t="shared" si="89"/>
        <v>0</v>
      </c>
      <c r="AS306" s="17"/>
      <c r="AT306" s="17">
        <v>7118.4078600000003</v>
      </c>
      <c r="AU306" s="17">
        <f t="shared" si="102"/>
        <v>7118.4078600000003</v>
      </c>
      <c r="AV306" s="17">
        <f t="shared" si="99"/>
        <v>0</v>
      </c>
      <c r="AW306" s="17" t="str">
        <f t="shared" si="104"/>
        <v>MAYFAIR</v>
      </c>
      <c r="AX306" s="22">
        <v>45231</v>
      </c>
      <c r="AY306" s="22"/>
      <c r="AZ306" s="1" t="s">
        <v>100</v>
      </c>
      <c r="BA306" s="22" t="str">
        <f t="shared" si="100"/>
        <v>PVT</v>
      </c>
      <c r="BB306" s="22"/>
      <c r="BC306" s="22"/>
      <c r="BD306" s="1" t="s">
        <v>517</v>
      </c>
    </row>
    <row r="307" spans="1:56" ht="14.25" customHeight="1" x14ac:dyDescent="0.2">
      <c r="A307" s="1" t="s">
        <v>496</v>
      </c>
      <c r="B307" s="1" t="s">
        <v>57</v>
      </c>
      <c r="C307" s="13">
        <v>44695</v>
      </c>
      <c r="D307" s="13">
        <v>45159</v>
      </c>
      <c r="E307" s="13">
        <v>44696</v>
      </c>
      <c r="F307" s="13">
        <v>45030</v>
      </c>
      <c r="G307" s="14" t="str">
        <f t="shared" si="92"/>
        <v>000-306/AIB RDC/2022</v>
      </c>
      <c r="H307" s="1">
        <v>2</v>
      </c>
      <c r="I307" s="1" t="s">
        <v>58</v>
      </c>
      <c r="J307" s="1" t="s">
        <v>514</v>
      </c>
      <c r="K307" s="1" t="s">
        <v>515</v>
      </c>
      <c r="L307" s="1" t="s">
        <v>516</v>
      </c>
      <c r="M307" s="1" t="s">
        <v>84</v>
      </c>
      <c r="N307" s="1" t="s">
        <v>85</v>
      </c>
      <c r="O307" s="1" t="s">
        <v>70</v>
      </c>
      <c r="P307" s="1" t="s">
        <v>71</v>
      </c>
      <c r="Q307" s="1" t="s">
        <v>79</v>
      </c>
      <c r="R307" s="1" t="s">
        <v>79</v>
      </c>
      <c r="S307" s="17">
        <v>18246456.469999999</v>
      </c>
      <c r="T307" s="17">
        <v>42128.69</v>
      </c>
      <c r="U307" s="17">
        <v>0</v>
      </c>
      <c r="V307" s="17">
        <v>0</v>
      </c>
      <c r="W307" s="17">
        <v>100</v>
      </c>
      <c r="X307" s="17">
        <v>35602.28</v>
      </c>
      <c r="Y307" s="17">
        <v>5712.36</v>
      </c>
      <c r="Z307" s="18">
        <f t="shared" si="93"/>
        <v>2.308869673915376E-3</v>
      </c>
      <c r="AA307" s="19">
        <v>0.15</v>
      </c>
      <c r="AB307" s="17">
        <f t="shared" si="106"/>
        <v>5340.3419999999996</v>
      </c>
      <c r="AC307" s="17"/>
      <c r="AD307" s="17">
        <f>15%*X307</f>
        <v>5340.3419999999996</v>
      </c>
      <c r="AE307" s="17">
        <f t="shared" si="94"/>
        <v>10680.683999999999</v>
      </c>
      <c r="AF307" s="17">
        <f t="shared" si="103"/>
        <v>1708.9094399999999</v>
      </c>
      <c r="AG307" s="17">
        <f t="shared" si="95"/>
        <v>12389.593439999999</v>
      </c>
      <c r="AH307" s="17">
        <f t="shared" si="105"/>
        <v>213.61367999999999</v>
      </c>
      <c r="AI307" s="17">
        <v>0</v>
      </c>
      <c r="AJ307" s="17">
        <f t="shared" si="96"/>
        <v>213.61367999999999</v>
      </c>
      <c r="AK307" s="20"/>
      <c r="AL307" s="17">
        <f t="shared" si="97"/>
        <v>10467.070319999999</v>
      </c>
      <c r="AM307" s="17" t="s">
        <v>80</v>
      </c>
      <c r="AN307" s="21">
        <v>0.3</v>
      </c>
      <c r="AO307" s="23">
        <f t="shared" si="98"/>
        <v>3140.1210959999994</v>
      </c>
      <c r="AP307" s="17">
        <v>1046.71</v>
      </c>
      <c r="AQ307" s="16">
        <v>45188</v>
      </c>
      <c r="AR307" s="17">
        <f t="shared" si="89"/>
        <v>2093.4110959999994</v>
      </c>
      <c r="AS307" s="17"/>
      <c r="AT307" s="17">
        <v>12389.593439999999</v>
      </c>
      <c r="AU307" s="17">
        <f t="shared" si="102"/>
        <v>12389.593439999999</v>
      </c>
      <c r="AV307" s="17">
        <f t="shared" si="99"/>
        <v>0</v>
      </c>
      <c r="AW307" s="17" t="str">
        <f t="shared" si="104"/>
        <v>MAYFAIR</v>
      </c>
      <c r="AX307" s="22">
        <v>45203</v>
      </c>
      <c r="AY307" s="22"/>
      <c r="AZ307" s="1" t="s">
        <v>100</v>
      </c>
      <c r="BA307" s="22" t="str">
        <f t="shared" si="100"/>
        <v>FIRE</v>
      </c>
      <c r="BB307" s="22"/>
      <c r="BC307" s="22"/>
      <c r="BD307" s="1" t="s">
        <v>517</v>
      </c>
    </row>
    <row r="308" spans="1:56" ht="14.25" customHeight="1" x14ac:dyDescent="0.2">
      <c r="A308" s="1" t="s">
        <v>496</v>
      </c>
      <c r="B308" s="1" t="s">
        <v>57</v>
      </c>
      <c r="C308" s="13">
        <v>44700</v>
      </c>
      <c r="D308" s="13">
        <v>44714</v>
      </c>
      <c r="E308" s="13">
        <v>44699</v>
      </c>
      <c r="F308" s="13">
        <v>45107</v>
      </c>
      <c r="G308" s="14" t="str">
        <f t="shared" si="92"/>
        <v>000-307/AIB RDC/2022</v>
      </c>
      <c r="H308" s="1">
        <v>0</v>
      </c>
      <c r="I308" s="1" t="s">
        <v>74</v>
      </c>
      <c r="J308" s="1" t="s">
        <v>587</v>
      </c>
      <c r="K308" s="1" t="s">
        <v>321</v>
      </c>
      <c r="L308" s="16" t="s">
        <v>137</v>
      </c>
      <c r="M308" s="1" t="s">
        <v>84</v>
      </c>
      <c r="N308" s="1" t="s">
        <v>85</v>
      </c>
      <c r="O308" s="1" t="s">
        <v>64</v>
      </c>
      <c r="P308" s="1" t="s">
        <v>65</v>
      </c>
      <c r="Q308" s="1" t="s">
        <v>79</v>
      </c>
      <c r="R308" s="1" t="s">
        <v>79</v>
      </c>
      <c r="S308" s="17">
        <v>2070000</v>
      </c>
      <c r="T308" s="17">
        <v>5492</v>
      </c>
      <c r="U308" s="17">
        <v>0</v>
      </c>
      <c r="V308" s="17">
        <v>0</v>
      </c>
      <c r="W308" s="17">
        <v>100</v>
      </c>
      <c r="X308" s="17">
        <v>4554</v>
      </c>
      <c r="Y308" s="17">
        <v>745</v>
      </c>
      <c r="Z308" s="18">
        <f t="shared" si="93"/>
        <v>2.6531400966183574E-3</v>
      </c>
      <c r="AA308" s="19">
        <v>0.15</v>
      </c>
      <c r="AB308" s="17">
        <f t="shared" si="106"/>
        <v>683.1</v>
      </c>
      <c r="AC308" s="17"/>
      <c r="AD308" s="17"/>
      <c r="AE308" s="17">
        <f t="shared" si="94"/>
        <v>683.1</v>
      </c>
      <c r="AF308" s="17">
        <f t="shared" si="103"/>
        <v>109.29600000000001</v>
      </c>
      <c r="AG308" s="17">
        <f t="shared" si="95"/>
        <v>792.39600000000007</v>
      </c>
      <c r="AH308" s="17">
        <f t="shared" si="105"/>
        <v>13.662000000000001</v>
      </c>
      <c r="AI308" s="17">
        <v>0</v>
      </c>
      <c r="AJ308" s="17">
        <f t="shared" si="96"/>
        <v>13.662000000000001</v>
      </c>
      <c r="AK308" s="20"/>
      <c r="AL308" s="17">
        <f t="shared" si="97"/>
        <v>669.43799999999999</v>
      </c>
      <c r="AM308" s="17" t="s">
        <v>289</v>
      </c>
      <c r="AN308" s="21">
        <v>0.5</v>
      </c>
      <c r="AO308" s="17">
        <f t="shared" si="98"/>
        <v>334.71899999999999</v>
      </c>
      <c r="AP308" s="17">
        <v>334.71899999999999</v>
      </c>
      <c r="AQ308" s="16">
        <v>44867</v>
      </c>
      <c r="AR308" s="17">
        <f t="shared" si="89"/>
        <v>0</v>
      </c>
      <c r="AS308" s="17" t="s">
        <v>290</v>
      </c>
      <c r="AT308" s="17">
        <v>792.39600000000007</v>
      </c>
      <c r="AU308" s="17">
        <f t="shared" si="102"/>
        <v>792.39600000000007</v>
      </c>
      <c r="AV308" s="17">
        <f t="shared" si="99"/>
        <v>0</v>
      </c>
      <c r="AW308" s="17" t="str">
        <f t="shared" si="104"/>
        <v>MAYFAIR</v>
      </c>
      <c r="AX308" s="22">
        <v>44746</v>
      </c>
      <c r="AY308" s="22"/>
      <c r="AZ308" s="1" t="s">
        <v>100</v>
      </c>
      <c r="BA308" s="22" t="str">
        <f t="shared" si="100"/>
        <v>MARINE CARGO / GIT</v>
      </c>
      <c r="BB308" s="22"/>
      <c r="BC308" s="22"/>
      <c r="BD308" s="22"/>
    </row>
    <row r="309" spans="1:56" ht="14.25" customHeight="1" x14ac:dyDescent="0.2">
      <c r="A309" s="1" t="s">
        <v>496</v>
      </c>
      <c r="B309" s="1" t="s">
        <v>57</v>
      </c>
      <c r="C309" s="13">
        <v>44705</v>
      </c>
      <c r="D309" s="13">
        <v>44706</v>
      </c>
      <c r="E309" s="13">
        <v>44684</v>
      </c>
      <c r="F309" s="13">
        <v>44775</v>
      </c>
      <c r="G309" s="14" t="str">
        <f t="shared" si="92"/>
        <v>000-308/AIB RDC/2022</v>
      </c>
      <c r="H309" s="1">
        <v>0</v>
      </c>
      <c r="I309" s="1" t="s">
        <v>74</v>
      </c>
      <c r="J309" s="1" t="s">
        <v>588</v>
      </c>
      <c r="K309" s="1" t="s">
        <v>589</v>
      </c>
      <c r="L309" s="1" t="s">
        <v>590</v>
      </c>
      <c r="M309" s="1" t="s">
        <v>84</v>
      </c>
      <c r="N309" s="1" t="s">
        <v>85</v>
      </c>
      <c r="O309" s="1" t="s">
        <v>64</v>
      </c>
      <c r="P309" s="1" t="s">
        <v>65</v>
      </c>
      <c r="Q309" s="1" t="s">
        <v>66</v>
      </c>
      <c r="R309" s="1" t="s">
        <v>66</v>
      </c>
      <c r="S309" s="17">
        <v>54527.5</v>
      </c>
      <c r="T309" s="17">
        <v>226.66</v>
      </c>
      <c r="U309" s="17">
        <v>0</v>
      </c>
      <c r="V309" s="17">
        <v>0</v>
      </c>
      <c r="W309" s="17">
        <v>10</v>
      </c>
      <c r="X309" s="17">
        <v>185.39</v>
      </c>
      <c r="Y309" s="17">
        <v>31.26</v>
      </c>
      <c r="Z309" s="18">
        <f t="shared" si="93"/>
        <v>4.1568016138645641E-3</v>
      </c>
      <c r="AA309" s="19">
        <v>0.15</v>
      </c>
      <c r="AB309" s="17">
        <f t="shared" si="106"/>
        <v>27.808499999999999</v>
      </c>
      <c r="AC309" s="17"/>
      <c r="AD309" s="17"/>
      <c r="AE309" s="17">
        <f t="shared" si="94"/>
        <v>27.808499999999999</v>
      </c>
      <c r="AF309" s="17">
        <f t="shared" si="103"/>
        <v>4.4493599999999995</v>
      </c>
      <c r="AG309" s="17">
        <f t="shared" si="95"/>
        <v>32.257860000000001</v>
      </c>
      <c r="AH309" s="17">
        <f t="shared" si="105"/>
        <v>0.55616999999999994</v>
      </c>
      <c r="AI309" s="17"/>
      <c r="AJ309" s="17">
        <f t="shared" si="96"/>
        <v>0.55616999999999994</v>
      </c>
      <c r="AK309" s="20"/>
      <c r="AL309" s="17">
        <f t="shared" si="97"/>
        <v>27.252329999999997</v>
      </c>
      <c r="AM309" s="17"/>
      <c r="AN309" s="21"/>
      <c r="AO309" s="17">
        <f t="shared" si="98"/>
        <v>0</v>
      </c>
      <c r="AP309" s="17"/>
      <c r="AQ309" s="16"/>
      <c r="AR309" s="17">
        <f t="shared" si="89"/>
        <v>0</v>
      </c>
      <c r="AS309" s="17"/>
      <c r="AT309" s="17">
        <v>32.257860000000001</v>
      </c>
      <c r="AU309" s="17">
        <f t="shared" si="102"/>
        <v>32.257860000000001</v>
      </c>
      <c r="AV309" s="17">
        <f t="shared" si="99"/>
        <v>0</v>
      </c>
      <c r="AW309" s="17" t="str">
        <f t="shared" si="104"/>
        <v>ACTIVA</v>
      </c>
      <c r="AX309" s="22">
        <v>44748</v>
      </c>
      <c r="AY309" s="22"/>
      <c r="AZ309" s="1" t="s">
        <v>145</v>
      </c>
      <c r="BA309" s="22" t="str">
        <f t="shared" si="100"/>
        <v>MARINE CARGO / GIT</v>
      </c>
      <c r="BB309" s="22"/>
      <c r="BC309" s="22"/>
      <c r="BD309" s="22"/>
    </row>
    <row r="310" spans="1:56" ht="14.25" customHeight="1" x14ac:dyDescent="0.2">
      <c r="A310" s="1" t="s">
        <v>667</v>
      </c>
      <c r="B310" s="1" t="s">
        <v>57</v>
      </c>
      <c r="C310" s="13">
        <v>44855</v>
      </c>
      <c r="D310" s="13">
        <v>44855</v>
      </c>
      <c r="E310" s="13">
        <v>44855</v>
      </c>
      <c r="F310" s="13">
        <v>45038</v>
      </c>
      <c r="G310" s="14" t="str">
        <f t="shared" si="92"/>
        <v>000-309/AIB RDC/2022</v>
      </c>
      <c r="H310" s="1">
        <v>9</v>
      </c>
      <c r="I310" s="1" t="s">
        <v>91</v>
      </c>
      <c r="J310" s="44" t="s">
        <v>519</v>
      </c>
      <c r="K310" s="1" t="s">
        <v>345</v>
      </c>
      <c r="L310" s="1" t="s">
        <v>137</v>
      </c>
      <c r="M310" s="1" t="s">
        <v>84</v>
      </c>
      <c r="N310" s="1" t="s">
        <v>586</v>
      </c>
      <c r="O310" s="1" t="s">
        <v>73</v>
      </c>
      <c r="P310" s="1" t="s">
        <v>73</v>
      </c>
      <c r="Q310" s="1" t="s">
        <v>107</v>
      </c>
      <c r="R310" s="1" t="s">
        <v>107</v>
      </c>
      <c r="S310" s="17">
        <v>0</v>
      </c>
      <c r="T310" s="17">
        <v>107.28</v>
      </c>
      <c r="U310" s="17">
        <v>0</v>
      </c>
      <c r="V310" s="17">
        <v>0</v>
      </c>
      <c r="W310" s="17">
        <v>10</v>
      </c>
      <c r="X310" s="17">
        <v>80.91</v>
      </c>
      <c r="Y310" s="17">
        <v>14.55</v>
      </c>
      <c r="Z310" s="18" t="e">
        <f t="shared" si="93"/>
        <v>#DIV/0!</v>
      </c>
      <c r="AA310" s="19">
        <v>0.1</v>
      </c>
      <c r="AB310" s="17">
        <f t="shared" si="106"/>
        <v>8.0909999999999993</v>
      </c>
      <c r="AC310" s="34">
        <v>0</v>
      </c>
      <c r="AD310" s="34">
        <v>0</v>
      </c>
      <c r="AE310" s="17">
        <f t="shared" si="94"/>
        <v>8.0909999999999993</v>
      </c>
      <c r="AF310" s="17">
        <f t="shared" si="103"/>
        <v>1.2945599999999999</v>
      </c>
      <c r="AG310" s="17">
        <f t="shared" si="95"/>
        <v>9.3855599999999999</v>
      </c>
      <c r="AH310" s="17">
        <f t="shared" si="105"/>
        <v>0.16181999999999999</v>
      </c>
      <c r="AI310" s="17"/>
      <c r="AJ310" s="17">
        <f t="shared" si="96"/>
        <v>0.16181999999999999</v>
      </c>
      <c r="AK310" s="20"/>
      <c r="AL310" s="17">
        <f t="shared" si="97"/>
        <v>7.9291799999999997</v>
      </c>
      <c r="AM310" s="17"/>
      <c r="AN310" s="21"/>
      <c r="AO310" s="17">
        <f t="shared" si="98"/>
        <v>0</v>
      </c>
      <c r="AP310" s="27"/>
      <c r="AQ310" s="16"/>
      <c r="AR310" s="17">
        <f t="shared" si="89"/>
        <v>0</v>
      </c>
      <c r="AS310" s="17"/>
      <c r="AT310" s="17"/>
      <c r="AU310" s="17">
        <f t="shared" si="102"/>
        <v>9.3855599999999999</v>
      </c>
      <c r="AV310" s="84">
        <f t="shared" si="99"/>
        <v>9.3855599999999999</v>
      </c>
      <c r="AW310" s="17" t="str">
        <f t="shared" si="104"/>
        <v>RAWSUR</v>
      </c>
      <c r="AX310" s="22"/>
      <c r="AY310" s="22"/>
      <c r="AZ310" s="1" t="s">
        <v>68</v>
      </c>
      <c r="BA310" s="22" t="str">
        <f t="shared" si="100"/>
        <v>MOTOR TPL</v>
      </c>
      <c r="BB310" s="54"/>
      <c r="BC310" s="22"/>
      <c r="BD310" s="1" t="s">
        <v>591</v>
      </c>
    </row>
    <row r="311" spans="1:56" ht="14.25" customHeight="1" x14ac:dyDescent="0.2">
      <c r="A311" s="1" t="s">
        <v>667</v>
      </c>
      <c r="B311" s="28" t="s">
        <v>273</v>
      </c>
      <c r="C311" s="48">
        <v>45163</v>
      </c>
      <c r="D311" s="48"/>
      <c r="E311" s="13">
        <v>44845</v>
      </c>
      <c r="F311" s="13">
        <v>45209</v>
      </c>
      <c r="G311" s="14" t="str">
        <f t="shared" si="92"/>
        <v>000-310/AIB RDC/2022</v>
      </c>
      <c r="H311" s="1">
        <v>5</v>
      </c>
      <c r="I311" s="1" t="s">
        <v>91</v>
      </c>
      <c r="J311" s="24" t="s">
        <v>1003</v>
      </c>
      <c r="K311" s="1" t="s">
        <v>287</v>
      </c>
      <c r="L311" s="1"/>
      <c r="M311" s="1" t="s">
        <v>84</v>
      </c>
      <c r="N311" s="1" t="s">
        <v>694</v>
      </c>
      <c r="O311" s="1" t="s">
        <v>64</v>
      </c>
      <c r="P311" s="1" t="s">
        <v>65</v>
      </c>
      <c r="Q311" s="1" t="s">
        <v>130</v>
      </c>
      <c r="R311" s="1" t="s">
        <v>130</v>
      </c>
      <c r="S311" s="17">
        <v>0</v>
      </c>
      <c r="T311" s="34">
        <v>6211.8</v>
      </c>
      <c r="U311" s="34">
        <v>0</v>
      </c>
      <c r="V311" s="34">
        <v>0</v>
      </c>
      <c r="W311" s="34">
        <v>111</v>
      </c>
      <c r="X311" s="34">
        <v>5244</v>
      </c>
      <c r="Y311" s="34">
        <v>856.8</v>
      </c>
      <c r="Z311" s="18" t="e">
        <f t="shared" si="93"/>
        <v>#DIV/0!</v>
      </c>
      <c r="AA311" s="19">
        <v>0.15</v>
      </c>
      <c r="AB311" s="23">
        <f t="shared" si="106"/>
        <v>786.6</v>
      </c>
      <c r="AC311" s="17">
        <v>0</v>
      </c>
      <c r="AD311" s="17">
        <v>0</v>
      </c>
      <c r="AE311" s="17">
        <f t="shared" si="94"/>
        <v>786.6</v>
      </c>
      <c r="AF311" s="17">
        <f t="shared" si="103"/>
        <v>125.85600000000001</v>
      </c>
      <c r="AG311" s="17">
        <f t="shared" si="95"/>
        <v>912.45600000000002</v>
      </c>
      <c r="AH311" s="17">
        <f t="shared" si="105"/>
        <v>15.732000000000001</v>
      </c>
      <c r="AI311" s="17"/>
      <c r="AJ311" s="17">
        <f t="shared" si="96"/>
        <v>15.732000000000001</v>
      </c>
      <c r="AK311" s="20"/>
      <c r="AL311" s="17">
        <f t="shared" si="97"/>
        <v>770.86800000000005</v>
      </c>
      <c r="AM311" s="30"/>
      <c r="AN311" s="80"/>
      <c r="AO311" s="23">
        <f t="shared" si="98"/>
        <v>0</v>
      </c>
      <c r="AP311" s="30"/>
      <c r="AQ311" s="33"/>
      <c r="AR311" s="17">
        <f t="shared" si="89"/>
        <v>0</v>
      </c>
      <c r="AS311" s="30"/>
      <c r="AT311" s="30"/>
      <c r="AU311" s="17">
        <f t="shared" ref="AU311:AU342" si="107">AG311</f>
        <v>912.45600000000002</v>
      </c>
      <c r="AV311" s="84">
        <f t="shared" si="99"/>
        <v>912.45600000000002</v>
      </c>
      <c r="AW311" s="17" t="str">
        <f t="shared" si="104"/>
        <v>SFA</v>
      </c>
      <c r="AX311" s="81"/>
      <c r="AY311" s="81"/>
      <c r="AZ311" s="2"/>
      <c r="BA311" s="1"/>
      <c r="BB311" s="82"/>
      <c r="BC311" s="81"/>
      <c r="BD311" s="2"/>
    </row>
    <row r="312" spans="1:56" ht="14.25" customHeight="1" x14ac:dyDescent="0.2">
      <c r="A312" s="1" t="s">
        <v>496</v>
      </c>
      <c r="B312" s="1" t="s">
        <v>57</v>
      </c>
      <c r="C312" s="13">
        <v>44712</v>
      </c>
      <c r="D312" s="13">
        <v>44709</v>
      </c>
      <c r="E312" s="13">
        <v>44707</v>
      </c>
      <c r="F312" s="13">
        <v>44957</v>
      </c>
      <c r="G312" s="14" t="str">
        <f t="shared" si="92"/>
        <v>000-311/AIB RDC/2022</v>
      </c>
      <c r="H312" s="1">
        <v>10</v>
      </c>
      <c r="I312" s="1" t="s">
        <v>91</v>
      </c>
      <c r="J312" s="1" t="s">
        <v>284</v>
      </c>
      <c r="K312" s="1" t="s">
        <v>285</v>
      </c>
      <c r="L312" s="1" t="s">
        <v>83</v>
      </c>
      <c r="M312" s="1" t="s">
        <v>84</v>
      </c>
      <c r="N312" s="1" t="s">
        <v>85</v>
      </c>
      <c r="O312" s="1" t="s">
        <v>152</v>
      </c>
      <c r="P312" s="1" t="s">
        <v>153</v>
      </c>
      <c r="Q312" s="1" t="s">
        <v>66</v>
      </c>
      <c r="R312" s="1" t="s">
        <v>66</v>
      </c>
      <c r="S312" s="17">
        <v>353340</v>
      </c>
      <c r="T312" s="17">
        <v>11147.75</v>
      </c>
      <c r="U312" s="17">
        <v>0</v>
      </c>
      <c r="V312" s="17">
        <v>0</v>
      </c>
      <c r="W312" s="17">
        <v>95.15</v>
      </c>
      <c r="X312" s="17">
        <v>9514.98</v>
      </c>
      <c r="Y312" s="17">
        <v>1537.62</v>
      </c>
      <c r="Z312" s="18">
        <f t="shared" si="93"/>
        <v>3.1549640572819379E-2</v>
      </c>
      <c r="AA312" s="19">
        <v>0.14844802616505801</v>
      </c>
      <c r="AB312" s="17">
        <f t="shared" si="106"/>
        <v>1412.4800000000037</v>
      </c>
      <c r="AC312" s="17">
        <v>0</v>
      </c>
      <c r="AD312" s="17">
        <f>3%*X312</f>
        <v>285.44939999999997</v>
      </c>
      <c r="AE312" s="17">
        <f t="shared" si="94"/>
        <v>1697.9294000000036</v>
      </c>
      <c r="AF312" s="17">
        <f t="shared" si="103"/>
        <v>271.66870400000056</v>
      </c>
      <c r="AG312" s="17">
        <f t="shared" si="95"/>
        <v>1969.5981040000042</v>
      </c>
      <c r="AH312" s="17">
        <f t="shared" si="105"/>
        <v>33.95858800000007</v>
      </c>
      <c r="AI312" s="17">
        <v>0</v>
      </c>
      <c r="AJ312" s="17">
        <f t="shared" si="96"/>
        <v>33.95858800000007</v>
      </c>
      <c r="AK312" s="20"/>
      <c r="AL312" s="17">
        <f t="shared" si="97"/>
        <v>1663.9708120000037</v>
      </c>
      <c r="AM312" s="17" t="s">
        <v>198</v>
      </c>
      <c r="AN312" s="21"/>
      <c r="AO312" s="17">
        <f t="shared" si="98"/>
        <v>0</v>
      </c>
      <c r="AP312" s="17"/>
      <c r="AQ312" s="16"/>
      <c r="AR312" s="17">
        <f t="shared" si="89"/>
        <v>0</v>
      </c>
      <c r="AS312" s="17"/>
      <c r="AT312" s="17">
        <v>1969.5981040000042</v>
      </c>
      <c r="AU312" s="17">
        <f t="shared" si="107"/>
        <v>1969.5981040000042</v>
      </c>
      <c r="AV312" s="17">
        <f t="shared" si="99"/>
        <v>0</v>
      </c>
      <c r="AW312" s="17" t="str">
        <f t="shared" si="104"/>
        <v>ACTIVA</v>
      </c>
      <c r="AX312" s="22">
        <v>44771</v>
      </c>
      <c r="AY312" s="22"/>
      <c r="AZ312" s="1" t="s">
        <v>68</v>
      </c>
      <c r="BA312" s="22" t="str">
        <f t="shared" ref="BA312:BA343" si="108">O312</f>
        <v>COMP MOTOR</v>
      </c>
      <c r="BB312" s="22"/>
      <c r="BC312" s="22"/>
      <c r="BD312" s="1" t="s">
        <v>457</v>
      </c>
    </row>
    <row r="313" spans="1:56" ht="14.25" customHeight="1" x14ac:dyDescent="0.2">
      <c r="A313" s="1" t="s">
        <v>496</v>
      </c>
      <c r="B313" s="1" t="s">
        <v>57</v>
      </c>
      <c r="C313" s="13">
        <v>44712</v>
      </c>
      <c r="D313" s="13">
        <v>44712</v>
      </c>
      <c r="E313" s="13">
        <v>44711</v>
      </c>
      <c r="F313" s="13">
        <v>44957</v>
      </c>
      <c r="G313" s="14" t="str">
        <f t="shared" si="92"/>
        <v>000-312/AIB RDC/2022</v>
      </c>
      <c r="H313" s="1">
        <v>11</v>
      </c>
      <c r="I313" s="1" t="s">
        <v>91</v>
      </c>
      <c r="J313" s="1" t="s">
        <v>284</v>
      </c>
      <c r="K313" s="1" t="s">
        <v>285</v>
      </c>
      <c r="L313" s="1" t="s">
        <v>83</v>
      </c>
      <c r="M313" s="1" t="s">
        <v>84</v>
      </c>
      <c r="N313" s="1" t="s">
        <v>85</v>
      </c>
      <c r="O313" s="1" t="s">
        <v>152</v>
      </c>
      <c r="P313" s="1" t="s">
        <v>153</v>
      </c>
      <c r="Q313" s="1" t="s">
        <v>66</v>
      </c>
      <c r="R313" s="1" t="s">
        <v>66</v>
      </c>
      <c r="S313" s="17">
        <v>71472</v>
      </c>
      <c r="T313" s="17">
        <v>2150.46</v>
      </c>
      <c r="U313" s="17">
        <v>0</v>
      </c>
      <c r="V313" s="17">
        <v>0</v>
      </c>
      <c r="W313" s="17">
        <v>18.350000000000001</v>
      </c>
      <c r="X313" s="17">
        <v>1835.49</v>
      </c>
      <c r="Y313" s="17">
        <v>296.61</v>
      </c>
      <c r="Z313" s="18">
        <f t="shared" si="93"/>
        <v>3.0088146406984553E-2</v>
      </c>
      <c r="AA313" s="19">
        <v>0.14735574696675</v>
      </c>
      <c r="AB313" s="17">
        <f t="shared" si="106"/>
        <v>270.46999999999997</v>
      </c>
      <c r="AC313" s="17">
        <v>0</v>
      </c>
      <c r="AD313" s="17">
        <f>3%*X313</f>
        <v>55.064699999999995</v>
      </c>
      <c r="AE313" s="17">
        <f t="shared" si="94"/>
        <v>325.53469999999999</v>
      </c>
      <c r="AF313" s="17">
        <f t="shared" si="103"/>
        <v>52.085552</v>
      </c>
      <c r="AG313" s="17">
        <f t="shared" si="95"/>
        <v>377.62025199999999</v>
      </c>
      <c r="AH313" s="17">
        <f t="shared" si="105"/>
        <v>6.510694</v>
      </c>
      <c r="AI313" s="17">
        <v>0</v>
      </c>
      <c r="AJ313" s="17">
        <f t="shared" si="96"/>
        <v>6.510694</v>
      </c>
      <c r="AK313" s="20"/>
      <c r="AL313" s="17">
        <f t="shared" si="97"/>
        <v>319.02400599999999</v>
      </c>
      <c r="AM313" s="17" t="s">
        <v>198</v>
      </c>
      <c r="AN313" s="21"/>
      <c r="AO313" s="17">
        <f t="shared" si="98"/>
        <v>0</v>
      </c>
      <c r="AP313" s="17"/>
      <c r="AQ313" s="16"/>
      <c r="AR313" s="17">
        <f t="shared" si="89"/>
        <v>0</v>
      </c>
      <c r="AS313" s="17"/>
      <c r="AT313" s="17">
        <v>377.62025199999999</v>
      </c>
      <c r="AU313" s="17">
        <f t="shared" si="107"/>
        <v>377.62025199999999</v>
      </c>
      <c r="AV313" s="17">
        <f t="shared" si="99"/>
        <v>0</v>
      </c>
      <c r="AW313" s="17" t="str">
        <f t="shared" si="104"/>
        <v>ACTIVA</v>
      </c>
      <c r="AX313" s="22">
        <v>44771</v>
      </c>
      <c r="AY313" s="22"/>
      <c r="AZ313" s="1" t="s">
        <v>68</v>
      </c>
      <c r="BA313" s="22" t="str">
        <f t="shared" si="108"/>
        <v>COMP MOTOR</v>
      </c>
      <c r="BB313" s="22"/>
      <c r="BC313" s="22"/>
      <c r="BD313" s="1" t="s">
        <v>457</v>
      </c>
    </row>
    <row r="314" spans="1:56" ht="14.25" customHeight="1" x14ac:dyDescent="0.2">
      <c r="A314" s="1" t="s">
        <v>667</v>
      </c>
      <c r="B314" s="1" t="s">
        <v>273</v>
      </c>
      <c r="C314" s="13">
        <v>44869</v>
      </c>
      <c r="D314" s="50">
        <v>44846</v>
      </c>
      <c r="E314" s="13">
        <v>44846</v>
      </c>
      <c r="F314" s="13">
        <v>44876</v>
      </c>
      <c r="G314" s="14" t="str">
        <f t="shared" si="92"/>
        <v>000-313/AIB RDC/2022</v>
      </c>
      <c r="H314" s="1">
        <v>0</v>
      </c>
      <c r="I314" s="1" t="s">
        <v>74</v>
      </c>
      <c r="J314" s="1" t="s">
        <v>948</v>
      </c>
      <c r="K314" s="1" t="s">
        <v>228</v>
      </c>
      <c r="L314" s="1"/>
      <c r="M314" s="1" t="s">
        <v>105</v>
      </c>
      <c r="N314" s="1" t="s">
        <v>106</v>
      </c>
      <c r="O314" s="1" t="s">
        <v>64</v>
      </c>
      <c r="P314" s="1" t="s">
        <v>65</v>
      </c>
      <c r="Q314" s="1" t="s">
        <v>130</v>
      </c>
      <c r="R314" s="1" t="s">
        <v>130</v>
      </c>
      <c r="S314" s="17">
        <v>222634.44</v>
      </c>
      <c r="T314" s="17">
        <v>433.43</v>
      </c>
      <c r="U314" s="17">
        <v>0</v>
      </c>
      <c r="V314" s="17">
        <v>0</v>
      </c>
      <c r="W314" s="17">
        <v>20</v>
      </c>
      <c r="X314" s="17">
        <v>347.31</v>
      </c>
      <c r="Y314" s="17">
        <v>58.77</v>
      </c>
      <c r="Z314" s="18">
        <f t="shared" si="93"/>
        <v>1.9468236810082035E-3</v>
      </c>
      <c r="AA314" s="19">
        <v>0.15</v>
      </c>
      <c r="AB314" s="17">
        <f t="shared" si="106"/>
        <v>52.096499999999999</v>
      </c>
      <c r="AC314" s="17">
        <v>0</v>
      </c>
      <c r="AD314" s="17">
        <v>0</v>
      </c>
      <c r="AE314" s="17">
        <f t="shared" si="94"/>
        <v>52.096499999999999</v>
      </c>
      <c r="AF314" s="17">
        <f t="shared" si="103"/>
        <v>8.3354400000000002</v>
      </c>
      <c r="AG314" s="17">
        <f t="shared" si="95"/>
        <v>60.431939999999997</v>
      </c>
      <c r="AH314" s="17">
        <f t="shared" si="105"/>
        <v>1.04193</v>
      </c>
      <c r="AI314" s="17"/>
      <c r="AJ314" s="17">
        <f t="shared" si="96"/>
        <v>1.04193</v>
      </c>
      <c r="AK314" s="20"/>
      <c r="AL314" s="17">
        <f t="shared" si="97"/>
        <v>51.054569999999998</v>
      </c>
      <c r="AM314" s="17" t="s">
        <v>108</v>
      </c>
      <c r="AN314" s="21">
        <v>0.4</v>
      </c>
      <c r="AO314" s="17">
        <f t="shared" si="98"/>
        <v>20.421828000000001</v>
      </c>
      <c r="AP314" s="27"/>
      <c r="AQ314" s="16"/>
      <c r="AR314" s="17">
        <f t="shared" si="89"/>
        <v>20.421828000000001</v>
      </c>
      <c r="AS314" s="17"/>
      <c r="AT314" s="17"/>
      <c r="AU314" s="17">
        <f t="shared" si="107"/>
        <v>60.431939999999997</v>
      </c>
      <c r="AV314" s="84">
        <f t="shared" si="99"/>
        <v>60.431939999999997</v>
      </c>
      <c r="AW314" s="17" t="str">
        <f t="shared" si="104"/>
        <v>SFA</v>
      </c>
      <c r="AX314" s="22"/>
      <c r="AY314" s="22"/>
      <c r="AZ314" s="1" t="s">
        <v>110</v>
      </c>
      <c r="BA314" s="22" t="str">
        <f t="shared" si="108"/>
        <v>MARINE CARGO / GIT</v>
      </c>
      <c r="BB314" s="54"/>
      <c r="BC314" s="22"/>
      <c r="BD314" s="1" t="s">
        <v>832</v>
      </c>
    </row>
    <row r="315" spans="1:56" ht="14.25" customHeight="1" x14ac:dyDescent="0.2">
      <c r="A315" s="12" t="s">
        <v>229</v>
      </c>
      <c r="B315" s="1" t="s">
        <v>273</v>
      </c>
      <c r="C315" s="13"/>
      <c r="D315" s="13"/>
      <c r="E315" s="13">
        <v>44607</v>
      </c>
      <c r="F315" s="13">
        <v>44636</v>
      </c>
      <c r="G315" s="14" t="str">
        <f t="shared" si="92"/>
        <v>000-314/AIB RDC/2022</v>
      </c>
      <c r="H315" s="1">
        <v>0</v>
      </c>
      <c r="I315" s="1" t="s">
        <v>74</v>
      </c>
      <c r="J315" s="1" t="s">
        <v>338</v>
      </c>
      <c r="K315" s="16" t="s">
        <v>228</v>
      </c>
      <c r="L315" s="16"/>
      <c r="M315" s="16" t="s">
        <v>105</v>
      </c>
      <c r="N315" s="16" t="s">
        <v>106</v>
      </c>
      <c r="O315" s="16" t="s">
        <v>64</v>
      </c>
      <c r="P315" s="16" t="s">
        <v>65</v>
      </c>
      <c r="Q315" s="16" t="s">
        <v>130</v>
      </c>
      <c r="R315" s="16" t="s">
        <v>130</v>
      </c>
      <c r="S315" s="17">
        <v>31129</v>
      </c>
      <c r="T315" s="17">
        <v>401.2</v>
      </c>
      <c r="U315" s="17">
        <v>0</v>
      </c>
      <c r="V315" s="17">
        <v>0</v>
      </c>
      <c r="W315" s="17"/>
      <c r="X315" s="17">
        <v>320</v>
      </c>
      <c r="Y315" s="17"/>
      <c r="Z315" s="18">
        <f t="shared" si="93"/>
        <v>1.2888303511195348E-2</v>
      </c>
      <c r="AA315" s="19">
        <v>0.15</v>
      </c>
      <c r="AB315" s="17">
        <f t="shared" si="106"/>
        <v>48</v>
      </c>
      <c r="AC315" s="17">
        <v>0</v>
      </c>
      <c r="AD315" s="17">
        <v>0</v>
      </c>
      <c r="AE315" s="17">
        <f t="shared" si="94"/>
        <v>48</v>
      </c>
      <c r="AF315" s="17">
        <f t="shared" si="103"/>
        <v>7.68</v>
      </c>
      <c r="AG315" s="17">
        <f t="shared" si="95"/>
        <v>55.68</v>
      </c>
      <c r="AH315" s="17">
        <f t="shared" si="105"/>
        <v>0.96</v>
      </c>
      <c r="AI315" s="17">
        <v>0</v>
      </c>
      <c r="AJ315" s="17">
        <f t="shared" si="96"/>
        <v>0.96</v>
      </c>
      <c r="AK315" s="20"/>
      <c r="AL315" s="17">
        <f t="shared" si="97"/>
        <v>47.04</v>
      </c>
      <c r="AM315" s="17" t="s">
        <v>108</v>
      </c>
      <c r="AN315" s="21">
        <v>0.4</v>
      </c>
      <c r="AO315" s="17">
        <f t="shared" si="98"/>
        <v>18.815999999999999</v>
      </c>
      <c r="AP315" s="17"/>
      <c r="AQ315" s="16"/>
      <c r="AR315" s="17">
        <f t="shared" si="89"/>
        <v>18.815999999999999</v>
      </c>
      <c r="AS315" s="17"/>
      <c r="AT315" s="17"/>
      <c r="AU315" s="17">
        <f t="shared" si="107"/>
        <v>55.68</v>
      </c>
      <c r="AV315" s="84">
        <f t="shared" si="99"/>
        <v>55.68</v>
      </c>
      <c r="AW315" s="17" t="str">
        <f t="shared" si="104"/>
        <v>SFA</v>
      </c>
      <c r="AX315" s="22"/>
      <c r="AY315" s="22"/>
      <c r="AZ315" s="1" t="s">
        <v>110</v>
      </c>
      <c r="BA315" s="22" t="str">
        <f t="shared" si="108"/>
        <v>MARINE CARGO / GIT</v>
      </c>
      <c r="BB315" s="22"/>
      <c r="BC315" s="22"/>
      <c r="BD315" s="1" t="s">
        <v>275</v>
      </c>
    </row>
    <row r="316" spans="1:56" ht="14.25" customHeight="1" x14ac:dyDescent="0.2">
      <c r="A316" s="1" t="s">
        <v>496</v>
      </c>
      <c r="B316" s="1" t="s">
        <v>57</v>
      </c>
      <c r="C316" s="13">
        <v>44750</v>
      </c>
      <c r="D316" s="13">
        <v>44733</v>
      </c>
      <c r="E316" s="13">
        <v>44701</v>
      </c>
      <c r="F316" s="13">
        <v>45065</v>
      </c>
      <c r="G316" s="14" t="str">
        <f t="shared" si="92"/>
        <v>000-315/AIB RDC/2022</v>
      </c>
      <c r="H316" s="1">
        <v>0</v>
      </c>
      <c r="I316" s="1" t="s">
        <v>74</v>
      </c>
      <c r="J316" s="1" t="s">
        <v>592</v>
      </c>
      <c r="K316" s="1" t="s">
        <v>593</v>
      </c>
      <c r="L316" s="1" t="s">
        <v>61</v>
      </c>
      <c r="M316" s="1" t="s">
        <v>62</v>
      </c>
      <c r="N316" s="1" t="s">
        <v>209</v>
      </c>
      <c r="O316" s="1" t="s">
        <v>192</v>
      </c>
      <c r="P316" s="1" t="s">
        <v>98</v>
      </c>
      <c r="Q316" s="1" t="s">
        <v>79</v>
      </c>
      <c r="R316" s="1" t="s">
        <v>79</v>
      </c>
      <c r="S316" s="17">
        <v>0</v>
      </c>
      <c r="T316" s="17">
        <v>5614.44</v>
      </c>
      <c r="U316" s="17">
        <v>0</v>
      </c>
      <c r="V316" s="17">
        <v>0</v>
      </c>
      <c r="W316" s="17">
        <v>20</v>
      </c>
      <c r="X316" s="17">
        <v>4738</v>
      </c>
      <c r="Y316" s="17">
        <v>761.28</v>
      </c>
      <c r="Z316" s="18" t="e">
        <f t="shared" si="93"/>
        <v>#DIV/0!</v>
      </c>
      <c r="AA316" s="19">
        <v>0.1</v>
      </c>
      <c r="AB316" s="17">
        <f t="shared" si="106"/>
        <v>473.8</v>
      </c>
      <c r="AC316" s="17"/>
      <c r="AD316" s="17"/>
      <c r="AE316" s="17">
        <f t="shared" si="94"/>
        <v>473.8</v>
      </c>
      <c r="AF316" s="17">
        <f t="shared" si="103"/>
        <v>75.808000000000007</v>
      </c>
      <c r="AG316" s="17">
        <f t="shared" si="95"/>
        <v>549.60800000000006</v>
      </c>
      <c r="AH316" s="17">
        <f t="shared" si="105"/>
        <v>9.4760000000000009</v>
      </c>
      <c r="AI316" s="17"/>
      <c r="AJ316" s="17">
        <f t="shared" si="96"/>
        <v>9.4760000000000009</v>
      </c>
      <c r="AK316" s="20"/>
      <c r="AL316" s="17">
        <f t="shared" si="97"/>
        <v>464.32400000000001</v>
      </c>
      <c r="AM316" s="17"/>
      <c r="AN316" s="21"/>
      <c r="AO316" s="17">
        <f t="shared" si="98"/>
        <v>0</v>
      </c>
      <c r="AP316" s="17"/>
      <c r="AQ316" s="16"/>
      <c r="AR316" s="17">
        <f t="shared" ref="AR316:AR351" si="109">AO316-AP316</f>
        <v>0</v>
      </c>
      <c r="AS316" s="17"/>
      <c r="AT316" s="17">
        <v>549.60800000000006</v>
      </c>
      <c r="AU316" s="17">
        <f t="shared" si="107"/>
        <v>549.60800000000006</v>
      </c>
      <c r="AV316" s="17">
        <f t="shared" si="99"/>
        <v>0</v>
      </c>
      <c r="AW316" s="17" t="str">
        <f t="shared" si="104"/>
        <v>MAYFAIR</v>
      </c>
      <c r="AX316" s="22">
        <v>44772</v>
      </c>
      <c r="AY316" s="22"/>
      <c r="AZ316" s="1" t="s">
        <v>100</v>
      </c>
      <c r="BA316" s="22" t="str">
        <f t="shared" si="108"/>
        <v>GPA</v>
      </c>
      <c r="BB316" s="22"/>
      <c r="BC316" s="22"/>
      <c r="BD316" s="22"/>
    </row>
    <row r="317" spans="1:56" ht="14.25" customHeight="1" x14ac:dyDescent="0.2">
      <c r="A317" s="1" t="s">
        <v>496</v>
      </c>
      <c r="B317" s="1" t="s">
        <v>57</v>
      </c>
      <c r="C317" s="13">
        <v>44709</v>
      </c>
      <c r="D317" s="13">
        <v>44709</v>
      </c>
      <c r="E317" s="13">
        <v>44684</v>
      </c>
      <c r="F317" s="13">
        <v>45048</v>
      </c>
      <c r="G317" s="14" t="str">
        <f t="shared" si="92"/>
        <v>000-316/AIB RDC/2022</v>
      </c>
      <c r="H317" s="1">
        <v>0</v>
      </c>
      <c r="I317" s="1" t="s">
        <v>74</v>
      </c>
      <c r="J317" s="1" t="s">
        <v>594</v>
      </c>
      <c r="K317" s="16" t="s">
        <v>255</v>
      </c>
      <c r="L317" s="1" t="s">
        <v>256</v>
      </c>
      <c r="M317" s="1" t="s">
        <v>62</v>
      </c>
      <c r="N317" s="1" t="s">
        <v>209</v>
      </c>
      <c r="O317" s="1" t="s">
        <v>152</v>
      </c>
      <c r="P317" s="1" t="s">
        <v>153</v>
      </c>
      <c r="Q317" s="1" t="s">
        <v>86</v>
      </c>
      <c r="R317" s="1" t="s">
        <v>86</v>
      </c>
      <c r="S317" s="17">
        <v>1806854.72</v>
      </c>
      <c r="T317" s="17">
        <v>35753</v>
      </c>
      <c r="U317" s="17">
        <v>0</v>
      </c>
      <c r="V317" s="17">
        <v>0</v>
      </c>
      <c r="W317" s="17">
        <v>305.16000000000003</v>
      </c>
      <c r="X317" s="17">
        <v>30516.39</v>
      </c>
      <c r="Y317" s="17">
        <v>4931.45</v>
      </c>
      <c r="Z317" s="18">
        <f t="shared" si="93"/>
        <v>1.9787423750372138E-2</v>
      </c>
      <c r="AA317" s="19">
        <v>0.125</v>
      </c>
      <c r="AB317" s="17">
        <f t="shared" si="106"/>
        <v>3814.5487499999999</v>
      </c>
      <c r="AC317" s="17"/>
      <c r="AD317" s="17">
        <v>0</v>
      </c>
      <c r="AE317" s="17">
        <f t="shared" si="94"/>
        <v>3814.5487499999999</v>
      </c>
      <c r="AF317" s="17">
        <f t="shared" si="103"/>
        <v>610.32780000000002</v>
      </c>
      <c r="AG317" s="17">
        <f t="shared" si="95"/>
        <v>4424.87655</v>
      </c>
      <c r="AH317" s="17">
        <f t="shared" si="105"/>
        <v>76.290975000000003</v>
      </c>
      <c r="AI317" s="17"/>
      <c r="AJ317" s="17">
        <f t="shared" si="96"/>
        <v>76.290975000000003</v>
      </c>
      <c r="AK317" s="20"/>
      <c r="AL317" s="17">
        <f t="shared" si="97"/>
        <v>3738.257775</v>
      </c>
      <c r="AM317" s="17" t="s">
        <v>87</v>
      </c>
      <c r="AN317" s="21">
        <v>0.35</v>
      </c>
      <c r="AO317" s="17">
        <f t="shared" si="98"/>
        <v>1308.39022125</v>
      </c>
      <c r="AP317" s="17">
        <v>1308.39022125</v>
      </c>
      <c r="AQ317" s="16">
        <v>45070</v>
      </c>
      <c r="AR317" s="17">
        <f t="shared" si="109"/>
        <v>0</v>
      </c>
      <c r="AS317" s="17"/>
      <c r="AT317" s="17">
        <v>4424.87655</v>
      </c>
      <c r="AU317" s="17">
        <f t="shared" si="107"/>
        <v>4424.87655</v>
      </c>
      <c r="AV317" s="17">
        <f t="shared" si="99"/>
        <v>0</v>
      </c>
      <c r="AW317" s="17" t="str">
        <f t="shared" si="104"/>
        <v>SUNU</v>
      </c>
      <c r="AX317" s="22">
        <v>44749</v>
      </c>
      <c r="AY317" s="22"/>
      <c r="AZ317" s="1" t="s">
        <v>68</v>
      </c>
      <c r="BA317" s="22" t="str">
        <f t="shared" si="108"/>
        <v>COMP MOTOR</v>
      </c>
      <c r="BB317" s="22"/>
      <c r="BC317" s="22"/>
      <c r="BD317" s="22"/>
    </row>
    <row r="318" spans="1:56" ht="14.25" customHeight="1" x14ac:dyDescent="0.2">
      <c r="A318" s="1" t="s">
        <v>496</v>
      </c>
      <c r="B318" s="1" t="s">
        <v>57</v>
      </c>
      <c r="C318" s="13">
        <v>44680</v>
      </c>
      <c r="D318" s="13">
        <v>44682</v>
      </c>
      <c r="E318" s="13">
        <v>44682</v>
      </c>
      <c r="F318" s="13">
        <v>45046</v>
      </c>
      <c r="G318" s="14" t="str">
        <f t="shared" si="92"/>
        <v>000-317/AIB RDC/2022</v>
      </c>
      <c r="H318" s="1">
        <v>2</v>
      </c>
      <c r="I318" s="1" t="s">
        <v>58</v>
      </c>
      <c r="J318" s="1" t="s">
        <v>595</v>
      </c>
      <c r="K318" s="16" t="s">
        <v>255</v>
      </c>
      <c r="L318" s="1" t="s">
        <v>256</v>
      </c>
      <c r="M318" s="1" t="s">
        <v>62</v>
      </c>
      <c r="N318" s="1" t="s">
        <v>209</v>
      </c>
      <c r="O318" s="1" t="s">
        <v>466</v>
      </c>
      <c r="P318" s="1" t="s">
        <v>71</v>
      </c>
      <c r="Q318" s="1" t="s">
        <v>107</v>
      </c>
      <c r="R318" s="1" t="s">
        <v>107</v>
      </c>
      <c r="S318" s="17">
        <v>163249891</v>
      </c>
      <c r="T318" s="17">
        <v>406980.17</v>
      </c>
      <c r="U318" s="17">
        <v>15995.81</v>
      </c>
      <c r="V318" s="17">
        <v>0</v>
      </c>
      <c r="W318" s="17">
        <v>100</v>
      </c>
      <c r="X318" s="17">
        <v>328802.64</v>
      </c>
      <c r="Y318" s="17">
        <v>55183.75</v>
      </c>
      <c r="Z318" s="18">
        <f t="shared" si="93"/>
        <v>2.4929889233432931E-3</v>
      </c>
      <c r="AA318" s="19">
        <v>0</v>
      </c>
      <c r="AB318" s="17">
        <f t="shared" si="106"/>
        <v>0</v>
      </c>
      <c r="AC318" s="17">
        <f>30%*U318</f>
        <v>4798.7429999999995</v>
      </c>
      <c r="AD318" s="17">
        <v>46921.03</v>
      </c>
      <c r="AE318" s="17">
        <f t="shared" si="94"/>
        <v>51719.773000000001</v>
      </c>
      <c r="AF318" s="17">
        <f t="shared" si="103"/>
        <v>8275.1636799999997</v>
      </c>
      <c r="AG318" s="17">
        <f t="shared" si="95"/>
        <v>59994.936679999999</v>
      </c>
      <c r="AH318" s="17">
        <f t="shared" si="105"/>
        <v>1034.39546</v>
      </c>
      <c r="AI318" s="17"/>
      <c r="AJ318" s="17">
        <f t="shared" si="96"/>
        <v>1034.39546</v>
      </c>
      <c r="AK318" s="20"/>
      <c r="AL318" s="17">
        <f t="shared" si="97"/>
        <v>50685.377540000001</v>
      </c>
      <c r="AM318" s="17" t="s">
        <v>87</v>
      </c>
      <c r="AN318" s="21">
        <v>0.5</v>
      </c>
      <c r="AO318" s="17">
        <f t="shared" si="98"/>
        <v>25342.688770000001</v>
      </c>
      <c r="AP318" s="17">
        <v>25342.688770000001</v>
      </c>
      <c r="AQ318" s="16">
        <v>45070</v>
      </c>
      <c r="AR318" s="17">
        <f t="shared" si="109"/>
        <v>0</v>
      </c>
      <c r="AS318" s="17"/>
      <c r="AT318" s="17">
        <v>59994.936679999999</v>
      </c>
      <c r="AU318" s="17">
        <f t="shared" si="107"/>
        <v>59994.936679999999</v>
      </c>
      <c r="AV318" s="17">
        <f t="shared" si="99"/>
        <v>0</v>
      </c>
      <c r="AW318" s="17" t="str">
        <f t="shared" si="104"/>
        <v>RAWSUR</v>
      </c>
      <c r="AX318" s="22">
        <v>44747</v>
      </c>
      <c r="AY318" s="22"/>
      <c r="AZ318" s="1" t="s">
        <v>100</v>
      </c>
      <c r="BA318" s="22" t="str">
        <f t="shared" si="108"/>
        <v>PROPERTY DAMAGE &amp; BI</v>
      </c>
      <c r="BB318" s="22"/>
      <c r="BC318" s="22"/>
      <c r="BD318" s="22"/>
    </row>
    <row r="319" spans="1:56" ht="14.25" customHeight="1" x14ac:dyDescent="0.2">
      <c r="A319" s="1" t="s">
        <v>496</v>
      </c>
      <c r="B319" s="1" t="s">
        <v>57</v>
      </c>
      <c r="C319" s="13">
        <v>44680</v>
      </c>
      <c r="D319" s="13">
        <v>44701</v>
      </c>
      <c r="E319" s="13">
        <v>44682</v>
      </c>
      <c r="F319" s="13">
        <v>45046</v>
      </c>
      <c r="G319" s="14" t="str">
        <f t="shared" si="92"/>
        <v>000-318/AIB RDC/2022</v>
      </c>
      <c r="H319" s="1">
        <v>2</v>
      </c>
      <c r="I319" s="1" t="s">
        <v>58</v>
      </c>
      <c r="J319" s="1" t="s">
        <v>296</v>
      </c>
      <c r="K319" s="16" t="s">
        <v>255</v>
      </c>
      <c r="L319" s="1" t="s">
        <v>256</v>
      </c>
      <c r="M319" s="1" t="s">
        <v>62</v>
      </c>
      <c r="N319" s="1" t="s">
        <v>209</v>
      </c>
      <c r="O319" s="1" t="s">
        <v>233</v>
      </c>
      <c r="P319" s="1" t="s">
        <v>234</v>
      </c>
      <c r="Q319" s="1" t="s">
        <v>107</v>
      </c>
      <c r="R319" s="1" t="s">
        <v>107</v>
      </c>
      <c r="S319" s="17">
        <v>15255584.32</v>
      </c>
      <c r="T319" s="17">
        <v>23432.51</v>
      </c>
      <c r="U319" s="17">
        <v>0</v>
      </c>
      <c r="V319" s="17">
        <v>0</v>
      </c>
      <c r="W319" s="17">
        <v>100</v>
      </c>
      <c r="X319" s="17">
        <v>19758.060000000001</v>
      </c>
      <c r="Y319" s="17">
        <v>3177.29</v>
      </c>
      <c r="Z319" s="18">
        <f t="shared" si="93"/>
        <v>1.5359955743733844E-3</v>
      </c>
      <c r="AA319" s="19">
        <v>0.15</v>
      </c>
      <c r="AB319" s="17">
        <f t="shared" si="106"/>
        <v>2963.7090000000003</v>
      </c>
      <c r="AC319" s="17"/>
      <c r="AD319" s="17">
        <v>0</v>
      </c>
      <c r="AE319" s="17">
        <f t="shared" si="94"/>
        <v>2963.7090000000003</v>
      </c>
      <c r="AF319" s="17">
        <f t="shared" si="103"/>
        <v>474.19344000000007</v>
      </c>
      <c r="AG319" s="17">
        <f t="shared" si="95"/>
        <v>3437.9024400000003</v>
      </c>
      <c r="AH319" s="17">
        <f t="shared" si="105"/>
        <v>59.274180000000008</v>
      </c>
      <c r="AI319" s="17"/>
      <c r="AJ319" s="17">
        <f t="shared" si="96"/>
        <v>59.274180000000008</v>
      </c>
      <c r="AK319" s="20"/>
      <c r="AL319" s="17">
        <f t="shared" si="97"/>
        <v>2904.4348200000004</v>
      </c>
      <c r="AM319" s="17" t="s">
        <v>87</v>
      </c>
      <c r="AN319" s="21">
        <v>0.35</v>
      </c>
      <c r="AO319" s="17">
        <f t="shared" si="98"/>
        <v>1016.5521870000001</v>
      </c>
      <c r="AP319" s="17">
        <v>1016.5521870000001</v>
      </c>
      <c r="AQ319" s="16">
        <v>45070</v>
      </c>
      <c r="AR319" s="17">
        <f t="shared" si="109"/>
        <v>0</v>
      </c>
      <c r="AS319" s="17"/>
      <c r="AT319" s="17">
        <v>3437.9024400000003</v>
      </c>
      <c r="AU319" s="17">
        <f t="shared" si="107"/>
        <v>3437.9024400000003</v>
      </c>
      <c r="AV319" s="17">
        <f t="shared" si="99"/>
        <v>0</v>
      </c>
      <c r="AW319" s="17" t="str">
        <f t="shared" si="104"/>
        <v>RAWSUR</v>
      </c>
      <c r="AX319" s="22">
        <v>44747</v>
      </c>
      <c r="AY319" s="22"/>
      <c r="AZ319" s="1" t="s">
        <v>100</v>
      </c>
      <c r="BA319" s="22" t="str">
        <f t="shared" si="108"/>
        <v>PVT</v>
      </c>
      <c r="BB319" s="22"/>
      <c r="BC319" s="22"/>
      <c r="BD319" s="22"/>
    </row>
    <row r="320" spans="1:56" ht="14.25" customHeight="1" x14ac:dyDescent="0.2">
      <c r="A320" s="1" t="s">
        <v>496</v>
      </c>
      <c r="B320" s="1" t="s">
        <v>57</v>
      </c>
      <c r="C320" s="13">
        <v>44680</v>
      </c>
      <c r="D320" s="13">
        <v>44682</v>
      </c>
      <c r="E320" s="13">
        <v>44682</v>
      </c>
      <c r="F320" s="13">
        <v>45046</v>
      </c>
      <c r="G320" s="14" t="str">
        <f t="shared" si="92"/>
        <v>000-319/AIB RDC/2022</v>
      </c>
      <c r="H320" s="1">
        <v>2</v>
      </c>
      <c r="I320" s="1" t="s">
        <v>58</v>
      </c>
      <c r="J320" s="1" t="s">
        <v>294</v>
      </c>
      <c r="K320" s="16" t="s">
        <v>255</v>
      </c>
      <c r="L320" s="1" t="s">
        <v>256</v>
      </c>
      <c r="M320" s="1" t="s">
        <v>62</v>
      </c>
      <c r="N320" s="1" t="s">
        <v>209</v>
      </c>
      <c r="O320" s="1" t="s">
        <v>89</v>
      </c>
      <c r="P320" s="1" t="s">
        <v>90</v>
      </c>
      <c r="Q320" s="1" t="s">
        <v>107</v>
      </c>
      <c r="R320" s="1" t="s">
        <v>107</v>
      </c>
      <c r="S320" s="17">
        <v>5000000</v>
      </c>
      <c r="T320" s="17">
        <v>33522.410000000003</v>
      </c>
      <c r="U320" s="17">
        <v>0</v>
      </c>
      <c r="V320" s="17">
        <v>0</v>
      </c>
      <c r="W320" s="17">
        <v>100</v>
      </c>
      <c r="X320" s="17">
        <v>28308.82</v>
      </c>
      <c r="Y320" s="17">
        <v>4545.41</v>
      </c>
      <c r="Z320" s="18">
        <f t="shared" si="93"/>
        <v>6.7044820000000003E-3</v>
      </c>
      <c r="AA320" s="19">
        <v>0.15</v>
      </c>
      <c r="AB320" s="17">
        <f t="shared" si="106"/>
        <v>4246.3229999999994</v>
      </c>
      <c r="AC320" s="17"/>
      <c r="AD320" s="17">
        <v>0</v>
      </c>
      <c r="AE320" s="17">
        <f t="shared" si="94"/>
        <v>4246.3229999999994</v>
      </c>
      <c r="AF320" s="17">
        <f t="shared" si="103"/>
        <v>679.41167999999993</v>
      </c>
      <c r="AG320" s="17">
        <f t="shared" si="95"/>
        <v>4925.7346799999996</v>
      </c>
      <c r="AH320" s="17">
        <f t="shared" si="105"/>
        <v>84.926459999999992</v>
      </c>
      <c r="AI320" s="17"/>
      <c r="AJ320" s="17">
        <f t="shared" si="96"/>
        <v>84.926459999999992</v>
      </c>
      <c r="AK320" s="20"/>
      <c r="AL320" s="17">
        <f t="shared" si="97"/>
        <v>4161.3965399999997</v>
      </c>
      <c r="AM320" s="17" t="s">
        <v>87</v>
      </c>
      <c r="AN320" s="21">
        <v>0.35</v>
      </c>
      <c r="AO320" s="17">
        <f t="shared" si="98"/>
        <v>1456.4887889999998</v>
      </c>
      <c r="AP320" s="17">
        <v>1456.4887889999998</v>
      </c>
      <c r="AQ320" s="16">
        <v>45070</v>
      </c>
      <c r="AR320" s="17">
        <f t="shared" si="109"/>
        <v>0</v>
      </c>
      <c r="AS320" s="17"/>
      <c r="AT320" s="17">
        <v>4925.7346799999996</v>
      </c>
      <c r="AU320" s="17">
        <f t="shared" si="107"/>
        <v>4925.7346799999996</v>
      </c>
      <c r="AV320" s="17">
        <f t="shared" si="99"/>
        <v>0</v>
      </c>
      <c r="AW320" s="17" t="str">
        <f t="shared" si="104"/>
        <v>RAWSUR</v>
      </c>
      <c r="AX320" s="22">
        <v>44747</v>
      </c>
      <c r="AY320" s="22"/>
      <c r="AZ320" s="1" t="s">
        <v>68</v>
      </c>
      <c r="BA320" s="22" t="str">
        <f t="shared" si="108"/>
        <v>GENERAL LIABILITY</v>
      </c>
      <c r="BB320" s="22"/>
      <c r="BC320" s="22"/>
      <c r="BD320" s="22"/>
    </row>
    <row r="321" spans="1:56" ht="14.25" customHeight="1" x14ac:dyDescent="0.2">
      <c r="A321" s="1" t="s">
        <v>496</v>
      </c>
      <c r="B321" s="1" t="s">
        <v>57</v>
      </c>
      <c r="C321" s="13">
        <v>44680</v>
      </c>
      <c r="D321" s="13">
        <v>44699</v>
      </c>
      <c r="E321" s="13">
        <v>44682</v>
      </c>
      <c r="F321" s="13">
        <v>45046</v>
      </c>
      <c r="G321" s="14" t="str">
        <f t="shared" si="92"/>
        <v>000-320/AIB RDC/2022</v>
      </c>
      <c r="H321" s="1">
        <v>2</v>
      </c>
      <c r="I321" s="1" t="s">
        <v>58</v>
      </c>
      <c r="J321" s="1" t="s">
        <v>596</v>
      </c>
      <c r="K321" s="16" t="s">
        <v>255</v>
      </c>
      <c r="L321" s="1" t="s">
        <v>256</v>
      </c>
      <c r="M321" s="1" t="s">
        <v>62</v>
      </c>
      <c r="N321" s="1" t="s">
        <v>209</v>
      </c>
      <c r="O321" s="1" t="s">
        <v>70</v>
      </c>
      <c r="P321" s="1" t="s">
        <v>71</v>
      </c>
      <c r="Q321" s="1" t="s">
        <v>107</v>
      </c>
      <c r="R321" s="1" t="s">
        <v>107</v>
      </c>
      <c r="S321" s="17">
        <v>15255584.32</v>
      </c>
      <c r="T321" s="17">
        <v>36057.71</v>
      </c>
      <c r="U321" s="17">
        <v>0</v>
      </c>
      <c r="V321" s="17">
        <v>0</v>
      </c>
      <c r="W321" s="17">
        <v>100</v>
      </c>
      <c r="X321" s="17">
        <v>30457.38</v>
      </c>
      <c r="Y321" s="17">
        <v>4889.18</v>
      </c>
      <c r="Z321" s="18">
        <f t="shared" si="93"/>
        <v>2.3635744946674058E-3</v>
      </c>
      <c r="AA321" s="19">
        <v>0.15</v>
      </c>
      <c r="AB321" s="17">
        <f t="shared" si="106"/>
        <v>4568.607</v>
      </c>
      <c r="AC321" s="17"/>
      <c r="AD321" s="17">
        <v>0</v>
      </c>
      <c r="AE321" s="17">
        <f t="shared" si="94"/>
        <v>4568.607</v>
      </c>
      <c r="AF321" s="17">
        <f t="shared" si="103"/>
        <v>730.97712000000001</v>
      </c>
      <c r="AG321" s="17">
        <f t="shared" si="95"/>
        <v>5299.5841199999995</v>
      </c>
      <c r="AH321" s="17">
        <f t="shared" si="105"/>
        <v>91.372140000000002</v>
      </c>
      <c r="AI321" s="17"/>
      <c r="AJ321" s="17">
        <f t="shared" si="96"/>
        <v>91.372140000000002</v>
      </c>
      <c r="AK321" s="20"/>
      <c r="AL321" s="17">
        <f t="shared" si="97"/>
        <v>4477.2348599999996</v>
      </c>
      <c r="AM321" s="17" t="s">
        <v>87</v>
      </c>
      <c r="AN321" s="21">
        <v>0.35</v>
      </c>
      <c r="AO321" s="17">
        <f t="shared" si="98"/>
        <v>1567.0322009999998</v>
      </c>
      <c r="AP321" s="17">
        <v>1567.0322009999998</v>
      </c>
      <c r="AQ321" s="16">
        <v>45070</v>
      </c>
      <c r="AR321" s="17">
        <f t="shared" si="109"/>
        <v>0</v>
      </c>
      <c r="AS321" s="17"/>
      <c r="AT321" s="17">
        <v>5299.5841199999995</v>
      </c>
      <c r="AU321" s="17">
        <f t="shared" si="107"/>
        <v>5299.5841199999995</v>
      </c>
      <c r="AV321" s="17">
        <f t="shared" si="99"/>
        <v>0</v>
      </c>
      <c r="AW321" s="17" t="str">
        <f t="shared" si="104"/>
        <v>RAWSUR</v>
      </c>
      <c r="AX321" s="22">
        <v>44747</v>
      </c>
      <c r="AY321" s="22"/>
      <c r="AZ321" s="1" t="s">
        <v>68</v>
      </c>
      <c r="BA321" s="22" t="str">
        <f t="shared" si="108"/>
        <v>FIRE</v>
      </c>
      <c r="BB321" s="22"/>
      <c r="BC321" s="22"/>
      <c r="BD321" s="22"/>
    </row>
    <row r="322" spans="1:56" ht="14.25" customHeight="1" x14ac:dyDescent="0.2">
      <c r="A322" s="1" t="s">
        <v>496</v>
      </c>
      <c r="B322" s="1" t="s">
        <v>57</v>
      </c>
      <c r="C322" s="13">
        <v>44690</v>
      </c>
      <c r="D322" s="13">
        <v>44690</v>
      </c>
      <c r="E322" s="13">
        <v>44690</v>
      </c>
      <c r="F322" s="13">
        <v>45000</v>
      </c>
      <c r="G322" s="14" t="str">
        <f t="shared" si="92"/>
        <v>000-321/AIB RDC/2022</v>
      </c>
      <c r="H322" s="1">
        <v>1</v>
      </c>
      <c r="I322" s="1" t="s">
        <v>91</v>
      </c>
      <c r="J322" s="1" t="s">
        <v>415</v>
      </c>
      <c r="K322" s="1" t="s">
        <v>60</v>
      </c>
      <c r="L322" s="1" t="s">
        <v>61</v>
      </c>
      <c r="M322" s="1" t="s">
        <v>62</v>
      </c>
      <c r="N322" s="1" t="s">
        <v>209</v>
      </c>
      <c r="O322" s="1" t="s">
        <v>152</v>
      </c>
      <c r="P322" s="1" t="s">
        <v>153</v>
      </c>
      <c r="Q322" s="1" t="s">
        <v>66</v>
      </c>
      <c r="R322" s="1" t="s">
        <v>66</v>
      </c>
      <c r="S322" s="17">
        <v>85000</v>
      </c>
      <c r="T322" s="17">
        <v>3413.78</v>
      </c>
      <c r="U322" s="17">
        <v>0</v>
      </c>
      <c r="V322" s="17">
        <v>0</v>
      </c>
      <c r="W322" s="17">
        <v>38.03</v>
      </c>
      <c r="X322" s="17">
        <v>3375.75</v>
      </c>
      <c r="Y322" s="17">
        <v>0</v>
      </c>
      <c r="Z322" s="18">
        <f t="shared" si="93"/>
        <v>4.0162117647058827E-2</v>
      </c>
      <c r="AA322" s="19">
        <v>0.145683181515219</v>
      </c>
      <c r="AB322" s="17">
        <f t="shared" si="106"/>
        <v>491.79000000000053</v>
      </c>
      <c r="AC322" s="17"/>
      <c r="AD322" s="17"/>
      <c r="AE322" s="17">
        <f t="shared" si="94"/>
        <v>491.79000000000053</v>
      </c>
      <c r="AF322" s="17">
        <f t="shared" si="103"/>
        <v>78.686400000000091</v>
      </c>
      <c r="AG322" s="17">
        <f t="shared" si="95"/>
        <v>570.47640000000058</v>
      </c>
      <c r="AH322" s="17">
        <f t="shared" si="105"/>
        <v>9.8358000000000114</v>
      </c>
      <c r="AI322" s="17">
        <v>0</v>
      </c>
      <c r="AJ322" s="17">
        <f t="shared" si="96"/>
        <v>9.8358000000000114</v>
      </c>
      <c r="AK322" s="20"/>
      <c r="AL322" s="17">
        <f t="shared" si="97"/>
        <v>481.95420000000053</v>
      </c>
      <c r="AM322" s="17"/>
      <c r="AN322" s="21"/>
      <c r="AO322" s="17">
        <f t="shared" si="98"/>
        <v>0</v>
      </c>
      <c r="AP322" s="17"/>
      <c r="AQ322" s="16"/>
      <c r="AR322" s="17">
        <f t="shared" si="109"/>
        <v>0</v>
      </c>
      <c r="AS322" s="17"/>
      <c r="AT322" s="17">
        <v>570.47640000000058</v>
      </c>
      <c r="AU322" s="17">
        <f t="shared" si="107"/>
        <v>570.47640000000058</v>
      </c>
      <c r="AV322" s="17">
        <f t="shared" si="99"/>
        <v>0</v>
      </c>
      <c r="AW322" s="17" t="str">
        <f t="shared" si="104"/>
        <v>ACTIVA</v>
      </c>
      <c r="AX322" s="22">
        <v>44748</v>
      </c>
      <c r="AY322" s="22"/>
      <c r="AZ322" s="1" t="s">
        <v>68</v>
      </c>
      <c r="BA322" s="22" t="str">
        <f t="shared" si="108"/>
        <v>COMP MOTOR</v>
      </c>
      <c r="BB322" s="22"/>
      <c r="BC322" s="22"/>
      <c r="BD322" s="22"/>
    </row>
    <row r="323" spans="1:56" ht="14.25" customHeight="1" x14ac:dyDescent="0.2">
      <c r="A323" s="1" t="s">
        <v>496</v>
      </c>
      <c r="B323" s="1" t="s">
        <v>57</v>
      </c>
      <c r="C323" s="13">
        <v>44685</v>
      </c>
      <c r="D323" s="13">
        <v>44685</v>
      </c>
      <c r="E323" s="13">
        <v>44685</v>
      </c>
      <c r="F323" s="13">
        <v>44846</v>
      </c>
      <c r="G323" s="14" t="str">
        <f t="shared" si="92"/>
        <v>000-322/AIB RDC/2022</v>
      </c>
      <c r="H323" s="1">
        <v>1</v>
      </c>
      <c r="I323" s="1" t="s">
        <v>91</v>
      </c>
      <c r="J323" s="1" t="s">
        <v>597</v>
      </c>
      <c r="K323" s="1" t="s">
        <v>540</v>
      </c>
      <c r="L323" s="1" t="s">
        <v>388</v>
      </c>
      <c r="M323" s="1" t="s">
        <v>62</v>
      </c>
      <c r="N323" s="1" t="s">
        <v>209</v>
      </c>
      <c r="O323" s="1" t="s">
        <v>73</v>
      </c>
      <c r="P323" s="1" t="s">
        <v>73</v>
      </c>
      <c r="Q323" s="1" t="s">
        <v>130</v>
      </c>
      <c r="R323" s="1" t="s">
        <v>130</v>
      </c>
      <c r="S323" s="17">
        <v>7000</v>
      </c>
      <c r="T323" s="17">
        <v>199.24</v>
      </c>
      <c r="U323" s="17">
        <v>0</v>
      </c>
      <c r="V323" s="17">
        <v>0</v>
      </c>
      <c r="W323" s="17">
        <v>2.5</v>
      </c>
      <c r="X323" s="17">
        <v>166.36</v>
      </c>
      <c r="Y323" s="17">
        <v>27.01</v>
      </c>
      <c r="Z323" s="18">
        <f t="shared" si="93"/>
        <v>2.8462857142857144E-2</v>
      </c>
      <c r="AA323" s="19">
        <v>0.1</v>
      </c>
      <c r="AB323" s="17">
        <f t="shared" si="106"/>
        <v>16.636000000000003</v>
      </c>
      <c r="AC323" s="17">
        <v>0</v>
      </c>
      <c r="AD323" s="17">
        <v>0</v>
      </c>
      <c r="AE323" s="17">
        <f t="shared" si="94"/>
        <v>16.636000000000003</v>
      </c>
      <c r="AF323" s="17">
        <f t="shared" si="103"/>
        <v>2.6617600000000006</v>
      </c>
      <c r="AG323" s="17">
        <f t="shared" si="95"/>
        <v>19.297760000000004</v>
      </c>
      <c r="AH323" s="17">
        <f t="shared" si="105"/>
        <v>0.33272000000000007</v>
      </c>
      <c r="AI323" s="17"/>
      <c r="AJ323" s="17">
        <f t="shared" si="96"/>
        <v>0.33272000000000007</v>
      </c>
      <c r="AK323" s="20"/>
      <c r="AL323" s="17">
        <f t="shared" si="97"/>
        <v>16.303280000000004</v>
      </c>
      <c r="AM323" s="17"/>
      <c r="AN323" s="21"/>
      <c r="AO323" s="17">
        <f t="shared" si="98"/>
        <v>0</v>
      </c>
      <c r="AP323" s="17"/>
      <c r="AQ323" s="16"/>
      <c r="AR323" s="17">
        <f t="shared" si="109"/>
        <v>0</v>
      </c>
      <c r="AS323" s="17"/>
      <c r="AT323" s="17">
        <v>19.297760000000004</v>
      </c>
      <c r="AU323" s="17">
        <f t="shared" si="107"/>
        <v>19.297760000000004</v>
      </c>
      <c r="AV323" s="17">
        <f t="shared" si="99"/>
        <v>0</v>
      </c>
      <c r="AW323" s="17" t="str">
        <f t="shared" si="104"/>
        <v>SFA</v>
      </c>
      <c r="AX323" s="22">
        <v>44735</v>
      </c>
      <c r="AY323" s="22"/>
      <c r="AZ323" s="1" t="s">
        <v>68</v>
      </c>
      <c r="BA323" s="22" t="str">
        <f t="shared" si="108"/>
        <v>MOTOR TPL</v>
      </c>
      <c r="BB323" s="49">
        <v>889.89</v>
      </c>
      <c r="BC323" s="1" t="s">
        <v>130</v>
      </c>
      <c r="BD323" s="1"/>
    </row>
    <row r="324" spans="1:56" ht="14.25" customHeight="1" x14ac:dyDescent="0.2">
      <c r="A324" s="1" t="s">
        <v>496</v>
      </c>
      <c r="B324" s="1" t="s">
        <v>57</v>
      </c>
      <c r="C324" s="13">
        <v>44694</v>
      </c>
      <c r="D324" s="13">
        <v>44694</v>
      </c>
      <c r="E324" s="13">
        <v>44694</v>
      </c>
      <c r="F324" s="13">
        <v>44994</v>
      </c>
      <c r="G324" s="14" t="str">
        <f t="shared" si="92"/>
        <v>000-323/AIB RDC/2022</v>
      </c>
      <c r="H324" s="1">
        <v>1</v>
      </c>
      <c r="I324" s="1" t="s">
        <v>91</v>
      </c>
      <c r="J324" s="1" t="s">
        <v>398</v>
      </c>
      <c r="K324" s="1" t="s">
        <v>207</v>
      </c>
      <c r="L324" s="1" t="s">
        <v>208</v>
      </c>
      <c r="M324" s="1" t="s">
        <v>62</v>
      </c>
      <c r="N324" s="1" t="s">
        <v>209</v>
      </c>
      <c r="O324" s="1" t="s">
        <v>73</v>
      </c>
      <c r="P324" s="1" t="s">
        <v>73</v>
      </c>
      <c r="Q324" s="1" t="s">
        <v>79</v>
      </c>
      <c r="R324" s="1" t="s">
        <v>79</v>
      </c>
      <c r="S324" s="17">
        <v>80000</v>
      </c>
      <c r="T324" s="17">
        <v>966.02</v>
      </c>
      <c r="U324" s="17">
        <v>0</v>
      </c>
      <c r="V324" s="17">
        <v>0</v>
      </c>
      <c r="W324" s="17">
        <v>30</v>
      </c>
      <c r="X324" s="17">
        <v>788.66</v>
      </c>
      <c r="Y324" s="17">
        <v>130.99</v>
      </c>
      <c r="Z324" s="18">
        <f t="shared" si="93"/>
        <v>1.2075249999999999E-2</v>
      </c>
      <c r="AA324" s="19">
        <v>0.1</v>
      </c>
      <c r="AB324" s="17">
        <f t="shared" si="106"/>
        <v>78.866</v>
      </c>
      <c r="AC324" s="17"/>
      <c r="AD324" s="17"/>
      <c r="AE324" s="17">
        <f t="shared" si="94"/>
        <v>78.866</v>
      </c>
      <c r="AF324" s="17">
        <f t="shared" si="103"/>
        <v>12.61856</v>
      </c>
      <c r="AG324" s="17">
        <f t="shared" si="95"/>
        <v>91.484560000000002</v>
      </c>
      <c r="AH324" s="17">
        <f t="shared" si="105"/>
        <v>1.5773200000000001</v>
      </c>
      <c r="AI324" s="17"/>
      <c r="AJ324" s="17">
        <f t="shared" si="96"/>
        <v>1.5773200000000001</v>
      </c>
      <c r="AK324" s="20"/>
      <c r="AL324" s="17">
        <f t="shared" si="97"/>
        <v>77.288679999999999</v>
      </c>
      <c r="AM324" s="17"/>
      <c r="AN324" s="21"/>
      <c r="AO324" s="17">
        <f t="shared" si="98"/>
        <v>0</v>
      </c>
      <c r="AP324" s="17"/>
      <c r="AQ324" s="16"/>
      <c r="AR324" s="17">
        <f t="shared" si="109"/>
        <v>0</v>
      </c>
      <c r="AS324" s="17"/>
      <c r="AT324" s="17">
        <v>91.484560000000002</v>
      </c>
      <c r="AU324" s="17">
        <f t="shared" si="107"/>
        <v>91.484560000000002</v>
      </c>
      <c r="AV324" s="17">
        <f t="shared" si="99"/>
        <v>0</v>
      </c>
      <c r="AW324" s="17" t="str">
        <f t="shared" si="104"/>
        <v>MAYFAIR</v>
      </c>
      <c r="AX324" s="22">
        <v>44746</v>
      </c>
      <c r="AY324" s="22"/>
      <c r="AZ324" s="1" t="s">
        <v>68</v>
      </c>
      <c r="BA324" s="22" t="str">
        <f t="shared" si="108"/>
        <v>MOTOR TPL</v>
      </c>
      <c r="BB324" s="22"/>
      <c r="BC324" s="22"/>
      <c r="BD324" s="22"/>
    </row>
    <row r="325" spans="1:56" ht="14.25" customHeight="1" x14ac:dyDescent="0.2">
      <c r="A325" s="1" t="s">
        <v>496</v>
      </c>
      <c r="B325" s="1" t="s">
        <v>57</v>
      </c>
      <c r="C325" s="13">
        <v>44707</v>
      </c>
      <c r="D325" s="13">
        <v>44707</v>
      </c>
      <c r="E325" s="13">
        <v>44706</v>
      </c>
      <c r="F325" s="13">
        <v>44786</v>
      </c>
      <c r="G325" s="14" t="str">
        <f t="shared" si="92"/>
        <v>000-324/AIB RDC/2022</v>
      </c>
      <c r="H325" s="1">
        <v>3</v>
      </c>
      <c r="I325" s="1" t="s">
        <v>91</v>
      </c>
      <c r="J325" s="1" t="s">
        <v>542</v>
      </c>
      <c r="K325" s="1" t="s">
        <v>543</v>
      </c>
      <c r="L325" s="1" t="s">
        <v>598</v>
      </c>
      <c r="M325" s="1" t="s">
        <v>62</v>
      </c>
      <c r="N325" s="1" t="s">
        <v>209</v>
      </c>
      <c r="O325" s="1" t="s">
        <v>73</v>
      </c>
      <c r="P325" s="1" t="s">
        <v>73</v>
      </c>
      <c r="Q325" s="1" t="s">
        <v>79</v>
      </c>
      <c r="R325" s="1" t="s">
        <v>79</v>
      </c>
      <c r="S325" s="17">
        <v>5000</v>
      </c>
      <c r="T325" s="17">
        <v>63.8</v>
      </c>
      <c r="U325" s="17">
        <v>0</v>
      </c>
      <c r="V325" s="17">
        <v>0</v>
      </c>
      <c r="W325" s="17">
        <v>10</v>
      </c>
      <c r="X325" s="17">
        <v>44.07</v>
      </c>
      <c r="Y325" s="17">
        <v>8.65</v>
      </c>
      <c r="Z325" s="18">
        <f t="shared" si="93"/>
        <v>1.2759999999999999E-2</v>
      </c>
      <c r="AA325" s="19">
        <v>0.1</v>
      </c>
      <c r="AB325" s="17">
        <f t="shared" si="106"/>
        <v>4.407</v>
      </c>
      <c r="AC325" s="17"/>
      <c r="AD325" s="17"/>
      <c r="AE325" s="17">
        <f t="shared" si="94"/>
        <v>4.407</v>
      </c>
      <c r="AF325" s="17">
        <f t="shared" si="103"/>
        <v>0.70511999999999997</v>
      </c>
      <c r="AG325" s="17">
        <f t="shared" si="95"/>
        <v>5.11212</v>
      </c>
      <c r="AH325" s="17">
        <f t="shared" si="105"/>
        <v>8.8139999999999996E-2</v>
      </c>
      <c r="AI325" s="17"/>
      <c r="AJ325" s="17">
        <f t="shared" si="96"/>
        <v>8.8139999999999996E-2</v>
      </c>
      <c r="AK325" s="20"/>
      <c r="AL325" s="17">
        <f t="shared" si="97"/>
        <v>4.3188599999999999</v>
      </c>
      <c r="AM325" s="17"/>
      <c r="AN325" s="21"/>
      <c r="AO325" s="17">
        <f t="shared" si="98"/>
        <v>0</v>
      </c>
      <c r="AP325" s="17"/>
      <c r="AQ325" s="16"/>
      <c r="AR325" s="17">
        <f t="shared" si="109"/>
        <v>0</v>
      </c>
      <c r="AS325" s="17"/>
      <c r="AT325" s="17">
        <v>5.11212</v>
      </c>
      <c r="AU325" s="17">
        <f t="shared" si="107"/>
        <v>5.11212</v>
      </c>
      <c r="AV325" s="17">
        <f t="shared" si="99"/>
        <v>0</v>
      </c>
      <c r="AW325" s="17" t="str">
        <f t="shared" si="104"/>
        <v>MAYFAIR</v>
      </c>
      <c r="AX325" s="22">
        <v>44746</v>
      </c>
      <c r="AY325" s="22"/>
      <c r="AZ325" s="1" t="s">
        <v>68</v>
      </c>
      <c r="BA325" s="22" t="str">
        <f t="shared" si="108"/>
        <v>MOTOR TPL</v>
      </c>
      <c r="BB325" s="22"/>
      <c r="BC325" s="1" t="s">
        <v>79</v>
      </c>
      <c r="BD325" s="1"/>
    </row>
    <row r="326" spans="1:56" ht="14.25" customHeight="1" x14ac:dyDescent="0.2">
      <c r="A326" s="1" t="s">
        <v>496</v>
      </c>
      <c r="B326" s="1" t="s">
        <v>57</v>
      </c>
      <c r="C326" s="13">
        <v>44706</v>
      </c>
      <c r="D326" s="13">
        <v>44711</v>
      </c>
      <c r="E326" s="13">
        <v>44711</v>
      </c>
      <c r="F326" s="13">
        <v>45075</v>
      </c>
      <c r="G326" s="14" t="str">
        <f t="shared" si="92"/>
        <v>000-325/AIB RDC/2022</v>
      </c>
      <c r="H326" s="1">
        <v>0</v>
      </c>
      <c r="I326" s="1" t="s">
        <v>74</v>
      </c>
      <c r="J326" s="1" t="s">
        <v>599</v>
      </c>
      <c r="K326" s="1" t="s">
        <v>246</v>
      </c>
      <c r="L326" s="1" t="s">
        <v>123</v>
      </c>
      <c r="M326" s="1" t="s">
        <v>95</v>
      </c>
      <c r="N326" s="1" t="s">
        <v>102</v>
      </c>
      <c r="O326" s="1" t="s">
        <v>152</v>
      </c>
      <c r="P326" s="1" t="s">
        <v>153</v>
      </c>
      <c r="Q326" s="1" t="s">
        <v>66</v>
      </c>
      <c r="R326" s="1" t="s">
        <v>66</v>
      </c>
      <c r="S326" s="17">
        <v>0</v>
      </c>
      <c r="T326" s="17">
        <v>3785.52</v>
      </c>
      <c r="U326" s="17">
        <v>0</v>
      </c>
      <c r="V326" s="17">
        <v>0</v>
      </c>
      <c r="W326" s="17">
        <v>32.31</v>
      </c>
      <c r="X326" s="17">
        <v>3231.07</v>
      </c>
      <c r="Y326" s="17">
        <v>522.14</v>
      </c>
      <c r="Z326" s="18" t="e">
        <f t="shared" si="93"/>
        <v>#DIV/0!</v>
      </c>
      <c r="AA326" s="19">
        <v>0.13319963232221901</v>
      </c>
      <c r="AB326" s="17">
        <f t="shared" si="106"/>
        <v>430.3773360073522</v>
      </c>
      <c r="AC326" s="17">
        <v>0</v>
      </c>
      <c r="AD326" s="17">
        <v>0</v>
      </c>
      <c r="AE326" s="17">
        <f t="shared" si="94"/>
        <v>430.3773360073522</v>
      </c>
      <c r="AF326" s="17">
        <f t="shared" si="103"/>
        <v>68.860373761176348</v>
      </c>
      <c r="AG326" s="17">
        <f t="shared" si="95"/>
        <v>499.23770976852853</v>
      </c>
      <c r="AH326" s="17">
        <f t="shared" si="105"/>
        <v>8.6075467201470435</v>
      </c>
      <c r="AI326" s="17">
        <v>0</v>
      </c>
      <c r="AJ326" s="17">
        <f t="shared" si="96"/>
        <v>8.6075467201470435</v>
      </c>
      <c r="AK326" s="20"/>
      <c r="AL326" s="17">
        <f t="shared" si="97"/>
        <v>421.76978928720513</v>
      </c>
      <c r="AM326" s="17"/>
      <c r="AN326" s="21"/>
      <c r="AO326" s="17">
        <f t="shared" si="98"/>
        <v>0</v>
      </c>
      <c r="AP326" s="17"/>
      <c r="AQ326" s="16"/>
      <c r="AR326" s="17">
        <f t="shared" si="109"/>
        <v>0</v>
      </c>
      <c r="AS326" s="17"/>
      <c r="AT326" s="17">
        <v>499.23770976852853</v>
      </c>
      <c r="AU326" s="17">
        <f t="shared" si="107"/>
        <v>499.23770976852853</v>
      </c>
      <c r="AV326" s="17">
        <f t="shared" si="99"/>
        <v>0</v>
      </c>
      <c r="AW326" s="17" t="str">
        <f t="shared" si="104"/>
        <v>ACTIVA</v>
      </c>
      <c r="AX326" s="22">
        <v>44748</v>
      </c>
      <c r="AY326" s="22"/>
      <c r="AZ326" s="1" t="s">
        <v>68</v>
      </c>
      <c r="BA326" s="22" t="str">
        <f t="shared" si="108"/>
        <v>COMP MOTOR</v>
      </c>
      <c r="BB326" s="22"/>
      <c r="BC326" s="22"/>
      <c r="BD326" s="22"/>
    </row>
    <row r="327" spans="1:56" ht="14.25" customHeight="1" x14ac:dyDescent="0.2">
      <c r="A327" s="1" t="s">
        <v>496</v>
      </c>
      <c r="B327" s="1" t="s">
        <v>57</v>
      </c>
      <c r="C327" s="13">
        <v>44709</v>
      </c>
      <c r="D327" s="13">
        <v>44715</v>
      </c>
      <c r="E327" s="13">
        <v>44712</v>
      </c>
      <c r="F327" s="13">
        <v>44717</v>
      </c>
      <c r="G327" s="14" t="str">
        <f t="shared" si="92"/>
        <v>000-326/AIB RDC/2022</v>
      </c>
      <c r="H327" s="1">
        <v>0</v>
      </c>
      <c r="I327" s="1" t="s">
        <v>74</v>
      </c>
      <c r="J327" s="1" t="s">
        <v>600</v>
      </c>
      <c r="K327" s="1" t="s">
        <v>601</v>
      </c>
      <c r="L327" s="1"/>
      <c r="M327" s="1" t="s">
        <v>95</v>
      </c>
      <c r="N327" s="1" t="s">
        <v>102</v>
      </c>
      <c r="O327" s="1" t="s">
        <v>240</v>
      </c>
      <c r="P327" s="1" t="s">
        <v>98</v>
      </c>
      <c r="Q327" s="1" t="s">
        <v>86</v>
      </c>
      <c r="R327" s="1" t="s">
        <v>86</v>
      </c>
      <c r="S327" s="17">
        <v>0</v>
      </c>
      <c r="T327" s="17">
        <v>28.26</v>
      </c>
      <c r="U327" s="17">
        <v>0</v>
      </c>
      <c r="V327" s="17">
        <v>0</v>
      </c>
      <c r="W327" s="17">
        <v>0.48</v>
      </c>
      <c r="X327" s="17">
        <v>23.88</v>
      </c>
      <c r="Y327" s="17">
        <v>3.9</v>
      </c>
      <c r="Z327" s="18" t="e">
        <f t="shared" si="93"/>
        <v>#DIV/0!</v>
      </c>
      <c r="AA327" s="19">
        <v>0.2</v>
      </c>
      <c r="AB327" s="17">
        <f t="shared" si="106"/>
        <v>4.7759999999999998</v>
      </c>
      <c r="AC327" s="17"/>
      <c r="AD327" s="17"/>
      <c r="AE327" s="17">
        <f t="shared" si="94"/>
        <v>4.7759999999999998</v>
      </c>
      <c r="AF327" s="17">
        <f t="shared" si="103"/>
        <v>0.76415999999999995</v>
      </c>
      <c r="AG327" s="17">
        <f t="shared" si="95"/>
        <v>5.5401600000000002</v>
      </c>
      <c r="AH327" s="17">
        <f t="shared" si="105"/>
        <v>9.5519999999999994E-2</v>
      </c>
      <c r="AI327" s="17"/>
      <c r="AJ327" s="17">
        <f t="shared" si="96"/>
        <v>9.5519999999999994E-2</v>
      </c>
      <c r="AK327" s="20"/>
      <c r="AL327" s="17">
        <f t="shared" si="97"/>
        <v>4.6804800000000002</v>
      </c>
      <c r="AM327" s="17"/>
      <c r="AN327" s="21"/>
      <c r="AO327" s="17">
        <f t="shared" si="98"/>
        <v>0</v>
      </c>
      <c r="AP327" s="17"/>
      <c r="AQ327" s="16"/>
      <c r="AR327" s="17">
        <f t="shared" si="109"/>
        <v>0</v>
      </c>
      <c r="AS327" s="17"/>
      <c r="AT327" s="17">
        <v>5.5401600000000002</v>
      </c>
      <c r="AU327" s="17">
        <f t="shared" si="107"/>
        <v>5.5401600000000002</v>
      </c>
      <c r="AV327" s="17">
        <f t="shared" si="99"/>
        <v>0</v>
      </c>
      <c r="AW327" s="17" t="str">
        <f t="shared" si="104"/>
        <v>SUNU</v>
      </c>
      <c r="AX327" s="22">
        <v>44749</v>
      </c>
      <c r="AY327" s="22"/>
      <c r="AZ327" s="1" t="s">
        <v>110</v>
      </c>
      <c r="BA327" s="22" t="str">
        <f t="shared" si="108"/>
        <v>TRAVEL</v>
      </c>
      <c r="BB327" s="22"/>
      <c r="BC327" s="22"/>
      <c r="BD327" s="22"/>
    </row>
    <row r="328" spans="1:56" ht="14.25" customHeight="1" x14ac:dyDescent="0.2">
      <c r="A328" s="28" t="s">
        <v>496</v>
      </c>
      <c r="B328" s="28" t="s">
        <v>273</v>
      </c>
      <c r="C328" s="36">
        <v>44701</v>
      </c>
      <c r="D328" s="36">
        <v>44701</v>
      </c>
      <c r="E328" s="36">
        <v>44701</v>
      </c>
      <c r="F328" s="36">
        <v>44926</v>
      </c>
      <c r="G328" s="37" t="str">
        <f t="shared" si="92"/>
        <v>000-327/AIB RDC/2022</v>
      </c>
      <c r="H328" s="28">
        <v>4</v>
      </c>
      <c r="I328" s="28" t="s">
        <v>91</v>
      </c>
      <c r="J328" s="28" t="s">
        <v>92</v>
      </c>
      <c r="K328" s="28" t="s">
        <v>120</v>
      </c>
      <c r="L328" s="28"/>
      <c r="M328" s="28" t="s">
        <v>95</v>
      </c>
      <c r="N328" s="28" t="s">
        <v>102</v>
      </c>
      <c r="O328" s="28" t="s">
        <v>97</v>
      </c>
      <c r="P328" s="28" t="s">
        <v>98</v>
      </c>
      <c r="Q328" s="28" t="s">
        <v>99</v>
      </c>
      <c r="R328" s="16" t="s">
        <v>99</v>
      </c>
      <c r="S328" s="23">
        <v>0</v>
      </c>
      <c r="T328" s="23">
        <v>1810</v>
      </c>
      <c r="U328" s="23">
        <v>0</v>
      </c>
      <c r="V328" s="23">
        <v>0</v>
      </c>
      <c r="W328" s="23">
        <v>0</v>
      </c>
      <c r="X328" s="23">
        <f>1145.93+85+51.1+8.5</f>
        <v>1290.53</v>
      </c>
      <c r="Y328" s="23">
        <v>0</v>
      </c>
      <c r="Z328" s="38" t="e">
        <f t="shared" si="93"/>
        <v>#DIV/0!</v>
      </c>
      <c r="AA328" s="39">
        <v>0.05</v>
      </c>
      <c r="AB328" s="23">
        <f t="shared" si="106"/>
        <v>64.526499999999999</v>
      </c>
      <c r="AC328" s="17">
        <v>0</v>
      </c>
      <c r="AD328" s="17">
        <v>0</v>
      </c>
      <c r="AE328" s="23">
        <f t="shared" si="94"/>
        <v>64.526499999999999</v>
      </c>
      <c r="AF328" s="23">
        <v>0</v>
      </c>
      <c r="AG328" s="23">
        <f t="shared" si="95"/>
        <v>64.526499999999999</v>
      </c>
      <c r="AH328" s="23">
        <f t="shared" si="105"/>
        <v>1.29053</v>
      </c>
      <c r="AI328" s="23">
        <v>0</v>
      </c>
      <c r="AJ328" s="23">
        <f t="shared" si="96"/>
        <v>1.29053</v>
      </c>
      <c r="AK328" s="40"/>
      <c r="AL328" s="23">
        <f t="shared" si="97"/>
        <v>63.235970000000002</v>
      </c>
      <c r="AM328" s="23" t="s">
        <v>87</v>
      </c>
      <c r="AN328" s="41">
        <v>0.35</v>
      </c>
      <c r="AO328" s="23">
        <f t="shared" si="98"/>
        <v>22.132589499999998</v>
      </c>
      <c r="AP328" s="23"/>
      <c r="AQ328" s="29"/>
      <c r="AR328" s="23">
        <f t="shared" si="109"/>
        <v>22.132589499999998</v>
      </c>
      <c r="AS328" s="23"/>
      <c r="AT328" s="23">
        <v>64.526499999999999</v>
      </c>
      <c r="AU328" s="23">
        <f t="shared" si="107"/>
        <v>64.526499999999999</v>
      </c>
      <c r="AV328" s="23">
        <f t="shared" si="99"/>
        <v>0</v>
      </c>
      <c r="AW328" s="23" t="str">
        <f t="shared" si="104"/>
        <v>ACTIVA/GGA</v>
      </c>
      <c r="AX328" s="42">
        <v>45105</v>
      </c>
      <c r="AY328" s="42"/>
      <c r="AZ328" s="28" t="s">
        <v>68</v>
      </c>
      <c r="BA328" s="42" t="str">
        <f t="shared" si="108"/>
        <v>MEDICAL</v>
      </c>
      <c r="BB328" s="42"/>
      <c r="BC328" s="42"/>
      <c r="BD328" s="28" t="s">
        <v>390</v>
      </c>
    </row>
    <row r="329" spans="1:56" ht="14.25" customHeight="1" x14ac:dyDescent="0.2">
      <c r="A329" s="1" t="s">
        <v>496</v>
      </c>
      <c r="B329" s="1" t="s">
        <v>57</v>
      </c>
      <c r="C329" s="13">
        <v>44705</v>
      </c>
      <c r="D329" s="13">
        <v>44709</v>
      </c>
      <c r="E329" s="13">
        <v>44706</v>
      </c>
      <c r="F329" s="13">
        <v>44708</v>
      </c>
      <c r="G329" s="14" t="str">
        <f t="shared" si="92"/>
        <v>000-328/AIB RDC/2022</v>
      </c>
      <c r="H329" s="1">
        <v>0</v>
      </c>
      <c r="I329" s="1" t="s">
        <v>74</v>
      </c>
      <c r="J329" s="1" t="s">
        <v>602</v>
      </c>
      <c r="K329" s="1" t="s">
        <v>251</v>
      </c>
      <c r="L329" s="1"/>
      <c r="M329" s="1" t="s">
        <v>105</v>
      </c>
      <c r="N329" s="1" t="s">
        <v>106</v>
      </c>
      <c r="O329" s="1" t="s">
        <v>64</v>
      </c>
      <c r="P329" s="1" t="s">
        <v>65</v>
      </c>
      <c r="Q329" s="1" t="s">
        <v>130</v>
      </c>
      <c r="R329" s="1" t="s">
        <v>130</v>
      </c>
      <c r="S329" s="17">
        <v>2077.2600000000002</v>
      </c>
      <c r="T329" s="17">
        <v>94.4</v>
      </c>
      <c r="U329" s="17">
        <v>0</v>
      </c>
      <c r="V329" s="17">
        <v>0</v>
      </c>
      <c r="W329" s="17">
        <v>20</v>
      </c>
      <c r="X329" s="17">
        <v>60</v>
      </c>
      <c r="Y329" s="17">
        <v>12.8</v>
      </c>
      <c r="Z329" s="18">
        <f t="shared" si="93"/>
        <v>4.5444479747359504E-2</v>
      </c>
      <c r="AA329" s="19">
        <v>0.15</v>
      </c>
      <c r="AB329" s="17">
        <f t="shared" si="106"/>
        <v>9</v>
      </c>
      <c r="AC329" s="17"/>
      <c r="AD329" s="17"/>
      <c r="AE329" s="17">
        <f t="shared" si="94"/>
        <v>9</v>
      </c>
      <c r="AF329" s="17">
        <f t="shared" ref="AF329:AF349" si="110">16%*AE329</f>
        <v>1.44</v>
      </c>
      <c r="AG329" s="17">
        <f t="shared" si="95"/>
        <v>10.44</v>
      </c>
      <c r="AH329" s="17">
        <f t="shared" si="105"/>
        <v>0.18</v>
      </c>
      <c r="AI329" s="17"/>
      <c r="AJ329" s="17">
        <f t="shared" si="96"/>
        <v>0.18</v>
      </c>
      <c r="AK329" s="20"/>
      <c r="AL329" s="17">
        <f t="shared" si="97"/>
        <v>8.82</v>
      </c>
      <c r="AM329" s="17" t="s">
        <v>108</v>
      </c>
      <c r="AN329" s="21">
        <v>0.4</v>
      </c>
      <c r="AO329" s="17">
        <f t="shared" si="98"/>
        <v>3.5280000000000005</v>
      </c>
      <c r="AP329" s="17">
        <v>3.5280000000000005</v>
      </c>
      <c r="AQ329" s="16">
        <v>44834</v>
      </c>
      <c r="AR329" s="17">
        <f t="shared" si="109"/>
        <v>0</v>
      </c>
      <c r="AS329" s="17" t="s">
        <v>109</v>
      </c>
      <c r="AT329" s="17">
        <v>10.44</v>
      </c>
      <c r="AU329" s="17">
        <f t="shared" si="107"/>
        <v>10.44</v>
      </c>
      <c r="AV329" s="17">
        <f t="shared" si="99"/>
        <v>0</v>
      </c>
      <c r="AW329" s="17" t="str">
        <f t="shared" si="104"/>
        <v>SFA</v>
      </c>
      <c r="AX329" s="22">
        <v>44735</v>
      </c>
      <c r="AY329" s="22"/>
      <c r="AZ329" s="1" t="s">
        <v>110</v>
      </c>
      <c r="BA329" s="22" t="str">
        <f t="shared" si="108"/>
        <v>MARINE CARGO / GIT</v>
      </c>
      <c r="BB329" s="22"/>
      <c r="BC329" s="22"/>
      <c r="BD329" s="22"/>
    </row>
    <row r="330" spans="1:56" ht="14.25" customHeight="1" x14ac:dyDescent="0.2">
      <c r="A330" s="1" t="s">
        <v>496</v>
      </c>
      <c r="B330" s="1" t="s">
        <v>57</v>
      </c>
      <c r="C330" s="13">
        <v>44694</v>
      </c>
      <c r="D330" s="13">
        <v>44693</v>
      </c>
      <c r="E330" s="13">
        <v>44694</v>
      </c>
      <c r="F330" s="13">
        <v>44724</v>
      </c>
      <c r="G330" s="14" t="str">
        <f t="shared" si="92"/>
        <v>000-329/AIB RDC/2022</v>
      </c>
      <c r="H330" s="1">
        <v>0</v>
      </c>
      <c r="I330" s="1" t="s">
        <v>74</v>
      </c>
      <c r="J330" s="1" t="s">
        <v>603</v>
      </c>
      <c r="K330" s="1" t="s">
        <v>181</v>
      </c>
      <c r="L330" s="1"/>
      <c r="M330" s="1" t="s">
        <v>105</v>
      </c>
      <c r="N330" s="1" t="s">
        <v>106</v>
      </c>
      <c r="O330" s="1" t="s">
        <v>64</v>
      </c>
      <c r="P330" s="1" t="s">
        <v>65</v>
      </c>
      <c r="Q330" s="1" t="s">
        <v>107</v>
      </c>
      <c r="R330" s="1" t="s">
        <v>107</v>
      </c>
      <c r="S330" s="17">
        <v>1623</v>
      </c>
      <c r="T330" s="17">
        <v>129.80000000000001</v>
      </c>
      <c r="U330" s="17">
        <v>0</v>
      </c>
      <c r="V330" s="17">
        <v>0</v>
      </c>
      <c r="W330" s="17">
        <v>10</v>
      </c>
      <c r="X330" s="17">
        <v>100</v>
      </c>
      <c r="Y330" s="17">
        <v>17.600000000000001</v>
      </c>
      <c r="Z330" s="18">
        <f t="shared" si="93"/>
        <v>7.9975354282193475E-2</v>
      </c>
      <c r="AA330" s="19">
        <v>0.15</v>
      </c>
      <c r="AB330" s="17">
        <f t="shared" si="106"/>
        <v>15</v>
      </c>
      <c r="AC330" s="17"/>
      <c r="AD330" s="17"/>
      <c r="AE330" s="17">
        <f t="shared" si="94"/>
        <v>15</v>
      </c>
      <c r="AF330" s="17">
        <f t="shared" si="110"/>
        <v>2.4</v>
      </c>
      <c r="AG330" s="17">
        <f t="shared" si="95"/>
        <v>17.399999999999999</v>
      </c>
      <c r="AH330" s="17">
        <f t="shared" si="105"/>
        <v>0.3</v>
      </c>
      <c r="AI330" s="17"/>
      <c r="AJ330" s="17">
        <f t="shared" si="96"/>
        <v>0.3</v>
      </c>
      <c r="AK330" s="20"/>
      <c r="AL330" s="17">
        <f t="shared" si="97"/>
        <v>14.7</v>
      </c>
      <c r="AM330" s="17" t="s">
        <v>108</v>
      </c>
      <c r="AN330" s="21">
        <v>0.4</v>
      </c>
      <c r="AO330" s="17">
        <f t="shared" si="98"/>
        <v>5.88</v>
      </c>
      <c r="AP330" s="17">
        <v>5.88</v>
      </c>
      <c r="AQ330" s="16">
        <v>44834</v>
      </c>
      <c r="AR330" s="17">
        <f t="shared" si="109"/>
        <v>0</v>
      </c>
      <c r="AS330" s="17" t="s">
        <v>109</v>
      </c>
      <c r="AT330" s="17">
        <v>17.399999999999999</v>
      </c>
      <c r="AU330" s="17">
        <f t="shared" si="107"/>
        <v>17.399999999999999</v>
      </c>
      <c r="AV330" s="17">
        <f t="shared" si="99"/>
        <v>0</v>
      </c>
      <c r="AW330" s="17" t="str">
        <f t="shared" si="104"/>
        <v>RAWSUR</v>
      </c>
      <c r="AX330" s="22">
        <v>44747</v>
      </c>
      <c r="AY330" s="22"/>
      <c r="AZ330" s="1" t="s">
        <v>110</v>
      </c>
      <c r="BA330" s="22" t="str">
        <f t="shared" si="108"/>
        <v>MARINE CARGO / GIT</v>
      </c>
      <c r="BB330" s="22"/>
      <c r="BC330" s="22"/>
      <c r="BD330" s="22"/>
    </row>
    <row r="331" spans="1:56" ht="14.25" customHeight="1" x14ac:dyDescent="0.2">
      <c r="A331" s="1" t="s">
        <v>667</v>
      </c>
      <c r="B331" s="1" t="s">
        <v>273</v>
      </c>
      <c r="C331" s="13">
        <v>44869</v>
      </c>
      <c r="D331" s="50">
        <v>44846</v>
      </c>
      <c r="E331" s="13">
        <v>44846</v>
      </c>
      <c r="F331" s="13">
        <v>44876</v>
      </c>
      <c r="G331" s="14" t="str">
        <f t="shared" si="92"/>
        <v>000-330/AIB RDC/2022</v>
      </c>
      <c r="H331" s="1">
        <v>0</v>
      </c>
      <c r="I331" s="1" t="s">
        <v>74</v>
      </c>
      <c r="J331" s="1" t="s">
        <v>950</v>
      </c>
      <c r="K331" s="1" t="s">
        <v>228</v>
      </c>
      <c r="L331" s="1"/>
      <c r="M331" s="1" t="s">
        <v>105</v>
      </c>
      <c r="N331" s="1" t="s">
        <v>106</v>
      </c>
      <c r="O331" s="1" t="s">
        <v>64</v>
      </c>
      <c r="P331" s="1" t="s">
        <v>65</v>
      </c>
      <c r="Q331" s="1" t="s">
        <v>130</v>
      </c>
      <c r="R331" s="1" t="s">
        <v>130</v>
      </c>
      <c r="S331" s="17">
        <v>166125.38</v>
      </c>
      <c r="T331" s="17">
        <v>329.41</v>
      </c>
      <c r="U331" s="17">
        <v>0</v>
      </c>
      <c r="V331" s="17">
        <v>0</v>
      </c>
      <c r="W331" s="17">
        <v>20</v>
      </c>
      <c r="X331" s="17">
        <v>259.16000000000003</v>
      </c>
      <c r="Y331" s="17">
        <v>44.67</v>
      </c>
      <c r="Z331" s="18">
        <f t="shared" si="93"/>
        <v>1.982899903675164E-3</v>
      </c>
      <c r="AA331" s="19">
        <v>0.15</v>
      </c>
      <c r="AB331" s="17">
        <f t="shared" ref="AB331:AB362" si="111">(AA331*X331)</f>
        <v>38.874000000000002</v>
      </c>
      <c r="AC331" s="17">
        <v>0</v>
      </c>
      <c r="AD331" s="17">
        <v>0</v>
      </c>
      <c r="AE331" s="17">
        <f t="shared" si="94"/>
        <v>38.874000000000002</v>
      </c>
      <c r="AF331" s="17">
        <f t="shared" si="110"/>
        <v>6.2198400000000005</v>
      </c>
      <c r="AG331" s="17">
        <f t="shared" si="95"/>
        <v>45.09384</v>
      </c>
      <c r="AH331" s="17">
        <f t="shared" si="105"/>
        <v>0.77748000000000006</v>
      </c>
      <c r="AI331" s="17"/>
      <c r="AJ331" s="17">
        <f t="shared" si="96"/>
        <v>0.77748000000000006</v>
      </c>
      <c r="AK331" s="20"/>
      <c r="AL331" s="17">
        <f t="shared" si="97"/>
        <v>38.096520000000005</v>
      </c>
      <c r="AM331" s="17" t="s">
        <v>108</v>
      </c>
      <c r="AN331" s="21">
        <v>0.4</v>
      </c>
      <c r="AO331" s="17">
        <f t="shared" si="98"/>
        <v>15.238608000000003</v>
      </c>
      <c r="AP331" s="27"/>
      <c r="AQ331" s="16"/>
      <c r="AR331" s="17">
        <f t="shared" si="109"/>
        <v>15.238608000000003</v>
      </c>
      <c r="AS331" s="17"/>
      <c r="AT331" s="17"/>
      <c r="AU331" s="17">
        <f t="shared" si="107"/>
        <v>45.09384</v>
      </c>
      <c r="AV331" s="84">
        <f t="shared" si="99"/>
        <v>45.09384</v>
      </c>
      <c r="AW331" s="17" t="str">
        <f t="shared" si="104"/>
        <v>SFA</v>
      </c>
      <c r="AX331" s="22"/>
      <c r="AY331" s="22"/>
      <c r="AZ331" s="1" t="s">
        <v>110</v>
      </c>
      <c r="BA331" s="22" t="str">
        <f t="shared" si="108"/>
        <v>MARINE CARGO / GIT</v>
      </c>
      <c r="BB331" s="54"/>
      <c r="BC331" s="22"/>
      <c r="BD331" s="1" t="s">
        <v>832</v>
      </c>
    </row>
    <row r="332" spans="1:56" ht="14.25" customHeight="1" x14ac:dyDescent="0.2">
      <c r="A332" s="1" t="s">
        <v>667</v>
      </c>
      <c r="B332" s="1" t="s">
        <v>273</v>
      </c>
      <c r="C332" s="13">
        <v>44869</v>
      </c>
      <c r="D332" s="50">
        <v>44846</v>
      </c>
      <c r="E332" s="13">
        <v>44846</v>
      </c>
      <c r="F332" s="13">
        <v>44937</v>
      </c>
      <c r="G332" s="14" t="str">
        <f t="shared" ref="G332:G395" si="112">TEXT(ROW(G332)-1,"000-000") &amp; "/AIB RDC/2022"</f>
        <v>000-331/AIB RDC/2022</v>
      </c>
      <c r="H332" s="1">
        <v>0</v>
      </c>
      <c r="I332" s="1" t="s">
        <v>74</v>
      </c>
      <c r="J332" s="1" t="s">
        <v>949</v>
      </c>
      <c r="K332" s="1" t="s">
        <v>228</v>
      </c>
      <c r="L332" s="1"/>
      <c r="M332" s="1" t="s">
        <v>105</v>
      </c>
      <c r="N332" s="1" t="s">
        <v>106</v>
      </c>
      <c r="O332" s="1" t="s">
        <v>64</v>
      </c>
      <c r="P332" s="1" t="s">
        <v>65</v>
      </c>
      <c r="Q332" s="1" t="s">
        <v>130</v>
      </c>
      <c r="R332" s="1" t="s">
        <v>130</v>
      </c>
      <c r="S332" s="17">
        <v>145318.93</v>
      </c>
      <c r="T332" s="17">
        <v>291.10000000000002</v>
      </c>
      <c r="U332" s="17">
        <v>0</v>
      </c>
      <c r="V332" s="17">
        <v>0</v>
      </c>
      <c r="W332" s="17">
        <v>20</v>
      </c>
      <c r="X332" s="17">
        <v>226.7</v>
      </c>
      <c r="Y332" s="17">
        <v>39.47</v>
      </c>
      <c r="Z332" s="18">
        <f t="shared" ref="Z332:Z395" si="113">T332/S332</f>
        <v>2.0031801775584231E-3</v>
      </c>
      <c r="AA332" s="19">
        <v>0.15</v>
      </c>
      <c r="AB332" s="17">
        <f t="shared" si="111"/>
        <v>34.004999999999995</v>
      </c>
      <c r="AC332" s="17">
        <v>0</v>
      </c>
      <c r="AD332" s="17">
        <v>0</v>
      </c>
      <c r="AE332" s="17">
        <f t="shared" ref="AE332:AE395" si="114">SUM(AB332:AD332)</f>
        <v>34.004999999999995</v>
      </c>
      <c r="AF332" s="17">
        <f t="shared" si="110"/>
        <v>5.4407999999999994</v>
      </c>
      <c r="AG332" s="17">
        <f t="shared" ref="AG332:AG395" si="115">AF332+AE332</f>
        <v>39.445799999999991</v>
      </c>
      <c r="AH332" s="17">
        <f t="shared" si="105"/>
        <v>0.68009999999999993</v>
      </c>
      <c r="AI332" s="17"/>
      <c r="AJ332" s="17">
        <f t="shared" ref="AJ332:AJ395" si="116">AH332-AI332</f>
        <v>0.68009999999999993</v>
      </c>
      <c r="AK332" s="20"/>
      <c r="AL332" s="17">
        <f t="shared" ref="AL332:AL395" si="117">AE332-AH332</f>
        <v>33.324899999999992</v>
      </c>
      <c r="AM332" s="17" t="s">
        <v>108</v>
      </c>
      <c r="AN332" s="21">
        <v>0.4</v>
      </c>
      <c r="AO332" s="17">
        <f t="shared" ref="AO332:AO395" si="118">AL332*AN332</f>
        <v>13.329959999999998</v>
      </c>
      <c r="AP332" s="27"/>
      <c r="AQ332" s="16"/>
      <c r="AR332" s="17">
        <f t="shared" si="109"/>
        <v>13.329959999999998</v>
      </c>
      <c r="AS332" s="17"/>
      <c r="AT332" s="17"/>
      <c r="AU332" s="17">
        <f t="shared" si="107"/>
        <v>39.445799999999991</v>
      </c>
      <c r="AV332" s="84">
        <f t="shared" ref="AV332:AV395" si="119">AU332-AT332</f>
        <v>39.445799999999991</v>
      </c>
      <c r="AW332" s="17" t="str">
        <f t="shared" si="104"/>
        <v>SFA</v>
      </c>
      <c r="AX332" s="22"/>
      <c r="AY332" s="22"/>
      <c r="AZ332" s="1" t="s">
        <v>110</v>
      </c>
      <c r="BA332" s="22" t="str">
        <f t="shared" si="108"/>
        <v>MARINE CARGO / GIT</v>
      </c>
      <c r="BB332" s="54"/>
      <c r="BC332" s="22"/>
      <c r="BD332" s="1" t="s">
        <v>832</v>
      </c>
    </row>
    <row r="333" spans="1:56" ht="14.25" customHeight="1" x14ac:dyDescent="0.2">
      <c r="A333" s="1" t="s">
        <v>496</v>
      </c>
      <c r="B333" s="1" t="s">
        <v>57</v>
      </c>
      <c r="C333" s="13">
        <v>44679</v>
      </c>
      <c r="D333" s="13">
        <v>44697</v>
      </c>
      <c r="E333" s="13">
        <v>44690</v>
      </c>
      <c r="F333" s="13">
        <v>44692</v>
      </c>
      <c r="G333" s="14" t="str">
        <f t="shared" si="112"/>
        <v>000-332/AIB RDC/2022</v>
      </c>
      <c r="H333" s="1">
        <v>0</v>
      </c>
      <c r="I333" s="1" t="s">
        <v>74</v>
      </c>
      <c r="J333" s="1" t="s">
        <v>604</v>
      </c>
      <c r="K333" s="1" t="s">
        <v>605</v>
      </c>
      <c r="L333" s="1"/>
      <c r="M333" s="1" t="s">
        <v>105</v>
      </c>
      <c r="N333" s="1" t="s">
        <v>106</v>
      </c>
      <c r="O333" s="1" t="s">
        <v>64</v>
      </c>
      <c r="P333" s="1" t="s">
        <v>65</v>
      </c>
      <c r="Q333" s="1" t="s">
        <v>130</v>
      </c>
      <c r="R333" s="1" t="s">
        <v>130</v>
      </c>
      <c r="S333" s="17">
        <v>2190</v>
      </c>
      <c r="T333" s="17">
        <v>94.4</v>
      </c>
      <c r="U333" s="17">
        <v>0</v>
      </c>
      <c r="V333" s="17">
        <v>0</v>
      </c>
      <c r="W333" s="17">
        <v>20</v>
      </c>
      <c r="X333" s="17">
        <v>60</v>
      </c>
      <c r="Y333" s="17">
        <v>12.8</v>
      </c>
      <c r="Z333" s="18">
        <f t="shared" si="113"/>
        <v>4.3105022831050228E-2</v>
      </c>
      <c r="AA333" s="19">
        <v>0.15</v>
      </c>
      <c r="AB333" s="17">
        <f t="shared" si="111"/>
        <v>9</v>
      </c>
      <c r="AC333" s="17"/>
      <c r="AD333" s="17"/>
      <c r="AE333" s="17">
        <f t="shared" si="114"/>
        <v>9</v>
      </c>
      <c r="AF333" s="17">
        <f t="shared" si="110"/>
        <v>1.44</v>
      </c>
      <c r="AG333" s="17">
        <f t="shared" si="115"/>
        <v>10.44</v>
      </c>
      <c r="AH333" s="17">
        <f t="shared" si="105"/>
        <v>0.18</v>
      </c>
      <c r="AI333" s="17"/>
      <c r="AJ333" s="17">
        <f t="shared" si="116"/>
        <v>0.18</v>
      </c>
      <c r="AK333" s="20"/>
      <c r="AL333" s="17">
        <f t="shared" si="117"/>
        <v>8.82</v>
      </c>
      <c r="AM333" s="17" t="s">
        <v>108</v>
      </c>
      <c r="AN333" s="21">
        <v>0.4</v>
      </c>
      <c r="AO333" s="17">
        <f t="shared" si="118"/>
        <v>3.5280000000000005</v>
      </c>
      <c r="AP333" s="17">
        <v>3.5280000000000005</v>
      </c>
      <c r="AQ333" s="16">
        <v>44834</v>
      </c>
      <c r="AR333" s="17">
        <f t="shared" si="109"/>
        <v>0</v>
      </c>
      <c r="AS333" s="17" t="s">
        <v>109</v>
      </c>
      <c r="AT333" s="17">
        <v>10.44</v>
      </c>
      <c r="AU333" s="17">
        <f t="shared" si="107"/>
        <v>10.44</v>
      </c>
      <c r="AV333" s="17">
        <f t="shared" si="119"/>
        <v>0</v>
      </c>
      <c r="AW333" s="17" t="str">
        <f t="shared" si="104"/>
        <v>SFA</v>
      </c>
      <c r="AX333" s="22">
        <v>44735</v>
      </c>
      <c r="AY333" s="22"/>
      <c r="AZ333" s="1" t="s">
        <v>110</v>
      </c>
      <c r="BA333" s="22" t="str">
        <f t="shared" si="108"/>
        <v>MARINE CARGO / GIT</v>
      </c>
      <c r="BB333" s="22"/>
      <c r="BC333" s="22"/>
      <c r="BD333" s="22"/>
    </row>
    <row r="334" spans="1:56" ht="14.25" customHeight="1" x14ac:dyDescent="0.2">
      <c r="A334" s="1" t="s">
        <v>496</v>
      </c>
      <c r="B334" s="1" t="s">
        <v>57</v>
      </c>
      <c r="C334" s="13">
        <v>44750</v>
      </c>
      <c r="D334" s="13">
        <v>44720</v>
      </c>
      <c r="E334" s="13">
        <v>44701</v>
      </c>
      <c r="F334" s="13">
        <v>44731</v>
      </c>
      <c r="G334" s="14" t="str">
        <f t="shared" si="112"/>
        <v>000-333/AIB RDC/2022</v>
      </c>
      <c r="H334" s="1">
        <v>0</v>
      </c>
      <c r="I334" s="1" t="s">
        <v>74</v>
      </c>
      <c r="J334" s="1" t="s">
        <v>606</v>
      </c>
      <c r="K334" s="1" t="s">
        <v>607</v>
      </c>
      <c r="L334" s="1" t="s">
        <v>608</v>
      </c>
      <c r="M334" s="1" t="s">
        <v>105</v>
      </c>
      <c r="N334" s="1" t="s">
        <v>119</v>
      </c>
      <c r="O334" s="1" t="s">
        <v>192</v>
      </c>
      <c r="P334" s="1" t="s">
        <v>98</v>
      </c>
      <c r="Q334" s="1" t="s">
        <v>86</v>
      </c>
      <c r="R334" s="1" t="s">
        <v>86</v>
      </c>
      <c r="S334" s="17">
        <v>0</v>
      </c>
      <c r="T334" s="17">
        <v>45.82</v>
      </c>
      <c r="U334" s="17">
        <v>0</v>
      </c>
      <c r="V334" s="17">
        <v>0</v>
      </c>
      <c r="W334" s="17">
        <v>10</v>
      </c>
      <c r="X334" s="17">
        <v>29.5</v>
      </c>
      <c r="Y334" s="17">
        <v>6.32</v>
      </c>
      <c r="Z334" s="18" t="e">
        <f t="shared" si="113"/>
        <v>#DIV/0!</v>
      </c>
      <c r="AA334" s="19">
        <v>0.2</v>
      </c>
      <c r="AB334" s="17">
        <f t="shared" si="111"/>
        <v>5.9</v>
      </c>
      <c r="AC334" s="17"/>
      <c r="AD334" s="17"/>
      <c r="AE334" s="17">
        <f t="shared" si="114"/>
        <v>5.9</v>
      </c>
      <c r="AF334" s="17">
        <f t="shared" si="110"/>
        <v>0.94400000000000006</v>
      </c>
      <c r="AG334" s="17">
        <f t="shared" si="115"/>
        <v>6.8440000000000003</v>
      </c>
      <c r="AH334" s="17">
        <f t="shared" si="105"/>
        <v>0.11800000000000001</v>
      </c>
      <c r="AI334" s="17"/>
      <c r="AJ334" s="17">
        <f t="shared" si="116"/>
        <v>0.11800000000000001</v>
      </c>
      <c r="AK334" s="20"/>
      <c r="AL334" s="17">
        <f t="shared" si="117"/>
        <v>5.782</v>
      </c>
      <c r="AM334" s="17"/>
      <c r="AN334" s="21"/>
      <c r="AO334" s="17">
        <f t="shared" si="118"/>
        <v>0</v>
      </c>
      <c r="AP334" s="17"/>
      <c r="AQ334" s="16"/>
      <c r="AR334" s="17">
        <f t="shared" si="109"/>
        <v>0</v>
      </c>
      <c r="AS334" s="17"/>
      <c r="AT334" s="17">
        <v>6.8440000000000003</v>
      </c>
      <c r="AU334" s="17">
        <f t="shared" si="107"/>
        <v>6.8440000000000003</v>
      </c>
      <c r="AV334" s="17">
        <f t="shared" si="119"/>
        <v>0</v>
      </c>
      <c r="AW334" s="17" t="str">
        <f t="shared" si="104"/>
        <v>SUNU</v>
      </c>
      <c r="AX334" s="22">
        <v>44769</v>
      </c>
      <c r="AY334" s="22"/>
      <c r="AZ334" s="1" t="s">
        <v>110</v>
      </c>
      <c r="BA334" s="22" t="str">
        <f t="shared" si="108"/>
        <v>GPA</v>
      </c>
      <c r="BB334" s="22"/>
      <c r="BC334" s="22"/>
      <c r="BD334" s="22"/>
    </row>
    <row r="335" spans="1:56" ht="14.25" customHeight="1" x14ac:dyDescent="0.2">
      <c r="A335" s="1" t="s">
        <v>496</v>
      </c>
      <c r="B335" s="1" t="s">
        <v>57</v>
      </c>
      <c r="C335" s="13">
        <v>44685</v>
      </c>
      <c r="D335" s="13">
        <v>44686</v>
      </c>
      <c r="E335" s="13">
        <v>44687</v>
      </c>
      <c r="F335" s="13">
        <v>44713</v>
      </c>
      <c r="G335" s="14" t="str">
        <f t="shared" si="112"/>
        <v>000-334/AIB RDC/2022</v>
      </c>
      <c r="H335" s="1">
        <v>2</v>
      </c>
      <c r="I335" s="1" t="s">
        <v>91</v>
      </c>
      <c r="J335" s="1" t="s">
        <v>609</v>
      </c>
      <c r="K335" s="1" t="s">
        <v>610</v>
      </c>
      <c r="L335" s="1"/>
      <c r="M335" s="1" t="s">
        <v>105</v>
      </c>
      <c r="N335" s="1" t="s">
        <v>191</v>
      </c>
      <c r="O335" s="1" t="s">
        <v>152</v>
      </c>
      <c r="P335" s="1" t="s">
        <v>153</v>
      </c>
      <c r="Q335" s="1" t="s">
        <v>130</v>
      </c>
      <c r="R335" s="1" t="s">
        <v>130</v>
      </c>
      <c r="S335" s="17">
        <v>0</v>
      </c>
      <c r="T335" s="17">
        <v>237.86</v>
      </c>
      <c r="U335" s="17">
        <v>0</v>
      </c>
      <c r="V335" s="17">
        <v>0</v>
      </c>
      <c r="W335" s="17">
        <v>2.98</v>
      </c>
      <c r="X335" s="17">
        <v>198.6</v>
      </c>
      <c r="Y335" s="17">
        <v>32.25</v>
      </c>
      <c r="Z335" s="18" t="e">
        <f t="shared" si="113"/>
        <v>#DIV/0!</v>
      </c>
      <c r="AA335" s="19">
        <v>0.1</v>
      </c>
      <c r="AB335" s="17">
        <f t="shared" si="111"/>
        <v>19.86</v>
      </c>
      <c r="AC335" s="17"/>
      <c r="AD335" s="17"/>
      <c r="AE335" s="17">
        <f t="shared" si="114"/>
        <v>19.86</v>
      </c>
      <c r="AF335" s="17">
        <f t="shared" si="110"/>
        <v>3.1776</v>
      </c>
      <c r="AG335" s="17">
        <f t="shared" si="115"/>
        <v>23.037599999999998</v>
      </c>
      <c r="AH335" s="17">
        <f t="shared" si="105"/>
        <v>0.3972</v>
      </c>
      <c r="AI335" s="17"/>
      <c r="AJ335" s="17">
        <f t="shared" si="116"/>
        <v>0.3972</v>
      </c>
      <c r="AK335" s="20"/>
      <c r="AL335" s="17">
        <f t="shared" si="117"/>
        <v>19.462799999999998</v>
      </c>
      <c r="AM335" s="17"/>
      <c r="AN335" s="21"/>
      <c r="AO335" s="17">
        <f t="shared" si="118"/>
        <v>0</v>
      </c>
      <c r="AP335" s="17"/>
      <c r="AQ335" s="16"/>
      <c r="AR335" s="17">
        <f t="shared" si="109"/>
        <v>0</v>
      </c>
      <c r="AS335" s="17"/>
      <c r="AT335" s="17">
        <v>23.037599999999998</v>
      </c>
      <c r="AU335" s="17">
        <f t="shared" si="107"/>
        <v>23.037599999999998</v>
      </c>
      <c r="AV335" s="17">
        <f t="shared" si="119"/>
        <v>0</v>
      </c>
      <c r="AW335" s="17" t="str">
        <f t="shared" si="104"/>
        <v>SFA</v>
      </c>
      <c r="AX335" s="22">
        <v>44735</v>
      </c>
      <c r="AY335" s="22"/>
      <c r="AZ335" s="1" t="s">
        <v>162</v>
      </c>
      <c r="BA335" s="22" t="str">
        <f t="shared" si="108"/>
        <v>COMP MOTOR</v>
      </c>
      <c r="BB335" s="22"/>
      <c r="BC335" s="22"/>
      <c r="BD335" s="22"/>
    </row>
    <row r="336" spans="1:56" ht="14.25" customHeight="1" x14ac:dyDescent="0.2">
      <c r="A336" s="1" t="s">
        <v>496</v>
      </c>
      <c r="B336" s="1" t="s">
        <v>57</v>
      </c>
      <c r="C336" s="13">
        <v>44672</v>
      </c>
      <c r="D336" s="13">
        <v>44690</v>
      </c>
      <c r="E336" s="13">
        <v>44685</v>
      </c>
      <c r="F336" s="13">
        <v>44687</v>
      </c>
      <c r="G336" s="14" t="str">
        <f t="shared" si="112"/>
        <v>000-335/AIB RDC/2022</v>
      </c>
      <c r="H336" s="1">
        <v>0</v>
      </c>
      <c r="I336" s="1" t="s">
        <v>74</v>
      </c>
      <c r="J336" s="24" t="s">
        <v>611</v>
      </c>
      <c r="K336" s="1" t="s">
        <v>612</v>
      </c>
      <c r="L336" s="1"/>
      <c r="M336" s="1" t="s">
        <v>105</v>
      </c>
      <c r="N336" s="1" t="s">
        <v>191</v>
      </c>
      <c r="O336" s="1" t="s">
        <v>64</v>
      </c>
      <c r="P336" s="1" t="s">
        <v>65</v>
      </c>
      <c r="Q336" s="1" t="s">
        <v>130</v>
      </c>
      <c r="R336" s="1" t="s">
        <v>130</v>
      </c>
      <c r="S336" s="17">
        <v>1062.08</v>
      </c>
      <c r="T336" s="17">
        <v>76.7</v>
      </c>
      <c r="U336" s="17">
        <v>0</v>
      </c>
      <c r="V336" s="17">
        <v>0</v>
      </c>
      <c r="W336" s="17">
        <v>20</v>
      </c>
      <c r="X336" s="17">
        <v>45</v>
      </c>
      <c r="Y336" s="17">
        <v>10.4</v>
      </c>
      <c r="Z336" s="18">
        <f t="shared" si="113"/>
        <v>7.2216782163302212E-2</v>
      </c>
      <c r="AA336" s="19">
        <v>0.15</v>
      </c>
      <c r="AB336" s="17">
        <f t="shared" si="111"/>
        <v>6.75</v>
      </c>
      <c r="AC336" s="17"/>
      <c r="AD336" s="17"/>
      <c r="AE336" s="17">
        <f t="shared" si="114"/>
        <v>6.75</v>
      </c>
      <c r="AF336" s="17">
        <f t="shared" si="110"/>
        <v>1.08</v>
      </c>
      <c r="AG336" s="17">
        <f t="shared" si="115"/>
        <v>7.83</v>
      </c>
      <c r="AH336" s="17">
        <f t="shared" si="105"/>
        <v>0.13500000000000001</v>
      </c>
      <c r="AI336" s="17"/>
      <c r="AJ336" s="17">
        <f t="shared" si="116"/>
        <v>0.13500000000000001</v>
      </c>
      <c r="AK336" s="20"/>
      <c r="AL336" s="17">
        <f t="shared" si="117"/>
        <v>6.6150000000000002</v>
      </c>
      <c r="AM336" s="17" t="s">
        <v>108</v>
      </c>
      <c r="AN336" s="21">
        <v>0.4</v>
      </c>
      <c r="AO336" s="17">
        <f t="shared" si="118"/>
        <v>2.6460000000000004</v>
      </c>
      <c r="AP336" s="17">
        <v>2.6460000000000004</v>
      </c>
      <c r="AQ336" s="16">
        <v>44834</v>
      </c>
      <c r="AR336" s="17">
        <f t="shared" si="109"/>
        <v>0</v>
      </c>
      <c r="AS336" s="17" t="s">
        <v>109</v>
      </c>
      <c r="AT336" s="17">
        <v>7.83</v>
      </c>
      <c r="AU336" s="17">
        <f t="shared" si="107"/>
        <v>7.83</v>
      </c>
      <c r="AV336" s="17">
        <f t="shared" si="119"/>
        <v>0</v>
      </c>
      <c r="AW336" s="17" t="str">
        <f t="shared" si="104"/>
        <v>SFA</v>
      </c>
      <c r="AX336" s="22">
        <v>44735</v>
      </c>
      <c r="AY336" s="22"/>
      <c r="AZ336" s="1" t="s">
        <v>110</v>
      </c>
      <c r="BA336" s="22" t="str">
        <f t="shared" si="108"/>
        <v>MARINE CARGO / GIT</v>
      </c>
      <c r="BB336" s="22"/>
      <c r="BC336" s="22"/>
      <c r="BD336" s="22"/>
    </row>
    <row r="337" spans="1:56" ht="14.25" customHeight="1" x14ac:dyDescent="0.2">
      <c r="A337" s="1" t="s">
        <v>496</v>
      </c>
      <c r="B337" s="1" t="s">
        <v>57</v>
      </c>
      <c r="C337" s="13">
        <v>44670</v>
      </c>
      <c r="D337" s="13">
        <v>44690</v>
      </c>
      <c r="E337" s="13">
        <v>44685</v>
      </c>
      <c r="F337" s="13">
        <v>44691</v>
      </c>
      <c r="G337" s="14" t="str">
        <f t="shared" si="112"/>
        <v>000-336/AIB RDC/2022</v>
      </c>
      <c r="H337" s="1">
        <v>0</v>
      </c>
      <c r="I337" s="1" t="s">
        <v>74</v>
      </c>
      <c r="J337" s="24" t="s">
        <v>613</v>
      </c>
      <c r="K337" s="1" t="s">
        <v>614</v>
      </c>
      <c r="L337" s="1"/>
      <c r="M337" s="1" t="s">
        <v>105</v>
      </c>
      <c r="N337" s="1" t="s">
        <v>191</v>
      </c>
      <c r="O337" s="1" t="s">
        <v>64</v>
      </c>
      <c r="P337" s="1" t="s">
        <v>65</v>
      </c>
      <c r="Q337" s="1" t="s">
        <v>130</v>
      </c>
      <c r="R337" s="1" t="s">
        <v>130</v>
      </c>
      <c r="S337" s="17">
        <v>12736.56</v>
      </c>
      <c r="T337" s="17">
        <v>100.6</v>
      </c>
      <c r="U337" s="17">
        <v>0</v>
      </c>
      <c r="V337" s="17">
        <v>0</v>
      </c>
      <c r="W337" s="17">
        <v>20</v>
      </c>
      <c r="X337" s="17">
        <v>65.25</v>
      </c>
      <c r="Y337" s="17">
        <v>13.64</v>
      </c>
      <c r="Z337" s="18">
        <f t="shared" si="113"/>
        <v>7.898522049909866E-3</v>
      </c>
      <c r="AA337" s="19">
        <v>0.15</v>
      </c>
      <c r="AB337" s="17">
        <f t="shared" si="111"/>
        <v>9.7874999999999996</v>
      </c>
      <c r="AC337" s="17"/>
      <c r="AD337" s="17"/>
      <c r="AE337" s="17">
        <f t="shared" si="114"/>
        <v>9.7874999999999996</v>
      </c>
      <c r="AF337" s="17">
        <f t="shared" si="110"/>
        <v>1.5660000000000001</v>
      </c>
      <c r="AG337" s="17">
        <f t="shared" si="115"/>
        <v>11.3535</v>
      </c>
      <c r="AH337" s="17">
        <f t="shared" si="105"/>
        <v>0.19575000000000001</v>
      </c>
      <c r="AI337" s="17"/>
      <c r="AJ337" s="17">
        <f t="shared" si="116"/>
        <v>0.19575000000000001</v>
      </c>
      <c r="AK337" s="20"/>
      <c r="AL337" s="17">
        <f t="shared" si="117"/>
        <v>9.5917499999999993</v>
      </c>
      <c r="AM337" s="17" t="s">
        <v>108</v>
      </c>
      <c r="AN337" s="21">
        <v>0.4</v>
      </c>
      <c r="AO337" s="17">
        <f t="shared" si="118"/>
        <v>3.8367</v>
      </c>
      <c r="AP337" s="17">
        <v>3.8367</v>
      </c>
      <c r="AQ337" s="16">
        <v>44834</v>
      </c>
      <c r="AR337" s="17">
        <f t="shared" si="109"/>
        <v>0</v>
      </c>
      <c r="AS337" s="17" t="s">
        <v>109</v>
      </c>
      <c r="AT337" s="17">
        <v>11.3535</v>
      </c>
      <c r="AU337" s="17">
        <f t="shared" si="107"/>
        <v>11.3535</v>
      </c>
      <c r="AV337" s="17">
        <f t="shared" si="119"/>
        <v>0</v>
      </c>
      <c r="AW337" s="17" t="str">
        <f t="shared" si="104"/>
        <v>SFA</v>
      </c>
      <c r="AX337" s="22">
        <v>44735</v>
      </c>
      <c r="AY337" s="22"/>
      <c r="AZ337" s="1" t="s">
        <v>110</v>
      </c>
      <c r="BA337" s="22" t="str">
        <f t="shared" si="108"/>
        <v>MARINE CARGO / GIT</v>
      </c>
      <c r="BB337" s="22"/>
      <c r="BC337" s="22"/>
      <c r="BD337" s="22"/>
    </row>
    <row r="338" spans="1:56" ht="14.25" customHeight="1" x14ac:dyDescent="0.2">
      <c r="A338" s="1" t="s">
        <v>496</v>
      </c>
      <c r="B338" s="1" t="s">
        <v>57</v>
      </c>
      <c r="C338" s="13">
        <v>44679</v>
      </c>
      <c r="D338" s="13">
        <v>44697</v>
      </c>
      <c r="E338" s="13">
        <v>44690</v>
      </c>
      <c r="F338" s="13">
        <v>44692</v>
      </c>
      <c r="G338" s="14" t="str">
        <f t="shared" si="112"/>
        <v>000-337/AIB RDC/2022</v>
      </c>
      <c r="H338" s="1">
        <v>0</v>
      </c>
      <c r="I338" s="1" t="s">
        <v>74</v>
      </c>
      <c r="J338" s="24" t="s">
        <v>615</v>
      </c>
      <c r="K338" s="1" t="s">
        <v>605</v>
      </c>
      <c r="L338" s="1"/>
      <c r="M338" s="1" t="s">
        <v>105</v>
      </c>
      <c r="N338" s="1" t="s">
        <v>191</v>
      </c>
      <c r="O338" s="1" t="s">
        <v>64</v>
      </c>
      <c r="P338" s="1" t="s">
        <v>65</v>
      </c>
      <c r="Q338" s="1" t="s">
        <v>130</v>
      </c>
      <c r="R338" s="1" t="s">
        <v>130</v>
      </c>
      <c r="S338" s="17">
        <v>863.2</v>
      </c>
      <c r="T338" s="17">
        <v>85.55</v>
      </c>
      <c r="U338" s="17">
        <v>0</v>
      </c>
      <c r="V338" s="17">
        <v>0</v>
      </c>
      <c r="W338" s="17">
        <v>20</v>
      </c>
      <c r="X338" s="17">
        <v>52.5</v>
      </c>
      <c r="Y338" s="17">
        <v>11.6</v>
      </c>
      <c r="Z338" s="18">
        <f t="shared" si="113"/>
        <v>9.9107970342910093E-2</v>
      </c>
      <c r="AA338" s="19">
        <v>0.15</v>
      </c>
      <c r="AB338" s="17">
        <f t="shared" si="111"/>
        <v>7.875</v>
      </c>
      <c r="AC338" s="17"/>
      <c r="AD338" s="17"/>
      <c r="AE338" s="17">
        <f t="shared" si="114"/>
        <v>7.875</v>
      </c>
      <c r="AF338" s="17">
        <f t="shared" si="110"/>
        <v>1.26</v>
      </c>
      <c r="AG338" s="17">
        <f t="shared" si="115"/>
        <v>9.1349999999999998</v>
      </c>
      <c r="AH338" s="17">
        <f t="shared" si="105"/>
        <v>0.1575</v>
      </c>
      <c r="AI338" s="17"/>
      <c r="AJ338" s="17">
        <f t="shared" si="116"/>
        <v>0.1575</v>
      </c>
      <c r="AK338" s="20"/>
      <c r="AL338" s="17">
        <f t="shared" si="117"/>
        <v>7.7175000000000002</v>
      </c>
      <c r="AM338" s="17" t="s">
        <v>108</v>
      </c>
      <c r="AN338" s="21">
        <v>0.4</v>
      </c>
      <c r="AO338" s="17">
        <f t="shared" si="118"/>
        <v>3.0870000000000002</v>
      </c>
      <c r="AP338" s="17">
        <v>3.0870000000000002</v>
      </c>
      <c r="AQ338" s="16">
        <v>44834</v>
      </c>
      <c r="AR338" s="17">
        <f t="shared" si="109"/>
        <v>0</v>
      </c>
      <c r="AS338" s="17" t="s">
        <v>109</v>
      </c>
      <c r="AT338" s="17">
        <v>9.1349999999999998</v>
      </c>
      <c r="AU338" s="17">
        <f t="shared" si="107"/>
        <v>9.1349999999999998</v>
      </c>
      <c r="AV338" s="17">
        <f t="shared" si="119"/>
        <v>0</v>
      </c>
      <c r="AW338" s="17" t="str">
        <f t="shared" si="104"/>
        <v>SFA</v>
      </c>
      <c r="AX338" s="22">
        <v>44735</v>
      </c>
      <c r="AY338" s="22"/>
      <c r="AZ338" s="1" t="s">
        <v>110</v>
      </c>
      <c r="BA338" s="22" t="str">
        <f t="shared" si="108"/>
        <v>MARINE CARGO / GIT</v>
      </c>
      <c r="BB338" s="22"/>
      <c r="BC338" s="22"/>
      <c r="BD338" s="22"/>
    </row>
    <row r="339" spans="1:56" ht="14.25" customHeight="1" x14ac:dyDescent="0.2">
      <c r="A339" s="1" t="s">
        <v>496</v>
      </c>
      <c r="B339" s="1" t="s">
        <v>57</v>
      </c>
      <c r="C339" s="13">
        <v>44694</v>
      </c>
      <c r="D339" s="13">
        <v>44700</v>
      </c>
      <c r="E339" s="13">
        <v>44699</v>
      </c>
      <c r="F339" s="13">
        <v>44701</v>
      </c>
      <c r="G339" s="14" t="str">
        <f t="shared" si="112"/>
        <v>000-338/AIB RDC/2022</v>
      </c>
      <c r="H339" s="1">
        <v>0</v>
      </c>
      <c r="I339" s="1" t="s">
        <v>74</v>
      </c>
      <c r="J339" s="24" t="s">
        <v>616</v>
      </c>
      <c r="K339" s="1" t="s">
        <v>605</v>
      </c>
      <c r="L339" s="1"/>
      <c r="M339" s="1" t="s">
        <v>105</v>
      </c>
      <c r="N339" s="1" t="s">
        <v>191</v>
      </c>
      <c r="O339" s="1" t="s">
        <v>64</v>
      </c>
      <c r="P339" s="1" t="s">
        <v>65</v>
      </c>
      <c r="Q339" s="1" t="s">
        <v>130</v>
      </c>
      <c r="R339" s="1" t="s">
        <v>130</v>
      </c>
      <c r="S339" s="17">
        <v>1855</v>
      </c>
      <c r="T339" s="17">
        <v>94.4</v>
      </c>
      <c r="U339" s="17">
        <v>0</v>
      </c>
      <c r="V339" s="17">
        <v>0</v>
      </c>
      <c r="W339" s="17">
        <v>20</v>
      </c>
      <c r="X339" s="17">
        <v>60</v>
      </c>
      <c r="Y339" s="17">
        <v>12.8</v>
      </c>
      <c r="Z339" s="18">
        <f t="shared" si="113"/>
        <v>5.0889487870619948E-2</v>
      </c>
      <c r="AA339" s="19">
        <v>0.15</v>
      </c>
      <c r="AB339" s="17">
        <f t="shared" si="111"/>
        <v>9</v>
      </c>
      <c r="AC339" s="17"/>
      <c r="AD339" s="17"/>
      <c r="AE339" s="17">
        <f t="shared" si="114"/>
        <v>9</v>
      </c>
      <c r="AF339" s="17">
        <f t="shared" si="110"/>
        <v>1.44</v>
      </c>
      <c r="AG339" s="17">
        <f t="shared" si="115"/>
        <v>10.44</v>
      </c>
      <c r="AH339" s="17">
        <f t="shared" si="105"/>
        <v>0.18</v>
      </c>
      <c r="AI339" s="17"/>
      <c r="AJ339" s="17">
        <f t="shared" si="116"/>
        <v>0.18</v>
      </c>
      <c r="AK339" s="20"/>
      <c r="AL339" s="17">
        <f t="shared" si="117"/>
        <v>8.82</v>
      </c>
      <c r="AM339" s="17" t="s">
        <v>108</v>
      </c>
      <c r="AN339" s="21">
        <v>0.4</v>
      </c>
      <c r="AO339" s="17">
        <f t="shared" si="118"/>
        <v>3.5280000000000005</v>
      </c>
      <c r="AP339" s="17">
        <v>3.5280000000000005</v>
      </c>
      <c r="AQ339" s="16">
        <v>44834</v>
      </c>
      <c r="AR339" s="17">
        <f t="shared" si="109"/>
        <v>0</v>
      </c>
      <c r="AS339" s="17" t="s">
        <v>109</v>
      </c>
      <c r="AT339" s="17">
        <v>10.44</v>
      </c>
      <c r="AU339" s="17">
        <f t="shared" si="107"/>
        <v>10.44</v>
      </c>
      <c r="AV339" s="17">
        <f t="shared" si="119"/>
        <v>0</v>
      </c>
      <c r="AW339" s="17" t="str">
        <f t="shared" si="104"/>
        <v>SFA</v>
      </c>
      <c r="AX339" s="22">
        <v>44735</v>
      </c>
      <c r="AY339" s="22"/>
      <c r="AZ339" s="1" t="s">
        <v>110</v>
      </c>
      <c r="BA339" s="22" t="str">
        <f t="shared" si="108"/>
        <v>MARINE CARGO / GIT</v>
      </c>
      <c r="BB339" s="22"/>
      <c r="BC339" s="22"/>
      <c r="BD339" s="22"/>
    </row>
    <row r="340" spans="1:56" ht="14.25" customHeight="1" x14ac:dyDescent="0.2">
      <c r="A340" s="1" t="s">
        <v>496</v>
      </c>
      <c r="B340" s="1" t="s">
        <v>57</v>
      </c>
      <c r="C340" s="13">
        <v>44678</v>
      </c>
      <c r="D340" s="13">
        <v>44694</v>
      </c>
      <c r="E340" s="13">
        <v>44685</v>
      </c>
      <c r="F340" s="13">
        <v>44687</v>
      </c>
      <c r="G340" s="14" t="str">
        <f t="shared" si="112"/>
        <v>000-339/AIB RDC/2022</v>
      </c>
      <c r="H340" s="1">
        <v>0</v>
      </c>
      <c r="I340" s="1" t="s">
        <v>74</v>
      </c>
      <c r="J340" s="24" t="s">
        <v>617</v>
      </c>
      <c r="K340" s="1" t="s">
        <v>263</v>
      </c>
      <c r="L340" s="1"/>
      <c r="M340" s="1" t="s">
        <v>105</v>
      </c>
      <c r="N340" s="1" t="s">
        <v>191</v>
      </c>
      <c r="O340" s="1" t="s">
        <v>64</v>
      </c>
      <c r="P340" s="1" t="s">
        <v>65</v>
      </c>
      <c r="Q340" s="1" t="s">
        <v>130</v>
      </c>
      <c r="R340" s="1" t="s">
        <v>130</v>
      </c>
      <c r="S340" s="17">
        <v>43874</v>
      </c>
      <c r="T340" s="17">
        <v>106.2</v>
      </c>
      <c r="U340" s="17">
        <v>0</v>
      </c>
      <c r="V340" s="17">
        <v>0</v>
      </c>
      <c r="W340" s="17">
        <v>20</v>
      </c>
      <c r="X340" s="17">
        <v>70</v>
      </c>
      <c r="Y340" s="17">
        <v>14.4</v>
      </c>
      <c r="Z340" s="18">
        <f t="shared" si="113"/>
        <v>2.4205679901536216E-3</v>
      </c>
      <c r="AA340" s="19">
        <v>0.15</v>
      </c>
      <c r="AB340" s="17">
        <f t="shared" si="111"/>
        <v>10.5</v>
      </c>
      <c r="AC340" s="17"/>
      <c r="AD340" s="17"/>
      <c r="AE340" s="17">
        <f t="shared" si="114"/>
        <v>10.5</v>
      </c>
      <c r="AF340" s="17">
        <f t="shared" si="110"/>
        <v>1.68</v>
      </c>
      <c r="AG340" s="17">
        <f t="shared" si="115"/>
        <v>12.18</v>
      </c>
      <c r="AH340" s="17">
        <f t="shared" si="105"/>
        <v>0.21</v>
      </c>
      <c r="AI340" s="17"/>
      <c r="AJ340" s="17">
        <f t="shared" si="116"/>
        <v>0.21</v>
      </c>
      <c r="AK340" s="20"/>
      <c r="AL340" s="17">
        <f t="shared" si="117"/>
        <v>10.29</v>
      </c>
      <c r="AM340" s="17" t="s">
        <v>108</v>
      </c>
      <c r="AN340" s="21">
        <v>0.4</v>
      </c>
      <c r="AO340" s="17">
        <f t="shared" si="118"/>
        <v>4.1159999999999997</v>
      </c>
      <c r="AP340" s="17">
        <v>4.1159999999999997</v>
      </c>
      <c r="AQ340" s="16">
        <v>44834</v>
      </c>
      <c r="AR340" s="17">
        <f t="shared" si="109"/>
        <v>0</v>
      </c>
      <c r="AS340" s="17" t="s">
        <v>109</v>
      </c>
      <c r="AT340" s="17">
        <v>12.18</v>
      </c>
      <c r="AU340" s="17">
        <f t="shared" si="107"/>
        <v>12.18</v>
      </c>
      <c r="AV340" s="17">
        <f t="shared" si="119"/>
        <v>0</v>
      </c>
      <c r="AW340" s="17" t="str">
        <f t="shared" si="104"/>
        <v>SFA</v>
      </c>
      <c r="AX340" s="22">
        <v>44735</v>
      </c>
      <c r="AY340" s="22"/>
      <c r="AZ340" s="1" t="s">
        <v>110</v>
      </c>
      <c r="BA340" s="22" t="str">
        <f t="shared" si="108"/>
        <v>MARINE CARGO / GIT</v>
      </c>
      <c r="BB340" s="22"/>
      <c r="BC340" s="22"/>
      <c r="BD340" s="22"/>
    </row>
    <row r="341" spans="1:56" ht="14.25" customHeight="1" x14ac:dyDescent="0.2">
      <c r="A341" s="1" t="s">
        <v>496</v>
      </c>
      <c r="B341" s="1" t="s">
        <v>57</v>
      </c>
      <c r="C341" s="13">
        <v>44677</v>
      </c>
      <c r="D341" s="13">
        <v>44694</v>
      </c>
      <c r="E341" s="13">
        <v>44685</v>
      </c>
      <c r="F341" s="13">
        <v>44687</v>
      </c>
      <c r="G341" s="14" t="str">
        <f t="shared" si="112"/>
        <v>000-340/AIB RDC/2022</v>
      </c>
      <c r="H341" s="1">
        <v>0</v>
      </c>
      <c r="I341" s="1" t="s">
        <v>74</v>
      </c>
      <c r="J341" s="24" t="s">
        <v>618</v>
      </c>
      <c r="K341" s="1" t="s">
        <v>263</v>
      </c>
      <c r="L341" s="1"/>
      <c r="M341" s="1" t="s">
        <v>105</v>
      </c>
      <c r="N341" s="1" t="s">
        <v>191</v>
      </c>
      <c r="O341" s="1" t="s">
        <v>64</v>
      </c>
      <c r="P341" s="1" t="s">
        <v>65</v>
      </c>
      <c r="Q341" s="1" t="s">
        <v>130</v>
      </c>
      <c r="R341" s="1" t="s">
        <v>130</v>
      </c>
      <c r="S341" s="17">
        <v>5978.28</v>
      </c>
      <c r="T341" s="17">
        <v>94.4</v>
      </c>
      <c r="U341" s="17">
        <v>0</v>
      </c>
      <c r="V341" s="17">
        <v>0</v>
      </c>
      <c r="W341" s="17">
        <v>20</v>
      </c>
      <c r="X341" s="17">
        <v>60</v>
      </c>
      <c r="Y341" s="17">
        <v>12.8</v>
      </c>
      <c r="Z341" s="18">
        <f t="shared" si="113"/>
        <v>1.5790494924961696E-2</v>
      </c>
      <c r="AA341" s="19">
        <v>0.15</v>
      </c>
      <c r="AB341" s="17">
        <f t="shared" si="111"/>
        <v>9</v>
      </c>
      <c r="AC341" s="17"/>
      <c r="AD341" s="17"/>
      <c r="AE341" s="17">
        <f t="shared" si="114"/>
        <v>9</v>
      </c>
      <c r="AF341" s="17">
        <f t="shared" si="110"/>
        <v>1.44</v>
      </c>
      <c r="AG341" s="17">
        <f t="shared" si="115"/>
        <v>10.44</v>
      </c>
      <c r="AH341" s="17">
        <f t="shared" si="105"/>
        <v>0.18</v>
      </c>
      <c r="AI341" s="17"/>
      <c r="AJ341" s="17">
        <f t="shared" si="116"/>
        <v>0.18</v>
      </c>
      <c r="AK341" s="20"/>
      <c r="AL341" s="17">
        <f t="shared" si="117"/>
        <v>8.82</v>
      </c>
      <c r="AM341" s="17" t="s">
        <v>108</v>
      </c>
      <c r="AN341" s="21">
        <v>0.4</v>
      </c>
      <c r="AO341" s="17">
        <f t="shared" si="118"/>
        <v>3.5280000000000005</v>
      </c>
      <c r="AP341" s="17">
        <v>3.5280000000000005</v>
      </c>
      <c r="AQ341" s="16">
        <v>44834</v>
      </c>
      <c r="AR341" s="17">
        <f t="shared" si="109"/>
        <v>0</v>
      </c>
      <c r="AS341" s="17" t="s">
        <v>109</v>
      </c>
      <c r="AT341" s="17">
        <v>10.44</v>
      </c>
      <c r="AU341" s="17">
        <f t="shared" si="107"/>
        <v>10.44</v>
      </c>
      <c r="AV341" s="17">
        <f t="shared" si="119"/>
        <v>0</v>
      </c>
      <c r="AW341" s="17" t="str">
        <f t="shared" si="104"/>
        <v>SFA</v>
      </c>
      <c r="AX341" s="22">
        <v>44735</v>
      </c>
      <c r="AY341" s="22"/>
      <c r="AZ341" s="1" t="s">
        <v>110</v>
      </c>
      <c r="BA341" s="22" t="str">
        <f t="shared" si="108"/>
        <v>MARINE CARGO / GIT</v>
      </c>
      <c r="BB341" s="22"/>
      <c r="BC341" s="22"/>
      <c r="BD341" s="22"/>
    </row>
    <row r="342" spans="1:56" ht="14.25" customHeight="1" x14ac:dyDescent="0.2">
      <c r="A342" s="1" t="s">
        <v>496</v>
      </c>
      <c r="B342" s="1" t="s">
        <v>57</v>
      </c>
      <c r="C342" s="13">
        <v>44677</v>
      </c>
      <c r="D342" s="13">
        <v>44694</v>
      </c>
      <c r="E342" s="13">
        <v>44685</v>
      </c>
      <c r="F342" s="13">
        <v>44687</v>
      </c>
      <c r="G342" s="14" t="str">
        <f t="shared" si="112"/>
        <v>000-341/AIB RDC/2022</v>
      </c>
      <c r="H342" s="1">
        <v>0</v>
      </c>
      <c r="I342" s="1" t="s">
        <v>74</v>
      </c>
      <c r="J342" s="24" t="s">
        <v>619</v>
      </c>
      <c r="K342" s="1" t="s">
        <v>263</v>
      </c>
      <c r="L342" s="1"/>
      <c r="M342" s="1" t="s">
        <v>105</v>
      </c>
      <c r="N342" s="1" t="s">
        <v>191</v>
      </c>
      <c r="O342" s="1" t="s">
        <v>64</v>
      </c>
      <c r="P342" s="1" t="s">
        <v>65</v>
      </c>
      <c r="Q342" s="1" t="s">
        <v>130</v>
      </c>
      <c r="R342" s="1" t="s">
        <v>130</v>
      </c>
      <c r="S342" s="17">
        <v>21573.21</v>
      </c>
      <c r="T342" s="17">
        <v>94.4</v>
      </c>
      <c r="U342" s="17">
        <v>0</v>
      </c>
      <c r="V342" s="17">
        <v>0</v>
      </c>
      <c r="W342" s="17">
        <v>20</v>
      </c>
      <c r="X342" s="17">
        <v>60</v>
      </c>
      <c r="Y342" s="17">
        <v>12.8</v>
      </c>
      <c r="Z342" s="18">
        <f t="shared" si="113"/>
        <v>4.3757975748625264E-3</v>
      </c>
      <c r="AA342" s="19">
        <v>0.15</v>
      </c>
      <c r="AB342" s="17">
        <f t="shared" si="111"/>
        <v>9</v>
      </c>
      <c r="AC342" s="17"/>
      <c r="AD342" s="17"/>
      <c r="AE342" s="17">
        <f t="shared" si="114"/>
        <v>9</v>
      </c>
      <c r="AF342" s="17">
        <f t="shared" si="110"/>
        <v>1.44</v>
      </c>
      <c r="AG342" s="17">
        <f t="shared" si="115"/>
        <v>10.44</v>
      </c>
      <c r="AH342" s="17">
        <f t="shared" si="105"/>
        <v>0.18</v>
      </c>
      <c r="AI342" s="17"/>
      <c r="AJ342" s="17">
        <f t="shared" si="116"/>
        <v>0.18</v>
      </c>
      <c r="AK342" s="20"/>
      <c r="AL342" s="17">
        <f t="shared" si="117"/>
        <v>8.82</v>
      </c>
      <c r="AM342" s="17" t="s">
        <v>108</v>
      </c>
      <c r="AN342" s="21">
        <v>0.4</v>
      </c>
      <c r="AO342" s="17">
        <f t="shared" si="118"/>
        <v>3.5280000000000005</v>
      </c>
      <c r="AP342" s="17">
        <v>3.5280000000000005</v>
      </c>
      <c r="AQ342" s="16">
        <v>44834</v>
      </c>
      <c r="AR342" s="17">
        <f t="shared" si="109"/>
        <v>0</v>
      </c>
      <c r="AS342" s="17" t="s">
        <v>109</v>
      </c>
      <c r="AT342" s="17">
        <v>10.44</v>
      </c>
      <c r="AU342" s="17">
        <f t="shared" si="107"/>
        <v>10.44</v>
      </c>
      <c r="AV342" s="17">
        <f t="shared" si="119"/>
        <v>0</v>
      </c>
      <c r="AW342" s="17" t="str">
        <f t="shared" si="104"/>
        <v>SFA</v>
      </c>
      <c r="AX342" s="22">
        <v>44735</v>
      </c>
      <c r="AY342" s="22"/>
      <c r="AZ342" s="1" t="s">
        <v>110</v>
      </c>
      <c r="BA342" s="22" t="str">
        <f t="shared" si="108"/>
        <v>MARINE CARGO / GIT</v>
      </c>
      <c r="BB342" s="22"/>
      <c r="BC342" s="22"/>
      <c r="BD342" s="22"/>
    </row>
    <row r="343" spans="1:56" ht="14.25" customHeight="1" x14ac:dyDescent="0.2">
      <c r="A343" s="1" t="s">
        <v>496</v>
      </c>
      <c r="B343" s="1" t="s">
        <v>57</v>
      </c>
      <c r="C343" s="13">
        <v>44677</v>
      </c>
      <c r="D343" s="13">
        <v>44694</v>
      </c>
      <c r="E343" s="13">
        <v>44685</v>
      </c>
      <c r="F343" s="13">
        <v>44687</v>
      </c>
      <c r="G343" s="14" t="str">
        <f t="shared" si="112"/>
        <v>000-342/AIB RDC/2022</v>
      </c>
      <c r="H343" s="1">
        <v>0</v>
      </c>
      <c r="I343" s="1" t="s">
        <v>74</v>
      </c>
      <c r="J343" s="24" t="s">
        <v>620</v>
      </c>
      <c r="K343" s="1" t="s">
        <v>263</v>
      </c>
      <c r="L343" s="1"/>
      <c r="M343" s="1" t="s">
        <v>105</v>
      </c>
      <c r="N343" s="1" t="s">
        <v>191</v>
      </c>
      <c r="O343" s="1" t="s">
        <v>64</v>
      </c>
      <c r="P343" s="1" t="s">
        <v>65</v>
      </c>
      <c r="Q343" s="1" t="s">
        <v>130</v>
      </c>
      <c r="R343" s="1" t="s">
        <v>130</v>
      </c>
      <c r="S343" s="17">
        <v>9116.64</v>
      </c>
      <c r="T343" s="17">
        <v>94.4</v>
      </c>
      <c r="U343" s="17">
        <v>0</v>
      </c>
      <c r="V343" s="17">
        <v>0</v>
      </c>
      <c r="W343" s="17">
        <v>20</v>
      </c>
      <c r="X343" s="17">
        <v>60</v>
      </c>
      <c r="Y343" s="17">
        <v>12.8</v>
      </c>
      <c r="Z343" s="18">
        <f t="shared" si="113"/>
        <v>1.0354692079538076E-2</v>
      </c>
      <c r="AA343" s="19">
        <v>0.15</v>
      </c>
      <c r="AB343" s="17">
        <f t="shared" si="111"/>
        <v>9</v>
      </c>
      <c r="AC343" s="17"/>
      <c r="AD343" s="17"/>
      <c r="AE343" s="17">
        <f t="shared" si="114"/>
        <v>9</v>
      </c>
      <c r="AF343" s="17">
        <f t="shared" si="110"/>
        <v>1.44</v>
      </c>
      <c r="AG343" s="17">
        <f t="shared" si="115"/>
        <v>10.44</v>
      </c>
      <c r="AH343" s="17">
        <f t="shared" si="105"/>
        <v>0.18</v>
      </c>
      <c r="AI343" s="17"/>
      <c r="AJ343" s="17">
        <f t="shared" si="116"/>
        <v>0.18</v>
      </c>
      <c r="AK343" s="20"/>
      <c r="AL343" s="17">
        <f t="shared" si="117"/>
        <v>8.82</v>
      </c>
      <c r="AM343" s="17" t="s">
        <v>108</v>
      </c>
      <c r="AN343" s="21">
        <v>0.4</v>
      </c>
      <c r="AO343" s="17">
        <f t="shared" si="118"/>
        <v>3.5280000000000005</v>
      </c>
      <c r="AP343" s="17">
        <v>3.5280000000000005</v>
      </c>
      <c r="AQ343" s="16">
        <v>44834</v>
      </c>
      <c r="AR343" s="17">
        <f t="shared" si="109"/>
        <v>0</v>
      </c>
      <c r="AS343" s="17" t="s">
        <v>109</v>
      </c>
      <c r="AT343" s="17">
        <v>10.44</v>
      </c>
      <c r="AU343" s="17">
        <f t="shared" ref="AU343:AU374" si="120">AG343</f>
        <v>10.44</v>
      </c>
      <c r="AV343" s="17">
        <f t="shared" si="119"/>
        <v>0</v>
      </c>
      <c r="AW343" s="17" t="str">
        <f t="shared" si="104"/>
        <v>SFA</v>
      </c>
      <c r="AX343" s="22">
        <v>44735</v>
      </c>
      <c r="AY343" s="22"/>
      <c r="AZ343" s="1" t="s">
        <v>110</v>
      </c>
      <c r="BA343" s="22" t="str">
        <f t="shared" si="108"/>
        <v>MARINE CARGO / GIT</v>
      </c>
      <c r="BB343" s="22"/>
      <c r="BC343" s="22"/>
      <c r="BD343" s="22"/>
    </row>
    <row r="344" spans="1:56" ht="14.25" customHeight="1" x14ac:dyDescent="0.2">
      <c r="A344" s="1" t="s">
        <v>496</v>
      </c>
      <c r="B344" s="1" t="s">
        <v>57</v>
      </c>
      <c r="C344" s="13">
        <v>44677</v>
      </c>
      <c r="D344" s="13">
        <v>44694</v>
      </c>
      <c r="E344" s="13">
        <v>44685</v>
      </c>
      <c r="F344" s="13">
        <v>44687</v>
      </c>
      <c r="G344" s="14" t="str">
        <f t="shared" si="112"/>
        <v>000-343/AIB RDC/2022</v>
      </c>
      <c r="H344" s="1">
        <v>0</v>
      </c>
      <c r="I344" s="1" t="s">
        <v>74</v>
      </c>
      <c r="J344" s="24" t="s">
        <v>621</v>
      </c>
      <c r="K344" s="1" t="s">
        <v>263</v>
      </c>
      <c r="L344" s="1"/>
      <c r="M344" s="1" t="s">
        <v>105</v>
      </c>
      <c r="N344" s="1" t="s">
        <v>191</v>
      </c>
      <c r="O344" s="1" t="s">
        <v>64</v>
      </c>
      <c r="P344" s="1" t="s">
        <v>65</v>
      </c>
      <c r="Q344" s="1" t="s">
        <v>130</v>
      </c>
      <c r="R344" s="1" t="s">
        <v>130</v>
      </c>
      <c r="S344" s="17">
        <v>16882.560000000001</v>
      </c>
      <c r="T344" s="17">
        <v>94.4</v>
      </c>
      <c r="U344" s="17">
        <v>0</v>
      </c>
      <c r="V344" s="17">
        <v>0</v>
      </c>
      <c r="W344" s="17">
        <v>20</v>
      </c>
      <c r="X344" s="17">
        <v>60</v>
      </c>
      <c r="Y344" s="17">
        <v>12.8</v>
      </c>
      <c r="Z344" s="18">
        <f t="shared" si="113"/>
        <v>5.5915690511391634E-3</v>
      </c>
      <c r="AA344" s="19">
        <v>0.15</v>
      </c>
      <c r="AB344" s="17">
        <f t="shared" si="111"/>
        <v>9</v>
      </c>
      <c r="AC344" s="17"/>
      <c r="AD344" s="17"/>
      <c r="AE344" s="17">
        <f t="shared" si="114"/>
        <v>9</v>
      </c>
      <c r="AF344" s="17">
        <f t="shared" si="110"/>
        <v>1.44</v>
      </c>
      <c r="AG344" s="17">
        <f t="shared" si="115"/>
        <v>10.44</v>
      </c>
      <c r="AH344" s="17">
        <f t="shared" si="105"/>
        <v>0.18</v>
      </c>
      <c r="AI344" s="17"/>
      <c r="AJ344" s="17">
        <f t="shared" si="116"/>
        <v>0.18</v>
      </c>
      <c r="AK344" s="20"/>
      <c r="AL344" s="17">
        <f t="shared" si="117"/>
        <v>8.82</v>
      </c>
      <c r="AM344" s="17" t="s">
        <v>108</v>
      </c>
      <c r="AN344" s="21">
        <v>0.4</v>
      </c>
      <c r="AO344" s="17">
        <f t="shared" si="118"/>
        <v>3.5280000000000005</v>
      </c>
      <c r="AP344" s="17">
        <v>3.5280000000000005</v>
      </c>
      <c r="AQ344" s="16">
        <v>44834</v>
      </c>
      <c r="AR344" s="17">
        <f t="shared" si="109"/>
        <v>0</v>
      </c>
      <c r="AS344" s="17" t="s">
        <v>109</v>
      </c>
      <c r="AT344" s="17">
        <v>10.44</v>
      </c>
      <c r="AU344" s="17">
        <f t="shared" si="120"/>
        <v>10.44</v>
      </c>
      <c r="AV344" s="17">
        <f t="shared" si="119"/>
        <v>0</v>
      </c>
      <c r="AW344" s="17" t="str">
        <f t="shared" si="104"/>
        <v>SFA</v>
      </c>
      <c r="AX344" s="22">
        <v>44735</v>
      </c>
      <c r="AY344" s="22"/>
      <c r="AZ344" s="1" t="s">
        <v>110</v>
      </c>
      <c r="BA344" s="22" t="str">
        <f t="shared" ref="BA344:BA375" si="121">O344</f>
        <v>MARINE CARGO / GIT</v>
      </c>
      <c r="BB344" s="22"/>
      <c r="BC344" s="22"/>
      <c r="BD344" s="22"/>
    </row>
    <row r="345" spans="1:56" ht="14.25" customHeight="1" x14ac:dyDescent="0.2">
      <c r="A345" s="1" t="s">
        <v>496</v>
      </c>
      <c r="B345" s="1" t="s">
        <v>57</v>
      </c>
      <c r="C345" s="13">
        <v>44677</v>
      </c>
      <c r="D345" s="13">
        <v>44694</v>
      </c>
      <c r="E345" s="13">
        <v>44685</v>
      </c>
      <c r="F345" s="13">
        <v>44687</v>
      </c>
      <c r="G345" s="14" t="str">
        <f t="shared" si="112"/>
        <v>000-344/AIB RDC/2022</v>
      </c>
      <c r="H345" s="1">
        <v>0</v>
      </c>
      <c r="I345" s="1" t="s">
        <v>74</v>
      </c>
      <c r="J345" s="24" t="s">
        <v>622</v>
      </c>
      <c r="K345" s="1" t="s">
        <v>263</v>
      </c>
      <c r="L345" s="1"/>
      <c r="M345" s="1" t="s">
        <v>105</v>
      </c>
      <c r="N345" s="1" t="s">
        <v>191</v>
      </c>
      <c r="O345" s="1" t="s">
        <v>64</v>
      </c>
      <c r="P345" s="1" t="s">
        <v>65</v>
      </c>
      <c r="Q345" s="1" t="s">
        <v>130</v>
      </c>
      <c r="R345" s="1" t="s">
        <v>130</v>
      </c>
      <c r="S345" s="17">
        <v>43399.15</v>
      </c>
      <c r="T345" s="17">
        <v>94.4</v>
      </c>
      <c r="U345" s="17">
        <v>0</v>
      </c>
      <c r="V345" s="17">
        <v>0</v>
      </c>
      <c r="W345" s="17">
        <v>20</v>
      </c>
      <c r="X345" s="17">
        <v>60</v>
      </c>
      <c r="Y345" s="17">
        <v>12.8</v>
      </c>
      <c r="Z345" s="18">
        <f t="shared" si="113"/>
        <v>2.1751578083902567E-3</v>
      </c>
      <c r="AA345" s="19">
        <v>0.15</v>
      </c>
      <c r="AB345" s="17">
        <f t="shared" si="111"/>
        <v>9</v>
      </c>
      <c r="AC345" s="17"/>
      <c r="AD345" s="17"/>
      <c r="AE345" s="17">
        <f t="shared" si="114"/>
        <v>9</v>
      </c>
      <c r="AF345" s="17">
        <f t="shared" si="110"/>
        <v>1.44</v>
      </c>
      <c r="AG345" s="17">
        <f t="shared" si="115"/>
        <v>10.44</v>
      </c>
      <c r="AH345" s="17">
        <f t="shared" si="105"/>
        <v>0.18</v>
      </c>
      <c r="AI345" s="17"/>
      <c r="AJ345" s="17">
        <f t="shared" si="116"/>
        <v>0.18</v>
      </c>
      <c r="AK345" s="20"/>
      <c r="AL345" s="17">
        <f t="shared" si="117"/>
        <v>8.82</v>
      </c>
      <c r="AM345" s="17" t="s">
        <v>108</v>
      </c>
      <c r="AN345" s="21">
        <v>0.4</v>
      </c>
      <c r="AO345" s="17">
        <f t="shared" si="118"/>
        <v>3.5280000000000005</v>
      </c>
      <c r="AP345" s="17">
        <v>3.5280000000000005</v>
      </c>
      <c r="AQ345" s="16">
        <v>44834</v>
      </c>
      <c r="AR345" s="17">
        <f t="shared" si="109"/>
        <v>0</v>
      </c>
      <c r="AS345" s="17" t="s">
        <v>109</v>
      </c>
      <c r="AT345" s="17">
        <v>10.44</v>
      </c>
      <c r="AU345" s="17">
        <f t="shared" si="120"/>
        <v>10.44</v>
      </c>
      <c r="AV345" s="17">
        <f t="shared" si="119"/>
        <v>0</v>
      </c>
      <c r="AW345" s="17" t="str">
        <f t="shared" ref="AW345:AW408" si="122">Q345</f>
        <v>SFA</v>
      </c>
      <c r="AX345" s="22">
        <v>44735</v>
      </c>
      <c r="AY345" s="22"/>
      <c r="AZ345" s="1" t="s">
        <v>110</v>
      </c>
      <c r="BA345" s="22" t="str">
        <f t="shared" si="121"/>
        <v>MARINE CARGO / GIT</v>
      </c>
      <c r="BB345" s="22"/>
      <c r="BC345" s="22"/>
      <c r="BD345" s="22"/>
    </row>
    <row r="346" spans="1:56" ht="14.25" customHeight="1" x14ac:dyDescent="0.2">
      <c r="A346" s="1" t="s">
        <v>496</v>
      </c>
      <c r="B346" s="1" t="s">
        <v>57</v>
      </c>
      <c r="C346" s="13">
        <v>44677</v>
      </c>
      <c r="D346" s="13">
        <v>44694</v>
      </c>
      <c r="E346" s="13">
        <v>44685</v>
      </c>
      <c r="F346" s="13">
        <v>44687</v>
      </c>
      <c r="G346" s="14" t="str">
        <f t="shared" si="112"/>
        <v>000-345/AIB RDC/2022</v>
      </c>
      <c r="H346" s="1">
        <v>0</v>
      </c>
      <c r="I346" s="1" t="s">
        <v>74</v>
      </c>
      <c r="J346" s="24" t="s">
        <v>623</v>
      </c>
      <c r="K346" s="1" t="s">
        <v>263</v>
      </c>
      <c r="L346" s="1"/>
      <c r="M346" s="1" t="s">
        <v>105</v>
      </c>
      <c r="N346" s="1" t="s">
        <v>191</v>
      </c>
      <c r="O346" s="1" t="s">
        <v>64</v>
      </c>
      <c r="P346" s="1" t="s">
        <v>65</v>
      </c>
      <c r="Q346" s="1" t="s">
        <v>130</v>
      </c>
      <c r="R346" s="1" t="s">
        <v>130</v>
      </c>
      <c r="S346" s="17">
        <v>9084.81</v>
      </c>
      <c r="T346" s="17">
        <v>94.4</v>
      </c>
      <c r="U346" s="17">
        <v>0</v>
      </c>
      <c r="V346" s="17">
        <v>0</v>
      </c>
      <c r="W346" s="17">
        <v>20</v>
      </c>
      <c r="X346" s="17">
        <v>60</v>
      </c>
      <c r="Y346" s="17">
        <v>12.8</v>
      </c>
      <c r="Z346" s="18">
        <f t="shared" si="113"/>
        <v>1.0390971302646946E-2</v>
      </c>
      <c r="AA346" s="19">
        <v>0.15</v>
      </c>
      <c r="AB346" s="17">
        <f t="shared" si="111"/>
        <v>9</v>
      </c>
      <c r="AC346" s="17"/>
      <c r="AD346" s="17"/>
      <c r="AE346" s="17">
        <f t="shared" si="114"/>
        <v>9</v>
      </c>
      <c r="AF346" s="17">
        <f t="shared" si="110"/>
        <v>1.44</v>
      </c>
      <c r="AG346" s="17">
        <f t="shared" si="115"/>
        <v>10.44</v>
      </c>
      <c r="AH346" s="17">
        <f t="shared" si="105"/>
        <v>0.18</v>
      </c>
      <c r="AI346" s="17"/>
      <c r="AJ346" s="17">
        <f t="shared" si="116"/>
        <v>0.18</v>
      </c>
      <c r="AK346" s="20"/>
      <c r="AL346" s="17">
        <f t="shared" si="117"/>
        <v>8.82</v>
      </c>
      <c r="AM346" s="17" t="s">
        <v>108</v>
      </c>
      <c r="AN346" s="21">
        <v>0.4</v>
      </c>
      <c r="AO346" s="17">
        <f t="shared" si="118"/>
        <v>3.5280000000000005</v>
      </c>
      <c r="AP346" s="17">
        <v>3.5280000000000005</v>
      </c>
      <c r="AQ346" s="16">
        <v>44834</v>
      </c>
      <c r="AR346" s="17">
        <f t="shared" si="109"/>
        <v>0</v>
      </c>
      <c r="AS346" s="17" t="s">
        <v>109</v>
      </c>
      <c r="AT346" s="17">
        <v>10.44</v>
      </c>
      <c r="AU346" s="17">
        <f t="shared" si="120"/>
        <v>10.44</v>
      </c>
      <c r="AV346" s="17">
        <f t="shared" si="119"/>
        <v>0</v>
      </c>
      <c r="AW346" s="17" t="str">
        <f t="shared" si="122"/>
        <v>SFA</v>
      </c>
      <c r="AX346" s="22">
        <v>44735</v>
      </c>
      <c r="AY346" s="22"/>
      <c r="AZ346" s="1" t="s">
        <v>110</v>
      </c>
      <c r="BA346" s="22" t="str">
        <f t="shared" si="121"/>
        <v>MARINE CARGO / GIT</v>
      </c>
      <c r="BB346" s="22"/>
      <c r="BC346" s="22"/>
      <c r="BD346" s="22"/>
    </row>
    <row r="347" spans="1:56" ht="14.25" customHeight="1" x14ac:dyDescent="0.2">
      <c r="A347" s="1" t="s">
        <v>496</v>
      </c>
      <c r="B347" s="1" t="s">
        <v>57</v>
      </c>
      <c r="C347" s="13">
        <v>44677</v>
      </c>
      <c r="D347" s="13">
        <v>44694</v>
      </c>
      <c r="E347" s="13">
        <v>44685</v>
      </c>
      <c r="F347" s="13">
        <v>44687</v>
      </c>
      <c r="G347" s="14" t="str">
        <f t="shared" si="112"/>
        <v>000-346/AIB RDC/2022</v>
      </c>
      <c r="H347" s="1">
        <v>0</v>
      </c>
      <c r="I347" s="1" t="s">
        <v>74</v>
      </c>
      <c r="J347" s="24" t="s">
        <v>624</v>
      </c>
      <c r="K347" s="1" t="s">
        <v>263</v>
      </c>
      <c r="L347" s="1"/>
      <c r="M347" s="1" t="s">
        <v>105</v>
      </c>
      <c r="N347" s="1" t="s">
        <v>191</v>
      </c>
      <c r="O347" s="1" t="s">
        <v>64</v>
      </c>
      <c r="P347" s="1" t="s">
        <v>65</v>
      </c>
      <c r="Q347" s="1" t="s">
        <v>130</v>
      </c>
      <c r="R347" s="1" t="s">
        <v>130</v>
      </c>
      <c r="S347" s="17">
        <v>28456.55</v>
      </c>
      <c r="T347" s="17">
        <v>94.4</v>
      </c>
      <c r="U347" s="17">
        <v>0</v>
      </c>
      <c r="V347" s="17">
        <v>0</v>
      </c>
      <c r="W347" s="17">
        <v>20</v>
      </c>
      <c r="X347" s="17">
        <v>60</v>
      </c>
      <c r="Y347" s="17">
        <v>12.8</v>
      </c>
      <c r="Z347" s="18">
        <f t="shared" si="113"/>
        <v>3.3173381875174612E-3</v>
      </c>
      <c r="AA347" s="19">
        <v>0.15</v>
      </c>
      <c r="AB347" s="17">
        <f t="shared" si="111"/>
        <v>9</v>
      </c>
      <c r="AC347" s="17"/>
      <c r="AD347" s="17"/>
      <c r="AE347" s="17">
        <f t="shared" si="114"/>
        <v>9</v>
      </c>
      <c r="AF347" s="17">
        <f t="shared" si="110"/>
        <v>1.44</v>
      </c>
      <c r="AG347" s="17">
        <f t="shared" si="115"/>
        <v>10.44</v>
      </c>
      <c r="AH347" s="17">
        <f t="shared" si="105"/>
        <v>0.18</v>
      </c>
      <c r="AI347" s="17"/>
      <c r="AJ347" s="17">
        <f t="shared" si="116"/>
        <v>0.18</v>
      </c>
      <c r="AK347" s="20"/>
      <c r="AL347" s="17">
        <f t="shared" si="117"/>
        <v>8.82</v>
      </c>
      <c r="AM347" s="17" t="s">
        <v>108</v>
      </c>
      <c r="AN347" s="21">
        <v>0.4</v>
      </c>
      <c r="AO347" s="17">
        <f t="shared" si="118"/>
        <v>3.5280000000000005</v>
      </c>
      <c r="AP347" s="17">
        <v>3.5280000000000005</v>
      </c>
      <c r="AQ347" s="16">
        <v>44834</v>
      </c>
      <c r="AR347" s="17">
        <f t="shared" si="109"/>
        <v>0</v>
      </c>
      <c r="AS347" s="17" t="s">
        <v>109</v>
      </c>
      <c r="AT347" s="17">
        <v>10.44</v>
      </c>
      <c r="AU347" s="17">
        <f t="shared" si="120"/>
        <v>10.44</v>
      </c>
      <c r="AV347" s="17">
        <f t="shared" si="119"/>
        <v>0</v>
      </c>
      <c r="AW347" s="17" t="str">
        <f t="shared" si="122"/>
        <v>SFA</v>
      </c>
      <c r="AX347" s="22">
        <v>44735</v>
      </c>
      <c r="AY347" s="22"/>
      <c r="AZ347" s="1" t="s">
        <v>110</v>
      </c>
      <c r="BA347" s="22" t="str">
        <f t="shared" si="121"/>
        <v>MARINE CARGO / GIT</v>
      </c>
      <c r="BB347" s="22"/>
      <c r="BC347" s="22"/>
      <c r="BD347" s="22"/>
    </row>
    <row r="348" spans="1:56" ht="14.25" customHeight="1" x14ac:dyDescent="0.2">
      <c r="A348" s="1" t="s">
        <v>496</v>
      </c>
      <c r="B348" s="1" t="s">
        <v>57</v>
      </c>
      <c r="C348" s="13">
        <v>44749</v>
      </c>
      <c r="D348" s="13">
        <v>44712</v>
      </c>
      <c r="E348" s="13">
        <v>44712</v>
      </c>
      <c r="F348" s="13">
        <v>45076</v>
      </c>
      <c r="G348" s="14" t="str">
        <f t="shared" si="112"/>
        <v>000-347/AIB RDC/2022</v>
      </c>
      <c r="H348" s="1">
        <v>0</v>
      </c>
      <c r="I348" s="1" t="s">
        <v>74</v>
      </c>
      <c r="J348" s="1" t="s">
        <v>625</v>
      </c>
      <c r="K348" s="1" t="s">
        <v>626</v>
      </c>
      <c r="L348" s="1"/>
      <c r="M348" s="1" t="s">
        <v>62</v>
      </c>
      <c r="N348" s="1" t="s">
        <v>209</v>
      </c>
      <c r="O348" s="1" t="s">
        <v>152</v>
      </c>
      <c r="P348" s="1" t="s">
        <v>153</v>
      </c>
      <c r="Q348" s="1" t="s">
        <v>79</v>
      </c>
      <c r="R348" s="1" t="s">
        <v>79</v>
      </c>
      <c r="S348" s="17">
        <v>0</v>
      </c>
      <c r="T348" s="17">
        <v>25063.56</v>
      </c>
      <c r="U348" s="17">
        <v>0</v>
      </c>
      <c r="V348" s="17">
        <v>0</v>
      </c>
      <c r="W348" s="17">
        <v>60</v>
      </c>
      <c r="X348" s="17">
        <v>21180.3</v>
      </c>
      <c r="Y348" s="17">
        <v>3398.45</v>
      </c>
      <c r="Z348" s="18" t="e">
        <f t="shared" si="113"/>
        <v>#DIV/0!</v>
      </c>
      <c r="AA348" s="19">
        <v>0.15</v>
      </c>
      <c r="AB348" s="17">
        <f t="shared" si="111"/>
        <v>3177.0449999999996</v>
      </c>
      <c r="AC348" s="17"/>
      <c r="AD348" s="17"/>
      <c r="AE348" s="17">
        <f t="shared" si="114"/>
        <v>3177.0449999999996</v>
      </c>
      <c r="AF348" s="17">
        <f t="shared" si="110"/>
        <v>508.32719999999995</v>
      </c>
      <c r="AG348" s="17">
        <f t="shared" si="115"/>
        <v>3685.3721999999998</v>
      </c>
      <c r="AH348" s="17">
        <f t="shared" si="105"/>
        <v>63.540899999999993</v>
      </c>
      <c r="AI348" s="17"/>
      <c r="AJ348" s="17">
        <f t="shared" si="116"/>
        <v>63.540899999999993</v>
      </c>
      <c r="AK348" s="20"/>
      <c r="AL348" s="17">
        <f t="shared" si="117"/>
        <v>3113.5040999999997</v>
      </c>
      <c r="AM348" s="17"/>
      <c r="AN348" s="21"/>
      <c r="AO348" s="17">
        <f t="shared" si="118"/>
        <v>0</v>
      </c>
      <c r="AP348" s="17"/>
      <c r="AQ348" s="16"/>
      <c r="AR348" s="17">
        <f t="shared" si="109"/>
        <v>0</v>
      </c>
      <c r="AS348" s="17"/>
      <c r="AT348" s="17">
        <v>3685.3721999999998</v>
      </c>
      <c r="AU348" s="17">
        <f t="shared" si="120"/>
        <v>3685.3721999999998</v>
      </c>
      <c r="AV348" s="17">
        <f t="shared" si="119"/>
        <v>0</v>
      </c>
      <c r="AW348" s="17" t="str">
        <f t="shared" si="122"/>
        <v>MAYFAIR</v>
      </c>
      <c r="AX348" s="22">
        <v>44746</v>
      </c>
      <c r="AY348" s="22"/>
      <c r="AZ348" s="1" t="s">
        <v>68</v>
      </c>
      <c r="BA348" s="22" t="str">
        <f t="shared" si="121"/>
        <v>COMP MOTOR</v>
      </c>
      <c r="BB348" s="22"/>
      <c r="BC348" s="22"/>
      <c r="BD348" s="22"/>
    </row>
    <row r="349" spans="1:56" ht="14.25" customHeight="1" x14ac:dyDescent="0.2">
      <c r="A349" s="1" t="s">
        <v>496</v>
      </c>
      <c r="B349" s="1" t="s">
        <v>57</v>
      </c>
      <c r="C349" s="13">
        <v>44750</v>
      </c>
      <c r="D349" s="13">
        <v>44712</v>
      </c>
      <c r="E349" s="13">
        <v>44712</v>
      </c>
      <c r="F349" s="13">
        <v>45076</v>
      </c>
      <c r="G349" s="14" t="str">
        <f t="shared" si="112"/>
        <v>000-348/AIB RDC/2022</v>
      </c>
      <c r="H349" s="1">
        <v>0</v>
      </c>
      <c r="I349" s="1" t="s">
        <v>74</v>
      </c>
      <c r="J349" s="1" t="s">
        <v>627</v>
      </c>
      <c r="K349" s="1" t="s">
        <v>543</v>
      </c>
      <c r="L349" s="1"/>
      <c r="M349" s="1" t="s">
        <v>62</v>
      </c>
      <c r="N349" s="1" t="s">
        <v>209</v>
      </c>
      <c r="O349" s="1" t="s">
        <v>70</v>
      </c>
      <c r="P349" s="1" t="s">
        <v>71</v>
      </c>
      <c r="Q349" s="1" t="s">
        <v>79</v>
      </c>
      <c r="R349" s="1" t="s">
        <v>79</v>
      </c>
      <c r="S349" s="17">
        <v>0</v>
      </c>
      <c r="T349" s="17">
        <v>44758</v>
      </c>
      <c r="U349" s="17">
        <v>0</v>
      </c>
      <c r="V349" s="17">
        <v>0</v>
      </c>
      <c r="W349" s="17">
        <v>100</v>
      </c>
      <c r="X349" s="17">
        <v>37830</v>
      </c>
      <c r="Y349" s="17">
        <v>6068</v>
      </c>
      <c r="Z349" s="18" t="e">
        <f t="shared" si="113"/>
        <v>#DIV/0!</v>
      </c>
      <c r="AA349" s="19">
        <v>0.15</v>
      </c>
      <c r="AB349" s="17">
        <f t="shared" si="111"/>
        <v>5674.5</v>
      </c>
      <c r="AC349" s="17"/>
      <c r="AD349" s="17"/>
      <c r="AE349" s="17">
        <f t="shared" si="114"/>
        <v>5674.5</v>
      </c>
      <c r="AF349" s="17">
        <f t="shared" si="110"/>
        <v>907.92000000000007</v>
      </c>
      <c r="AG349" s="17">
        <f t="shared" si="115"/>
        <v>6582.42</v>
      </c>
      <c r="AH349" s="17">
        <f t="shared" si="105"/>
        <v>113.49000000000001</v>
      </c>
      <c r="AI349" s="17"/>
      <c r="AJ349" s="17">
        <f t="shared" si="116"/>
        <v>113.49000000000001</v>
      </c>
      <c r="AK349" s="20"/>
      <c r="AL349" s="17">
        <f t="shared" si="117"/>
        <v>5561.01</v>
      </c>
      <c r="AM349" s="17" t="s">
        <v>198</v>
      </c>
      <c r="AN349" s="21">
        <v>0</v>
      </c>
      <c r="AO349" s="17">
        <f t="shared" si="118"/>
        <v>0</v>
      </c>
      <c r="AP349" s="17"/>
      <c r="AQ349" s="16"/>
      <c r="AR349" s="17">
        <f t="shared" si="109"/>
        <v>0</v>
      </c>
      <c r="AS349" s="17"/>
      <c r="AT349" s="17">
        <f>3291.21+3291.21</f>
        <v>6582.42</v>
      </c>
      <c r="AU349" s="17">
        <f t="shared" si="120"/>
        <v>6582.42</v>
      </c>
      <c r="AV349" s="17">
        <f t="shared" si="119"/>
        <v>0</v>
      </c>
      <c r="AW349" s="17" t="str">
        <f t="shared" si="122"/>
        <v>MAYFAIR</v>
      </c>
      <c r="AX349" s="22">
        <v>45106</v>
      </c>
      <c r="AY349" s="22"/>
      <c r="AZ349" s="1" t="s">
        <v>100</v>
      </c>
      <c r="BA349" s="22" t="str">
        <f t="shared" si="121"/>
        <v>FIRE</v>
      </c>
      <c r="BB349" s="26"/>
      <c r="BC349" s="22"/>
      <c r="BD349" s="1" t="s">
        <v>549</v>
      </c>
    </row>
    <row r="350" spans="1:56" ht="14.25" customHeight="1" x14ac:dyDescent="0.2">
      <c r="A350" s="1" t="s">
        <v>496</v>
      </c>
      <c r="B350" s="1" t="s">
        <v>57</v>
      </c>
      <c r="C350" s="13">
        <v>44749</v>
      </c>
      <c r="D350" s="13">
        <v>44712</v>
      </c>
      <c r="E350" s="13">
        <v>44682</v>
      </c>
      <c r="F350" s="13">
        <v>45046</v>
      </c>
      <c r="G350" s="14" t="str">
        <f t="shared" si="112"/>
        <v>000-349/AIB RDC/2022</v>
      </c>
      <c r="H350" s="1">
        <v>3</v>
      </c>
      <c r="I350" s="1" t="s">
        <v>58</v>
      </c>
      <c r="J350" s="1" t="s">
        <v>628</v>
      </c>
      <c r="K350" s="1" t="s">
        <v>255</v>
      </c>
      <c r="L350" s="1" t="s">
        <v>256</v>
      </c>
      <c r="M350" s="1" t="s">
        <v>62</v>
      </c>
      <c r="N350" s="1" t="s">
        <v>209</v>
      </c>
      <c r="O350" s="1" t="s">
        <v>113</v>
      </c>
      <c r="P350" s="1" t="s">
        <v>113</v>
      </c>
      <c r="Q350" s="1" t="s">
        <v>114</v>
      </c>
      <c r="R350" s="1" t="s">
        <v>629</v>
      </c>
      <c r="S350" s="17">
        <v>0</v>
      </c>
      <c r="T350" s="17">
        <v>90742.5</v>
      </c>
      <c r="U350" s="17">
        <v>0</v>
      </c>
      <c r="V350" s="17">
        <v>0</v>
      </c>
      <c r="W350" s="17">
        <v>294</v>
      </c>
      <c r="X350" s="17">
        <v>90448.5</v>
      </c>
      <c r="Y350" s="17">
        <v>0</v>
      </c>
      <c r="Z350" s="18" t="e">
        <f t="shared" si="113"/>
        <v>#DIV/0!</v>
      </c>
      <c r="AA350" s="19">
        <v>9.9331774435175796E-2</v>
      </c>
      <c r="AB350" s="17">
        <f t="shared" si="111"/>
        <v>8984.409999999998</v>
      </c>
      <c r="AC350" s="17"/>
      <c r="AD350" s="17">
        <v>0</v>
      </c>
      <c r="AE350" s="17">
        <f t="shared" si="114"/>
        <v>8984.409999999998</v>
      </c>
      <c r="AF350" s="17">
        <v>0</v>
      </c>
      <c r="AG350" s="17">
        <f t="shared" si="115"/>
        <v>8984.409999999998</v>
      </c>
      <c r="AH350" s="17">
        <f>1%*AE350</f>
        <v>89.844099999999983</v>
      </c>
      <c r="AI350" s="17">
        <v>0</v>
      </c>
      <c r="AJ350" s="17">
        <f t="shared" si="116"/>
        <v>89.844099999999983</v>
      </c>
      <c r="AK350" s="20"/>
      <c r="AL350" s="17">
        <f t="shared" si="117"/>
        <v>8894.5658999999978</v>
      </c>
      <c r="AM350" s="17" t="s">
        <v>87</v>
      </c>
      <c r="AN350" s="21">
        <v>0.35</v>
      </c>
      <c r="AO350" s="17">
        <f t="shared" si="118"/>
        <v>3113.0980649999992</v>
      </c>
      <c r="AP350" s="17">
        <v>3113.0980649999992</v>
      </c>
      <c r="AQ350" s="16">
        <v>45070</v>
      </c>
      <c r="AR350" s="17">
        <f t="shared" si="109"/>
        <v>0</v>
      </c>
      <c r="AS350" s="17"/>
      <c r="AT350" s="17">
        <v>8984.409999999998</v>
      </c>
      <c r="AU350" s="17">
        <f t="shared" si="120"/>
        <v>8984.409999999998</v>
      </c>
      <c r="AV350" s="17">
        <f t="shared" si="119"/>
        <v>0</v>
      </c>
      <c r="AW350" s="17" t="str">
        <f t="shared" si="122"/>
        <v>RAWSUR - LIFE</v>
      </c>
      <c r="AX350" s="22">
        <v>44747</v>
      </c>
      <c r="AY350" s="22"/>
      <c r="AZ350" s="1" t="s">
        <v>68</v>
      </c>
      <c r="BA350" s="22" t="str">
        <f t="shared" si="121"/>
        <v>LIFE</v>
      </c>
      <c r="BB350" s="22"/>
      <c r="BC350" s="22"/>
      <c r="BD350" s="22"/>
    </row>
    <row r="351" spans="1:56" ht="14.25" customHeight="1" x14ac:dyDescent="0.2">
      <c r="A351" s="1" t="s">
        <v>324</v>
      </c>
      <c r="B351" s="1" t="s">
        <v>57</v>
      </c>
      <c r="C351" s="13">
        <v>44728</v>
      </c>
      <c r="D351" s="13">
        <v>44728</v>
      </c>
      <c r="E351" s="13">
        <v>44636</v>
      </c>
      <c r="F351" s="13">
        <v>44666</v>
      </c>
      <c r="G351" s="14" t="str">
        <f t="shared" si="112"/>
        <v>000-350/AIB RDC/2022</v>
      </c>
      <c r="H351" s="1">
        <v>0</v>
      </c>
      <c r="I351" s="1" t="s">
        <v>74</v>
      </c>
      <c r="J351" s="1" t="s">
        <v>630</v>
      </c>
      <c r="K351" s="1" t="s">
        <v>261</v>
      </c>
      <c r="L351" s="1"/>
      <c r="M351" s="1" t="s">
        <v>105</v>
      </c>
      <c r="N351" s="1" t="s">
        <v>106</v>
      </c>
      <c r="O351" s="1" t="s">
        <v>64</v>
      </c>
      <c r="P351" s="1" t="s">
        <v>65</v>
      </c>
      <c r="Q351" s="1" t="s">
        <v>130</v>
      </c>
      <c r="R351" s="1" t="s">
        <v>130</v>
      </c>
      <c r="S351" s="17">
        <v>291624.93</v>
      </c>
      <c r="T351" s="17">
        <v>519.13</v>
      </c>
      <c r="U351" s="17">
        <v>0</v>
      </c>
      <c r="V351" s="17">
        <v>0</v>
      </c>
      <c r="W351" s="17">
        <v>20</v>
      </c>
      <c r="X351" s="17">
        <v>419.94</v>
      </c>
      <c r="Y351" s="17">
        <v>70.39</v>
      </c>
      <c r="Z351" s="18">
        <f t="shared" si="113"/>
        <v>1.7801290170905485E-3</v>
      </c>
      <c r="AA351" s="19">
        <v>0.15</v>
      </c>
      <c r="AB351" s="17">
        <f t="shared" si="111"/>
        <v>62.991</v>
      </c>
      <c r="AC351" s="17"/>
      <c r="AD351" s="17"/>
      <c r="AE351" s="17">
        <f t="shared" si="114"/>
        <v>62.991</v>
      </c>
      <c r="AF351" s="17">
        <f t="shared" ref="AF351:AF382" si="123">16%*AE351</f>
        <v>10.07856</v>
      </c>
      <c r="AG351" s="17">
        <f t="shared" si="115"/>
        <v>73.069559999999996</v>
      </c>
      <c r="AH351" s="17">
        <f t="shared" ref="AH351:AH382" si="124">2%*AE351</f>
        <v>1.2598199999999999</v>
      </c>
      <c r="AI351" s="17"/>
      <c r="AJ351" s="17">
        <f t="shared" si="116"/>
        <v>1.2598199999999999</v>
      </c>
      <c r="AK351" s="20"/>
      <c r="AL351" s="17">
        <f t="shared" si="117"/>
        <v>61.731180000000002</v>
      </c>
      <c r="AM351" s="17" t="s">
        <v>108</v>
      </c>
      <c r="AN351" s="21">
        <v>0.4</v>
      </c>
      <c r="AO351" s="17">
        <f t="shared" si="118"/>
        <v>24.692472000000002</v>
      </c>
      <c r="AP351" s="17">
        <v>24.692472000000002</v>
      </c>
      <c r="AQ351" s="16">
        <v>44834</v>
      </c>
      <c r="AR351" s="17">
        <f t="shared" si="109"/>
        <v>0</v>
      </c>
      <c r="AS351" s="17" t="s">
        <v>109</v>
      </c>
      <c r="AT351" s="17">
        <v>73.069559999999996</v>
      </c>
      <c r="AU351" s="17">
        <f t="shared" si="120"/>
        <v>73.069559999999996</v>
      </c>
      <c r="AV351" s="17">
        <f t="shared" si="119"/>
        <v>0</v>
      </c>
      <c r="AW351" s="17" t="str">
        <f t="shared" si="122"/>
        <v>SFA</v>
      </c>
      <c r="AX351" s="22">
        <v>44781</v>
      </c>
      <c r="AY351" s="22"/>
      <c r="AZ351" s="1" t="s">
        <v>110</v>
      </c>
      <c r="BA351" s="22" t="str">
        <f t="shared" si="121"/>
        <v>MARINE CARGO / GIT</v>
      </c>
      <c r="BB351" s="22"/>
      <c r="BC351" s="22"/>
      <c r="BD351" s="22"/>
    </row>
    <row r="352" spans="1:56" ht="14.25" customHeight="1" x14ac:dyDescent="0.2">
      <c r="A352" s="1" t="s">
        <v>496</v>
      </c>
      <c r="B352" s="1" t="s">
        <v>57</v>
      </c>
      <c r="C352" s="13">
        <v>44708</v>
      </c>
      <c r="D352" s="13">
        <v>44743</v>
      </c>
      <c r="E352" s="13">
        <v>44710</v>
      </c>
      <c r="F352" s="13">
        <v>44828</v>
      </c>
      <c r="G352" s="14" t="str">
        <f t="shared" si="112"/>
        <v>000-351/AIB RDC/2022</v>
      </c>
      <c r="H352" s="1">
        <v>2</v>
      </c>
      <c r="I352" s="1" t="s">
        <v>91</v>
      </c>
      <c r="J352" s="1" t="s">
        <v>631</v>
      </c>
      <c r="K352" s="1" t="s">
        <v>632</v>
      </c>
      <c r="L352" s="1"/>
      <c r="M352" s="1" t="s">
        <v>105</v>
      </c>
      <c r="N352" s="1" t="s">
        <v>184</v>
      </c>
      <c r="O352" s="1" t="s">
        <v>73</v>
      </c>
      <c r="P352" s="1" t="s">
        <v>73</v>
      </c>
      <c r="Q352" s="1" t="s">
        <v>107</v>
      </c>
      <c r="R352" s="1" t="s">
        <v>107</v>
      </c>
      <c r="S352" s="17">
        <v>0</v>
      </c>
      <c r="T352" s="17">
        <v>701.07</v>
      </c>
      <c r="U352" s="17">
        <v>0</v>
      </c>
      <c r="V352" s="17">
        <v>0</v>
      </c>
      <c r="W352" s="17">
        <v>30</v>
      </c>
      <c r="X352" s="17">
        <v>564.12</v>
      </c>
      <c r="Y352" s="17">
        <v>95.07</v>
      </c>
      <c r="Z352" s="18" t="e">
        <f t="shared" si="113"/>
        <v>#DIV/0!</v>
      </c>
      <c r="AA352" s="19">
        <v>0.1</v>
      </c>
      <c r="AB352" s="17">
        <f t="shared" si="111"/>
        <v>56.412000000000006</v>
      </c>
      <c r="AC352" s="17"/>
      <c r="AD352" s="17"/>
      <c r="AE352" s="17">
        <f t="shared" si="114"/>
        <v>56.412000000000006</v>
      </c>
      <c r="AF352" s="17">
        <f t="shared" si="123"/>
        <v>9.0259200000000011</v>
      </c>
      <c r="AG352" s="17">
        <f t="shared" si="115"/>
        <v>65.437920000000005</v>
      </c>
      <c r="AH352" s="17">
        <f t="shared" si="124"/>
        <v>1.1282400000000001</v>
      </c>
      <c r="AI352" s="17"/>
      <c r="AJ352" s="17">
        <f t="shared" si="116"/>
        <v>1.1282400000000001</v>
      </c>
      <c r="AK352" s="20"/>
      <c r="AL352" s="17">
        <f t="shared" si="117"/>
        <v>55.283760000000008</v>
      </c>
      <c r="AM352" s="17"/>
      <c r="AN352" s="21"/>
      <c r="AO352" s="17">
        <f t="shared" si="118"/>
        <v>0</v>
      </c>
      <c r="AP352" s="17"/>
      <c r="AQ352" s="16"/>
      <c r="AR352" s="17"/>
      <c r="AS352" s="17"/>
      <c r="AT352" s="17">
        <v>65.437920000000005</v>
      </c>
      <c r="AU352" s="17">
        <f t="shared" si="120"/>
        <v>65.437920000000005</v>
      </c>
      <c r="AV352" s="17">
        <f t="shared" si="119"/>
        <v>0</v>
      </c>
      <c r="AW352" s="17" t="str">
        <f t="shared" si="122"/>
        <v>RAWSUR</v>
      </c>
      <c r="AX352" s="22">
        <v>44770</v>
      </c>
      <c r="AY352" s="22"/>
      <c r="AZ352" s="1" t="s">
        <v>68</v>
      </c>
      <c r="BA352" s="22" t="str">
        <f t="shared" si="121"/>
        <v>MOTOR TPL</v>
      </c>
      <c r="BB352" s="22"/>
      <c r="BC352" s="22"/>
      <c r="BD352" s="22"/>
    </row>
    <row r="353" spans="1:56" ht="14.25" customHeight="1" x14ac:dyDescent="0.2">
      <c r="A353" s="1" t="s">
        <v>496</v>
      </c>
      <c r="B353" s="1" t="s">
        <v>57</v>
      </c>
      <c r="C353" s="13">
        <v>44733</v>
      </c>
      <c r="D353" s="13">
        <v>44733</v>
      </c>
      <c r="E353" s="13">
        <v>44711</v>
      </c>
      <c r="F353" s="13">
        <v>44713</v>
      </c>
      <c r="G353" s="14" t="str">
        <f t="shared" si="112"/>
        <v>000-352/AIB RDC/2022</v>
      </c>
      <c r="H353" s="1">
        <v>0</v>
      </c>
      <c r="I353" s="1" t="s">
        <v>74</v>
      </c>
      <c r="J353" s="1" t="s">
        <v>633</v>
      </c>
      <c r="K353" s="1" t="s">
        <v>263</v>
      </c>
      <c r="L353" s="1"/>
      <c r="M353" s="1" t="s">
        <v>105</v>
      </c>
      <c r="N353" s="1" t="s">
        <v>106</v>
      </c>
      <c r="O353" s="1" t="s">
        <v>64</v>
      </c>
      <c r="P353" s="1" t="s">
        <v>65</v>
      </c>
      <c r="Q353" s="1" t="s">
        <v>130</v>
      </c>
      <c r="R353" s="1" t="s">
        <v>130</v>
      </c>
      <c r="S353" s="17">
        <v>9995.91</v>
      </c>
      <c r="T353" s="17">
        <v>94.4</v>
      </c>
      <c r="U353" s="17">
        <v>0</v>
      </c>
      <c r="V353" s="17">
        <v>0</v>
      </c>
      <c r="W353" s="17">
        <v>20</v>
      </c>
      <c r="X353" s="17">
        <v>60</v>
      </c>
      <c r="Y353" s="17">
        <v>12.8</v>
      </c>
      <c r="Z353" s="18">
        <f t="shared" si="113"/>
        <v>9.4438625397787711E-3</v>
      </c>
      <c r="AA353" s="19">
        <v>0.15</v>
      </c>
      <c r="AB353" s="17">
        <f t="shared" si="111"/>
        <v>9</v>
      </c>
      <c r="AC353" s="17"/>
      <c r="AD353" s="17"/>
      <c r="AE353" s="17">
        <f t="shared" si="114"/>
        <v>9</v>
      </c>
      <c r="AF353" s="17">
        <f t="shared" si="123"/>
        <v>1.44</v>
      </c>
      <c r="AG353" s="17">
        <f t="shared" si="115"/>
        <v>10.44</v>
      </c>
      <c r="AH353" s="17">
        <f t="shared" si="124"/>
        <v>0.18</v>
      </c>
      <c r="AI353" s="17"/>
      <c r="AJ353" s="17">
        <f t="shared" si="116"/>
        <v>0.18</v>
      </c>
      <c r="AK353" s="20"/>
      <c r="AL353" s="17">
        <f t="shared" si="117"/>
        <v>8.82</v>
      </c>
      <c r="AM353" s="17" t="s">
        <v>108</v>
      </c>
      <c r="AN353" s="21">
        <v>0.4</v>
      </c>
      <c r="AO353" s="17">
        <f t="shared" si="118"/>
        <v>3.5280000000000005</v>
      </c>
      <c r="AP353" s="17">
        <v>3.5280000000000005</v>
      </c>
      <c r="AQ353" s="16">
        <v>44834</v>
      </c>
      <c r="AR353" s="17">
        <f t="shared" ref="AR353:AR416" si="125">AO353-AP353</f>
        <v>0</v>
      </c>
      <c r="AS353" s="17" t="s">
        <v>109</v>
      </c>
      <c r="AT353" s="17">
        <v>10.44</v>
      </c>
      <c r="AU353" s="17">
        <f t="shared" si="120"/>
        <v>10.44</v>
      </c>
      <c r="AV353" s="17">
        <f t="shared" si="119"/>
        <v>0</v>
      </c>
      <c r="AW353" s="17" t="str">
        <f t="shared" si="122"/>
        <v>SFA</v>
      </c>
      <c r="AX353" s="22">
        <v>44781</v>
      </c>
      <c r="AY353" s="22"/>
      <c r="AZ353" s="1" t="s">
        <v>110</v>
      </c>
      <c r="BA353" s="22" t="str">
        <f t="shared" si="121"/>
        <v>MARINE CARGO / GIT</v>
      </c>
      <c r="BB353" s="22"/>
      <c r="BC353" s="22"/>
      <c r="BD353" s="22"/>
    </row>
    <row r="354" spans="1:56" ht="14.25" customHeight="1" x14ac:dyDescent="0.2">
      <c r="A354" s="1" t="s">
        <v>578</v>
      </c>
      <c r="B354" s="1" t="s">
        <v>57</v>
      </c>
      <c r="C354" s="13">
        <v>44714</v>
      </c>
      <c r="D354" s="13">
        <v>44741</v>
      </c>
      <c r="E354" s="13">
        <v>44736</v>
      </c>
      <c r="F354" s="13">
        <v>44848</v>
      </c>
      <c r="G354" s="14" t="str">
        <f t="shared" si="112"/>
        <v>000-353/AIB RDC/2022</v>
      </c>
      <c r="H354" s="1">
        <v>9</v>
      </c>
      <c r="I354" s="1" t="s">
        <v>91</v>
      </c>
      <c r="J354" s="1" t="s">
        <v>299</v>
      </c>
      <c r="K354" s="1" t="s">
        <v>300</v>
      </c>
      <c r="L354" s="1" t="s">
        <v>214</v>
      </c>
      <c r="M354" s="1" t="s">
        <v>62</v>
      </c>
      <c r="N354" s="1" t="s">
        <v>209</v>
      </c>
      <c r="O354" s="1" t="s">
        <v>73</v>
      </c>
      <c r="P354" s="1" t="s">
        <v>73</v>
      </c>
      <c r="Q354" s="1" t="s">
        <v>130</v>
      </c>
      <c r="R354" s="1" t="s">
        <v>130</v>
      </c>
      <c r="S354" s="17">
        <v>0</v>
      </c>
      <c r="T354" s="17">
        <v>2525.15</v>
      </c>
      <c r="U354" s="17">
        <v>0</v>
      </c>
      <c r="V354" s="17">
        <v>0</v>
      </c>
      <c r="W354" s="17">
        <v>31.6</v>
      </c>
      <c r="X354" s="17">
        <v>2108.37</v>
      </c>
      <c r="Y354" s="17">
        <v>342.39</v>
      </c>
      <c r="Z354" s="18" t="e">
        <f t="shared" si="113"/>
        <v>#DIV/0!</v>
      </c>
      <c r="AA354" s="19">
        <v>0.1</v>
      </c>
      <c r="AB354" s="17">
        <f t="shared" si="111"/>
        <v>210.83699999999999</v>
      </c>
      <c r="AC354" s="17">
        <v>0</v>
      </c>
      <c r="AD354" s="17">
        <v>0</v>
      </c>
      <c r="AE354" s="17">
        <f t="shared" si="114"/>
        <v>210.83699999999999</v>
      </c>
      <c r="AF354" s="17">
        <f t="shared" si="123"/>
        <v>33.733919999999998</v>
      </c>
      <c r="AG354" s="17">
        <f t="shared" si="115"/>
        <v>244.57092</v>
      </c>
      <c r="AH354" s="17">
        <f t="shared" si="124"/>
        <v>4.2167399999999997</v>
      </c>
      <c r="AI354" s="17"/>
      <c r="AJ354" s="17">
        <f t="shared" si="116"/>
        <v>4.2167399999999997</v>
      </c>
      <c r="AK354" s="20"/>
      <c r="AL354" s="17">
        <f t="shared" si="117"/>
        <v>206.62026</v>
      </c>
      <c r="AM354" s="17"/>
      <c r="AN354" s="21"/>
      <c r="AO354" s="17">
        <f t="shared" si="118"/>
        <v>0</v>
      </c>
      <c r="AP354" s="17"/>
      <c r="AQ354" s="16"/>
      <c r="AR354" s="17">
        <f t="shared" si="125"/>
        <v>0</v>
      </c>
      <c r="AS354" s="17"/>
      <c r="AT354" s="17">
        <v>244.57092</v>
      </c>
      <c r="AU354" s="17">
        <f t="shared" si="120"/>
        <v>244.57092</v>
      </c>
      <c r="AV354" s="17">
        <f t="shared" si="119"/>
        <v>0</v>
      </c>
      <c r="AW354" s="17" t="str">
        <f t="shared" si="122"/>
        <v>SFA</v>
      </c>
      <c r="AX354" s="22">
        <v>44781</v>
      </c>
      <c r="AY354" s="22"/>
      <c r="AZ354" s="1" t="s">
        <v>68</v>
      </c>
      <c r="BA354" s="22" t="str">
        <f t="shared" si="121"/>
        <v>MOTOR TPL</v>
      </c>
      <c r="BB354" s="22"/>
      <c r="BC354" s="1" t="s">
        <v>130</v>
      </c>
      <c r="BD354" s="1"/>
    </row>
    <row r="355" spans="1:56" ht="14.25" customHeight="1" x14ac:dyDescent="0.2">
      <c r="A355" s="1" t="s">
        <v>578</v>
      </c>
      <c r="B355" s="1" t="s">
        <v>57</v>
      </c>
      <c r="C355" s="13">
        <v>44719</v>
      </c>
      <c r="D355" s="13">
        <v>44725</v>
      </c>
      <c r="E355" s="13">
        <v>44721</v>
      </c>
      <c r="F355" s="13">
        <v>45085</v>
      </c>
      <c r="G355" s="14" t="str">
        <f t="shared" si="112"/>
        <v>000-354/AIB RDC/2022</v>
      </c>
      <c r="H355" s="1">
        <v>0</v>
      </c>
      <c r="I355" s="1" t="s">
        <v>74</v>
      </c>
      <c r="J355" s="1" t="s">
        <v>634</v>
      </c>
      <c r="K355" s="1" t="s">
        <v>635</v>
      </c>
      <c r="L355" s="1"/>
      <c r="M355" s="1" t="s">
        <v>62</v>
      </c>
      <c r="N355" s="1" t="s">
        <v>209</v>
      </c>
      <c r="O355" s="1" t="s">
        <v>152</v>
      </c>
      <c r="P355" s="1" t="s">
        <v>153</v>
      </c>
      <c r="Q355" s="1" t="s">
        <v>79</v>
      </c>
      <c r="R355" s="1" t="s">
        <v>79</v>
      </c>
      <c r="S355" s="17">
        <v>35000</v>
      </c>
      <c r="T355" s="17">
        <v>1751.54</v>
      </c>
      <c r="U355" s="17">
        <v>0</v>
      </c>
      <c r="V355" s="17">
        <v>0</v>
      </c>
      <c r="W355" s="17">
        <v>10</v>
      </c>
      <c r="X355" s="17">
        <v>1474.35</v>
      </c>
      <c r="Y355" s="17">
        <v>237.5</v>
      </c>
      <c r="Z355" s="18">
        <f t="shared" si="113"/>
        <v>5.0043999999999998E-2</v>
      </c>
      <c r="AA355" s="19">
        <v>0.15</v>
      </c>
      <c r="AB355" s="17">
        <f t="shared" si="111"/>
        <v>221.15249999999997</v>
      </c>
      <c r="AC355" s="17"/>
      <c r="AD355" s="17"/>
      <c r="AE355" s="17">
        <f t="shared" si="114"/>
        <v>221.15249999999997</v>
      </c>
      <c r="AF355" s="17">
        <f t="shared" si="123"/>
        <v>35.384399999999999</v>
      </c>
      <c r="AG355" s="17">
        <f t="shared" si="115"/>
        <v>256.53689999999995</v>
      </c>
      <c r="AH355" s="17">
        <f t="shared" si="124"/>
        <v>4.4230499999999999</v>
      </c>
      <c r="AI355" s="17"/>
      <c r="AJ355" s="17">
        <f t="shared" si="116"/>
        <v>4.4230499999999999</v>
      </c>
      <c r="AK355" s="20"/>
      <c r="AL355" s="17">
        <f t="shared" si="117"/>
        <v>216.72944999999999</v>
      </c>
      <c r="AM355" s="17"/>
      <c r="AN355" s="21"/>
      <c r="AO355" s="17">
        <f t="shared" si="118"/>
        <v>0</v>
      </c>
      <c r="AP355" s="17"/>
      <c r="AQ355" s="16"/>
      <c r="AR355" s="17">
        <f t="shared" si="125"/>
        <v>0</v>
      </c>
      <c r="AS355" s="17"/>
      <c r="AT355" s="17">
        <v>256.53689999999995</v>
      </c>
      <c r="AU355" s="17">
        <f t="shared" si="120"/>
        <v>256.53689999999995</v>
      </c>
      <c r="AV355" s="17">
        <f t="shared" si="119"/>
        <v>0</v>
      </c>
      <c r="AW355" s="17" t="str">
        <f t="shared" si="122"/>
        <v>MAYFAIR</v>
      </c>
      <c r="AX355" s="22">
        <v>44772</v>
      </c>
      <c r="AY355" s="22"/>
      <c r="AZ355" s="1" t="s">
        <v>68</v>
      </c>
      <c r="BA355" s="22" t="str">
        <f t="shared" si="121"/>
        <v>COMP MOTOR</v>
      </c>
      <c r="BB355" s="22"/>
      <c r="BC355" s="22"/>
      <c r="BD355" s="22"/>
    </row>
    <row r="356" spans="1:56" ht="14.25" customHeight="1" x14ac:dyDescent="0.2">
      <c r="A356" s="1" t="s">
        <v>578</v>
      </c>
      <c r="B356" s="1" t="s">
        <v>57</v>
      </c>
      <c r="C356" s="13">
        <v>44728</v>
      </c>
      <c r="D356" s="13">
        <v>44739</v>
      </c>
      <c r="E356" s="13">
        <v>44732</v>
      </c>
      <c r="F356" s="13">
        <v>44823</v>
      </c>
      <c r="G356" s="14" t="str">
        <f t="shared" si="112"/>
        <v>000-355/AIB RDC/2022</v>
      </c>
      <c r="H356" s="1">
        <v>0</v>
      </c>
      <c r="I356" s="1" t="s">
        <v>74</v>
      </c>
      <c r="J356" s="1" t="s">
        <v>636</v>
      </c>
      <c r="K356" s="1" t="s">
        <v>637</v>
      </c>
      <c r="L356" s="1" t="s">
        <v>420</v>
      </c>
      <c r="M356" s="1" t="s">
        <v>62</v>
      </c>
      <c r="N356" s="1" t="s">
        <v>209</v>
      </c>
      <c r="O356" s="1" t="s">
        <v>64</v>
      </c>
      <c r="P356" s="1" t="s">
        <v>65</v>
      </c>
      <c r="Q356" s="1" t="s">
        <v>79</v>
      </c>
      <c r="R356" s="1" t="s">
        <v>79</v>
      </c>
      <c r="S356" s="17">
        <v>195000</v>
      </c>
      <c r="T356" s="17">
        <v>1227</v>
      </c>
      <c r="U356" s="17">
        <v>0</v>
      </c>
      <c r="V356" s="17">
        <v>0</v>
      </c>
      <c r="W356" s="17">
        <v>50</v>
      </c>
      <c r="X356" s="17">
        <v>990</v>
      </c>
      <c r="Y356" s="17">
        <v>166</v>
      </c>
      <c r="Z356" s="18">
        <f t="shared" si="113"/>
        <v>6.2923076923076925E-3</v>
      </c>
      <c r="AA356" s="19">
        <v>0.15</v>
      </c>
      <c r="AB356" s="17">
        <f t="shared" si="111"/>
        <v>148.5</v>
      </c>
      <c r="AC356" s="17"/>
      <c r="AD356" s="17"/>
      <c r="AE356" s="17">
        <f t="shared" si="114"/>
        <v>148.5</v>
      </c>
      <c r="AF356" s="17">
        <f t="shared" si="123"/>
        <v>23.76</v>
      </c>
      <c r="AG356" s="17">
        <f t="shared" si="115"/>
        <v>172.26</v>
      </c>
      <c r="AH356" s="17">
        <f t="shared" si="124"/>
        <v>2.97</v>
      </c>
      <c r="AI356" s="17">
        <v>0</v>
      </c>
      <c r="AJ356" s="17">
        <f t="shared" si="116"/>
        <v>2.97</v>
      </c>
      <c r="AK356" s="20"/>
      <c r="AL356" s="17">
        <f t="shared" si="117"/>
        <v>145.53</v>
      </c>
      <c r="AM356" s="17"/>
      <c r="AN356" s="21"/>
      <c r="AO356" s="17">
        <f t="shared" si="118"/>
        <v>0</v>
      </c>
      <c r="AP356" s="17"/>
      <c r="AQ356" s="16"/>
      <c r="AR356" s="17">
        <f t="shared" si="125"/>
        <v>0</v>
      </c>
      <c r="AS356" s="17"/>
      <c r="AT356" s="17">
        <v>172.26</v>
      </c>
      <c r="AU356" s="17">
        <f t="shared" si="120"/>
        <v>172.26</v>
      </c>
      <c r="AV356" s="17">
        <f t="shared" si="119"/>
        <v>0</v>
      </c>
      <c r="AW356" s="17" t="str">
        <f t="shared" si="122"/>
        <v>MAYFAIR</v>
      </c>
      <c r="AX356" s="22">
        <v>44772</v>
      </c>
      <c r="AY356" s="22"/>
      <c r="AZ356" s="1" t="s">
        <v>110</v>
      </c>
      <c r="BA356" s="22" t="str">
        <f t="shared" si="121"/>
        <v>MARINE CARGO / GIT</v>
      </c>
      <c r="BB356" s="22"/>
      <c r="BC356" s="22"/>
      <c r="BD356" s="22"/>
    </row>
    <row r="357" spans="1:56" ht="14.25" customHeight="1" x14ac:dyDescent="0.2">
      <c r="A357" s="1" t="s">
        <v>578</v>
      </c>
      <c r="B357" s="1" t="s">
        <v>57</v>
      </c>
      <c r="C357" s="13">
        <v>44729</v>
      </c>
      <c r="D357" s="13">
        <v>44729</v>
      </c>
      <c r="E357" s="13">
        <v>44729</v>
      </c>
      <c r="F357" s="13">
        <v>45093</v>
      </c>
      <c r="G357" s="14" t="str">
        <f t="shared" si="112"/>
        <v>000-356/AIB RDC/2022</v>
      </c>
      <c r="H357" s="1">
        <v>0</v>
      </c>
      <c r="I357" s="1" t="s">
        <v>74</v>
      </c>
      <c r="J357" s="1" t="s">
        <v>638</v>
      </c>
      <c r="K357" s="1" t="s">
        <v>527</v>
      </c>
      <c r="L357" s="1"/>
      <c r="M357" s="1" t="s">
        <v>105</v>
      </c>
      <c r="N357" s="1" t="s">
        <v>541</v>
      </c>
      <c r="O357" s="1" t="s">
        <v>152</v>
      </c>
      <c r="P357" s="1" t="s">
        <v>153</v>
      </c>
      <c r="Q357" s="1" t="s">
        <v>130</v>
      </c>
      <c r="R357" s="1" t="s">
        <v>130</v>
      </c>
      <c r="S357" s="17">
        <v>0</v>
      </c>
      <c r="T357" s="17">
        <v>5895.72</v>
      </c>
      <c r="U357" s="17">
        <v>0</v>
      </c>
      <c r="V357" s="17">
        <v>0</v>
      </c>
      <c r="W357" s="17">
        <v>241.33</v>
      </c>
      <c r="X357" s="17">
        <v>4755.05</v>
      </c>
      <c r="Y357" s="17">
        <v>799.42</v>
      </c>
      <c r="Z357" s="18" t="e">
        <f t="shared" si="113"/>
        <v>#DIV/0!</v>
      </c>
      <c r="AA357" s="19">
        <v>0.15</v>
      </c>
      <c r="AB357" s="17">
        <f t="shared" si="111"/>
        <v>713.25750000000005</v>
      </c>
      <c r="AC357" s="17">
        <v>0</v>
      </c>
      <c r="AD357" s="17">
        <v>0</v>
      </c>
      <c r="AE357" s="17">
        <f t="shared" si="114"/>
        <v>713.25750000000005</v>
      </c>
      <c r="AF357" s="17">
        <f t="shared" si="123"/>
        <v>114.12120000000002</v>
      </c>
      <c r="AG357" s="17">
        <f t="shared" si="115"/>
        <v>827.37870000000009</v>
      </c>
      <c r="AH357" s="17">
        <f t="shared" si="124"/>
        <v>14.265150000000002</v>
      </c>
      <c r="AI357" s="17"/>
      <c r="AJ357" s="17">
        <f t="shared" si="116"/>
        <v>14.265150000000002</v>
      </c>
      <c r="AK357" s="20"/>
      <c r="AL357" s="17">
        <f t="shared" si="117"/>
        <v>698.9923500000001</v>
      </c>
      <c r="AM357" s="17"/>
      <c r="AN357" s="21"/>
      <c r="AO357" s="17">
        <f t="shared" si="118"/>
        <v>0</v>
      </c>
      <c r="AP357" s="17"/>
      <c r="AQ357" s="16"/>
      <c r="AR357" s="17">
        <f t="shared" si="125"/>
        <v>0</v>
      </c>
      <c r="AS357" s="17"/>
      <c r="AT357" s="17">
        <v>827.37870000000009</v>
      </c>
      <c r="AU357" s="17">
        <f t="shared" si="120"/>
        <v>827.37870000000009</v>
      </c>
      <c r="AV357" s="17">
        <f t="shared" si="119"/>
        <v>0</v>
      </c>
      <c r="AW357" s="17" t="str">
        <f t="shared" si="122"/>
        <v>SFA</v>
      </c>
      <c r="AX357" s="22">
        <v>44781</v>
      </c>
      <c r="AY357" s="22"/>
      <c r="AZ357" s="1" t="s">
        <v>68</v>
      </c>
      <c r="BA357" s="22" t="str">
        <f t="shared" si="121"/>
        <v>COMP MOTOR</v>
      </c>
      <c r="BB357" s="22"/>
      <c r="BC357" s="22"/>
      <c r="BD357" s="22"/>
    </row>
    <row r="358" spans="1:56" ht="14.25" customHeight="1" x14ac:dyDescent="0.2">
      <c r="A358" s="1" t="s">
        <v>578</v>
      </c>
      <c r="B358" s="1" t="s">
        <v>57</v>
      </c>
      <c r="C358" s="13">
        <v>44741</v>
      </c>
      <c r="D358" s="13">
        <v>44741</v>
      </c>
      <c r="E358" s="13">
        <v>44742</v>
      </c>
      <c r="F358" s="13">
        <v>45106</v>
      </c>
      <c r="G358" s="14" t="str">
        <f t="shared" si="112"/>
        <v>000-357/AIB RDC/2022</v>
      </c>
      <c r="H358" s="1">
        <v>0</v>
      </c>
      <c r="I358" s="1" t="s">
        <v>74</v>
      </c>
      <c r="J358" s="1" t="s">
        <v>639</v>
      </c>
      <c r="K358" s="1" t="s">
        <v>640</v>
      </c>
      <c r="L358" s="1"/>
      <c r="M358" s="1" t="s">
        <v>105</v>
      </c>
      <c r="N358" s="1" t="s">
        <v>541</v>
      </c>
      <c r="O358" s="1" t="s">
        <v>185</v>
      </c>
      <c r="P358" s="1" t="s">
        <v>186</v>
      </c>
      <c r="Q358" s="1" t="s">
        <v>130</v>
      </c>
      <c r="R358" s="1"/>
      <c r="S358" s="17">
        <v>0</v>
      </c>
      <c r="T358" s="17">
        <v>135260.98000000001</v>
      </c>
      <c r="U358" s="17">
        <v>14885.45</v>
      </c>
      <c r="V358" s="17">
        <v>0</v>
      </c>
      <c r="W358" s="17">
        <v>506.18</v>
      </c>
      <c r="X358" s="17">
        <v>99236.32</v>
      </c>
      <c r="Y358" s="17">
        <v>18340.47</v>
      </c>
      <c r="Z358" s="18" t="e">
        <f t="shared" si="113"/>
        <v>#DIV/0!</v>
      </c>
      <c r="AA358" s="19"/>
      <c r="AB358" s="17"/>
      <c r="AC358" s="17">
        <f>30%*U358</f>
        <v>4465.6350000000002</v>
      </c>
      <c r="AD358" s="17">
        <f>(5%*X358)/1.16</f>
        <v>4277.4275862068971</v>
      </c>
      <c r="AE358" s="17">
        <f t="shared" si="114"/>
        <v>8743.0625862068973</v>
      </c>
      <c r="AF358" s="17">
        <f t="shared" si="123"/>
        <v>1398.8900137931037</v>
      </c>
      <c r="AG358" s="17">
        <f t="shared" si="115"/>
        <v>10141.952600000001</v>
      </c>
      <c r="AH358" s="17">
        <f t="shared" si="124"/>
        <v>174.86125172413796</v>
      </c>
      <c r="AI358" s="17"/>
      <c r="AJ358" s="17">
        <f t="shared" si="116"/>
        <v>174.86125172413796</v>
      </c>
      <c r="AK358" s="20"/>
      <c r="AL358" s="17">
        <f t="shared" si="117"/>
        <v>8568.2013344827592</v>
      </c>
      <c r="AM358" s="17"/>
      <c r="AN358" s="21"/>
      <c r="AO358" s="17">
        <f t="shared" si="118"/>
        <v>0</v>
      </c>
      <c r="AP358" s="17"/>
      <c r="AQ358" s="16"/>
      <c r="AR358" s="17">
        <f t="shared" si="125"/>
        <v>0</v>
      </c>
      <c r="AS358" s="17"/>
      <c r="AT358" s="17">
        <f>5180.1326+4961.82</f>
        <v>10141.952600000001</v>
      </c>
      <c r="AU358" s="17">
        <f t="shared" si="120"/>
        <v>10141.952600000001</v>
      </c>
      <c r="AV358" s="17">
        <f t="shared" si="119"/>
        <v>0</v>
      </c>
      <c r="AW358" s="17" t="str">
        <f t="shared" si="122"/>
        <v>SFA</v>
      </c>
      <c r="AX358" s="22">
        <v>44781</v>
      </c>
      <c r="AY358" s="22"/>
      <c r="AZ358" s="1" t="s">
        <v>100</v>
      </c>
      <c r="BA358" s="22" t="str">
        <f t="shared" si="121"/>
        <v>AVIATION HULL ALL RISK</v>
      </c>
      <c r="BB358" s="22"/>
      <c r="BC358" s="22"/>
      <c r="BD358" s="22"/>
    </row>
    <row r="359" spans="1:56" ht="14.25" customHeight="1" x14ac:dyDescent="0.2">
      <c r="A359" s="1" t="s">
        <v>578</v>
      </c>
      <c r="B359" s="1" t="s">
        <v>57</v>
      </c>
      <c r="C359" s="13">
        <v>44733</v>
      </c>
      <c r="D359" s="13">
        <v>44733</v>
      </c>
      <c r="E359" s="13">
        <v>44725</v>
      </c>
      <c r="F359" s="13">
        <v>44727</v>
      </c>
      <c r="G359" s="14" t="str">
        <f t="shared" si="112"/>
        <v>000-358/AIB RDC/2022</v>
      </c>
      <c r="H359" s="1">
        <v>0</v>
      </c>
      <c r="I359" s="1" t="s">
        <v>74</v>
      </c>
      <c r="J359" s="1" t="s">
        <v>641</v>
      </c>
      <c r="K359" s="1" t="s">
        <v>181</v>
      </c>
      <c r="L359" s="1"/>
      <c r="M359" s="1" t="s">
        <v>105</v>
      </c>
      <c r="N359" s="1" t="s">
        <v>106</v>
      </c>
      <c r="O359" s="1" t="s">
        <v>64</v>
      </c>
      <c r="P359" s="1" t="s">
        <v>65</v>
      </c>
      <c r="Q359" s="1" t="s">
        <v>130</v>
      </c>
      <c r="R359" s="1" t="s">
        <v>130</v>
      </c>
      <c r="S359" s="17">
        <v>11802.44</v>
      </c>
      <c r="T359" s="17">
        <v>94.4</v>
      </c>
      <c r="U359" s="17">
        <v>0</v>
      </c>
      <c r="V359" s="17">
        <v>0</v>
      </c>
      <c r="W359" s="17">
        <v>20</v>
      </c>
      <c r="X359" s="17">
        <v>60</v>
      </c>
      <c r="Y359" s="17">
        <v>12.8</v>
      </c>
      <c r="Z359" s="18">
        <f t="shared" si="113"/>
        <v>7.9983461047037734E-3</v>
      </c>
      <c r="AA359" s="19">
        <v>0.15</v>
      </c>
      <c r="AB359" s="17">
        <f t="shared" ref="AB359:AB390" si="126">(AA359*X359)</f>
        <v>9</v>
      </c>
      <c r="AC359" s="17"/>
      <c r="AD359" s="17"/>
      <c r="AE359" s="17">
        <f t="shared" si="114"/>
        <v>9</v>
      </c>
      <c r="AF359" s="17">
        <f t="shared" si="123"/>
        <v>1.44</v>
      </c>
      <c r="AG359" s="17">
        <f t="shared" si="115"/>
        <v>10.44</v>
      </c>
      <c r="AH359" s="17">
        <f t="shared" si="124"/>
        <v>0.18</v>
      </c>
      <c r="AI359" s="17"/>
      <c r="AJ359" s="17">
        <f t="shared" si="116"/>
        <v>0.18</v>
      </c>
      <c r="AK359" s="20"/>
      <c r="AL359" s="17">
        <f t="shared" si="117"/>
        <v>8.82</v>
      </c>
      <c r="AM359" s="17" t="s">
        <v>108</v>
      </c>
      <c r="AN359" s="21">
        <v>0.4</v>
      </c>
      <c r="AO359" s="17">
        <f t="shared" si="118"/>
        <v>3.5280000000000005</v>
      </c>
      <c r="AP359" s="17">
        <v>3.5280000000000005</v>
      </c>
      <c r="AQ359" s="16">
        <v>44834</v>
      </c>
      <c r="AR359" s="17">
        <f t="shared" si="125"/>
        <v>0</v>
      </c>
      <c r="AS359" s="17" t="s">
        <v>109</v>
      </c>
      <c r="AT359" s="17">
        <v>10.44</v>
      </c>
      <c r="AU359" s="17">
        <f t="shared" si="120"/>
        <v>10.44</v>
      </c>
      <c r="AV359" s="17">
        <f t="shared" si="119"/>
        <v>0</v>
      </c>
      <c r="AW359" s="17" t="str">
        <f t="shared" si="122"/>
        <v>SFA</v>
      </c>
      <c r="AX359" s="22">
        <v>44781</v>
      </c>
      <c r="AY359" s="22"/>
      <c r="AZ359" s="1" t="s">
        <v>110</v>
      </c>
      <c r="BA359" s="22" t="str">
        <f t="shared" si="121"/>
        <v>MARINE CARGO / GIT</v>
      </c>
      <c r="BB359" s="22"/>
      <c r="BC359" s="22"/>
      <c r="BD359" s="22"/>
    </row>
    <row r="360" spans="1:56" ht="14.25" customHeight="1" x14ac:dyDescent="0.2">
      <c r="A360" s="1" t="s">
        <v>578</v>
      </c>
      <c r="B360" s="1" t="s">
        <v>57</v>
      </c>
      <c r="C360" s="13">
        <v>44742</v>
      </c>
      <c r="D360" s="13">
        <v>44742</v>
      </c>
      <c r="E360" s="13">
        <v>44718</v>
      </c>
      <c r="F360" s="13">
        <v>44902</v>
      </c>
      <c r="G360" s="14" t="str">
        <f t="shared" si="112"/>
        <v>000-359/AIB RDC/2022</v>
      </c>
      <c r="H360" s="1">
        <v>4</v>
      </c>
      <c r="I360" s="1" t="s">
        <v>91</v>
      </c>
      <c r="J360" s="1" t="s">
        <v>370</v>
      </c>
      <c r="K360" s="1" t="s">
        <v>371</v>
      </c>
      <c r="L360" s="1"/>
      <c r="M360" s="1" t="s">
        <v>95</v>
      </c>
      <c r="N360" s="1" t="s">
        <v>102</v>
      </c>
      <c r="O360" s="1" t="s">
        <v>192</v>
      </c>
      <c r="P360" s="1" t="s">
        <v>98</v>
      </c>
      <c r="Q360" s="1" t="s">
        <v>66</v>
      </c>
      <c r="R360" s="1" t="s">
        <v>66</v>
      </c>
      <c r="S360" s="17">
        <v>0</v>
      </c>
      <c r="T360" s="17">
        <v>599.38</v>
      </c>
      <c r="U360" s="17">
        <v>0</v>
      </c>
      <c r="V360" s="17">
        <v>0</v>
      </c>
      <c r="W360" s="17">
        <v>10</v>
      </c>
      <c r="X360" s="17">
        <v>506.71</v>
      </c>
      <c r="Y360" s="17">
        <v>82.67</v>
      </c>
      <c r="Z360" s="18" t="e">
        <f t="shared" si="113"/>
        <v>#DIV/0!</v>
      </c>
      <c r="AA360" s="19">
        <v>0.1</v>
      </c>
      <c r="AB360" s="17">
        <f t="shared" si="126"/>
        <v>50.670999999999999</v>
      </c>
      <c r="AC360" s="17">
        <v>0</v>
      </c>
      <c r="AD360" s="17">
        <v>0</v>
      </c>
      <c r="AE360" s="17">
        <f t="shared" si="114"/>
        <v>50.670999999999999</v>
      </c>
      <c r="AF360" s="17">
        <f t="shared" si="123"/>
        <v>8.1073599999999999</v>
      </c>
      <c r="AG360" s="17">
        <f t="shared" si="115"/>
        <v>58.778359999999999</v>
      </c>
      <c r="AH360" s="17">
        <f t="shared" si="124"/>
        <v>1.01342</v>
      </c>
      <c r="AI360" s="17"/>
      <c r="AJ360" s="17">
        <f t="shared" si="116"/>
        <v>1.01342</v>
      </c>
      <c r="AK360" s="20"/>
      <c r="AL360" s="17">
        <f t="shared" si="117"/>
        <v>49.657579999999996</v>
      </c>
      <c r="AM360" s="17" t="s">
        <v>87</v>
      </c>
      <c r="AN360" s="21">
        <v>0.35</v>
      </c>
      <c r="AO360" s="17">
        <f t="shared" si="118"/>
        <v>17.380152999999996</v>
      </c>
      <c r="AP360" s="17"/>
      <c r="AQ360" s="16"/>
      <c r="AR360" s="17">
        <f t="shared" si="125"/>
        <v>17.380152999999996</v>
      </c>
      <c r="AS360" s="17"/>
      <c r="AT360" s="17">
        <v>58.778359999999999</v>
      </c>
      <c r="AU360" s="17">
        <f t="shared" si="120"/>
        <v>58.778359999999999</v>
      </c>
      <c r="AV360" s="17">
        <f t="shared" si="119"/>
        <v>0</v>
      </c>
      <c r="AW360" s="17" t="str">
        <f t="shared" si="122"/>
        <v>ACTIVA</v>
      </c>
      <c r="AX360" s="22">
        <v>44771</v>
      </c>
      <c r="AY360" s="22"/>
      <c r="AZ360" s="1" t="s">
        <v>68</v>
      </c>
      <c r="BA360" s="22" t="str">
        <f t="shared" si="121"/>
        <v>GPA</v>
      </c>
      <c r="BB360" s="22"/>
      <c r="BC360" s="22"/>
      <c r="BD360" s="22"/>
    </row>
    <row r="361" spans="1:56" ht="14.25" customHeight="1" x14ac:dyDescent="0.2">
      <c r="A361" s="1" t="s">
        <v>578</v>
      </c>
      <c r="B361" s="1" t="s">
        <v>57</v>
      </c>
      <c r="C361" s="13">
        <v>44738</v>
      </c>
      <c r="D361" s="13">
        <v>44738</v>
      </c>
      <c r="E361" s="13">
        <v>44738</v>
      </c>
      <c r="F361" s="13">
        <v>44744</v>
      </c>
      <c r="G361" s="14" t="str">
        <f t="shared" si="112"/>
        <v>000-360/AIB RDC/2022</v>
      </c>
      <c r="H361" s="1">
        <v>0</v>
      </c>
      <c r="I361" s="1" t="s">
        <v>74</v>
      </c>
      <c r="J361" s="1" t="s">
        <v>642</v>
      </c>
      <c r="K361" s="1" t="s">
        <v>643</v>
      </c>
      <c r="L361" s="1" t="s">
        <v>608</v>
      </c>
      <c r="M361" s="1" t="s">
        <v>95</v>
      </c>
      <c r="N361" s="1" t="s">
        <v>102</v>
      </c>
      <c r="O361" s="1" t="s">
        <v>240</v>
      </c>
      <c r="P361" s="1" t="s">
        <v>98</v>
      </c>
      <c r="Q361" s="1" t="s">
        <v>86</v>
      </c>
      <c r="R361" s="1" t="s">
        <v>86</v>
      </c>
      <c r="S361" s="17">
        <v>0</v>
      </c>
      <c r="T361" s="17">
        <v>10.86</v>
      </c>
      <c r="U361" s="17">
        <v>0</v>
      </c>
      <c r="V361" s="17">
        <v>0</v>
      </c>
      <c r="W361" s="17">
        <v>0.18</v>
      </c>
      <c r="X361" s="17">
        <v>9.18</v>
      </c>
      <c r="Y361" s="17">
        <v>1.5</v>
      </c>
      <c r="Z361" s="18" t="e">
        <f t="shared" si="113"/>
        <v>#DIV/0!</v>
      </c>
      <c r="AA361" s="19">
        <v>0.2</v>
      </c>
      <c r="AB361" s="17">
        <f t="shared" si="126"/>
        <v>1.8360000000000001</v>
      </c>
      <c r="AC361" s="17"/>
      <c r="AD361" s="17"/>
      <c r="AE361" s="17">
        <f t="shared" si="114"/>
        <v>1.8360000000000001</v>
      </c>
      <c r="AF361" s="17">
        <f t="shared" si="123"/>
        <v>0.29376000000000002</v>
      </c>
      <c r="AG361" s="17">
        <f t="shared" si="115"/>
        <v>2.1297600000000001</v>
      </c>
      <c r="AH361" s="17">
        <f t="shared" si="124"/>
        <v>3.6720000000000003E-2</v>
      </c>
      <c r="AI361" s="17"/>
      <c r="AJ361" s="17">
        <f t="shared" si="116"/>
        <v>3.6720000000000003E-2</v>
      </c>
      <c r="AK361" s="20"/>
      <c r="AL361" s="17">
        <f t="shared" si="117"/>
        <v>1.79928</v>
      </c>
      <c r="AM361" s="17"/>
      <c r="AN361" s="21"/>
      <c r="AO361" s="17">
        <f t="shared" si="118"/>
        <v>0</v>
      </c>
      <c r="AP361" s="17"/>
      <c r="AQ361" s="16"/>
      <c r="AR361" s="17">
        <f t="shared" si="125"/>
        <v>0</v>
      </c>
      <c r="AS361" s="17"/>
      <c r="AT361" s="17">
        <v>2.1297600000000001</v>
      </c>
      <c r="AU361" s="17">
        <f t="shared" si="120"/>
        <v>2.1297600000000001</v>
      </c>
      <c r="AV361" s="17">
        <f t="shared" si="119"/>
        <v>0</v>
      </c>
      <c r="AW361" s="17" t="str">
        <f t="shared" si="122"/>
        <v>SUNU</v>
      </c>
      <c r="AX361" s="22">
        <v>44769</v>
      </c>
      <c r="AY361" s="22"/>
      <c r="AZ361" s="1" t="s">
        <v>110</v>
      </c>
      <c r="BA361" s="22" t="str">
        <f t="shared" si="121"/>
        <v>TRAVEL</v>
      </c>
      <c r="BB361" s="22"/>
      <c r="BC361" s="22"/>
      <c r="BD361" s="22"/>
    </row>
    <row r="362" spans="1:56" ht="14.25" customHeight="1" x14ac:dyDescent="0.2">
      <c r="A362" s="1" t="s">
        <v>578</v>
      </c>
      <c r="B362" s="1" t="s">
        <v>57</v>
      </c>
      <c r="C362" s="13">
        <v>44734</v>
      </c>
      <c r="D362" s="13">
        <v>44734</v>
      </c>
      <c r="E362" s="13">
        <v>44713</v>
      </c>
      <c r="F362" s="13">
        <v>45075</v>
      </c>
      <c r="G362" s="14" t="str">
        <f t="shared" si="112"/>
        <v>000-361/AIB RDC/2022</v>
      </c>
      <c r="H362" s="1">
        <v>1</v>
      </c>
      <c r="I362" s="1" t="s">
        <v>91</v>
      </c>
      <c r="J362" s="1" t="s">
        <v>599</v>
      </c>
      <c r="K362" s="1" t="s">
        <v>246</v>
      </c>
      <c r="L362" s="1"/>
      <c r="M362" s="1" t="s">
        <v>95</v>
      </c>
      <c r="N362" s="1" t="s">
        <v>102</v>
      </c>
      <c r="O362" s="1" t="s">
        <v>152</v>
      </c>
      <c r="P362" s="1" t="s">
        <v>153</v>
      </c>
      <c r="Q362" s="1" t="s">
        <v>66</v>
      </c>
      <c r="R362" s="1" t="s">
        <v>66</v>
      </c>
      <c r="S362" s="17">
        <v>0</v>
      </c>
      <c r="T362" s="17">
        <v>4444.18</v>
      </c>
      <c r="U362" s="17">
        <v>0</v>
      </c>
      <c r="V362" s="17">
        <v>0</v>
      </c>
      <c r="W362" s="17">
        <v>37.93</v>
      </c>
      <c r="X362" s="17">
        <v>3793.26</v>
      </c>
      <c r="Y362" s="17">
        <v>612.99</v>
      </c>
      <c r="Z362" s="18" t="e">
        <f t="shared" si="113"/>
        <v>#DIV/0!</v>
      </c>
      <c r="AA362" s="19">
        <v>0.13727625023067</v>
      </c>
      <c r="AB362" s="17">
        <f t="shared" si="126"/>
        <v>520.72450894999133</v>
      </c>
      <c r="AC362" s="17">
        <v>0</v>
      </c>
      <c r="AD362" s="17">
        <v>0</v>
      </c>
      <c r="AE362" s="17">
        <f t="shared" si="114"/>
        <v>520.72450894999133</v>
      </c>
      <c r="AF362" s="17">
        <f t="shared" si="123"/>
        <v>83.315921431998618</v>
      </c>
      <c r="AG362" s="17">
        <f t="shared" si="115"/>
        <v>604.04043038198995</v>
      </c>
      <c r="AH362" s="17">
        <f t="shared" si="124"/>
        <v>10.414490178999827</v>
      </c>
      <c r="AI362" s="17">
        <v>0</v>
      </c>
      <c r="AJ362" s="17">
        <f t="shared" si="116"/>
        <v>10.414490178999827</v>
      </c>
      <c r="AK362" s="20"/>
      <c r="AL362" s="17">
        <f t="shared" si="117"/>
        <v>510.31001877099152</v>
      </c>
      <c r="AM362" s="17"/>
      <c r="AN362" s="21"/>
      <c r="AO362" s="17">
        <f t="shared" si="118"/>
        <v>0</v>
      </c>
      <c r="AP362" s="17"/>
      <c r="AQ362" s="16"/>
      <c r="AR362" s="17">
        <f t="shared" si="125"/>
        <v>0</v>
      </c>
      <c r="AS362" s="17"/>
      <c r="AT362" s="17">
        <v>604.04043038198995</v>
      </c>
      <c r="AU362" s="17">
        <f t="shared" si="120"/>
        <v>604.04043038198995</v>
      </c>
      <c r="AV362" s="17">
        <f t="shared" si="119"/>
        <v>0</v>
      </c>
      <c r="AW362" s="17" t="str">
        <f t="shared" si="122"/>
        <v>ACTIVA</v>
      </c>
      <c r="AX362" s="22">
        <v>44771</v>
      </c>
      <c r="AY362" s="22"/>
      <c r="AZ362" s="1" t="s">
        <v>68</v>
      </c>
      <c r="BA362" s="22" t="str">
        <f t="shared" si="121"/>
        <v>COMP MOTOR</v>
      </c>
      <c r="BB362" s="22"/>
      <c r="BC362" s="22"/>
      <c r="BD362" s="22"/>
    </row>
    <row r="363" spans="1:56" ht="14.25" customHeight="1" x14ac:dyDescent="0.2">
      <c r="A363" s="1" t="s">
        <v>578</v>
      </c>
      <c r="B363" s="1" t="s">
        <v>57</v>
      </c>
      <c r="C363" s="13">
        <v>44741</v>
      </c>
      <c r="D363" s="13">
        <v>44741</v>
      </c>
      <c r="E363" s="13">
        <v>44740</v>
      </c>
      <c r="F363" s="13">
        <v>45104</v>
      </c>
      <c r="G363" s="14" t="str">
        <f t="shared" si="112"/>
        <v>000-362/AIB RDC/2022</v>
      </c>
      <c r="H363" s="1">
        <v>0</v>
      </c>
      <c r="I363" s="1" t="s">
        <v>74</v>
      </c>
      <c r="J363" s="1" t="s">
        <v>644</v>
      </c>
      <c r="K363" s="1" t="s">
        <v>246</v>
      </c>
      <c r="L363" s="1"/>
      <c r="M363" s="1" t="s">
        <v>95</v>
      </c>
      <c r="N363" s="1" t="s">
        <v>102</v>
      </c>
      <c r="O363" s="1" t="s">
        <v>70</v>
      </c>
      <c r="P363" s="1" t="s">
        <v>71</v>
      </c>
      <c r="Q363" s="1" t="s">
        <v>130</v>
      </c>
      <c r="R363" s="1" t="s">
        <v>130</v>
      </c>
      <c r="S363" s="17">
        <v>244186</v>
      </c>
      <c r="T363" s="17">
        <v>4246.87</v>
      </c>
      <c r="U363" s="17">
        <v>0</v>
      </c>
      <c r="V363" s="17">
        <v>0</v>
      </c>
      <c r="W363" s="17">
        <v>67.63</v>
      </c>
      <c r="X363" s="17">
        <v>3531.41</v>
      </c>
      <c r="Y363" s="17">
        <v>575.84</v>
      </c>
      <c r="Z363" s="18">
        <f t="shared" si="113"/>
        <v>1.7391947122275642E-2</v>
      </c>
      <c r="AA363" s="19">
        <v>0.1</v>
      </c>
      <c r="AB363" s="17">
        <f t="shared" si="126"/>
        <v>353.14100000000002</v>
      </c>
      <c r="AC363" s="17">
        <v>0</v>
      </c>
      <c r="AD363" s="17">
        <v>0</v>
      </c>
      <c r="AE363" s="17">
        <f t="shared" si="114"/>
        <v>353.14100000000002</v>
      </c>
      <c r="AF363" s="17">
        <f t="shared" si="123"/>
        <v>56.502560000000003</v>
      </c>
      <c r="AG363" s="17">
        <f t="shared" si="115"/>
        <v>409.64356000000004</v>
      </c>
      <c r="AH363" s="17">
        <f t="shared" si="124"/>
        <v>7.0628200000000003</v>
      </c>
      <c r="AI363" s="17">
        <v>0</v>
      </c>
      <c r="AJ363" s="17">
        <f t="shared" si="116"/>
        <v>7.0628200000000003</v>
      </c>
      <c r="AK363" s="20"/>
      <c r="AL363" s="17">
        <f t="shared" si="117"/>
        <v>346.07818000000003</v>
      </c>
      <c r="AM363" s="17"/>
      <c r="AN363" s="21"/>
      <c r="AO363" s="17">
        <f t="shared" si="118"/>
        <v>0</v>
      </c>
      <c r="AP363" s="17"/>
      <c r="AQ363" s="16"/>
      <c r="AR363" s="17">
        <f t="shared" si="125"/>
        <v>0</v>
      </c>
      <c r="AS363" s="17"/>
      <c r="AT363" s="17">
        <v>409.64356000000004</v>
      </c>
      <c r="AU363" s="17">
        <f t="shared" si="120"/>
        <v>409.64356000000004</v>
      </c>
      <c r="AV363" s="17">
        <f t="shared" si="119"/>
        <v>0</v>
      </c>
      <c r="AW363" s="17" t="str">
        <f t="shared" si="122"/>
        <v>SFA</v>
      </c>
      <c r="AX363" s="22">
        <v>44781</v>
      </c>
      <c r="AY363" s="22"/>
      <c r="AZ363" s="1" t="s">
        <v>100</v>
      </c>
      <c r="BA363" s="22" t="str">
        <f t="shared" si="121"/>
        <v>FIRE</v>
      </c>
      <c r="BB363" s="22"/>
      <c r="BC363" s="22"/>
      <c r="BD363" s="22"/>
    </row>
    <row r="364" spans="1:56" ht="14.25" customHeight="1" x14ac:dyDescent="0.2">
      <c r="A364" s="1" t="s">
        <v>578</v>
      </c>
      <c r="B364" s="1" t="s">
        <v>57</v>
      </c>
      <c r="C364" s="13">
        <v>44706</v>
      </c>
      <c r="D364" s="13">
        <v>44733</v>
      </c>
      <c r="E364" s="13">
        <v>44736</v>
      </c>
      <c r="F364" s="13">
        <v>45100</v>
      </c>
      <c r="G364" s="14" t="str">
        <f t="shared" si="112"/>
        <v>000-363/AIB RDC/2022</v>
      </c>
      <c r="H364" s="1">
        <v>0</v>
      </c>
      <c r="I364" s="1" t="s">
        <v>74</v>
      </c>
      <c r="J364" s="1" t="s">
        <v>645</v>
      </c>
      <c r="K364" s="1" t="s">
        <v>246</v>
      </c>
      <c r="L364" s="1"/>
      <c r="M364" s="1" t="s">
        <v>95</v>
      </c>
      <c r="N364" s="1" t="s">
        <v>102</v>
      </c>
      <c r="O364" s="1" t="s">
        <v>89</v>
      </c>
      <c r="P364" s="1" t="s">
        <v>90</v>
      </c>
      <c r="Q364" s="1" t="s">
        <v>86</v>
      </c>
      <c r="R364" s="1" t="s">
        <v>86</v>
      </c>
      <c r="S364" s="17">
        <v>0</v>
      </c>
      <c r="T364" s="17">
        <v>417.6</v>
      </c>
      <c r="U364" s="17">
        <v>0</v>
      </c>
      <c r="V364" s="17">
        <v>0</v>
      </c>
      <c r="W364" s="17">
        <v>10</v>
      </c>
      <c r="X364" s="17">
        <v>350</v>
      </c>
      <c r="Y364" s="17">
        <v>57.6</v>
      </c>
      <c r="Z364" s="18" t="e">
        <f t="shared" si="113"/>
        <v>#DIV/0!</v>
      </c>
      <c r="AA364" s="19">
        <v>0.1</v>
      </c>
      <c r="AB364" s="17">
        <f t="shared" si="126"/>
        <v>35</v>
      </c>
      <c r="AC364" s="17">
        <v>0</v>
      </c>
      <c r="AD364" s="17">
        <v>0</v>
      </c>
      <c r="AE364" s="17">
        <f t="shared" si="114"/>
        <v>35</v>
      </c>
      <c r="AF364" s="17">
        <f t="shared" si="123"/>
        <v>5.6000000000000005</v>
      </c>
      <c r="AG364" s="17">
        <f t="shared" si="115"/>
        <v>40.6</v>
      </c>
      <c r="AH364" s="17">
        <f t="shared" si="124"/>
        <v>0.70000000000000007</v>
      </c>
      <c r="AI364" s="17">
        <v>0</v>
      </c>
      <c r="AJ364" s="17">
        <f t="shared" si="116"/>
        <v>0.70000000000000007</v>
      </c>
      <c r="AK364" s="20"/>
      <c r="AL364" s="17">
        <f t="shared" si="117"/>
        <v>34.299999999999997</v>
      </c>
      <c r="AM364" s="17"/>
      <c r="AN364" s="21"/>
      <c r="AO364" s="17">
        <f t="shared" si="118"/>
        <v>0</v>
      </c>
      <c r="AP364" s="17"/>
      <c r="AQ364" s="16"/>
      <c r="AR364" s="17">
        <f t="shared" si="125"/>
        <v>0</v>
      </c>
      <c r="AS364" s="17"/>
      <c r="AT364" s="17">
        <v>40.6</v>
      </c>
      <c r="AU364" s="17">
        <f t="shared" si="120"/>
        <v>40.6</v>
      </c>
      <c r="AV364" s="17">
        <f t="shared" si="119"/>
        <v>0</v>
      </c>
      <c r="AW364" s="17" t="str">
        <f t="shared" si="122"/>
        <v>SUNU</v>
      </c>
      <c r="AX364" s="22">
        <v>44769</v>
      </c>
      <c r="AY364" s="22"/>
      <c r="AZ364" s="1" t="s">
        <v>100</v>
      </c>
      <c r="BA364" s="22" t="str">
        <f t="shared" si="121"/>
        <v>GENERAL LIABILITY</v>
      </c>
      <c r="BB364" s="22"/>
      <c r="BC364" s="22"/>
      <c r="BD364" s="22"/>
    </row>
    <row r="365" spans="1:56" ht="14.25" customHeight="1" x14ac:dyDescent="0.2">
      <c r="A365" s="1" t="s">
        <v>578</v>
      </c>
      <c r="B365" s="1" t="s">
        <v>57</v>
      </c>
      <c r="C365" s="13">
        <v>44713</v>
      </c>
      <c r="D365" s="13">
        <v>44713</v>
      </c>
      <c r="E365" s="13">
        <v>44713</v>
      </c>
      <c r="F365" s="13">
        <v>44742</v>
      </c>
      <c r="G365" s="14" t="str">
        <f t="shared" si="112"/>
        <v>000-364/AIB RDC/2022</v>
      </c>
      <c r="H365" s="1">
        <v>0</v>
      </c>
      <c r="I365" s="1" t="s">
        <v>74</v>
      </c>
      <c r="J365" s="1" t="s">
        <v>646</v>
      </c>
      <c r="K365" s="1" t="s">
        <v>647</v>
      </c>
      <c r="L365" s="1"/>
      <c r="M365" s="1" t="s">
        <v>84</v>
      </c>
      <c r="N365" s="1" t="s">
        <v>85</v>
      </c>
      <c r="O365" s="1" t="s">
        <v>64</v>
      </c>
      <c r="P365" s="1" t="s">
        <v>65</v>
      </c>
      <c r="Q365" s="1" t="s">
        <v>66</v>
      </c>
      <c r="R365" s="1" t="s">
        <v>66</v>
      </c>
      <c r="S365" s="17">
        <v>54530.3</v>
      </c>
      <c r="T365" s="17">
        <v>134.1</v>
      </c>
      <c r="U365" s="17">
        <v>0</v>
      </c>
      <c r="V365" s="17">
        <v>0</v>
      </c>
      <c r="W365" s="17">
        <v>10</v>
      </c>
      <c r="X365" s="17">
        <v>105.6</v>
      </c>
      <c r="Y365" s="17">
        <v>18.5</v>
      </c>
      <c r="Z365" s="18">
        <f t="shared" si="113"/>
        <v>2.4591832430777014E-3</v>
      </c>
      <c r="AA365" s="19">
        <v>0.15</v>
      </c>
      <c r="AB365" s="17">
        <f t="shared" si="126"/>
        <v>15.839999999999998</v>
      </c>
      <c r="AC365" s="17">
        <v>0</v>
      </c>
      <c r="AD365" s="17">
        <v>0</v>
      </c>
      <c r="AE365" s="17">
        <f t="shared" si="114"/>
        <v>15.839999999999998</v>
      </c>
      <c r="AF365" s="17">
        <f t="shared" si="123"/>
        <v>2.5343999999999998</v>
      </c>
      <c r="AG365" s="17">
        <f t="shared" si="115"/>
        <v>18.374399999999998</v>
      </c>
      <c r="AH365" s="17">
        <f t="shared" si="124"/>
        <v>0.31679999999999997</v>
      </c>
      <c r="AI365" s="17"/>
      <c r="AJ365" s="17">
        <f t="shared" si="116"/>
        <v>0.31679999999999997</v>
      </c>
      <c r="AK365" s="20"/>
      <c r="AL365" s="17">
        <f t="shared" si="117"/>
        <v>15.523199999999997</v>
      </c>
      <c r="AM365" s="17"/>
      <c r="AN365" s="21"/>
      <c r="AO365" s="17">
        <f t="shared" si="118"/>
        <v>0</v>
      </c>
      <c r="AP365" s="17"/>
      <c r="AQ365" s="16"/>
      <c r="AR365" s="17">
        <f t="shared" si="125"/>
        <v>0</v>
      </c>
      <c r="AS365" s="17"/>
      <c r="AT365" s="17">
        <v>18.374399999999998</v>
      </c>
      <c r="AU365" s="17">
        <f t="shared" si="120"/>
        <v>18.374399999999998</v>
      </c>
      <c r="AV365" s="17">
        <f t="shared" si="119"/>
        <v>0</v>
      </c>
      <c r="AW365" s="17" t="str">
        <f t="shared" si="122"/>
        <v>ACTIVA</v>
      </c>
      <c r="AX365" s="22">
        <v>44805</v>
      </c>
      <c r="AY365" s="22"/>
      <c r="AZ365" s="1" t="s">
        <v>110</v>
      </c>
      <c r="BA365" s="22" t="str">
        <f t="shared" si="121"/>
        <v>MARINE CARGO / GIT</v>
      </c>
      <c r="BB365" s="22"/>
      <c r="BC365" s="22"/>
      <c r="BD365" s="22"/>
    </row>
    <row r="366" spans="1:56" ht="14.25" customHeight="1" x14ac:dyDescent="0.2">
      <c r="A366" s="1" t="s">
        <v>578</v>
      </c>
      <c r="B366" s="1" t="s">
        <v>57</v>
      </c>
      <c r="C366" s="13">
        <v>44722</v>
      </c>
      <c r="D366" s="13">
        <v>44722</v>
      </c>
      <c r="E366" s="13">
        <v>44721</v>
      </c>
      <c r="F366" s="13">
        <v>44957</v>
      </c>
      <c r="G366" s="14" t="str">
        <f t="shared" si="112"/>
        <v>000-365/AIB RDC/2022</v>
      </c>
      <c r="H366" s="1">
        <v>12</v>
      </c>
      <c r="I366" s="1" t="s">
        <v>91</v>
      </c>
      <c r="J366" s="1" t="s">
        <v>284</v>
      </c>
      <c r="K366" s="1" t="s">
        <v>285</v>
      </c>
      <c r="L366" s="1" t="s">
        <v>83</v>
      </c>
      <c r="M366" s="1" t="s">
        <v>84</v>
      </c>
      <c r="N366" s="1" t="s">
        <v>85</v>
      </c>
      <c r="O366" s="1" t="s">
        <v>152</v>
      </c>
      <c r="P366" s="1" t="s">
        <v>153</v>
      </c>
      <c r="Q366" s="1" t="s">
        <v>66</v>
      </c>
      <c r="R366" s="1" t="s">
        <v>66</v>
      </c>
      <c r="S366" s="17">
        <v>195850</v>
      </c>
      <c r="T366" s="17">
        <v>5701.05</v>
      </c>
      <c r="U366" s="17">
        <v>0</v>
      </c>
      <c r="V366" s="17">
        <v>0</v>
      </c>
      <c r="W366" s="17">
        <v>48.66</v>
      </c>
      <c r="X366" s="17">
        <v>4866</v>
      </c>
      <c r="Y366" s="17">
        <v>786.39</v>
      </c>
      <c r="Z366" s="18">
        <f t="shared" si="113"/>
        <v>2.9109267296400308E-2</v>
      </c>
      <c r="AA366" s="19">
        <v>0.14743732018084699</v>
      </c>
      <c r="AB366" s="17">
        <f t="shared" si="126"/>
        <v>717.43000000000143</v>
      </c>
      <c r="AC366" s="17">
        <v>0</v>
      </c>
      <c r="AD366" s="17">
        <f>3%*X366</f>
        <v>145.97999999999999</v>
      </c>
      <c r="AE366" s="17">
        <f t="shared" si="114"/>
        <v>863.41000000000145</v>
      </c>
      <c r="AF366" s="17">
        <f t="shared" si="123"/>
        <v>138.14560000000023</v>
      </c>
      <c r="AG366" s="17">
        <f t="shared" si="115"/>
        <v>1001.5556000000017</v>
      </c>
      <c r="AH366" s="17">
        <f t="shared" si="124"/>
        <v>17.268200000000029</v>
      </c>
      <c r="AI366" s="17">
        <v>0</v>
      </c>
      <c r="AJ366" s="17">
        <f t="shared" si="116"/>
        <v>17.268200000000029</v>
      </c>
      <c r="AK366" s="20"/>
      <c r="AL366" s="17">
        <f t="shared" si="117"/>
        <v>846.14180000000147</v>
      </c>
      <c r="AM366" s="17" t="s">
        <v>198</v>
      </c>
      <c r="AN366" s="21"/>
      <c r="AO366" s="17">
        <f t="shared" si="118"/>
        <v>0</v>
      </c>
      <c r="AP366" s="17"/>
      <c r="AQ366" s="16"/>
      <c r="AR366" s="17">
        <f t="shared" si="125"/>
        <v>0</v>
      </c>
      <c r="AS366" s="17"/>
      <c r="AT366" s="17">
        <v>1001.5556000000017</v>
      </c>
      <c r="AU366" s="17">
        <f t="shared" si="120"/>
        <v>1001.5556000000017</v>
      </c>
      <c r="AV366" s="17">
        <f t="shared" si="119"/>
        <v>0</v>
      </c>
      <c r="AW366" s="17" t="str">
        <f t="shared" si="122"/>
        <v>ACTIVA</v>
      </c>
      <c r="AX366" s="22">
        <v>44771</v>
      </c>
      <c r="AY366" s="22"/>
      <c r="AZ366" s="1" t="s">
        <v>68</v>
      </c>
      <c r="BA366" s="22" t="str">
        <f t="shared" si="121"/>
        <v>COMP MOTOR</v>
      </c>
      <c r="BB366" s="22"/>
      <c r="BC366" s="22"/>
      <c r="BD366" s="1" t="s">
        <v>457</v>
      </c>
    </row>
    <row r="367" spans="1:56" ht="14.25" customHeight="1" x14ac:dyDescent="0.2">
      <c r="A367" s="1" t="s">
        <v>578</v>
      </c>
      <c r="B367" s="1" t="s">
        <v>57</v>
      </c>
      <c r="C367" s="13">
        <v>44732</v>
      </c>
      <c r="D367" s="13">
        <v>44741</v>
      </c>
      <c r="E367" s="13">
        <v>44741</v>
      </c>
      <c r="F367" s="13">
        <v>45105</v>
      </c>
      <c r="G367" s="14" t="str">
        <f t="shared" si="112"/>
        <v>000-366/AIB RDC/2022</v>
      </c>
      <c r="H367" s="1">
        <v>0</v>
      </c>
      <c r="I367" s="1" t="s">
        <v>74</v>
      </c>
      <c r="J367" s="1" t="s">
        <v>648</v>
      </c>
      <c r="K367" s="1" t="s">
        <v>649</v>
      </c>
      <c r="L367" s="1" t="s">
        <v>590</v>
      </c>
      <c r="M367" s="1" t="s">
        <v>84</v>
      </c>
      <c r="N367" s="1" t="s">
        <v>85</v>
      </c>
      <c r="O367" s="1" t="s">
        <v>70</v>
      </c>
      <c r="P367" s="1" t="s">
        <v>71</v>
      </c>
      <c r="Q367" s="1" t="s">
        <v>86</v>
      </c>
      <c r="R367" s="1" t="s">
        <v>86</v>
      </c>
      <c r="S367" s="17">
        <v>1118000</v>
      </c>
      <c r="T367" s="17">
        <v>2980.96</v>
      </c>
      <c r="U367" s="17">
        <v>0</v>
      </c>
      <c r="V367" s="17">
        <v>0</v>
      </c>
      <c r="W367" s="17">
        <v>25.44</v>
      </c>
      <c r="X367" s="17">
        <v>2544.35</v>
      </c>
      <c r="Y367" s="17">
        <v>411.17</v>
      </c>
      <c r="Z367" s="18">
        <f t="shared" si="113"/>
        <v>2.6663327370304115E-3</v>
      </c>
      <c r="AA367" s="19">
        <v>0.1</v>
      </c>
      <c r="AB367" s="17">
        <f t="shared" si="126"/>
        <v>254.435</v>
      </c>
      <c r="AC367" s="17"/>
      <c r="AD367" s="17"/>
      <c r="AE367" s="17">
        <f t="shared" si="114"/>
        <v>254.435</v>
      </c>
      <c r="AF367" s="17">
        <f t="shared" si="123"/>
        <v>40.709600000000002</v>
      </c>
      <c r="AG367" s="17">
        <f t="shared" si="115"/>
        <v>295.14460000000003</v>
      </c>
      <c r="AH367" s="17">
        <f t="shared" si="124"/>
        <v>5.0887000000000002</v>
      </c>
      <c r="AI367" s="17"/>
      <c r="AJ367" s="17">
        <f t="shared" si="116"/>
        <v>5.0887000000000002</v>
      </c>
      <c r="AK367" s="20"/>
      <c r="AL367" s="17">
        <f t="shared" si="117"/>
        <v>249.34630000000001</v>
      </c>
      <c r="AM367" s="17" t="s">
        <v>87</v>
      </c>
      <c r="AN367" s="21">
        <v>0.35</v>
      </c>
      <c r="AO367" s="17">
        <f t="shared" si="118"/>
        <v>87.271204999999995</v>
      </c>
      <c r="AP367" s="17"/>
      <c r="AQ367" s="16"/>
      <c r="AR367" s="17">
        <f t="shared" si="125"/>
        <v>87.271204999999995</v>
      </c>
      <c r="AS367" s="17"/>
      <c r="AT367" s="17">
        <v>295.14460000000003</v>
      </c>
      <c r="AU367" s="17">
        <f t="shared" si="120"/>
        <v>295.14460000000003</v>
      </c>
      <c r="AV367" s="17">
        <f t="shared" si="119"/>
        <v>0</v>
      </c>
      <c r="AW367" s="17" t="str">
        <f t="shared" si="122"/>
        <v>SUNU</v>
      </c>
      <c r="AX367" s="22">
        <v>44769</v>
      </c>
      <c r="AY367" s="22"/>
      <c r="AZ367" s="22"/>
      <c r="BA367" s="22" t="str">
        <f t="shared" si="121"/>
        <v>FIRE</v>
      </c>
      <c r="BB367" s="22"/>
      <c r="BC367" s="22"/>
      <c r="BD367" s="22"/>
    </row>
    <row r="368" spans="1:56" ht="14.25" customHeight="1" x14ac:dyDescent="0.2">
      <c r="A368" s="1" t="s">
        <v>578</v>
      </c>
      <c r="B368" s="1" t="s">
        <v>57</v>
      </c>
      <c r="C368" s="13">
        <v>44729</v>
      </c>
      <c r="D368" s="13">
        <v>44739</v>
      </c>
      <c r="E368" s="13">
        <v>44740</v>
      </c>
      <c r="F368" s="13">
        <v>45104</v>
      </c>
      <c r="G368" s="14" t="str">
        <f t="shared" si="112"/>
        <v>000-367/AIB RDC/2022</v>
      </c>
      <c r="H368" s="1">
        <v>0</v>
      </c>
      <c r="I368" s="1" t="s">
        <v>74</v>
      </c>
      <c r="J368" s="1" t="s">
        <v>650</v>
      </c>
      <c r="K368" s="1" t="s">
        <v>651</v>
      </c>
      <c r="L368" s="1"/>
      <c r="M368" s="1" t="s">
        <v>84</v>
      </c>
      <c r="N368" s="1" t="s">
        <v>85</v>
      </c>
      <c r="O368" s="1" t="s">
        <v>73</v>
      </c>
      <c r="P368" s="1" t="s">
        <v>73</v>
      </c>
      <c r="Q368" s="1" t="s">
        <v>130</v>
      </c>
      <c r="R368" s="1" t="s">
        <v>130</v>
      </c>
      <c r="S368" s="17">
        <v>0</v>
      </c>
      <c r="T368" s="17">
        <v>316.19</v>
      </c>
      <c r="U368" s="17">
        <v>0</v>
      </c>
      <c r="V368" s="17">
        <v>0</v>
      </c>
      <c r="W368" s="17">
        <v>3.96</v>
      </c>
      <c r="X368" s="17">
        <v>264</v>
      </c>
      <c r="Y368" s="17">
        <v>42.87</v>
      </c>
      <c r="Z368" s="18" t="e">
        <f t="shared" si="113"/>
        <v>#DIV/0!</v>
      </c>
      <c r="AA368" s="19">
        <v>0.125</v>
      </c>
      <c r="AB368" s="17">
        <f t="shared" si="126"/>
        <v>33</v>
      </c>
      <c r="AC368" s="17"/>
      <c r="AD368" s="17"/>
      <c r="AE368" s="17">
        <f t="shared" si="114"/>
        <v>33</v>
      </c>
      <c r="AF368" s="17">
        <f t="shared" si="123"/>
        <v>5.28</v>
      </c>
      <c r="AG368" s="17">
        <f t="shared" si="115"/>
        <v>38.28</v>
      </c>
      <c r="AH368" s="17">
        <f t="shared" si="124"/>
        <v>0.66</v>
      </c>
      <c r="AI368" s="17"/>
      <c r="AJ368" s="17">
        <f t="shared" si="116"/>
        <v>0.66</v>
      </c>
      <c r="AK368" s="20"/>
      <c r="AL368" s="17">
        <f t="shared" si="117"/>
        <v>32.340000000000003</v>
      </c>
      <c r="AM368" s="17"/>
      <c r="AN368" s="21"/>
      <c r="AO368" s="17">
        <f t="shared" si="118"/>
        <v>0</v>
      </c>
      <c r="AP368" s="17"/>
      <c r="AQ368" s="16"/>
      <c r="AR368" s="17">
        <f t="shared" si="125"/>
        <v>0</v>
      </c>
      <c r="AS368" s="17"/>
      <c r="AT368" s="17">
        <v>38.28</v>
      </c>
      <c r="AU368" s="17">
        <f t="shared" si="120"/>
        <v>38.28</v>
      </c>
      <c r="AV368" s="17">
        <f t="shared" si="119"/>
        <v>0</v>
      </c>
      <c r="AW368" s="17" t="str">
        <f t="shared" si="122"/>
        <v>SFA</v>
      </c>
      <c r="AX368" s="22">
        <v>44781</v>
      </c>
      <c r="AY368" s="22"/>
      <c r="AZ368" s="1" t="s">
        <v>100</v>
      </c>
      <c r="BA368" s="22" t="str">
        <f t="shared" si="121"/>
        <v>MOTOR TPL</v>
      </c>
      <c r="BB368" s="22"/>
      <c r="BC368" s="22"/>
      <c r="BD368" s="22"/>
    </row>
    <row r="369" spans="1:56" ht="14.25" customHeight="1" x14ac:dyDescent="0.2">
      <c r="A369" s="1" t="s">
        <v>578</v>
      </c>
      <c r="B369" s="1" t="s">
        <v>57</v>
      </c>
      <c r="C369" s="13">
        <v>44734</v>
      </c>
      <c r="D369" s="13">
        <v>44734</v>
      </c>
      <c r="E369" s="13">
        <v>44733</v>
      </c>
      <c r="F369" s="13">
        <v>45097</v>
      </c>
      <c r="G369" s="14" t="str">
        <f t="shared" si="112"/>
        <v>000-368/AIB RDC/2022</v>
      </c>
      <c r="H369" s="1">
        <v>0</v>
      </c>
      <c r="I369" s="1" t="s">
        <v>74</v>
      </c>
      <c r="J369" s="1" t="s">
        <v>652</v>
      </c>
      <c r="K369" s="1" t="s">
        <v>653</v>
      </c>
      <c r="L369" s="16" t="s">
        <v>137</v>
      </c>
      <c r="M369" s="1" t="s">
        <v>84</v>
      </c>
      <c r="N369" s="1" t="s">
        <v>85</v>
      </c>
      <c r="O369" s="1" t="s">
        <v>152</v>
      </c>
      <c r="P369" s="1" t="s">
        <v>153</v>
      </c>
      <c r="Q369" s="1" t="s">
        <v>130</v>
      </c>
      <c r="R369" s="1" t="s">
        <v>130</v>
      </c>
      <c r="S369" s="17">
        <v>509297</v>
      </c>
      <c r="T369" s="17">
        <v>24168.52</v>
      </c>
      <c r="U369" s="17">
        <v>0</v>
      </c>
      <c r="V369" s="17">
        <v>0</v>
      </c>
      <c r="W369" s="17">
        <v>302.64999999999998</v>
      </c>
      <c r="X369" s="17">
        <v>20179.16</v>
      </c>
      <c r="Y369" s="17">
        <v>3277.08</v>
      </c>
      <c r="Z369" s="18">
        <f t="shared" si="113"/>
        <v>4.74546679049749E-2</v>
      </c>
      <c r="AA369" s="19">
        <v>0.15</v>
      </c>
      <c r="AB369" s="17">
        <f t="shared" si="126"/>
        <v>3026.8739999999998</v>
      </c>
      <c r="AC369" s="17"/>
      <c r="AD369" s="17"/>
      <c r="AE369" s="17">
        <f t="shared" si="114"/>
        <v>3026.8739999999998</v>
      </c>
      <c r="AF369" s="17">
        <f t="shared" si="123"/>
        <v>484.29983999999996</v>
      </c>
      <c r="AG369" s="17">
        <f t="shared" si="115"/>
        <v>3511.1738399999999</v>
      </c>
      <c r="AH369" s="17">
        <f t="shared" si="124"/>
        <v>60.537479999999995</v>
      </c>
      <c r="AI369" s="17"/>
      <c r="AJ369" s="17">
        <f t="shared" si="116"/>
        <v>60.537479999999995</v>
      </c>
      <c r="AK369" s="20"/>
      <c r="AL369" s="17">
        <f t="shared" si="117"/>
        <v>2966.3365199999998</v>
      </c>
      <c r="AM369" s="17" t="s">
        <v>289</v>
      </c>
      <c r="AN369" s="21">
        <v>0.5</v>
      </c>
      <c r="AO369" s="17">
        <f t="shared" si="118"/>
        <v>1483.1682599999999</v>
      </c>
      <c r="AP369" s="17">
        <v>1483.1682599999999</v>
      </c>
      <c r="AQ369" s="16">
        <v>44867</v>
      </c>
      <c r="AR369" s="17">
        <f t="shared" si="125"/>
        <v>0</v>
      </c>
      <c r="AS369" s="17" t="s">
        <v>290</v>
      </c>
      <c r="AT369" s="17">
        <v>3511.1738399999999</v>
      </c>
      <c r="AU369" s="17">
        <f t="shared" si="120"/>
        <v>3511.1738399999999</v>
      </c>
      <c r="AV369" s="17">
        <f t="shared" si="119"/>
        <v>0</v>
      </c>
      <c r="AW369" s="17" t="str">
        <f t="shared" si="122"/>
        <v>SFA</v>
      </c>
      <c r="AX369" s="22">
        <v>44781</v>
      </c>
      <c r="AY369" s="22"/>
      <c r="AZ369" s="1" t="s">
        <v>100</v>
      </c>
      <c r="BA369" s="22" t="str">
        <f t="shared" si="121"/>
        <v>COMP MOTOR</v>
      </c>
      <c r="BB369" s="22"/>
      <c r="BC369" s="22"/>
      <c r="BD369" s="22"/>
    </row>
    <row r="370" spans="1:56" ht="14.25" customHeight="1" x14ac:dyDescent="0.2">
      <c r="A370" s="1" t="s">
        <v>578</v>
      </c>
      <c r="B370" s="1" t="s">
        <v>57</v>
      </c>
      <c r="C370" s="13">
        <v>44740</v>
      </c>
      <c r="D370" s="13">
        <v>44740</v>
      </c>
      <c r="E370" s="13">
        <v>44740</v>
      </c>
      <c r="F370" s="13">
        <v>45034</v>
      </c>
      <c r="G370" s="14" t="str">
        <f t="shared" si="112"/>
        <v>000-369/AIB RDC/2022</v>
      </c>
      <c r="H370" s="1">
        <v>1</v>
      </c>
      <c r="I370" s="1" t="s">
        <v>91</v>
      </c>
      <c r="J370" s="1" t="s">
        <v>505</v>
      </c>
      <c r="K370" s="16" t="s">
        <v>409</v>
      </c>
      <c r="L370" s="16" t="s">
        <v>137</v>
      </c>
      <c r="M370" s="1" t="s">
        <v>84</v>
      </c>
      <c r="N370" s="1" t="s">
        <v>85</v>
      </c>
      <c r="O370" s="1" t="s">
        <v>152</v>
      </c>
      <c r="P370" s="1" t="s">
        <v>153</v>
      </c>
      <c r="Q370" s="1" t="s">
        <v>130</v>
      </c>
      <c r="R370" s="1" t="s">
        <v>130</v>
      </c>
      <c r="S370" s="17">
        <v>77675</v>
      </c>
      <c r="T370" s="17">
        <v>3349.11</v>
      </c>
      <c r="U370" s="17">
        <v>0</v>
      </c>
      <c r="V370" s="17">
        <v>0</v>
      </c>
      <c r="W370" s="17">
        <v>41.94</v>
      </c>
      <c r="X370" s="17">
        <v>2796.3</v>
      </c>
      <c r="Y370" s="17">
        <v>454.11</v>
      </c>
      <c r="Z370" s="18">
        <f t="shared" si="113"/>
        <v>4.311696169938848E-2</v>
      </c>
      <c r="AA370" s="19">
        <v>0.15</v>
      </c>
      <c r="AB370" s="17">
        <f t="shared" si="126"/>
        <v>419.44499999999999</v>
      </c>
      <c r="AC370" s="17"/>
      <c r="AD370" s="17"/>
      <c r="AE370" s="17">
        <f t="shared" si="114"/>
        <v>419.44499999999999</v>
      </c>
      <c r="AF370" s="17">
        <f t="shared" si="123"/>
        <v>67.111199999999997</v>
      </c>
      <c r="AG370" s="17">
        <f t="shared" si="115"/>
        <v>486.55619999999999</v>
      </c>
      <c r="AH370" s="17">
        <f t="shared" si="124"/>
        <v>8.3888999999999996</v>
      </c>
      <c r="AI370" s="17"/>
      <c r="AJ370" s="17">
        <f t="shared" si="116"/>
        <v>8.3888999999999996</v>
      </c>
      <c r="AK370" s="20"/>
      <c r="AL370" s="17">
        <f t="shared" si="117"/>
        <v>411.05610000000001</v>
      </c>
      <c r="AM370" s="17" t="s">
        <v>289</v>
      </c>
      <c r="AN370" s="21">
        <v>0.5</v>
      </c>
      <c r="AO370" s="17">
        <f t="shared" si="118"/>
        <v>205.52805000000001</v>
      </c>
      <c r="AP370" s="17">
        <v>205.52805000000001</v>
      </c>
      <c r="AQ370" s="16">
        <v>44867</v>
      </c>
      <c r="AR370" s="17">
        <f t="shared" si="125"/>
        <v>0</v>
      </c>
      <c r="AS370" s="17" t="s">
        <v>290</v>
      </c>
      <c r="AT370" s="17">
        <v>486.55619999999999</v>
      </c>
      <c r="AU370" s="17">
        <f t="shared" si="120"/>
        <v>486.55619999999999</v>
      </c>
      <c r="AV370" s="17">
        <f t="shared" si="119"/>
        <v>0</v>
      </c>
      <c r="AW370" s="17" t="str">
        <f t="shared" si="122"/>
        <v>SFA</v>
      </c>
      <c r="AX370" s="22">
        <v>44781</v>
      </c>
      <c r="AY370" s="22"/>
      <c r="AZ370" s="1" t="s">
        <v>68</v>
      </c>
      <c r="BA370" s="22" t="str">
        <f t="shared" si="121"/>
        <v>COMP MOTOR</v>
      </c>
      <c r="BB370" s="22"/>
      <c r="BC370" s="22"/>
      <c r="BD370" s="22"/>
    </row>
    <row r="371" spans="1:56" ht="14.25" customHeight="1" x14ac:dyDescent="0.2">
      <c r="A371" s="1" t="s">
        <v>578</v>
      </c>
      <c r="B371" s="1" t="s">
        <v>57</v>
      </c>
      <c r="C371" s="13">
        <v>44729</v>
      </c>
      <c r="D371" s="13">
        <v>44737</v>
      </c>
      <c r="E371" s="13">
        <v>44736</v>
      </c>
      <c r="F371" s="13">
        <v>44848</v>
      </c>
      <c r="G371" s="14" t="str">
        <f t="shared" si="112"/>
        <v>000-370/AIB RDC/2022</v>
      </c>
      <c r="H371" s="1">
        <v>10</v>
      </c>
      <c r="I371" s="1" t="s">
        <v>91</v>
      </c>
      <c r="J371" s="1" t="s">
        <v>299</v>
      </c>
      <c r="K371" s="1" t="s">
        <v>300</v>
      </c>
      <c r="L371" s="1" t="s">
        <v>214</v>
      </c>
      <c r="M371" s="1" t="s">
        <v>62</v>
      </c>
      <c r="N371" s="1" t="s">
        <v>209</v>
      </c>
      <c r="O371" s="1" t="s">
        <v>73</v>
      </c>
      <c r="P371" s="1" t="s">
        <v>73</v>
      </c>
      <c r="Q371" s="1" t="s">
        <v>130</v>
      </c>
      <c r="R371" s="1" t="s">
        <v>130</v>
      </c>
      <c r="S371" s="17">
        <v>0</v>
      </c>
      <c r="T371" s="17">
        <v>3844.44</v>
      </c>
      <c r="U371" s="17">
        <v>0</v>
      </c>
      <c r="V371" s="17">
        <v>0</v>
      </c>
      <c r="W371" s="17">
        <v>48.24</v>
      </c>
      <c r="X371" s="17">
        <v>3209.76</v>
      </c>
      <c r="Y371" s="17">
        <v>521.28</v>
      </c>
      <c r="Z371" s="18" t="e">
        <f t="shared" si="113"/>
        <v>#DIV/0!</v>
      </c>
      <c r="AA371" s="19">
        <v>0.1</v>
      </c>
      <c r="AB371" s="17">
        <f t="shared" si="126"/>
        <v>320.97600000000006</v>
      </c>
      <c r="AC371" s="17">
        <v>0</v>
      </c>
      <c r="AD371" s="17">
        <v>0</v>
      </c>
      <c r="AE371" s="17">
        <f t="shared" si="114"/>
        <v>320.97600000000006</v>
      </c>
      <c r="AF371" s="17">
        <f t="shared" si="123"/>
        <v>51.35616000000001</v>
      </c>
      <c r="AG371" s="17">
        <f t="shared" si="115"/>
        <v>372.33216000000004</v>
      </c>
      <c r="AH371" s="17">
        <f t="shared" si="124"/>
        <v>6.4195200000000012</v>
      </c>
      <c r="AI371" s="17"/>
      <c r="AJ371" s="17">
        <f t="shared" si="116"/>
        <v>6.4195200000000012</v>
      </c>
      <c r="AK371" s="20"/>
      <c r="AL371" s="17">
        <f t="shared" si="117"/>
        <v>314.55648000000008</v>
      </c>
      <c r="AM371" s="17"/>
      <c r="AN371" s="21"/>
      <c r="AO371" s="17">
        <f t="shared" si="118"/>
        <v>0</v>
      </c>
      <c r="AP371" s="17"/>
      <c r="AQ371" s="16"/>
      <c r="AR371" s="17">
        <f t="shared" si="125"/>
        <v>0</v>
      </c>
      <c r="AS371" s="17"/>
      <c r="AT371" s="17">
        <v>372.33216000000004</v>
      </c>
      <c r="AU371" s="17">
        <f t="shared" si="120"/>
        <v>372.33216000000004</v>
      </c>
      <c r="AV371" s="17">
        <f t="shared" si="119"/>
        <v>0</v>
      </c>
      <c r="AW371" s="17" t="str">
        <f t="shared" si="122"/>
        <v>SFA</v>
      </c>
      <c r="AX371" s="22">
        <v>44791</v>
      </c>
      <c r="AY371" s="22"/>
      <c r="AZ371" s="1" t="s">
        <v>68</v>
      </c>
      <c r="BA371" s="22" t="str">
        <f t="shared" si="121"/>
        <v>MOTOR TPL</v>
      </c>
      <c r="BB371" s="22"/>
      <c r="BC371" s="1" t="s">
        <v>130</v>
      </c>
      <c r="BD371" s="1"/>
    </row>
    <row r="372" spans="1:56" ht="14.25" customHeight="1" x14ac:dyDescent="0.2">
      <c r="A372" s="1" t="s">
        <v>773</v>
      </c>
      <c r="B372" s="1" t="s">
        <v>57</v>
      </c>
      <c r="C372" s="13">
        <v>44834</v>
      </c>
      <c r="D372" s="13">
        <v>44867</v>
      </c>
      <c r="E372" s="13">
        <v>44805</v>
      </c>
      <c r="F372" s="13">
        <v>44807</v>
      </c>
      <c r="G372" s="14" t="str">
        <f t="shared" si="112"/>
        <v>000-371/AIB RDC/2022</v>
      </c>
      <c r="H372" s="1">
        <v>0</v>
      </c>
      <c r="I372" s="1" t="s">
        <v>74</v>
      </c>
      <c r="J372" s="1" t="s">
        <v>831</v>
      </c>
      <c r="K372" s="1" t="s">
        <v>228</v>
      </c>
      <c r="L372" s="1"/>
      <c r="M372" s="1" t="s">
        <v>105</v>
      </c>
      <c r="N372" s="1" t="s">
        <v>106</v>
      </c>
      <c r="O372" s="1" t="s">
        <v>64</v>
      </c>
      <c r="P372" s="1" t="s">
        <v>65</v>
      </c>
      <c r="Q372" s="1" t="s">
        <v>130</v>
      </c>
      <c r="R372" s="1" t="s">
        <v>130</v>
      </c>
      <c r="S372" s="17">
        <v>103451.87</v>
      </c>
      <c r="T372" s="17">
        <v>289.10000000000002</v>
      </c>
      <c r="U372" s="17">
        <v>0</v>
      </c>
      <c r="V372" s="17">
        <v>0</v>
      </c>
      <c r="W372" s="17">
        <v>20</v>
      </c>
      <c r="X372" s="17">
        <v>225</v>
      </c>
      <c r="Y372" s="17">
        <v>39.200000000000003</v>
      </c>
      <c r="Z372" s="18">
        <f t="shared" si="113"/>
        <v>2.7945362418291715E-3</v>
      </c>
      <c r="AA372" s="19">
        <v>0.15</v>
      </c>
      <c r="AB372" s="17">
        <f t="shared" si="126"/>
        <v>33.75</v>
      </c>
      <c r="AC372" s="34">
        <v>0</v>
      </c>
      <c r="AD372" s="34">
        <v>0</v>
      </c>
      <c r="AE372" s="17">
        <f t="shared" si="114"/>
        <v>33.75</v>
      </c>
      <c r="AF372" s="17">
        <f t="shared" si="123"/>
        <v>5.4</v>
      </c>
      <c r="AG372" s="17">
        <f t="shared" si="115"/>
        <v>39.15</v>
      </c>
      <c r="AH372" s="17">
        <f t="shared" si="124"/>
        <v>0.67500000000000004</v>
      </c>
      <c r="AI372" s="27"/>
      <c r="AJ372" s="17">
        <f t="shared" si="116"/>
        <v>0.67500000000000004</v>
      </c>
      <c r="AK372" s="20"/>
      <c r="AL372" s="17">
        <f t="shared" si="117"/>
        <v>33.075000000000003</v>
      </c>
      <c r="AM372" s="17" t="s">
        <v>108</v>
      </c>
      <c r="AN372" s="21">
        <v>0.4</v>
      </c>
      <c r="AO372" s="17">
        <f t="shared" si="118"/>
        <v>13.230000000000002</v>
      </c>
      <c r="AP372" s="27"/>
      <c r="AQ372" s="16"/>
      <c r="AR372" s="17">
        <f t="shared" si="125"/>
        <v>13.230000000000002</v>
      </c>
      <c r="AS372" s="17"/>
      <c r="AT372" s="17"/>
      <c r="AU372" s="17">
        <f t="shared" si="120"/>
        <v>39.15</v>
      </c>
      <c r="AV372" s="84">
        <f t="shared" si="119"/>
        <v>39.15</v>
      </c>
      <c r="AW372" s="17" t="str">
        <f t="shared" si="122"/>
        <v>SFA</v>
      </c>
      <c r="AX372" s="22"/>
      <c r="AY372" s="22"/>
      <c r="AZ372" s="1" t="s">
        <v>110</v>
      </c>
      <c r="BA372" s="22" t="str">
        <f t="shared" si="121"/>
        <v>MARINE CARGO / GIT</v>
      </c>
      <c r="BB372" s="54"/>
      <c r="BC372" s="22"/>
      <c r="BD372" s="1" t="s">
        <v>832</v>
      </c>
    </row>
    <row r="373" spans="1:56" ht="14.25" customHeight="1" x14ac:dyDescent="0.2">
      <c r="A373" s="1" t="s">
        <v>654</v>
      </c>
      <c r="B373" s="1" t="s">
        <v>57</v>
      </c>
      <c r="C373" s="13">
        <v>44729</v>
      </c>
      <c r="D373" s="13">
        <v>44765</v>
      </c>
      <c r="E373" s="13">
        <v>44765</v>
      </c>
      <c r="F373" s="13">
        <v>45007</v>
      </c>
      <c r="G373" s="14" t="str">
        <f t="shared" si="112"/>
        <v>000-372/AIB RDC/2022</v>
      </c>
      <c r="H373" s="1">
        <v>2</v>
      </c>
      <c r="I373" s="1" t="s">
        <v>91</v>
      </c>
      <c r="J373" s="24" t="s">
        <v>434</v>
      </c>
      <c r="K373" s="1" t="s">
        <v>197</v>
      </c>
      <c r="L373" s="1" t="s">
        <v>77</v>
      </c>
      <c r="M373" s="1" t="s">
        <v>62</v>
      </c>
      <c r="N373" s="1" t="s">
        <v>209</v>
      </c>
      <c r="O373" s="1" t="s">
        <v>73</v>
      </c>
      <c r="P373" s="1" t="s">
        <v>73</v>
      </c>
      <c r="Q373" s="1" t="s">
        <v>130</v>
      </c>
      <c r="R373" s="1" t="s">
        <v>130</v>
      </c>
      <c r="S373" s="17">
        <v>0</v>
      </c>
      <c r="T373" s="17">
        <v>245.63</v>
      </c>
      <c r="U373" s="17">
        <v>0</v>
      </c>
      <c r="V373" s="17">
        <v>0</v>
      </c>
      <c r="W373" s="17">
        <v>3.09</v>
      </c>
      <c r="X373" s="17">
        <v>205.08</v>
      </c>
      <c r="Y373" s="17">
        <v>33.299999999999997</v>
      </c>
      <c r="Z373" s="18" t="e">
        <f t="shared" si="113"/>
        <v>#DIV/0!</v>
      </c>
      <c r="AA373" s="19">
        <v>0.1</v>
      </c>
      <c r="AB373" s="17">
        <f t="shared" si="126"/>
        <v>20.508000000000003</v>
      </c>
      <c r="AC373" s="17">
        <v>0</v>
      </c>
      <c r="AD373" s="17">
        <v>0</v>
      </c>
      <c r="AE373" s="17">
        <f t="shared" si="114"/>
        <v>20.508000000000003</v>
      </c>
      <c r="AF373" s="17">
        <f t="shared" si="123"/>
        <v>3.2812800000000006</v>
      </c>
      <c r="AG373" s="17">
        <f t="shared" si="115"/>
        <v>23.789280000000005</v>
      </c>
      <c r="AH373" s="17">
        <f t="shared" si="124"/>
        <v>0.41016000000000008</v>
      </c>
      <c r="AI373" s="17">
        <v>0</v>
      </c>
      <c r="AJ373" s="17">
        <f t="shared" si="116"/>
        <v>0.41016000000000008</v>
      </c>
      <c r="AK373" s="20"/>
      <c r="AL373" s="17">
        <f t="shared" si="117"/>
        <v>20.097840000000001</v>
      </c>
      <c r="AM373" s="17"/>
      <c r="AN373" s="21"/>
      <c r="AO373" s="17">
        <f t="shared" si="118"/>
        <v>0</v>
      </c>
      <c r="AP373" s="17"/>
      <c r="AQ373" s="16"/>
      <c r="AR373" s="17">
        <f t="shared" si="125"/>
        <v>0</v>
      </c>
      <c r="AS373" s="17"/>
      <c r="AT373" s="17">
        <v>23.789280000000005</v>
      </c>
      <c r="AU373" s="17">
        <f t="shared" si="120"/>
        <v>23.789280000000005</v>
      </c>
      <c r="AV373" s="17">
        <f t="shared" si="119"/>
        <v>0</v>
      </c>
      <c r="AW373" s="17" t="str">
        <f t="shared" si="122"/>
        <v>SFA</v>
      </c>
      <c r="AX373" s="22">
        <v>44791</v>
      </c>
      <c r="AY373" s="22"/>
      <c r="AZ373" s="1" t="s">
        <v>68</v>
      </c>
      <c r="BA373" s="22" t="str">
        <f t="shared" si="121"/>
        <v>MOTOR TPL</v>
      </c>
      <c r="BB373" s="22"/>
      <c r="BC373" s="22"/>
      <c r="BD373" s="22"/>
    </row>
    <row r="374" spans="1:56" ht="14.25" customHeight="1" x14ac:dyDescent="0.2">
      <c r="A374" s="1" t="s">
        <v>667</v>
      </c>
      <c r="B374" s="1" t="s">
        <v>273</v>
      </c>
      <c r="C374" s="13">
        <v>44869</v>
      </c>
      <c r="D374" s="50">
        <v>44852</v>
      </c>
      <c r="E374" s="13">
        <v>44852</v>
      </c>
      <c r="F374" s="13">
        <v>44940</v>
      </c>
      <c r="G374" s="14" t="str">
        <f t="shared" si="112"/>
        <v>000-373/AIB RDC/2022</v>
      </c>
      <c r="H374" s="1">
        <v>0</v>
      </c>
      <c r="I374" s="1" t="s">
        <v>74</v>
      </c>
      <c r="J374" s="1" t="s">
        <v>975</v>
      </c>
      <c r="K374" s="1" t="s">
        <v>228</v>
      </c>
      <c r="L374" s="1"/>
      <c r="M374" s="1" t="s">
        <v>105</v>
      </c>
      <c r="N374" s="1" t="s">
        <v>106</v>
      </c>
      <c r="O374" s="1" t="s">
        <v>64</v>
      </c>
      <c r="P374" s="1" t="s">
        <v>65</v>
      </c>
      <c r="Q374" s="1" t="s">
        <v>130</v>
      </c>
      <c r="R374" s="1" t="s">
        <v>130</v>
      </c>
      <c r="S374" s="17">
        <v>49962.32</v>
      </c>
      <c r="T374" s="17">
        <v>139.12</v>
      </c>
      <c r="U374" s="17">
        <v>0</v>
      </c>
      <c r="V374" s="17">
        <v>0</v>
      </c>
      <c r="W374" s="17">
        <v>1.74</v>
      </c>
      <c r="X374" s="17">
        <v>116.16</v>
      </c>
      <c r="Y374" s="17">
        <v>18.86</v>
      </c>
      <c r="Z374" s="18">
        <f t="shared" si="113"/>
        <v>2.7844983979927276E-3</v>
      </c>
      <c r="AA374" s="19">
        <v>0.15</v>
      </c>
      <c r="AB374" s="17">
        <f t="shared" si="126"/>
        <v>17.423999999999999</v>
      </c>
      <c r="AC374" s="17">
        <v>0</v>
      </c>
      <c r="AD374" s="17">
        <v>0</v>
      </c>
      <c r="AE374" s="17">
        <f t="shared" si="114"/>
        <v>17.423999999999999</v>
      </c>
      <c r="AF374" s="17">
        <f t="shared" si="123"/>
        <v>2.7878400000000001</v>
      </c>
      <c r="AG374" s="17">
        <f t="shared" si="115"/>
        <v>20.211839999999999</v>
      </c>
      <c r="AH374" s="17">
        <f t="shared" si="124"/>
        <v>0.34848000000000001</v>
      </c>
      <c r="AI374" s="17"/>
      <c r="AJ374" s="17">
        <f t="shared" si="116"/>
        <v>0.34848000000000001</v>
      </c>
      <c r="AK374" s="20"/>
      <c r="AL374" s="17">
        <f t="shared" si="117"/>
        <v>17.075520000000001</v>
      </c>
      <c r="AM374" s="17" t="s">
        <v>108</v>
      </c>
      <c r="AN374" s="21">
        <v>0.4</v>
      </c>
      <c r="AO374" s="17">
        <f t="shared" si="118"/>
        <v>6.8302080000000007</v>
      </c>
      <c r="AP374" s="30">
        <v>6.8302080000000007</v>
      </c>
      <c r="AQ374" s="29">
        <v>45229</v>
      </c>
      <c r="AR374" s="17">
        <f t="shared" si="125"/>
        <v>0</v>
      </c>
      <c r="AS374" s="17"/>
      <c r="AT374" s="17"/>
      <c r="AU374" s="17">
        <f t="shared" si="120"/>
        <v>20.211839999999999</v>
      </c>
      <c r="AV374" s="84">
        <f t="shared" si="119"/>
        <v>20.211839999999999</v>
      </c>
      <c r="AW374" s="17" t="str">
        <f t="shared" si="122"/>
        <v>SFA</v>
      </c>
      <c r="AX374" s="22"/>
      <c r="AY374" s="22"/>
      <c r="AZ374" s="1" t="s">
        <v>110</v>
      </c>
      <c r="BA374" s="22" t="str">
        <f t="shared" si="121"/>
        <v>MARINE CARGO / GIT</v>
      </c>
      <c r="BB374" s="54"/>
      <c r="BC374" s="22"/>
      <c r="BD374" s="1" t="s">
        <v>832</v>
      </c>
    </row>
    <row r="375" spans="1:56" ht="14.25" customHeight="1" x14ac:dyDescent="0.2">
      <c r="A375" s="1" t="s">
        <v>992</v>
      </c>
      <c r="B375" s="1" t="s">
        <v>273</v>
      </c>
      <c r="C375" s="13">
        <v>44928</v>
      </c>
      <c r="D375" s="1" t="s">
        <v>837</v>
      </c>
      <c r="E375" s="1" t="s">
        <v>837</v>
      </c>
      <c r="F375" s="1" t="s">
        <v>837</v>
      </c>
      <c r="G375" s="14" t="str">
        <f t="shared" si="112"/>
        <v>000-374/AIB RDC/2022</v>
      </c>
      <c r="H375" s="1">
        <v>0</v>
      </c>
      <c r="I375" s="1" t="s">
        <v>74</v>
      </c>
      <c r="J375" s="15" t="s">
        <v>1098</v>
      </c>
      <c r="K375" s="1" t="s">
        <v>228</v>
      </c>
      <c r="L375" s="16"/>
      <c r="M375" s="1" t="s">
        <v>105</v>
      </c>
      <c r="N375" s="1" t="s">
        <v>106</v>
      </c>
      <c r="O375" s="1" t="s">
        <v>64</v>
      </c>
      <c r="P375" s="1" t="s">
        <v>65</v>
      </c>
      <c r="Q375" s="1" t="s">
        <v>130</v>
      </c>
      <c r="R375" s="1" t="s">
        <v>130</v>
      </c>
      <c r="S375" s="17">
        <v>25709.93</v>
      </c>
      <c r="T375" s="17">
        <v>65</v>
      </c>
      <c r="U375" s="17">
        <v>0</v>
      </c>
      <c r="V375" s="17">
        <v>0</v>
      </c>
      <c r="W375" s="17">
        <v>0.81</v>
      </c>
      <c r="X375" s="17">
        <v>54.28</v>
      </c>
      <c r="Y375" s="17">
        <v>8.81</v>
      </c>
      <c r="Z375" s="18">
        <f t="shared" si="113"/>
        <v>2.5282060277877069E-3</v>
      </c>
      <c r="AA375" s="19">
        <v>0.15</v>
      </c>
      <c r="AB375" s="17">
        <f t="shared" si="126"/>
        <v>8.1419999999999995</v>
      </c>
      <c r="AC375" s="17">
        <v>0</v>
      </c>
      <c r="AD375" s="17">
        <v>0</v>
      </c>
      <c r="AE375" s="17">
        <f t="shared" si="114"/>
        <v>8.1419999999999995</v>
      </c>
      <c r="AF375" s="17">
        <f t="shared" si="123"/>
        <v>1.3027199999999999</v>
      </c>
      <c r="AG375" s="17">
        <f t="shared" si="115"/>
        <v>9.4447200000000002</v>
      </c>
      <c r="AH375" s="17">
        <f t="shared" si="124"/>
        <v>0.16283999999999998</v>
      </c>
      <c r="AI375" s="17"/>
      <c r="AJ375" s="17">
        <f t="shared" si="116"/>
        <v>0.16283999999999998</v>
      </c>
      <c r="AK375" s="20"/>
      <c r="AL375" s="17">
        <f t="shared" si="117"/>
        <v>7.9791599999999994</v>
      </c>
      <c r="AM375" s="17" t="s">
        <v>108</v>
      </c>
      <c r="AN375" s="21">
        <v>0.4</v>
      </c>
      <c r="AO375" s="17">
        <f t="shared" si="118"/>
        <v>3.1916639999999998</v>
      </c>
      <c r="AP375" s="27"/>
      <c r="AQ375" s="16"/>
      <c r="AR375" s="17">
        <f t="shared" si="125"/>
        <v>3.1916639999999998</v>
      </c>
      <c r="AS375" s="17"/>
      <c r="AT375" s="17"/>
      <c r="AU375" s="17">
        <f t="shared" ref="AU375:AU406" si="127">AG375</f>
        <v>9.4447200000000002</v>
      </c>
      <c r="AV375" s="84">
        <f t="shared" si="119"/>
        <v>9.4447200000000002</v>
      </c>
      <c r="AW375" s="17" t="str">
        <f t="shared" si="122"/>
        <v>SFA</v>
      </c>
      <c r="AX375" s="22"/>
      <c r="AY375" s="22"/>
      <c r="AZ375" s="1" t="s">
        <v>110</v>
      </c>
      <c r="BA375" s="22" t="str">
        <f t="shared" si="121"/>
        <v>MARINE CARGO / GIT</v>
      </c>
      <c r="BB375" s="54"/>
      <c r="BC375" s="22"/>
      <c r="BD375" s="1" t="s">
        <v>226</v>
      </c>
    </row>
    <row r="376" spans="1:56" ht="14.25" customHeight="1" x14ac:dyDescent="0.2">
      <c r="A376" s="1" t="s">
        <v>578</v>
      </c>
      <c r="B376" s="1" t="s">
        <v>57</v>
      </c>
      <c r="C376" s="13">
        <v>44734</v>
      </c>
      <c r="D376" s="13">
        <v>44774</v>
      </c>
      <c r="E376" s="13">
        <v>44735</v>
      </c>
      <c r="F376" s="13">
        <v>44826</v>
      </c>
      <c r="G376" s="14" t="str">
        <f t="shared" si="112"/>
        <v>000-375/AIB RDC/2022</v>
      </c>
      <c r="H376" s="1">
        <v>0</v>
      </c>
      <c r="I376" s="1" t="s">
        <v>74</v>
      </c>
      <c r="J376" s="1">
        <v>72000049</v>
      </c>
      <c r="K376" s="1" t="s">
        <v>228</v>
      </c>
      <c r="L376" s="1"/>
      <c r="M376" s="1" t="s">
        <v>105</v>
      </c>
      <c r="N376" s="1" t="s">
        <v>106</v>
      </c>
      <c r="O376" s="1" t="s">
        <v>64</v>
      </c>
      <c r="P376" s="1" t="s">
        <v>65</v>
      </c>
      <c r="Q376" s="1" t="s">
        <v>107</v>
      </c>
      <c r="R376" s="1" t="s">
        <v>107</v>
      </c>
      <c r="S376" s="17">
        <v>6623</v>
      </c>
      <c r="T376" s="17">
        <v>129.80000000000001</v>
      </c>
      <c r="U376" s="17">
        <v>0</v>
      </c>
      <c r="V376" s="17">
        <v>0</v>
      </c>
      <c r="W376" s="17">
        <v>10</v>
      </c>
      <c r="X376" s="17">
        <v>100</v>
      </c>
      <c r="Y376" s="17">
        <v>17.600000000000001</v>
      </c>
      <c r="Z376" s="18">
        <f t="shared" si="113"/>
        <v>1.9598369319039712E-2</v>
      </c>
      <c r="AA376" s="19">
        <v>0.15</v>
      </c>
      <c r="AB376" s="17">
        <f t="shared" si="126"/>
        <v>15</v>
      </c>
      <c r="AC376" s="17"/>
      <c r="AD376" s="17"/>
      <c r="AE376" s="17">
        <f t="shared" si="114"/>
        <v>15</v>
      </c>
      <c r="AF376" s="17">
        <f t="shared" si="123"/>
        <v>2.4</v>
      </c>
      <c r="AG376" s="17">
        <f t="shared" si="115"/>
        <v>17.399999999999999</v>
      </c>
      <c r="AH376" s="17">
        <f t="shared" si="124"/>
        <v>0.3</v>
      </c>
      <c r="AI376" s="17"/>
      <c r="AJ376" s="17">
        <f t="shared" si="116"/>
        <v>0.3</v>
      </c>
      <c r="AK376" s="20"/>
      <c r="AL376" s="17">
        <f t="shared" si="117"/>
        <v>14.7</v>
      </c>
      <c r="AM376" s="17" t="s">
        <v>108</v>
      </c>
      <c r="AN376" s="21">
        <v>0.4</v>
      </c>
      <c r="AO376" s="17">
        <f t="shared" si="118"/>
        <v>5.88</v>
      </c>
      <c r="AP376" s="17">
        <v>5.88</v>
      </c>
      <c r="AQ376" s="16">
        <v>44867</v>
      </c>
      <c r="AR376" s="17">
        <f t="shared" si="125"/>
        <v>0</v>
      </c>
      <c r="AS376" s="17" t="s">
        <v>397</v>
      </c>
      <c r="AT376" s="17">
        <v>17.399999999999999</v>
      </c>
      <c r="AU376" s="17">
        <f t="shared" si="127"/>
        <v>17.399999999999999</v>
      </c>
      <c r="AV376" s="17">
        <f t="shared" si="119"/>
        <v>0</v>
      </c>
      <c r="AW376" s="17" t="str">
        <f t="shared" si="122"/>
        <v>RAWSUR</v>
      </c>
      <c r="AX376" s="22">
        <v>44832</v>
      </c>
      <c r="AY376" s="22"/>
      <c r="AZ376" s="1" t="s">
        <v>110</v>
      </c>
      <c r="BA376" s="22" t="str">
        <f t="shared" ref="BA376:BA407" si="128">O376</f>
        <v>MARINE CARGO / GIT</v>
      </c>
      <c r="BB376" s="22"/>
      <c r="BC376" s="22"/>
      <c r="BD376" s="22"/>
    </row>
    <row r="377" spans="1:56" ht="14.25" customHeight="1" x14ac:dyDescent="0.2">
      <c r="A377" s="1" t="s">
        <v>578</v>
      </c>
      <c r="B377" s="1" t="s">
        <v>57</v>
      </c>
      <c r="C377" s="13">
        <v>44735</v>
      </c>
      <c r="D377" s="13">
        <v>44774</v>
      </c>
      <c r="E377" s="13">
        <v>44735</v>
      </c>
      <c r="F377" s="13">
        <v>44764</v>
      </c>
      <c r="G377" s="14" t="str">
        <f t="shared" si="112"/>
        <v>000-376/AIB RDC/2022</v>
      </c>
      <c r="H377" s="1">
        <v>0</v>
      </c>
      <c r="I377" s="1" t="s">
        <v>74</v>
      </c>
      <c r="J377" s="1">
        <v>72000051</v>
      </c>
      <c r="K377" s="1" t="s">
        <v>228</v>
      </c>
      <c r="L377" s="1"/>
      <c r="M377" s="1" t="s">
        <v>105</v>
      </c>
      <c r="N377" s="1" t="s">
        <v>106</v>
      </c>
      <c r="O377" s="1" t="s">
        <v>64</v>
      </c>
      <c r="P377" s="1" t="s">
        <v>65</v>
      </c>
      <c r="Q377" s="1" t="s">
        <v>107</v>
      </c>
      <c r="R377" s="1" t="s">
        <v>107</v>
      </c>
      <c r="S377" s="17">
        <v>92296</v>
      </c>
      <c r="T377" s="17">
        <v>338.53</v>
      </c>
      <c r="U377" s="17">
        <v>0</v>
      </c>
      <c r="V377" s="17">
        <v>0</v>
      </c>
      <c r="W377" s="17">
        <v>10</v>
      </c>
      <c r="X377" s="17">
        <v>276.89</v>
      </c>
      <c r="Y377" s="17">
        <v>45.9</v>
      </c>
      <c r="Z377" s="18">
        <f t="shared" si="113"/>
        <v>3.6678729305712056E-3</v>
      </c>
      <c r="AA377" s="19">
        <v>0.15</v>
      </c>
      <c r="AB377" s="17">
        <f t="shared" si="126"/>
        <v>41.533499999999997</v>
      </c>
      <c r="AC377" s="17"/>
      <c r="AD377" s="17"/>
      <c r="AE377" s="17">
        <f t="shared" si="114"/>
        <v>41.533499999999997</v>
      </c>
      <c r="AF377" s="17">
        <f t="shared" si="123"/>
        <v>6.6453599999999993</v>
      </c>
      <c r="AG377" s="17">
        <f t="shared" si="115"/>
        <v>48.178859999999993</v>
      </c>
      <c r="AH377" s="17">
        <f t="shared" si="124"/>
        <v>0.83066999999999991</v>
      </c>
      <c r="AI377" s="17"/>
      <c r="AJ377" s="17">
        <f t="shared" si="116"/>
        <v>0.83066999999999991</v>
      </c>
      <c r="AK377" s="20"/>
      <c r="AL377" s="17">
        <f t="shared" si="117"/>
        <v>40.702829999999999</v>
      </c>
      <c r="AM377" s="17" t="s">
        <v>108</v>
      </c>
      <c r="AN377" s="21">
        <v>0.4</v>
      </c>
      <c r="AO377" s="17">
        <f t="shared" si="118"/>
        <v>16.281131999999999</v>
      </c>
      <c r="AP377" s="17">
        <v>16.281131999999999</v>
      </c>
      <c r="AQ377" s="16">
        <v>44867</v>
      </c>
      <c r="AR377" s="17">
        <f t="shared" si="125"/>
        <v>0</v>
      </c>
      <c r="AS377" s="17" t="s">
        <v>397</v>
      </c>
      <c r="AT377" s="17">
        <v>48.178859999999993</v>
      </c>
      <c r="AU377" s="17">
        <f t="shared" si="127"/>
        <v>48.178859999999993</v>
      </c>
      <c r="AV377" s="17">
        <f t="shared" si="119"/>
        <v>0</v>
      </c>
      <c r="AW377" s="17" t="str">
        <f t="shared" si="122"/>
        <v>RAWSUR</v>
      </c>
      <c r="AX377" s="22">
        <v>44832</v>
      </c>
      <c r="AY377" s="22"/>
      <c r="AZ377" s="1" t="s">
        <v>110</v>
      </c>
      <c r="BA377" s="22" t="str">
        <f t="shared" si="128"/>
        <v>MARINE CARGO / GIT</v>
      </c>
      <c r="BB377" s="22"/>
      <c r="BC377" s="22"/>
      <c r="BD377" s="22"/>
    </row>
    <row r="378" spans="1:56" ht="14.25" customHeight="1" x14ac:dyDescent="0.2">
      <c r="A378" s="1" t="s">
        <v>578</v>
      </c>
      <c r="B378" s="1" t="s">
        <v>57</v>
      </c>
      <c r="C378" s="13">
        <v>44735</v>
      </c>
      <c r="D378" s="13">
        <v>44774</v>
      </c>
      <c r="E378" s="13">
        <v>44736</v>
      </c>
      <c r="F378" s="13">
        <v>44765</v>
      </c>
      <c r="G378" s="14" t="str">
        <f t="shared" si="112"/>
        <v>000-377/AIB RDC/2022</v>
      </c>
      <c r="H378" s="1">
        <v>0</v>
      </c>
      <c r="I378" s="1" t="s">
        <v>74</v>
      </c>
      <c r="J378" s="1">
        <v>72000050</v>
      </c>
      <c r="K378" s="1" t="s">
        <v>228</v>
      </c>
      <c r="L378" s="1"/>
      <c r="M378" s="1" t="s">
        <v>105</v>
      </c>
      <c r="N378" s="1" t="s">
        <v>106</v>
      </c>
      <c r="O378" s="1" t="s">
        <v>64</v>
      </c>
      <c r="P378" s="1" t="s">
        <v>65</v>
      </c>
      <c r="Q378" s="1" t="s">
        <v>107</v>
      </c>
      <c r="R378" s="1" t="s">
        <v>107</v>
      </c>
      <c r="S378" s="17">
        <v>31845</v>
      </c>
      <c r="T378" s="17">
        <v>129.80000000000001</v>
      </c>
      <c r="U378" s="17">
        <v>0</v>
      </c>
      <c r="V378" s="17">
        <v>0</v>
      </c>
      <c r="W378" s="17">
        <v>10</v>
      </c>
      <c r="X378" s="17">
        <v>100</v>
      </c>
      <c r="Y378" s="17">
        <v>17.600000000000001</v>
      </c>
      <c r="Z378" s="18">
        <f t="shared" si="113"/>
        <v>4.0759930915371338E-3</v>
      </c>
      <c r="AA378" s="19">
        <v>0.15</v>
      </c>
      <c r="AB378" s="17">
        <f t="shared" si="126"/>
        <v>15</v>
      </c>
      <c r="AC378" s="17"/>
      <c r="AD378" s="17"/>
      <c r="AE378" s="17">
        <f t="shared" si="114"/>
        <v>15</v>
      </c>
      <c r="AF378" s="17">
        <f t="shared" si="123"/>
        <v>2.4</v>
      </c>
      <c r="AG378" s="17">
        <f t="shared" si="115"/>
        <v>17.399999999999999</v>
      </c>
      <c r="AH378" s="17">
        <f t="shared" si="124"/>
        <v>0.3</v>
      </c>
      <c r="AI378" s="17"/>
      <c r="AJ378" s="17">
        <f t="shared" si="116"/>
        <v>0.3</v>
      </c>
      <c r="AK378" s="20"/>
      <c r="AL378" s="17">
        <f t="shared" si="117"/>
        <v>14.7</v>
      </c>
      <c r="AM378" s="17" t="s">
        <v>108</v>
      </c>
      <c r="AN378" s="21">
        <v>0.4</v>
      </c>
      <c r="AO378" s="17">
        <f t="shared" si="118"/>
        <v>5.88</v>
      </c>
      <c r="AP378" s="17">
        <v>5.88</v>
      </c>
      <c r="AQ378" s="16">
        <v>44867</v>
      </c>
      <c r="AR378" s="17">
        <f t="shared" si="125"/>
        <v>0</v>
      </c>
      <c r="AS378" s="17" t="s">
        <v>397</v>
      </c>
      <c r="AT378" s="17">
        <v>17.399999999999999</v>
      </c>
      <c r="AU378" s="17">
        <f t="shared" si="127"/>
        <v>17.399999999999999</v>
      </c>
      <c r="AV378" s="17">
        <f t="shared" si="119"/>
        <v>0</v>
      </c>
      <c r="AW378" s="17" t="str">
        <f t="shared" si="122"/>
        <v>RAWSUR</v>
      </c>
      <c r="AX378" s="22">
        <v>44832</v>
      </c>
      <c r="AY378" s="22"/>
      <c r="AZ378" s="1" t="s">
        <v>110</v>
      </c>
      <c r="BA378" s="22" t="str">
        <f t="shared" si="128"/>
        <v>MARINE CARGO / GIT</v>
      </c>
      <c r="BB378" s="22"/>
      <c r="BC378" s="22"/>
      <c r="BD378" s="22"/>
    </row>
    <row r="379" spans="1:56" ht="14.25" customHeight="1" x14ac:dyDescent="0.2">
      <c r="A379" s="1" t="s">
        <v>578</v>
      </c>
      <c r="B379" s="1" t="s">
        <v>57</v>
      </c>
      <c r="C379" s="13">
        <v>44714</v>
      </c>
      <c r="D379" s="13">
        <v>44805</v>
      </c>
      <c r="E379" s="13">
        <v>44715</v>
      </c>
      <c r="F379" s="13">
        <v>44806</v>
      </c>
      <c r="G379" s="14" t="str">
        <f t="shared" si="112"/>
        <v>000-378/AIB RDC/2022</v>
      </c>
      <c r="H379" s="1">
        <v>0</v>
      </c>
      <c r="I379" s="1" t="s">
        <v>74</v>
      </c>
      <c r="J379" s="1">
        <v>72000047</v>
      </c>
      <c r="K379" s="1" t="s">
        <v>614</v>
      </c>
      <c r="L379" s="1"/>
      <c r="M379" s="1" t="s">
        <v>105</v>
      </c>
      <c r="N379" s="1" t="s">
        <v>106</v>
      </c>
      <c r="O379" s="1" t="s">
        <v>64</v>
      </c>
      <c r="P379" s="1" t="s">
        <v>65</v>
      </c>
      <c r="Q379" s="1" t="s">
        <v>107</v>
      </c>
      <c r="R379" s="1" t="s">
        <v>107</v>
      </c>
      <c r="S379" s="17">
        <v>900</v>
      </c>
      <c r="T379" s="17">
        <v>129.80000000000001</v>
      </c>
      <c r="U379" s="17">
        <v>0</v>
      </c>
      <c r="V379" s="17">
        <v>0</v>
      </c>
      <c r="W379" s="17">
        <v>10</v>
      </c>
      <c r="X379" s="17">
        <v>100</v>
      </c>
      <c r="Y379" s="17">
        <v>17.600000000000001</v>
      </c>
      <c r="Z379" s="18">
        <f t="shared" si="113"/>
        <v>0.14422222222222222</v>
      </c>
      <c r="AA379" s="19">
        <v>0.15</v>
      </c>
      <c r="AB379" s="17">
        <f t="shared" si="126"/>
        <v>15</v>
      </c>
      <c r="AC379" s="17"/>
      <c r="AD379" s="17"/>
      <c r="AE379" s="17">
        <f t="shared" si="114"/>
        <v>15</v>
      </c>
      <c r="AF379" s="17">
        <f t="shared" si="123"/>
        <v>2.4</v>
      </c>
      <c r="AG379" s="17">
        <f t="shared" si="115"/>
        <v>17.399999999999999</v>
      </c>
      <c r="AH379" s="17">
        <f t="shared" si="124"/>
        <v>0.3</v>
      </c>
      <c r="AI379" s="17"/>
      <c r="AJ379" s="17">
        <f t="shared" si="116"/>
        <v>0.3</v>
      </c>
      <c r="AK379" s="20"/>
      <c r="AL379" s="17">
        <f t="shared" si="117"/>
        <v>14.7</v>
      </c>
      <c r="AM379" s="17" t="s">
        <v>108</v>
      </c>
      <c r="AN379" s="21">
        <v>0.4</v>
      </c>
      <c r="AO379" s="17">
        <f t="shared" si="118"/>
        <v>5.88</v>
      </c>
      <c r="AP379" s="30">
        <v>5.88</v>
      </c>
      <c r="AQ379" s="29">
        <v>45229</v>
      </c>
      <c r="AR379" s="17">
        <f t="shared" si="125"/>
        <v>0</v>
      </c>
      <c r="AS379" s="17"/>
      <c r="AT379" s="17">
        <v>17.399999999999999</v>
      </c>
      <c r="AU379" s="17">
        <f t="shared" si="127"/>
        <v>17.399999999999999</v>
      </c>
      <c r="AV379" s="17">
        <f t="shared" si="119"/>
        <v>0</v>
      </c>
      <c r="AW379" s="17" t="str">
        <f t="shared" si="122"/>
        <v>RAWSUR</v>
      </c>
      <c r="AX379" s="22">
        <v>44869</v>
      </c>
      <c r="AY379" s="22"/>
      <c r="AZ379" s="1" t="s">
        <v>110</v>
      </c>
      <c r="BA379" s="22" t="str">
        <f t="shared" si="128"/>
        <v>MARINE CARGO / GIT</v>
      </c>
      <c r="BB379" s="22"/>
      <c r="BC379" s="22"/>
      <c r="BD379" s="22"/>
    </row>
    <row r="380" spans="1:56" ht="14.25" customHeight="1" x14ac:dyDescent="0.2">
      <c r="A380" s="1" t="s">
        <v>578</v>
      </c>
      <c r="B380" s="1" t="s">
        <v>57</v>
      </c>
      <c r="C380" s="13">
        <v>44714</v>
      </c>
      <c r="D380" s="13">
        <v>44715</v>
      </c>
      <c r="E380" s="13">
        <v>44715</v>
      </c>
      <c r="F380" s="13">
        <v>44806</v>
      </c>
      <c r="G380" s="14" t="str">
        <f t="shared" si="112"/>
        <v>000-379/AIB RDC/2022</v>
      </c>
      <c r="H380" s="1">
        <v>0</v>
      </c>
      <c r="I380" s="1" t="s">
        <v>74</v>
      </c>
      <c r="J380" s="1">
        <v>72000048</v>
      </c>
      <c r="K380" s="1" t="s">
        <v>181</v>
      </c>
      <c r="L380" s="1"/>
      <c r="M380" s="1" t="s">
        <v>105</v>
      </c>
      <c r="N380" s="1" t="s">
        <v>106</v>
      </c>
      <c r="O380" s="1" t="s">
        <v>64</v>
      </c>
      <c r="P380" s="1" t="s">
        <v>65</v>
      </c>
      <c r="Q380" s="1" t="s">
        <v>107</v>
      </c>
      <c r="R380" s="1" t="s">
        <v>107</v>
      </c>
      <c r="S380" s="17">
        <v>2190</v>
      </c>
      <c r="T380" s="17">
        <v>129.80000000000001</v>
      </c>
      <c r="U380" s="17">
        <v>0</v>
      </c>
      <c r="V380" s="17">
        <v>0</v>
      </c>
      <c r="W380" s="17">
        <v>10</v>
      </c>
      <c r="X380" s="17">
        <v>100</v>
      </c>
      <c r="Y380" s="17">
        <v>17.600000000000001</v>
      </c>
      <c r="Z380" s="18">
        <f t="shared" si="113"/>
        <v>5.9269406392694068E-2</v>
      </c>
      <c r="AA380" s="19">
        <v>0.15</v>
      </c>
      <c r="AB380" s="17">
        <f t="shared" si="126"/>
        <v>15</v>
      </c>
      <c r="AC380" s="17"/>
      <c r="AD380" s="17"/>
      <c r="AE380" s="17">
        <f t="shared" si="114"/>
        <v>15</v>
      </c>
      <c r="AF380" s="17">
        <f t="shared" si="123"/>
        <v>2.4</v>
      </c>
      <c r="AG380" s="17">
        <f t="shared" si="115"/>
        <v>17.399999999999999</v>
      </c>
      <c r="AH380" s="17">
        <f t="shared" si="124"/>
        <v>0.3</v>
      </c>
      <c r="AI380" s="17"/>
      <c r="AJ380" s="17">
        <f t="shared" si="116"/>
        <v>0.3</v>
      </c>
      <c r="AK380" s="20"/>
      <c r="AL380" s="17">
        <f t="shared" si="117"/>
        <v>14.7</v>
      </c>
      <c r="AM380" s="17" t="s">
        <v>108</v>
      </c>
      <c r="AN380" s="21">
        <v>0.4</v>
      </c>
      <c r="AO380" s="17">
        <f t="shared" si="118"/>
        <v>5.88</v>
      </c>
      <c r="AP380" s="30">
        <v>5.88</v>
      </c>
      <c r="AQ380" s="29">
        <v>45229</v>
      </c>
      <c r="AR380" s="17">
        <f t="shared" si="125"/>
        <v>0</v>
      </c>
      <c r="AS380" s="17"/>
      <c r="AT380" s="17">
        <v>17.399999999999999</v>
      </c>
      <c r="AU380" s="17">
        <f t="shared" si="127"/>
        <v>17.399999999999999</v>
      </c>
      <c r="AV380" s="17">
        <f t="shared" si="119"/>
        <v>0</v>
      </c>
      <c r="AW380" s="17" t="str">
        <f t="shared" si="122"/>
        <v>RAWSUR</v>
      </c>
      <c r="AX380" s="22">
        <v>44994</v>
      </c>
      <c r="AY380" s="22"/>
      <c r="AZ380" s="1" t="s">
        <v>110</v>
      </c>
      <c r="BA380" s="22" t="str">
        <f t="shared" si="128"/>
        <v>MARINE CARGO / GIT</v>
      </c>
      <c r="BB380" s="22"/>
      <c r="BC380" s="22"/>
      <c r="BD380" s="1" t="s">
        <v>275</v>
      </c>
    </row>
    <row r="381" spans="1:56" ht="14.25" customHeight="1" x14ac:dyDescent="0.2">
      <c r="A381" s="1" t="s">
        <v>578</v>
      </c>
      <c r="B381" s="1" t="s">
        <v>57</v>
      </c>
      <c r="C381" s="13">
        <v>44721</v>
      </c>
      <c r="D381" s="13">
        <v>44751</v>
      </c>
      <c r="E381" s="13">
        <v>44725</v>
      </c>
      <c r="F381" s="13">
        <v>44816</v>
      </c>
      <c r="G381" s="14" t="str">
        <f t="shared" si="112"/>
        <v>000-380/AIB RDC/2022</v>
      </c>
      <c r="H381" s="1">
        <v>0</v>
      </c>
      <c r="I381" s="1" t="s">
        <v>74</v>
      </c>
      <c r="J381" s="1" t="s">
        <v>657</v>
      </c>
      <c r="K381" s="1" t="s">
        <v>261</v>
      </c>
      <c r="L381" s="1"/>
      <c r="M381" s="1" t="s">
        <v>105</v>
      </c>
      <c r="N381" s="1" t="s">
        <v>106</v>
      </c>
      <c r="O381" s="1" t="s">
        <v>64</v>
      </c>
      <c r="P381" s="1" t="s">
        <v>65</v>
      </c>
      <c r="Q381" s="1" t="s">
        <v>107</v>
      </c>
      <c r="R381" s="1" t="s">
        <v>107</v>
      </c>
      <c r="S381" s="17">
        <v>177483</v>
      </c>
      <c r="T381" s="17">
        <v>867.22</v>
      </c>
      <c r="U381" s="17">
        <v>0</v>
      </c>
      <c r="V381" s="17">
        <v>0</v>
      </c>
      <c r="W381" s="17">
        <v>25</v>
      </c>
      <c r="X381" s="17">
        <v>709.93</v>
      </c>
      <c r="Y381" s="17">
        <v>117.59</v>
      </c>
      <c r="Z381" s="18">
        <f t="shared" si="113"/>
        <v>4.8862144543421063E-3</v>
      </c>
      <c r="AA381" s="19">
        <v>0.15</v>
      </c>
      <c r="AB381" s="17">
        <f t="shared" si="126"/>
        <v>106.48949999999999</v>
      </c>
      <c r="AC381" s="17"/>
      <c r="AD381" s="17"/>
      <c r="AE381" s="17">
        <f t="shared" si="114"/>
        <v>106.48949999999999</v>
      </c>
      <c r="AF381" s="17">
        <f t="shared" si="123"/>
        <v>17.038319999999999</v>
      </c>
      <c r="AG381" s="17">
        <f t="shared" si="115"/>
        <v>123.52781999999999</v>
      </c>
      <c r="AH381" s="17">
        <f t="shared" si="124"/>
        <v>2.1297899999999998</v>
      </c>
      <c r="AI381" s="17"/>
      <c r="AJ381" s="17">
        <f t="shared" si="116"/>
        <v>2.1297899999999998</v>
      </c>
      <c r="AK381" s="20"/>
      <c r="AL381" s="17">
        <f t="shared" si="117"/>
        <v>104.35970999999999</v>
      </c>
      <c r="AM381" s="17" t="s">
        <v>108</v>
      </c>
      <c r="AN381" s="21">
        <v>0.4</v>
      </c>
      <c r="AO381" s="17">
        <f t="shared" si="118"/>
        <v>41.743884000000001</v>
      </c>
      <c r="AP381" s="17">
        <v>41.743884000000001</v>
      </c>
      <c r="AQ381" s="16">
        <v>44834</v>
      </c>
      <c r="AR381" s="17">
        <f t="shared" si="125"/>
        <v>0</v>
      </c>
      <c r="AS381" s="17" t="s">
        <v>109</v>
      </c>
      <c r="AT381" s="17">
        <v>123.52781999999999</v>
      </c>
      <c r="AU381" s="17">
        <f t="shared" si="127"/>
        <v>123.52781999999999</v>
      </c>
      <c r="AV381" s="17">
        <f t="shared" si="119"/>
        <v>0</v>
      </c>
      <c r="AW381" s="17" t="str">
        <f t="shared" si="122"/>
        <v>RAWSUR</v>
      </c>
      <c r="AX381" s="22">
        <v>44797</v>
      </c>
      <c r="AY381" s="22"/>
      <c r="AZ381" s="1" t="s">
        <v>110</v>
      </c>
      <c r="BA381" s="22" t="str">
        <f t="shared" si="128"/>
        <v>MARINE CARGO / GIT</v>
      </c>
      <c r="BB381" s="22"/>
      <c r="BC381" s="22"/>
      <c r="BD381" s="22"/>
    </row>
    <row r="382" spans="1:56" ht="14.25" customHeight="1" x14ac:dyDescent="0.2">
      <c r="A382" s="1" t="s">
        <v>578</v>
      </c>
      <c r="B382" s="1" t="s">
        <v>57</v>
      </c>
      <c r="C382" s="13">
        <v>44733</v>
      </c>
      <c r="D382" s="13">
        <v>44767</v>
      </c>
      <c r="E382" s="13">
        <v>44742</v>
      </c>
      <c r="F382" s="13">
        <v>45106</v>
      </c>
      <c r="G382" s="14" t="str">
        <f t="shared" si="112"/>
        <v>000-381/AIB RDC/2022</v>
      </c>
      <c r="H382" s="1">
        <v>1</v>
      </c>
      <c r="I382" s="1" t="s">
        <v>58</v>
      </c>
      <c r="J382" s="1" t="s">
        <v>658</v>
      </c>
      <c r="K382" s="1" t="s">
        <v>300</v>
      </c>
      <c r="L382" s="1" t="s">
        <v>214</v>
      </c>
      <c r="M382" s="1" t="s">
        <v>84</v>
      </c>
      <c r="N382" s="1" t="s">
        <v>85</v>
      </c>
      <c r="O382" s="1" t="s">
        <v>89</v>
      </c>
      <c r="P382" s="1" t="s">
        <v>90</v>
      </c>
      <c r="Q382" s="1" t="s">
        <v>107</v>
      </c>
      <c r="R382" s="1" t="s">
        <v>659</v>
      </c>
      <c r="S382" s="17">
        <v>0</v>
      </c>
      <c r="T382" s="17">
        <v>478762.65</v>
      </c>
      <c r="U382" s="17">
        <v>60859.66</v>
      </c>
      <c r="V382" s="17">
        <v>-33732.31</v>
      </c>
      <c r="W382" s="17">
        <v>0</v>
      </c>
      <c r="X382" s="17">
        <v>344871.4</v>
      </c>
      <c r="Y382" s="17">
        <v>64916.97</v>
      </c>
      <c r="Z382" s="18" t="e">
        <f t="shared" si="113"/>
        <v>#DIV/0!</v>
      </c>
      <c r="AA382" s="19">
        <v>0</v>
      </c>
      <c r="AB382" s="17">
        <f t="shared" si="126"/>
        <v>0</v>
      </c>
      <c r="AC382" s="17">
        <f>30%*(U382+V382)</f>
        <v>8138.2050000000017</v>
      </c>
      <c r="AD382" s="17"/>
      <c r="AE382" s="17">
        <f t="shared" si="114"/>
        <v>8138.2050000000017</v>
      </c>
      <c r="AF382" s="17">
        <f t="shared" si="123"/>
        <v>1302.1128000000003</v>
      </c>
      <c r="AG382" s="17">
        <f t="shared" si="115"/>
        <v>9440.3178000000025</v>
      </c>
      <c r="AH382" s="17">
        <f t="shared" si="124"/>
        <v>162.76410000000004</v>
      </c>
      <c r="AI382" s="17"/>
      <c r="AJ382" s="17">
        <f t="shared" si="116"/>
        <v>162.76410000000004</v>
      </c>
      <c r="AK382" s="20"/>
      <c r="AL382" s="17">
        <f t="shared" si="117"/>
        <v>7975.4409000000014</v>
      </c>
      <c r="AM382" s="17"/>
      <c r="AN382" s="21"/>
      <c r="AO382" s="17">
        <f t="shared" si="118"/>
        <v>0</v>
      </c>
      <c r="AP382" s="17"/>
      <c r="AQ382" s="16"/>
      <c r="AR382" s="17">
        <f t="shared" si="125"/>
        <v>0</v>
      </c>
      <c r="AS382" s="17"/>
      <c r="AT382" s="17">
        <v>9440.3178000000025</v>
      </c>
      <c r="AU382" s="17">
        <f t="shared" si="127"/>
        <v>9440.3178000000025</v>
      </c>
      <c r="AV382" s="17">
        <f t="shared" si="119"/>
        <v>0</v>
      </c>
      <c r="AW382" s="17" t="str">
        <f t="shared" si="122"/>
        <v>RAWSUR</v>
      </c>
      <c r="AX382" s="22">
        <v>44797</v>
      </c>
      <c r="AY382" s="22"/>
      <c r="AZ382" s="22"/>
      <c r="BA382" s="22" t="str">
        <f t="shared" si="128"/>
        <v>GENERAL LIABILITY</v>
      </c>
      <c r="BB382" s="22"/>
      <c r="BC382" s="22"/>
      <c r="BD382" s="22"/>
    </row>
    <row r="383" spans="1:56" ht="14.25" customHeight="1" x14ac:dyDescent="0.2">
      <c r="A383" s="1" t="s">
        <v>578</v>
      </c>
      <c r="B383" s="1" t="s">
        <v>57</v>
      </c>
      <c r="C383" s="13">
        <v>44811</v>
      </c>
      <c r="D383" s="13">
        <v>44767</v>
      </c>
      <c r="E383" s="13">
        <v>44742</v>
      </c>
      <c r="F383" s="13">
        <v>45106</v>
      </c>
      <c r="G383" s="14" t="str">
        <f t="shared" si="112"/>
        <v>000-382/AIB RDC/2022</v>
      </c>
      <c r="H383" s="1">
        <v>1</v>
      </c>
      <c r="I383" s="1" t="s">
        <v>58</v>
      </c>
      <c r="J383" s="1" t="s">
        <v>660</v>
      </c>
      <c r="K383" s="16" t="s">
        <v>355</v>
      </c>
      <c r="L383" s="16" t="s">
        <v>137</v>
      </c>
      <c r="M383" s="1" t="s">
        <v>84</v>
      </c>
      <c r="N383" s="1" t="s">
        <v>85</v>
      </c>
      <c r="O383" s="1" t="s">
        <v>89</v>
      </c>
      <c r="P383" s="1" t="s">
        <v>90</v>
      </c>
      <c r="Q383" s="1" t="s">
        <v>107</v>
      </c>
      <c r="R383" s="1" t="s">
        <v>659</v>
      </c>
      <c r="S383" s="17">
        <v>0</v>
      </c>
      <c r="T383" s="17">
        <v>173544.13</v>
      </c>
      <c r="U383" s="17">
        <v>22060.69</v>
      </c>
      <c r="V383" s="17">
        <v>-12227.44</v>
      </c>
      <c r="W383" s="17">
        <v>0</v>
      </c>
      <c r="X383" s="17">
        <v>125010.6</v>
      </c>
      <c r="Y383" s="17">
        <v>23531.41</v>
      </c>
      <c r="Z383" s="18" t="e">
        <f t="shared" si="113"/>
        <v>#DIV/0!</v>
      </c>
      <c r="AA383" s="19">
        <v>0</v>
      </c>
      <c r="AB383" s="17">
        <f t="shared" si="126"/>
        <v>0</v>
      </c>
      <c r="AC383" s="17">
        <f>30%*(U383+V383)</f>
        <v>2949.9749999999995</v>
      </c>
      <c r="AD383" s="17">
        <v>0</v>
      </c>
      <c r="AE383" s="17">
        <f t="shared" si="114"/>
        <v>2949.9749999999995</v>
      </c>
      <c r="AF383" s="17">
        <f t="shared" ref="AF383:AF414" si="129">16%*AE383</f>
        <v>471.99599999999992</v>
      </c>
      <c r="AG383" s="17">
        <f t="shared" si="115"/>
        <v>3421.9709999999995</v>
      </c>
      <c r="AH383" s="17">
        <f t="shared" ref="AH383:AH414" si="130">2%*AE383</f>
        <v>58.999499999999991</v>
      </c>
      <c r="AI383" s="17">
        <v>0</v>
      </c>
      <c r="AJ383" s="17">
        <f t="shared" si="116"/>
        <v>58.999499999999991</v>
      </c>
      <c r="AK383" s="20"/>
      <c r="AL383" s="17">
        <f t="shared" si="117"/>
        <v>2890.9754999999996</v>
      </c>
      <c r="AM383" s="17"/>
      <c r="AN383" s="21"/>
      <c r="AO383" s="17">
        <f t="shared" si="118"/>
        <v>0</v>
      </c>
      <c r="AP383" s="17"/>
      <c r="AQ383" s="16"/>
      <c r="AR383" s="17">
        <f t="shared" si="125"/>
        <v>0</v>
      </c>
      <c r="AS383" s="17"/>
      <c r="AT383" s="17">
        <v>3421.9709999999995</v>
      </c>
      <c r="AU383" s="17">
        <f t="shared" si="127"/>
        <v>3421.9709999999995</v>
      </c>
      <c r="AV383" s="17">
        <f t="shared" si="119"/>
        <v>0</v>
      </c>
      <c r="AW383" s="17" t="str">
        <f t="shared" si="122"/>
        <v>RAWSUR</v>
      </c>
      <c r="AX383" s="22">
        <v>44797</v>
      </c>
      <c r="AY383" s="22"/>
      <c r="AZ383" s="22"/>
      <c r="BA383" s="22" t="str">
        <f t="shared" si="128"/>
        <v>GENERAL LIABILITY</v>
      </c>
      <c r="BB383" s="22"/>
      <c r="BC383" s="22"/>
      <c r="BD383" s="22"/>
    </row>
    <row r="384" spans="1:56" ht="14.25" customHeight="1" x14ac:dyDescent="0.2">
      <c r="A384" s="1" t="s">
        <v>578</v>
      </c>
      <c r="B384" s="1" t="s">
        <v>57</v>
      </c>
      <c r="C384" s="13">
        <v>44733</v>
      </c>
      <c r="D384" s="13">
        <v>44743</v>
      </c>
      <c r="E384" s="13">
        <v>44742</v>
      </c>
      <c r="F384" s="13">
        <v>45106</v>
      </c>
      <c r="G384" s="14" t="str">
        <f t="shared" si="112"/>
        <v>000-383/AIB RDC/2022</v>
      </c>
      <c r="H384" s="1">
        <v>1</v>
      </c>
      <c r="I384" s="1" t="s">
        <v>58</v>
      </c>
      <c r="J384" s="1" t="s">
        <v>661</v>
      </c>
      <c r="K384" s="1" t="s">
        <v>300</v>
      </c>
      <c r="L384" s="1" t="s">
        <v>214</v>
      </c>
      <c r="M384" s="1" t="s">
        <v>84</v>
      </c>
      <c r="N384" s="1" t="s">
        <v>85</v>
      </c>
      <c r="O384" s="1" t="s">
        <v>662</v>
      </c>
      <c r="P384" s="1" t="s">
        <v>90</v>
      </c>
      <c r="Q384" s="1" t="s">
        <v>107</v>
      </c>
      <c r="R384" s="1" t="s">
        <v>659</v>
      </c>
      <c r="S384" s="17">
        <v>0</v>
      </c>
      <c r="T384" s="17">
        <v>62470.59</v>
      </c>
      <c r="U384" s="17">
        <v>7941.18</v>
      </c>
      <c r="V384" s="17">
        <v>-4401.51</v>
      </c>
      <c r="W384" s="17">
        <v>0</v>
      </c>
      <c r="X384" s="17">
        <v>45000</v>
      </c>
      <c r="Y384" s="17">
        <v>8470.59</v>
      </c>
      <c r="Z384" s="18" t="e">
        <f t="shared" si="113"/>
        <v>#DIV/0!</v>
      </c>
      <c r="AA384" s="19">
        <v>0</v>
      </c>
      <c r="AB384" s="17">
        <f t="shared" si="126"/>
        <v>0</v>
      </c>
      <c r="AC384" s="17">
        <f>30%*(U384+V384)</f>
        <v>1061.9010000000001</v>
      </c>
      <c r="AD384" s="17"/>
      <c r="AE384" s="17">
        <f t="shared" si="114"/>
        <v>1061.9010000000001</v>
      </c>
      <c r="AF384" s="17">
        <f t="shared" si="129"/>
        <v>169.90416000000002</v>
      </c>
      <c r="AG384" s="17">
        <f t="shared" si="115"/>
        <v>1231.8051600000001</v>
      </c>
      <c r="AH384" s="17">
        <f t="shared" si="130"/>
        <v>21.238020000000002</v>
      </c>
      <c r="AI384" s="17"/>
      <c r="AJ384" s="17">
        <f t="shared" si="116"/>
        <v>21.238020000000002</v>
      </c>
      <c r="AK384" s="20"/>
      <c r="AL384" s="17">
        <f t="shared" si="117"/>
        <v>1040.6629800000001</v>
      </c>
      <c r="AM384" s="17"/>
      <c r="AN384" s="21"/>
      <c r="AO384" s="17">
        <f t="shared" si="118"/>
        <v>0</v>
      </c>
      <c r="AP384" s="17"/>
      <c r="AQ384" s="16"/>
      <c r="AR384" s="17">
        <f t="shared" si="125"/>
        <v>0</v>
      </c>
      <c r="AS384" s="17"/>
      <c r="AT384" s="17">
        <v>1231.8051600000001</v>
      </c>
      <c r="AU384" s="17">
        <f t="shared" si="127"/>
        <v>1231.8051600000001</v>
      </c>
      <c r="AV384" s="17">
        <f t="shared" si="119"/>
        <v>0</v>
      </c>
      <c r="AW384" s="17" t="str">
        <f t="shared" si="122"/>
        <v>RAWSUR</v>
      </c>
      <c r="AX384" s="22">
        <v>44797</v>
      </c>
      <c r="AY384" s="22"/>
      <c r="AZ384" s="22"/>
      <c r="BA384" s="22" t="str">
        <f t="shared" si="128"/>
        <v>REFUELING LIABILITY</v>
      </c>
      <c r="BB384" s="22"/>
      <c r="BC384" s="22"/>
      <c r="BD384" s="22"/>
    </row>
    <row r="385" spans="1:56" ht="14.25" customHeight="1" x14ac:dyDescent="0.2">
      <c r="A385" s="1" t="s">
        <v>578</v>
      </c>
      <c r="B385" s="1" t="s">
        <v>57</v>
      </c>
      <c r="C385" s="13">
        <v>44727</v>
      </c>
      <c r="D385" s="13">
        <v>44747</v>
      </c>
      <c r="E385" s="13">
        <v>44730</v>
      </c>
      <c r="F385" s="13">
        <v>45094</v>
      </c>
      <c r="G385" s="14" t="str">
        <f t="shared" si="112"/>
        <v>000-384/AIB RDC/2022</v>
      </c>
      <c r="H385" s="1">
        <v>3</v>
      </c>
      <c r="I385" s="1" t="s">
        <v>58</v>
      </c>
      <c r="J385" s="1" t="s">
        <v>663</v>
      </c>
      <c r="K385" s="1" t="s">
        <v>664</v>
      </c>
      <c r="L385" s="1" t="s">
        <v>478</v>
      </c>
      <c r="M385" s="1" t="s">
        <v>62</v>
      </c>
      <c r="N385" s="1" t="s">
        <v>209</v>
      </c>
      <c r="O385" s="1" t="s">
        <v>70</v>
      </c>
      <c r="P385" s="1" t="s">
        <v>71</v>
      </c>
      <c r="Q385" s="1" t="s">
        <v>86</v>
      </c>
      <c r="R385" s="1" t="s">
        <v>86</v>
      </c>
      <c r="S385" s="17">
        <v>0</v>
      </c>
      <c r="T385" s="17">
        <v>13052.94</v>
      </c>
      <c r="U385" s="17">
        <v>0</v>
      </c>
      <c r="V385" s="17"/>
      <c r="W385" s="17">
        <v>111.41</v>
      </c>
      <c r="X385" s="17">
        <v>11141.12</v>
      </c>
      <c r="Y385" s="17">
        <v>1800.41</v>
      </c>
      <c r="Z385" s="18" t="e">
        <f t="shared" si="113"/>
        <v>#DIV/0!</v>
      </c>
      <c r="AA385" s="19">
        <v>0.1</v>
      </c>
      <c r="AB385" s="17">
        <f t="shared" si="126"/>
        <v>1114.1120000000001</v>
      </c>
      <c r="AC385" s="17"/>
      <c r="AD385" s="17"/>
      <c r="AE385" s="17">
        <f t="shared" si="114"/>
        <v>1114.1120000000001</v>
      </c>
      <c r="AF385" s="17">
        <f t="shared" si="129"/>
        <v>178.25792000000001</v>
      </c>
      <c r="AG385" s="17">
        <f t="shared" si="115"/>
        <v>1292.3699200000001</v>
      </c>
      <c r="AH385" s="17">
        <f t="shared" si="130"/>
        <v>22.282240000000002</v>
      </c>
      <c r="AI385" s="17"/>
      <c r="AJ385" s="17">
        <f t="shared" si="116"/>
        <v>22.282240000000002</v>
      </c>
      <c r="AK385" s="20"/>
      <c r="AL385" s="17">
        <f t="shared" si="117"/>
        <v>1091.8297600000001</v>
      </c>
      <c r="AM385" s="17"/>
      <c r="AN385" s="21"/>
      <c r="AO385" s="17">
        <f t="shared" si="118"/>
        <v>0</v>
      </c>
      <c r="AP385" s="17"/>
      <c r="AQ385" s="16"/>
      <c r="AR385" s="17">
        <f t="shared" si="125"/>
        <v>0</v>
      </c>
      <c r="AS385" s="17"/>
      <c r="AT385" s="17">
        <v>1292.3699200000001</v>
      </c>
      <c r="AU385" s="17">
        <f t="shared" si="127"/>
        <v>1292.3699200000001</v>
      </c>
      <c r="AV385" s="17">
        <f t="shared" si="119"/>
        <v>0</v>
      </c>
      <c r="AW385" s="17" t="str">
        <f t="shared" si="122"/>
        <v>SUNU</v>
      </c>
      <c r="AX385" s="22">
        <v>44795</v>
      </c>
      <c r="AY385" s="22"/>
      <c r="AZ385" s="1" t="s">
        <v>100</v>
      </c>
      <c r="BA385" s="22" t="str">
        <f t="shared" si="128"/>
        <v>FIRE</v>
      </c>
      <c r="BB385" s="22"/>
      <c r="BC385" s="22"/>
      <c r="BD385" s="22"/>
    </row>
    <row r="386" spans="1:56" ht="14.25" customHeight="1" x14ac:dyDescent="0.2">
      <c r="A386" s="1" t="s">
        <v>654</v>
      </c>
      <c r="B386" s="1" t="s">
        <v>57</v>
      </c>
      <c r="C386" s="13">
        <v>44736</v>
      </c>
      <c r="D386" s="13">
        <v>44735</v>
      </c>
      <c r="E386" s="13">
        <v>44743</v>
      </c>
      <c r="F386" s="13">
        <v>45107</v>
      </c>
      <c r="G386" s="14" t="str">
        <f t="shared" si="112"/>
        <v>000-385/AIB RDC/2022</v>
      </c>
      <c r="H386" s="1">
        <v>3</v>
      </c>
      <c r="I386" s="1" t="s">
        <v>58</v>
      </c>
      <c r="J386" s="1" t="s">
        <v>665</v>
      </c>
      <c r="K386" s="1" t="s">
        <v>216</v>
      </c>
      <c r="L386" s="1" t="s">
        <v>137</v>
      </c>
      <c r="M386" s="1" t="s">
        <v>84</v>
      </c>
      <c r="N386" s="1" t="s">
        <v>85</v>
      </c>
      <c r="O386" s="1" t="s">
        <v>70</v>
      </c>
      <c r="P386" s="1" t="s">
        <v>71</v>
      </c>
      <c r="Q386" s="1" t="s">
        <v>107</v>
      </c>
      <c r="R386" s="1" t="s">
        <v>666</v>
      </c>
      <c r="S386" s="17">
        <v>803701863</v>
      </c>
      <c r="T386" s="17">
        <v>2552828.94</v>
      </c>
      <c r="U386" s="17">
        <v>319918.21000000002</v>
      </c>
      <c r="V386" s="17">
        <v>-143555.96</v>
      </c>
      <c r="W386" s="17">
        <v>0</v>
      </c>
      <c r="X386" s="17">
        <v>1843496.14</v>
      </c>
      <c r="Y386" s="17">
        <v>346146.3</v>
      </c>
      <c r="Z386" s="18">
        <f t="shared" si="113"/>
        <v>3.1763382138632668E-3</v>
      </c>
      <c r="AA386" s="19">
        <v>2.24632E-3</v>
      </c>
      <c r="AB386" s="17">
        <f t="shared" si="126"/>
        <v>4141.0822492048001</v>
      </c>
      <c r="AC386" s="17">
        <f>30%*(U386+V386)</f>
        <v>52908.67500000001</v>
      </c>
      <c r="AD386" s="17">
        <f>0.163772%*X386</f>
        <v>3019.1304984007998</v>
      </c>
      <c r="AE386" s="17">
        <f t="shared" si="114"/>
        <v>60068.887747605615</v>
      </c>
      <c r="AF386" s="17">
        <f t="shared" si="129"/>
        <v>9611.0220396168988</v>
      </c>
      <c r="AG386" s="17">
        <f t="shared" si="115"/>
        <v>69679.90978722251</v>
      </c>
      <c r="AH386" s="17">
        <f t="shared" si="130"/>
        <v>1201.3777549521124</v>
      </c>
      <c r="AI386" s="17"/>
      <c r="AJ386" s="17">
        <f t="shared" si="116"/>
        <v>1201.3777549521124</v>
      </c>
      <c r="AK386" s="20"/>
      <c r="AL386" s="17">
        <f t="shared" si="117"/>
        <v>58867.509992653504</v>
      </c>
      <c r="AM386" s="17" t="s">
        <v>666</v>
      </c>
      <c r="AN386" s="21"/>
      <c r="AO386" s="17">
        <f t="shared" si="118"/>
        <v>0</v>
      </c>
      <c r="AP386" s="17"/>
      <c r="AQ386" s="16"/>
      <c r="AR386" s="17">
        <f t="shared" si="125"/>
        <v>0</v>
      </c>
      <c r="AS386" s="17"/>
      <c r="AT386" s="17">
        <v>69679.90978722251</v>
      </c>
      <c r="AU386" s="17">
        <f t="shared" si="127"/>
        <v>69679.90978722251</v>
      </c>
      <c r="AV386" s="17">
        <f t="shared" si="119"/>
        <v>0</v>
      </c>
      <c r="AW386" s="17" t="str">
        <f t="shared" si="122"/>
        <v>RAWSUR</v>
      </c>
      <c r="AX386" s="22">
        <v>44770</v>
      </c>
      <c r="AY386" s="22"/>
      <c r="AZ386" s="22"/>
      <c r="BA386" s="22" t="str">
        <f t="shared" si="128"/>
        <v>FIRE</v>
      </c>
      <c r="BB386" s="22"/>
      <c r="BC386" s="22"/>
      <c r="BD386" s="22"/>
    </row>
    <row r="387" spans="1:56" ht="14.25" customHeight="1" x14ac:dyDescent="0.2">
      <c r="A387" s="1" t="s">
        <v>667</v>
      </c>
      <c r="B387" s="1" t="s">
        <v>57</v>
      </c>
      <c r="C387" s="13">
        <v>44735</v>
      </c>
      <c r="D387" s="13">
        <v>44823</v>
      </c>
      <c r="E387" s="13">
        <v>44835</v>
      </c>
      <c r="F387" s="13">
        <v>45107</v>
      </c>
      <c r="G387" s="14" t="str">
        <f t="shared" si="112"/>
        <v>000-386/AIB RDC/2022</v>
      </c>
      <c r="H387" s="1">
        <v>0</v>
      </c>
      <c r="I387" s="1" t="s">
        <v>74</v>
      </c>
      <c r="J387" s="1" t="s">
        <v>668</v>
      </c>
      <c r="K387" s="1" t="s">
        <v>669</v>
      </c>
      <c r="L387" s="1"/>
      <c r="M387" s="1" t="s">
        <v>84</v>
      </c>
      <c r="N387" s="1" t="s">
        <v>85</v>
      </c>
      <c r="O387" s="1" t="s">
        <v>70</v>
      </c>
      <c r="P387" s="1" t="s">
        <v>71</v>
      </c>
      <c r="Q387" s="1" t="s">
        <v>66</v>
      </c>
      <c r="R387" s="1" t="s">
        <v>66</v>
      </c>
      <c r="S387" s="17">
        <v>4000000</v>
      </c>
      <c r="T387" s="17">
        <v>7057.49</v>
      </c>
      <c r="U387" s="17">
        <v>0</v>
      </c>
      <c r="V387" s="17">
        <v>0</v>
      </c>
      <c r="W387" s="17">
        <v>60.24</v>
      </c>
      <c r="X387" s="17">
        <v>6024.1</v>
      </c>
      <c r="Y387" s="17">
        <v>973.49</v>
      </c>
      <c r="Z387" s="18">
        <f t="shared" si="113"/>
        <v>1.7643724999999999E-3</v>
      </c>
      <c r="AA387" s="19">
        <v>0.1</v>
      </c>
      <c r="AB387" s="17">
        <f t="shared" si="126"/>
        <v>602.41000000000008</v>
      </c>
      <c r="AC387" s="17">
        <v>0</v>
      </c>
      <c r="AD387" s="17">
        <v>0</v>
      </c>
      <c r="AE387" s="17">
        <f t="shared" si="114"/>
        <v>602.41000000000008</v>
      </c>
      <c r="AF387" s="17">
        <f t="shared" si="129"/>
        <v>96.385600000000011</v>
      </c>
      <c r="AG387" s="17">
        <f t="shared" si="115"/>
        <v>698.79560000000015</v>
      </c>
      <c r="AH387" s="17">
        <f t="shared" si="130"/>
        <v>12.048200000000001</v>
      </c>
      <c r="AI387" s="17"/>
      <c r="AJ387" s="17">
        <f t="shared" si="116"/>
        <v>12.048200000000001</v>
      </c>
      <c r="AK387" s="20"/>
      <c r="AL387" s="17">
        <f t="shared" si="117"/>
        <v>590.36180000000013</v>
      </c>
      <c r="AM387" s="17" t="s">
        <v>87</v>
      </c>
      <c r="AN387" s="21">
        <v>0.35</v>
      </c>
      <c r="AO387" s="17">
        <f t="shared" si="118"/>
        <v>206.62663000000003</v>
      </c>
      <c r="AP387" s="17"/>
      <c r="AQ387" s="16"/>
      <c r="AR387" s="17">
        <f t="shared" si="125"/>
        <v>206.62663000000003</v>
      </c>
      <c r="AS387" s="17"/>
      <c r="AT387" s="17">
        <v>698.79560000000015</v>
      </c>
      <c r="AU387" s="17">
        <f t="shared" si="127"/>
        <v>698.79560000000015</v>
      </c>
      <c r="AV387" s="17">
        <f t="shared" si="119"/>
        <v>0</v>
      </c>
      <c r="AW387" s="17" t="str">
        <f t="shared" si="122"/>
        <v>ACTIVA</v>
      </c>
      <c r="AX387" s="22">
        <v>44894</v>
      </c>
      <c r="AY387" s="22"/>
      <c r="AZ387" s="1" t="s">
        <v>100</v>
      </c>
      <c r="BA387" s="22" t="str">
        <f t="shared" si="128"/>
        <v>FIRE</v>
      </c>
      <c r="BB387" s="22"/>
      <c r="BC387" s="22"/>
      <c r="BD387" s="22"/>
    </row>
    <row r="388" spans="1:56" ht="14.25" customHeight="1" x14ac:dyDescent="0.2">
      <c r="A388" s="1" t="s">
        <v>578</v>
      </c>
      <c r="B388" s="1" t="s">
        <v>57</v>
      </c>
      <c r="C388" s="13">
        <v>44811</v>
      </c>
      <c r="D388" s="13">
        <v>44796</v>
      </c>
      <c r="E388" s="13">
        <v>44731</v>
      </c>
      <c r="F388" s="13">
        <v>44798</v>
      </c>
      <c r="G388" s="14" t="str">
        <f t="shared" si="112"/>
        <v>000-387/AIB RDC/2022</v>
      </c>
      <c r="H388" s="1">
        <v>0</v>
      </c>
      <c r="I388" s="1" t="s">
        <v>74</v>
      </c>
      <c r="J388" s="24" t="s">
        <v>670</v>
      </c>
      <c r="K388" s="1" t="s">
        <v>181</v>
      </c>
      <c r="L388" s="1"/>
      <c r="M388" s="1" t="s">
        <v>105</v>
      </c>
      <c r="N388" s="1" t="s">
        <v>106</v>
      </c>
      <c r="O388" s="1" t="s">
        <v>64</v>
      </c>
      <c r="P388" s="1" t="s">
        <v>65</v>
      </c>
      <c r="Q388" s="1" t="s">
        <v>130</v>
      </c>
      <c r="R388" s="1" t="s">
        <v>130</v>
      </c>
      <c r="S388" s="17">
        <v>2720</v>
      </c>
      <c r="T388" s="17">
        <v>94.4</v>
      </c>
      <c r="U388" s="17">
        <v>0</v>
      </c>
      <c r="V388" s="17">
        <v>0</v>
      </c>
      <c r="W388" s="17">
        <v>20</v>
      </c>
      <c r="X388" s="17">
        <v>60</v>
      </c>
      <c r="Y388" s="17">
        <v>12.8</v>
      </c>
      <c r="Z388" s="18">
        <f t="shared" si="113"/>
        <v>3.4705882352941177E-2</v>
      </c>
      <c r="AA388" s="19">
        <v>0.15</v>
      </c>
      <c r="AB388" s="17">
        <f t="shared" si="126"/>
        <v>9</v>
      </c>
      <c r="AC388" s="17"/>
      <c r="AD388" s="17"/>
      <c r="AE388" s="17">
        <f t="shared" si="114"/>
        <v>9</v>
      </c>
      <c r="AF388" s="17">
        <f t="shared" si="129"/>
        <v>1.44</v>
      </c>
      <c r="AG388" s="17">
        <f t="shared" si="115"/>
        <v>10.44</v>
      </c>
      <c r="AH388" s="17">
        <f t="shared" si="130"/>
        <v>0.18</v>
      </c>
      <c r="AI388" s="17"/>
      <c r="AJ388" s="17">
        <f t="shared" si="116"/>
        <v>0.18</v>
      </c>
      <c r="AK388" s="20"/>
      <c r="AL388" s="17">
        <f t="shared" si="117"/>
        <v>8.82</v>
      </c>
      <c r="AM388" s="17" t="s">
        <v>108</v>
      </c>
      <c r="AN388" s="21">
        <v>0.4</v>
      </c>
      <c r="AO388" s="17">
        <f t="shared" si="118"/>
        <v>3.5280000000000005</v>
      </c>
      <c r="AP388" s="17">
        <v>3.5280000000000005</v>
      </c>
      <c r="AQ388" s="16">
        <v>44867</v>
      </c>
      <c r="AR388" s="17">
        <f t="shared" si="125"/>
        <v>0</v>
      </c>
      <c r="AS388" s="17" t="s">
        <v>397</v>
      </c>
      <c r="AT388" s="17">
        <v>10.44</v>
      </c>
      <c r="AU388" s="17">
        <f t="shared" si="127"/>
        <v>10.44</v>
      </c>
      <c r="AV388" s="17">
        <f t="shared" si="119"/>
        <v>0</v>
      </c>
      <c r="AW388" s="17" t="str">
        <f t="shared" si="122"/>
        <v>SFA</v>
      </c>
      <c r="AX388" s="22">
        <v>44823</v>
      </c>
      <c r="AY388" s="22"/>
      <c r="AZ388" s="1" t="s">
        <v>110</v>
      </c>
      <c r="BA388" s="22" t="str">
        <f t="shared" si="128"/>
        <v>MARINE CARGO / GIT</v>
      </c>
      <c r="BB388" s="22"/>
      <c r="BC388" s="22"/>
      <c r="BD388" s="22"/>
    </row>
    <row r="389" spans="1:56" ht="14.25" customHeight="1" x14ac:dyDescent="0.2">
      <c r="A389" s="1" t="s">
        <v>578</v>
      </c>
      <c r="B389" s="1" t="s">
        <v>57</v>
      </c>
      <c r="C389" s="13">
        <v>44732</v>
      </c>
      <c r="D389" s="13">
        <v>44763</v>
      </c>
      <c r="E389" s="13">
        <v>44740</v>
      </c>
      <c r="F389" s="13">
        <v>44769</v>
      </c>
      <c r="G389" s="14" t="str">
        <f t="shared" si="112"/>
        <v>000-388/AIB RDC/2022</v>
      </c>
      <c r="H389" s="1">
        <v>0</v>
      </c>
      <c r="I389" s="1" t="s">
        <v>74</v>
      </c>
      <c r="J389" s="1" t="s">
        <v>671</v>
      </c>
      <c r="K389" s="1" t="s">
        <v>263</v>
      </c>
      <c r="L389" s="1"/>
      <c r="M389" s="1" t="s">
        <v>105</v>
      </c>
      <c r="N389" s="1" t="s">
        <v>106</v>
      </c>
      <c r="O389" s="1" t="s">
        <v>64</v>
      </c>
      <c r="P389" s="1" t="s">
        <v>65</v>
      </c>
      <c r="Q389" s="1" t="s">
        <v>130</v>
      </c>
      <c r="R389" s="1" t="s">
        <v>130</v>
      </c>
      <c r="S389" s="17">
        <v>34956.559999999998</v>
      </c>
      <c r="T389" s="17">
        <v>130.51</v>
      </c>
      <c r="U389" s="17">
        <v>0</v>
      </c>
      <c r="V389" s="17">
        <v>0</v>
      </c>
      <c r="W389" s="17">
        <v>20</v>
      </c>
      <c r="X389" s="17">
        <v>90.6</v>
      </c>
      <c r="Y389" s="17">
        <v>17.7</v>
      </c>
      <c r="Z389" s="18">
        <f t="shared" si="113"/>
        <v>3.7334909384676295E-3</v>
      </c>
      <c r="AA389" s="19">
        <v>0.15</v>
      </c>
      <c r="AB389" s="17">
        <f t="shared" si="126"/>
        <v>13.589999999999998</v>
      </c>
      <c r="AC389" s="17"/>
      <c r="AD389" s="17"/>
      <c r="AE389" s="17">
        <f t="shared" si="114"/>
        <v>13.589999999999998</v>
      </c>
      <c r="AF389" s="17">
        <f t="shared" si="129"/>
        <v>2.1743999999999999</v>
      </c>
      <c r="AG389" s="17">
        <f t="shared" si="115"/>
        <v>15.764399999999998</v>
      </c>
      <c r="AH389" s="17">
        <f t="shared" si="130"/>
        <v>0.27179999999999999</v>
      </c>
      <c r="AI389" s="17"/>
      <c r="AJ389" s="17">
        <f t="shared" si="116"/>
        <v>0.27179999999999999</v>
      </c>
      <c r="AK389" s="20"/>
      <c r="AL389" s="17">
        <f t="shared" si="117"/>
        <v>13.318199999999997</v>
      </c>
      <c r="AM389" s="17" t="s">
        <v>108</v>
      </c>
      <c r="AN389" s="21">
        <v>0.4</v>
      </c>
      <c r="AO389" s="17">
        <f t="shared" si="118"/>
        <v>5.3272799999999991</v>
      </c>
      <c r="AP389" s="17">
        <v>5.3272799999999991</v>
      </c>
      <c r="AQ389" s="16">
        <v>44834</v>
      </c>
      <c r="AR389" s="17">
        <f t="shared" si="125"/>
        <v>0</v>
      </c>
      <c r="AS389" s="17" t="s">
        <v>109</v>
      </c>
      <c r="AT389" s="17">
        <v>15.764399999999998</v>
      </c>
      <c r="AU389" s="17">
        <f t="shared" si="127"/>
        <v>15.764399999999998</v>
      </c>
      <c r="AV389" s="17">
        <f t="shared" si="119"/>
        <v>0</v>
      </c>
      <c r="AW389" s="17" t="str">
        <f t="shared" si="122"/>
        <v>SFA</v>
      </c>
      <c r="AX389" s="22">
        <v>44791</v>
      </c>
      <c r="AY389" s="22"/>
      <c r="AZ389" s="1" t="s">
        <v>110</v>
      </c>
      <c r="BA389" s="22" t="str">
        <f t="shared" si="128"/>
        <v>MARINE CARGO / GIT</v>
      </c>
      <c r="BB389" s="22"/>
      <c r="BC389" s="22"/>
      <c r="BD389" s="22"/>
    </row>
    <row r="390" spans="1:56" ht="14.25" customHeight="1" x14ac:dyDescent="0.2">
      <c r="A390" s="1" t="s">
        <v>578</v>
      </c>
      <c r="B390" s="1" t="s">
        <v>57</v>
      </c>
      <c r="C390" s="13">
        <v>44732</v>
      </c>
      <c r="D390" s="13">
        <v>44753</v>
      </c>
      <c r="E390" s="13">
        <v>44740</v>
      </c>
      <c r="F390" s="13">
        <v>44769</v>
      </c>
      <c r="G390" s="14" t="str">
        <f t="shared" si="112"/>
        <v>000-389/AIB RDC/2022</v>
      </c>
      <c r="H390" s="1">
        <v>0</v>
      </c>
      <c r="I390" s="1" t="s">
        <v>74</v>
      </c>
      <c r="J390" s="1" t="s">
        <v>672</v>
      </c>
      <c r="K390" s="1" t="s">
        <v>263</v>
      </c>
      <c r="L390" s="1"/>
      <c r="M390" s="1" t="s">
        <v>105</v>
      </c>
      <c r="N390" s="1" t="s">
        <v>106</v>
      </c>
      <c r="O390" s="1" t="s">
        <v>64</v>
      </c>
      <c r="P390" s="1" t="s">
        <v>65</v>
      </c>
      <c r="Q390" s="1" t="s">
        <v>130</v>
      </c>
      <c r="R390" s="1" t="s">
        <v>130</v>
      </c>
      <c r="S390" s="17">
        <v>59320.72</v>
      </c>
      <c r="T390" s="17">
        <v>110.34</v>
      </c>
      <c r="U390" s="17">
        <v>0</v>
      </c>
      <c r="V390" s="17">
        <v>0</v>
      </c>
      <c r="W390" s="17">
        <v>1.39</v>
      </c>
      <c r="X390" s="17">
        <v>92.54</v>
      </c>
      <c r="Y390" s="17">
        <v>15.03</v>
      </c>
      <c r="Z390" s="18">
        <f t="shared" si="113"/>
        <v>1.8600583404921585E-3</v>
      </c>
      <c r="AA390" s="19">
        <v>0.15</v>
      </c>
      <c r="AB390" s="17">
        <f t="shared" si="126"/>
        <v>13.881</v>
      </c>
      <c r="AC390" s="17"/>
      <c r="AD390" s="17"/>
      <c r="AE390" s="17">
        <f t="shared" si="114"/>
        <v>13.881</v>
      </c>
      <c r="AF390" s="17">
        <f t="shared" si="129"/>
        <v>2.2209600000000003</v>
      </c>
      <c r="AG390" s="17">
        <f t="shared" si="115"/>
        <v>16.101960000000002</v>
      </c>
      <c r="AH390" s="17">
        <f t="shared" si="130"/>
        <v>0.27762000000000003</v>
      </c>
      <c r="AI390" s="17"/>
      <c r="AJ390" s="17">
        <f t="shared" si="116"/>
        <v>0.27762000000000003</v>
      </c>
      <c r="AK390" s="20"/>
      <c r="AL390" s="17">
        <f t="shared" si="117"/>
        <v>13.60338</v>
      </c>
      <c r="AM390" s="17" t="s">
        <v>108</v>
      </c>
      <c r="AN390" s="21">
        <v>0.4</v>
      </c>
      <c r="AO390" s="17">
        <f t="shared" si="118"/>
        <v>5.4413520000000002</v>
      </c>
      <c r="AP390" s="17">
        <v>5.4413520000000002</v>
      </c>
      <c r="AQ390" s="16">
        <v>44834</v>
      </c>
      <c r="AR390" s="17">
        <f t="shared" si="125"/>
        <v>0</v>
      </c>
      <c r="AS390" s="17" t="s">
        <v>109</v>
      </c>
      <c r="AT390" s="17">
        <v>16.101960000000002</v>
      </c>
      <c r="AU390" s="17">
        <f t="shared" si="127"/>
        <v>16.101960000000002</v>
      </c>
      <c r="AV390" s="17">
        <f t="shared" si="119"/>
        <v>0</v>
      </c>
      <c r="AW390" s="17" t="str">
        <f t="shared" si="122"/>
        <v>SFA</v>
      </c>
      <c r="AX390" s="22">
        <v>44791</v>
      </c>
      <c r="AY390" s="22"/>
      <c r="AZ390" s="1" t="s">
        <v>110</v>
      </c>
      <c r="BA390" s="22" t="str">
        <f t="shared" si="128"/>
        <v>MARINE CARGO / GIT</v>
      </c>
      <c r="BB390" s="22"/>
      <c r="BC390" s="22"/>
      <c r="BD390" s="22"/>
    </row>
    <row r="391" spans="1:56" ht="14.25" customHeight="1" x14ac:dyDescent="0.2">
      <c r="A391" s="1" t="s">
        <v>578</v>
      </c>
      <c r="B391" s="1" t="s">
        <v>57</v>
      </c>
      <c r="C391" s="13">
        <v>44732</v>
      </c>
      <c r="D391" s="13">
        <v>44753</v>
      </c>
      <c r="E391" s="13">
        <v>44740</v>
      </c>
      <c r="F391" s="13">
        <v>44769</v>
      </c>
      <c r="G391" s="14" t="str">
        <f t="shared" si="112"/>
        <v>000-390/AIB RDC/2022</v>
      </c>
      <c r="H391" s="1">
        <v>0</v>
      </c>
      <c r="I391" s="1" t="s">
        <v>74</v>
      </c>
      <c r="J391" s="1" t="s">
        <v>673</v>
      </c>
      <c r="K391" s="1" t="s">
        <v>263</v>
      </c>
      <c r="L391" s="1"/>
      <c r="M391" s="1" t="s">
        <v>105</v>
      </c>
      <c r="N391" s="1" t="s">
        <v>106</v>
      </c>
      <c r="O391" s="1" t="s">
        <v>64</v>
      </c>
      <c r="P391" s="1" t="s">
        <v>65</v>
      </c>
      <c r="Q391" s="1" t="s">
        <v>130</v>
      </c>
      <c r="R391" s="1" t="s">
        <v>130</v>
      </c>
      <c r="S391" s="17">
        <v>114076.32</v>
      </c>
      <c r="T391" s="17">
        <v>275.58999999999997</v>
      </c>
      <c r="U391" s="17">
        <v>0</v>
      </c>
      <c r="V391" s="17">
        <v>0</v>
      </c>
      <c r="W391" s="17">
        <v>20</v>
      </c>
      <c r="X391" s="17">
        <v>213.55</v>
      </c>
      <c r="Y391" s="17">
        <v>37.369999999999997</v>
      </c>
      <c r="Z391" s="18">
        <f t="shared" si="113"/>
        <v>2.4158387998490832E-3</v>
      </c>
      <c r="AA391" s="19">
        <v>0.15</v>
      </c>
      <c r="AB391" s="17">
        <f t="shared" ref="AB391:AB422" si="131">(AA391*X391)</f>
        <v>32.032499999999999</v>
      </c>
      <c r="AC391" s="17"/>
      <c r="AD391" s="17"/>
      <c r="AE391" s="17">
        <f t="shared" si="114"/>
        <v>32.032499999999999</v>
      </c>
      <c r="AF391" s="17">
        <f t="shared" si="129"/>
        <v>5.1251999999999995</v>
      </c>
      <c r="AG391" s="17">
        <f t="shared" si="115"/>
        <v>37.157699999999998</v>
      </c>
      <c r="AH391" s="17">
        <f t="shared" si="130"/>
        <v>0.64064999999999994</v>
      </c>
      <c r="AI391" s="17"/>
      <c r="AJ391" s="17">
        <f t="shared" si="116"/>
        <v>0.64064999999999994</v>
      </c>
      <c r="AK391" s="20"/>
      <c r="AL391" s="17">
        <f t="shared" si="117"/>
        <v>31.391849999999998</v>
      </c>
      <c r="AM391" s="17" t="s">
        <v>108</v>
      </c>
      <c r="AN391" s="21">
        <v>0.4</v>
      </c>
      <c r="AO391" s="17">
        <f t="shared" si="118"/>
        <v>12.55674</v>
      </c>
      <c r="AP391" s="17">
        <v>12.55674</v>
      </c>
      <c r="AQ391" s="16">
        <v>44834</v>
      </c>
      <c r="AR391" s="17">
        <f t="shared" si="125"/>
        <v>0</v>
      </c>
      <c r="AS391" s="17" t="s">
        <v>109</v>
      </c>
      <c r="AT391" s="17">
        <v>37.157699999999998</v>
      </c>
      <c r="AU391" s="17">
        <f t="shared" si="127"/>
        <v>37.157699999999998</v>
      </c>
      <c r="AV391" s="17">
        <f t="shared" si="119"/>
        <v>0</v>
      </c>
      <c r="AW391" s="17" t="str">
        <f t="shared" si="122"/>
        <v>SFA</v>
      </c>
      <c r="AX391" s="22">
        <v>44791</v>
      </c>
      <c r="AY391" s="22"/>
      <c r="AZ391" s="1" t="s">
        <v>110</v>
      </c>
      <c r="BA391" s="22" t="str">
        <f t="shared" si="128"/>
        <v>MARINE CARGO / GIT</v>
      </c>
      <c r="BB391" s="22"/>
      <c r="BC391" s="22"/>
      <c r="BD391" s="22"/>
    </row>
    <row r="392" spans="1:56" ht="14.25" customHeight="1" x14ac:dyDescent="0.2">
      <c r="A392" s="1" t="s">
        <v>578</v>
      </c>
      <c r="B392" s="1" t="s">
        <v>57</v>
      </c>
      <c r="C392" s="13">
        <v>44732</v>
      </c>
      <c r="D392" s="13">
        <v>44763</v>
      </c>
      <c r="E392" s="13">
        <v>44740</v>
      </c>
      <c r="F392" s="13">
        <v>44769</v>
      </c>
      <c r="G392" s="14" t="str">
        <f t="shared" si="112"/>
        <v>000-391/AIB RDC/2022</v>
      </c>
      <c r="H392" s="1">
        <v>0</v>
      </c>
      <c r="I392" s="1" t="s">
        <v>74</v>
      </c>
      <c r="J392" s="1" t="s">
        <v>674</v>
      </c>
      <c r="K392" s="1" t="s">
        <v>263</v>
      </c>
      <c r="L392" s="1"/>
      <c r="M392" s="1" t="s">
        <v>105</v>
      </c>
      <c r="N392" s="1" t="s">
        <v>106</v>
      </c>
      <c r="O392" s="1" t="s">
        <v>64</v>
      </c>
      <c r="P392" s="1" t="s">
        <v>65</v>
      </c>
      <c r="Q392" s="1" t="s">
        <v>130</v>
      </c>
      <c r="R392" s="1" t="s">
        <v>130</v>
      </c>
      <c r="S392" s="17">
        <v>91300</v>
      </c>
      <c r="T392" s="17">
        <v>262.77</v>
      </c>
      <c r="U392" s="17">
        <v>0</v>
      </c>
      <c r="V392" s="17">
        <v>0</v>
      </c>
      <c r="W392" s="17">
        <v>20</v>
      </c>
      <c r="X392" s="17">
        <v>202.69</v>
      </c>
      <c r="Y392" s="17">
        <v>35.630000000000003</v>
      </c>
      <c r="Z392" s="18">
        <f t="shared" si="113"/>
        <v>2.8780941949616647E-3</v>
      </c>
      <c r="AA392" s="19">
        <v>0.15</v>
      </c>
      <c r="AB392" s="17">
        <f t="shared" si="131"/>
        <v>30.403499999999998</v>
      </c>
      <c r="AC392" s="17"/>
      <c r="AD392" s="17"/>
      <c r="AE392" s="17">
        <f t="shared" si="114"/>
        <v>30.403499999999998</v>
      </c>
      <c r="AF392" s="17">
        <f t="shared" si="129"/>
        <v>4.86456</v>
      </c>
      <c r="AG392" s="17">
        <f t="shared" si="115"/>
        <v>35.268059999999998</v>
      </c>
      <c r="AH392" s="17">
        <f t="shared" si="130"/>
        <v>0.60807</v>
      </c>
      <c r="AI392" s="17"/>
      <c r="AJ392" s="17">
        <f t="shared" si="116"/>
        <v>0.60807</v>
      </c>
      <c r="AK392" s="20"/>
      <c r="AL392" s="17">
        <f t="shared" si="117"/>
        <v>29.795429999999996</v>
      </c>
      <c r="AM392" s="17" t="s">
        <v>108</v>
      </c>
      <c r="AN392" s="21">
        <v>0.4</v>
      </c>
      <c r="AO392" s="17">
        <f t="shared" si="118"/>
        <v>11.918171999999998</v>
      </c>
      <c r="AP392" s="17">
        <v>11.918171999999998</v>
      </c>
      <c r="AQ392" s="16">
        <v>44834</v>
      </c>
      <c r="AR392" s="17">
        <f t="shared" si="125"/>
        <v>0</v>
      </c>
      <c r="AS392" s="17" t="s">
        <v>109</v>
      </c>
      <c r="AT392" s="17">
        <v>35.268059999999998</v>
      </c>
      <c r="AU392" s="17">
        <f t="shared" si="127"/>
        <v>35.268059999999998</v>
      </c>
      <c r="AV392" s="17">
        <f t="shared" si="119"/>
        <v>0</v>
      </c>
      <c r="AW392" s="17" t="str">
        <f t="shared" si="122"/>
        <v>SFA</v>
      </c>
      <c r="AX392" s="22">
        <v>44791</v>
      </c>
      <c r="AY392" s="22"/>
      <c r="AZ392" s="1" t="s">
        <v>110</v>
      </c>
      <c r="BA392" s="22" t="str">
        <f t="shared" si="128"/>
        <v>MARINE CARGO / GIT</v>
      </c>
      <c r="BB392" s="22"/>
      <c r="BC392" s="22"/>
      <c r="BD392" s="22"/>
    </row>
    <row r="393" spans="1:56" ht="14.25" customHeight="1" x14ac:dyDescent="0.2">
      <c r="A393" s="1" t="s">
        <v>578</v>
      </c>
      <c r="B393" s="1" t="s">
        <v>57</v>
      </c>
      <c r="C393" s="13">
        <v>44732</v>
      </c>
      <c r="D393" s="13">
        <v>44753</v>
      </c>
      <c r="E393" s="13">
        <v>44740</v>
      </c>
      <c r="F393" s="13">
        <v>44769</v>
      </c>
      <c r="G393" s="14" t="str">
        <f t="shared" si="112"/>
        <v>000-392/AIB RDC/2022</v>
      </c>
      <c r="H393" s="1">
        <v>0</v>
      </c>
      <c r="I393" s="1" t="s">
        <v>74</v>
      </c>
      <c r="J393" s="1" t="s">
        <v>675</v>
      </c>
      <c r="K393" s="1" t="s">
        <v>263</v>
      </c>
      <c r="L393" s="1"/>
      <c r="M393" s="1" t="s">
        <v>105</v>
      </c>
      <c r="N393" s="1" t="s">
        <v>106</v>
      </c>
      <c r="O393" s="1" t="s">
        <v>64</v>
      </c>
      <c r="P393" s="1" t="s">
        <v>65</v>
      </c>
      <c r="Q393" s="1" t="s">
        <v>130</v>
      </c>
      <c r="R393" s="1" t="s">
        <v>130</v>
      </c>
      <c r="S393" s="17">
        <v>25968.94</v>
      </c>
      <c r="T393" s="17">
        <v>101.03</v>
      </c>
      <c r="U393" s="17">
        <v>0</v>
      </c>
      <c r="V393" s="17">
        <v>0</v>
      </c>
      <c r="W393" s="17">
        <v>20</v>
      </c>
      <c r="X393" s="17">
        <v>65.62</v>
      </c>
      <c r="Y393" s="17">
        <v>13.7</v>
      </c>
      <c r="Z393" s="18">
        <f t="shared" si="113"/>
        <v>3.8904167825101837E-3</v>
      </c>
      <c r="AA393" s="19">
        <v>0.15</v>
      </c>
      <c r="AB393" s="17">
        <f t="shared" si="131"/>
        <v>9.843</v>
      </c>
      <c r="AC393" s="17"/>
      <c r="AD393" s="17"/>
      <c r="AE393" s="17">
        <f t="shared" si="114"/>
        <v>9.843</v>
      </c>
      <c r="AF393" s="17">
        <f t="shared" si="129"/>
        <v>1.5748800000000001</v>
      </c>
      <c r="AG393" s="17">
        <f t="shared" si="115"/>
        <v>11.41788</v>
      </c>
      <c r="AH393" s="17">
        <f t="shared" si="130"/>
        <v>0.19686000000000001</v>
      </c>
      <c r="AI393" s="17"/>
      <c r="AJ393" s="17">
        <f t="shared" si="116"/>
        <v>0.19686000000000001</v>
      </c>
      <c r="AK393" s="20"/>
      <c r="AL393" s="17">
        <f t="shared" si="117"/>
        <v>9.6461400000000008</v>
      </c>
      <c r="AM393" s="17" t="s">
        <v>108</v>
      </c>
      <c r="AN393" s="21">
        <v>0.4</v>
      </c>
      <c r="AO393" s="17">
        <f t="shared" si="118"/>
        <v>3.8584560000000003</v>
      </c>
      <c r="AP393" s="17">
        <v>3.8584560000000003</v>
      </c>
      <c r="AQ393" s="16">
        <v>44834</v>
      </c>
      <c r="AR393" s="17">
        <f t="shared" si="125"/>
        <v>0</v>
      </c>
      <c r="AS393" s="17" t="s">
        <v>109</v>
      </c>
      <c r="AT393" s="17">
        <v>11.41788</v>
      </c>
      <c r="AU393" s="17">
        <f t="shared" si="127"/>
        <v>11.41788</v>
      </c>
      <c r="AV393" s="17">
        <f t="shared" si="119"/>
        <v>0</v>
      </c>
      <c r="AW393" s="17" t="str">
        <f t="shared" si="122"/>
        <v>SFA</v>
      </c>
      <c r="AX393" s="22">
        <v>44791</v>
      </c>
      <c r="AY393" s="22"/>
      <c r="AZ393" s="1" t="s">
        <v>110</v>
      </c>
      <c r="BA393" s="22" t="str">
        <f t="shared" si="128"/>
        <v>MARINE CARGO / GIT</v>
      </c>
      <c r="BB393" s="22"/>
      <c r="BC393" s="22"/>
      <c r="BD393" s="22"/>
    </row>
    <row r="394" spans="1:56" ht="14.25" customHeight="1" x14ac:dyDescent="0.2">
      <c r="A394" s="1" t="s">
        <v>578</v>
      </c>
      <c r="B394" s="1" t="s">
        <v>57</v>
      </c>
      <c r="C394" s="13">
        <v>44739</v>
      </c>
      <c r="D394" s="13">
        <v>44767</v>
      </c>
      <c r="E394" s="13">
        <v>44740</v>
      </c>
      <c r="F394" s="13">
        <v>44742</v>
      </c>
      <c r="G394" s="14" t="str">
        <f t="shared" si="112"/>
        <v>000-393/AIB RDC/2022</v>
      </c>
      <c r="H394" s="1">
        <v>0</v>
      </c>
      <c r="I394" s="1" t="s">
        <v>74</v>
      </c>
      <c r="J394" s="1" t="s">
        <v>676</v>
      </c>
      <c r="K394" s="1" t="s">
        <v>211</v>
      </c>
      <c r="L394" s="1"/>
      <c r="M394" s="1" t="s">
        <v>105</v>
      </c>
      <c r="N394" s="1" t="s">
        <v>106</v>
      </c>
      <c r="O394" s="1" t="s">
        <v>64</v>
      </c>
      <c r="P394" s="1" t="s">
        <v>65</v>
      </c>
      <c r="Q394" s="1" t="s">
        <v>130</v>
      </c>
      <c r="R394" s="1" t="s">
        <v>130</v>
      </c>
      <c r="S394" s="17">
        <v>8586.49</v>
      </c>
      <c r="T394" s="17">
        <v>94.4</v>
      </c>
      <c r="U394" s="17">
        <v>0</v>
      </c>
      <c r="V394" s="17">
        <v>0</v>
      </c>
      <c r="W394" s="17">
        <v>20</v>
      </c>
      <c r="X394" s="17">
        <v>60</v>
      </c>
      <c r="Y394" s="17">
        <v>12.8</v>
      </c>
      <c r="Z394" s="18">
        <f t="shared" si="113"/>
        <v>1.0994015016613309E-2</v>
      </c>
      <c r="AA394" s="19">
        <v>0.15</v>
      </c>
      <c r="AB394" s="17">
        <f t="shared" si="131"/>
        <v>9</v>
      </c>
      <c r="AC394" s="17">
        <v>0</v>
      </c>
      <c r="AD394" s="17">
        <v>0</v>
      </c>
      <c r="AE394" s="17">
        <f t="shared" si="114"/>
        <v>9</v>
      </c>
      <c r="AF394" s="17">
        <f t="shared" si="129"/>
        <v>1.44</v>
      </c>
      <c r="AG394" s="17">
        <f t="shared" si="115"/>
        <v>10.44</v>
      </c>
      <c r="AH394" s="17">
        <f t="shared" si="130"/>
        <v>0.18</v>
      </c>
      <c r="AI394" s="17">
        <v>0</v>
      </c>
      <c r="AJ394" s="17">
        <f t="shared" si="116"/>
        <v>0.18</v>
      </c>
      <c r="AK394" s="20"/>
      <c r="AL394" s="17">
        <f t="shared" si="117"/>
        <v>8.82</v>
      </c>
      <c r="AM394" s="17" t="s">
        <v>108</v>
      </c>
      <c r="AN394" s="21">
        <v>0.4</v>
      </c>
      <c r="AO394" s="17">
        <f t="shared" si="118"/>
        <v>3.5280000000000005</v>
      </c>
      <c r="AP394" s="17">
        <v>3.5280000000000005</v>
      </c>
      <c r="AQ394" s="16">
        <v>44834</v>
      </c>
      <c r="AR394" s="17">
        <f t="shared" si="125"/>
        <v>0</v>
      </c>
      <c r="AS394" s="17" t="s">
        <v>109</v>
      </c>
      <c r="AT394" s="17">
        <v>10.44</v>
      </c>
      <c r="AU394" s="17">
        <f t="shared" si="127"/>
        <v>10.44</v>
      </c>
      <c r="AV394" s="17">
        <f t="shared" si="119"/>
        <v>0</v>
      </c>
      <c r="AW394" s="17" t="str">
        <f t="shared" si="122"/>
        <v>SFA</v>
      </c>
      <c r="AX394" s="22">
        <v>44791</v>
      </c>
      <c r="AY394" s="22"/>
      <c r="AZ394" s="1" t="s">
        <v>110</v>
      </c>
      <c r="BA394" s="22" t="str">
        <f t="shared" si="128"/>
        <v>MARINE CARGO / GIT</v>
      </c>
      <c r="BB394" s="22"/>
      <c r="BC394" s="22"/>
      <c r="BD394" s="22"/>
    </row>
    <row r="395" spans="1:56" ht="14.25" customHeight="1" x14ac:dyDescent="0.2">
      <c r="A395" s="1" t="s">
        <v>654</v>
      </c>
      <c r="B395" s="1" t="s">
        <v>57</v>
      </c>
      <c r="C395" s="13">
        <v>44720</v>
      </c>
      <c r="D395" s="13">
        <v>44749</v>
      </c>
      <c r="E395" s="13">
        <v>44749</v>
      </c>
      <c r="F395" s="13">
        <v>45113</v>
      </c>
      <c r="G395" s="14" t="str">
        <f t="shared" si="112"/>
        <v>000-394/AIB RDC/2022</v>
      </c>
      <c r="H395" s="1">
        <v>0</v>
      </c>
      <c r="I395" s="1" t="s">
        <v>74</v>
      </c>
      <c r="J395" s="1" t="s">
        <v>677</v>
      </c>
      <c r="K395" s="1" t="s">
        <v>678</v>
      </c>
      <c r="L395" s="1"/>
      <c r="M395" s="1" t="s">
        <v>105</v>
      </c>
      <c r="N395" s="1" t="s">
        <v>541</v>
      </c>
      <c r="O395" s="1" t="s">
        <v>73</v>
      </c>
      <c r="P395" s="1" t="s">
        <v>73</v>
      </c>
      <c r="Q395" s="1" t="s">
        <v>130</v>
      </c>
      <c r="R395" s="1" t="s">
        <v>130</v>
      </c>
      <c r="S395" s="17">
        <v>0</v>
      </c>
      <c r="T395" s="17">
        <v>316.19</v>
      </c>
      <c r="U395" s="17">
        <v>0</v>
      </c>
      <c r="V395" s="17">
        <v>0</v>
      </c>
      <c r="W395" s="17">
        <v>3.96</v>
      </c>
      <c r="X395" s="17">
        <v>264</v>
      </c>
      <c r="Y395" s="17">
        <v>42.87</v>
      </c>
      <c r="Z395" s="18" t="e">
        <f t="shared" si="113"/>
        <v>#DIV/0!</v>
      </c>
      <c r="AA395" s="19">
        <v>0.125</v>
      </c>
      <c r="AB395" s="17">
        <f t="shared" si="131"/>
        <v>33</v>
      </c>
      <c r="AC395" s="17"/>
      <c r="AD395" s="17"/>
      <c r="AE395" s="17">
        <f t="shared" si="114"/>
        <v>33</v>
      </c>
      <c r="AF395" s="17">
        <f t="shared" si="129"/>
        <v>5.28</v>
      </c>
      <c r="AG395" s="17">
        <f t="shared" si="115"/>
        <v>38.28</v>
      </c>
      <c r="AH395" s="17">
        <f t="shared" si="130"/>
        <v>0.66</v>
      </c>
      <c r="AI395" s="17"/>
      <c r="AJ395" s="17">
        <f t="shared" si="116"/>
        <v>0.66</v>
      </c>
      <c r="AK395" s="20"/>
      <c r="AL395" s="17">
        <f t="shared" si="117"/>
        <v>32.340000000000003</v>
      </c>
      <c r="AM395" s="17"/>
      <c r="AN395" s="21"/>
      <c r="AO395" s="17">
        <f t="shared" si="118"/>
        <v>0</v>
      </c>
      <c r="AP395" s="17"/>
      <c r="AQ395" s="16"/>
      <c r="AR395" s="17">
        <f t="shared" si="125"/>
        <v>0</v>
      </c>
      <c r="AS395" s="17"/>
      <c r="AT395" s="17">
        <v>38.28</v>
      </c>
      <c r="AU395" s="17">
        <f t="shared" si="127"/>
        <v>38.28</v>
      </c>
      <c r="AV395" s="17">
        <f t="shared" si="119"/>
        <v>0</v>
      </c>
      <c r="AW395" s="17" t="str">
        <f t="shared" si="122"/>
        <v>SFA</v>
      </c>
      <c r="AX395" s="22">
        <v>44791</v>
      </c>
      <c r="AY395" s="22"/>
      <c r="AZ395" s="1" t="s">
        <v>100</v>
      </c>
      <c r="BA395" s="22" t="str">
        <f t="shared" si="128"/>
        <v>MOTOR TPL</v>
      </c>
      <c r="BB395" s="22"/>
      <c r="BC395" s="22"/>
      <c r="BD395" s="22"/>
    </row>
    <row r="396" spans="1:56" ht="14.25" customHeight="1" x14ac:dyDescent="0.2">
      <c r="A396" s="1" t="s">
        <v>654</v>
      </c>
      <c r="B396" s="1" t="s">
        <v>57</v>
      </c>
      <c r="C396" s="13">
        <v>44736</v>
      </c>
      <c r="D396" s="13">
        <v>44763</v>
      </c>
      <c r="E396" s="13">
        <v>44763</v>
      </c>
      <c r="F396" s="13">
        <v>45127</v>
      </c>
      <c r="G396" s="14" t="str">
        <f t="shared" ref="G396:G459" si="132">TEXT(ROW(G396)-1,"000-000") &amp; "/AIB RDC/2022"</f>
        <v>000-395/AIB RDC/2022</v>
      </c>
      <c r="H396" s="1">
        <v>0</v>
      </c>
      <c r="I396" s="1" t="s">
        <v>74</v>
      </c>
      <c r="J396" s="1" t="s">
        <v>679</v>
      </c>
      <c r="K396" s="1" t="s">
        <v>680</v>
      </c>
      <c r="L396" s="1" t="s">
        <v>214</v>
      </c>
      <c r="M396" s="1" t="s">
        <v>84</v>
      </c>
      <c r="N396" s="1" t="s">
        <v>85</v>
      </c>
      <c r="O396" s="1" t="s">
        <v>64</v>
      </c>
      <c r="P396" s="1" t="s">
        <v>65</v>
      </c>
      <c r="Q396" s="1" t="s">
        <v>130</v>
      </c>
      <c r="R396" s="1" t="s">
        <v>130</v>
      </c>
      <c r="S396" s="17">
        <v>1237987</v>
      </c>
      <c r="T396" s="17">
        <v>3447.36</v>
      </c>
      <c r="U396" s="17">
        <v>0</v>
      </c>
      <c r="V396" s="17">
        <v>0</v>
      </c>
      <c r="W396" s="17">
        <v>43.17</v>
      </c>
      <c r="X396" s="17">
        <v>2878.32</v>
      </c>
      <c r="Y396" s="17">
        <v>467.44</v>
      </c>
      <c r="Z396" s="18">
        <f t="shared" ref="Z396:Z459" si="133">T396/S396</f>
        <v>2.784649596482031E-3</v>
      </c>
      <c r="AA396" s="19">
        <v>0.15</v>
      </c>
      <c r="AB396" s="17">
        <f t="shared" si="131"/>
        <v>431.74799999999999</v>
      </c>
      <c r="AC396" s="17">
        <v>0</v>
      </c>
      <c r="AD396" s="17">
        <v>0</v>
      </c>
      <c r="AE396" s="17">
        <f t="shared" ref="AE396:AE459" si="134">SUM(AB396:AD396)</f>
        <v>431.74799999999999</v>
      </c>
      <c r="AF396" s="17">
        <f t="shared" si="129"/>
        <v>69.079679999999996</v>
      </c>
      <c r="AG396" s="17">
        <f t="shared" ref="AG396:AG459" si="135">AF396+AE396</f>
        <v>500.82767999999999</v>
      </c>
      <c r="AH396" s="17">
        <f t="shared" si="130"/>
        <v>8.6349599999999995</v>
      </c>
      <c r="AI396" s="17"/>
      <c r="AJ396" s="17">
        <f t="shared" ref="AJ396:AJ459" si="136">AH396-AI396</f>
        <v>8.6349599999999995</v>
      </c>
      <c r="AK396" s="20"/>
      <c r="AL396" s="17">
        <f t="shared" ref="AL396:AL459" si="137">AE396-AH396</f>
        <v>423.11304000000001</v>
      </c>
      <c r="AM396" s="17" t="s">
        <v>198</v>
      </c>
      <c r="AN396" s="21"/>
      <c r="AO396" s="17">
        <f t="shared" ref="AO396:AO459" si="138">AL396*AN396</f>
        <v>0</v>
      </c>
      <c r="AP396" s="17"/>
      <c r="AQ396" s="16"/>
      <c r="AR396" s="17">
        <f t="shared" si="125"/>
        <v>0</v>
      </c>
      <c r="AS396" s="17"/>
      <c r="AT396" s="17">
        <v>500.82767999999999</v>
      </c>
      <c r="AU396" s="17">
        <f t="shared" si="127"/>
        <v>500.82767999999999</v>
      </c>
      <c r="AV396" s="17">
        <f t="shared" ref="AV396:AV459" si="139">AU396-AT396</f>
        <v>0</v>
      </c>
      <c r="AW396" s="17" t="str">
        <f t="shared" si="122"/>
        <v>SFA</v>
      </c>
      <c r="AX396" s="22">
        <v>44791</v>
      </c>
      <c r="AY396" s="22"/>
      <c r="AZ396" s="22"/>
      <c r="BA396" s="22" t="str">
        <f t="shared" si="128"/>
        <v>MARINE CARGO / GIT</v>
      </c>
      <c r="BB396" s="22"/>
      <c r="BC396" s="22"/>
      <c r="BD396" s="22"/>
    </row>
    <row r="397" spans="1:56" ht="14.25" customHeight="1" x14ac:dyDescent="0.2">
      <c r="A397" s="1" t="s">
        <v>578</v>
      </c>
      <c r="B397" s="1" t="s">
        <v>57</v>
      </c>
      <c r="C397" s="13">
        <v>44750</v>
      </c>
      <c r="D397" s="13">
        <v>44722</v>
      </c>
      <c r="E397" s="13">
        <v>44722</v>
      </c>
      <c r="F397" s="13">
        <v>45086</v>
      </c>
      <c r="G397" s="14" t="str">
        <f t="shared" si="132"/>
        <v>000-396/AIB RDC/2022</v>
      </c>
      <c r="H397" s="1">
        <v>0</v>
      </c>
      <c r="I397" s="1" t="s">
        <v>74</v>
      </c>
      <c r="J397" s="24" t="s">
        <v>681</v>
      </c>
      <c r="K397" s="1" t="s">
        <v>682</v>
      </c>
      <c r="L397" s="1" t="s">
        <v>683</v>
      </c>
      <c r="M397" s="1" t="s">
        <v>95</v>
      </c>
      <c r="N397" s="1" t="s">
        <v>586</v>
      </c>
      <c r="O397" s="1" t="s">
        <v>152</v>
      </c>
      <c r="P397" s="1" t="s">
        <v>153</v>
      </c>
      <c r="Q397" s="1" t="s">
        <v>130</v>
      </c>
      <c r="R397" s="1" t="s">
        <v>130</v>
      </c>
      <c r="S397" s="17">
        <v>48015</v>
      </c>
      <c r="T397" s="17">
        <v>2944.47</v>
      </c>
      <c r="U397" s="17">
        <v>0</v>
      </c>
      <c r="V397" s="17">
        <v>0</v>
      </c>
      <c r="W397" s="17">
        <v>120.62</v>
      </c>
      <c r="X397" s="17">
        <v>2374.69</v>
      </c>
      <c r="Y397" s="17">
        <v>399.25</v>
      </c>
      <c r="Z397" s="18">
        <f t="shared" si="133"/>
        <v>6.132396126210559E-2</v>
      </c>
      <c r="AA397" s="19">
        <v>0.15</v>
      </c>
      <c r="AB397" s="17">
        <f t="shared" si="131"/>
        <v>356.20350000000002</v>
      </c>
      <c r="AC397" s="17"/>
      <c r="AD397" s="17"/>
      <c r="AE397" s="17">
        <f t="shared" si="134"/>
        <v>356.20350000000002</v>
      </c>
      <c r="AF397" s="17">
        <f t="shared" si="129"/>
        <v>56.992560000000005</v>
      </c>
      <c r="AG397" s="17">
        <f t="shared" si="135"/>
        <v>413.19606000000005</v>
      </c>
      <c r="AH397" s="17">
        <f t="shared" si="130"/>
        <v>7.1240700000000006</v>
      </c>
      <c r="AI397" s="17"/>
      <c r="AJ397" s="17">
        <f t="shared" si="136"/>
        <v>7.1240700000000006</v>
      </c>
      <c r="AK397" s="20"/>
      <c r="AL397" s="17">
        <f t="shared" si="137"/>
        <v>349.07943</v>
      </c>
      <c r="AM397" s="17"/>
      <c r="AN397" s="21"/>
      <c r="AO397" s="17">
        <f t="shared" si="138"/>
        <v>0</v>
      </c>
      <c r="AP397" s="17"/>
      <c r="AQ397" s="16"/>
      <c r="AR397" s="17">
        <f t="shared" si="125"/>
        <v>0</v>
      </c>
      <c r="AS397" s="17"/>
      <c r="AT397" s="17">
        <v>413.19606000000005</v>
      </c>
      <c r="AU397" s="17">
        <f t="shared" si="127"/>
        <v>413.19606000000005</v>
      </c>
      <c r="AV397" s="17">
        <f t="shared" si="139"/>
        <v>0</v>
      </c>
      <c r="AW397" s="17" t="str">
        <f t="shared" si="122"/>
        <v>SFA</v>
      </c>
      <c r="AX397" s="22">
        <v>44781</v>
      </c>
      <c r="AY397" s="22"/>
      <c r="AZ397" s="1" t="s">
        <v>100</v>
      </c>
      <c r="BA397" s="22" t="str">
        <f t="shared" si="128"/>
        <v>COMP MOTOR</v>
      </c>
      <c r="BB397" s="22"/>
      <c r="BC397" s="22"/>
      <c r="BD397" s="22"/>
    </row>
    <row r="398" spans="1:56" ht="14.25" customHeight="1" x14ac:dyDescent="0.2">
      <c r="A398" s="1" t="s">
        <v>578</v>
      </c>
      <c r="B398" s="1" t="s">
        <v>57</v>
      </c>
      <c r="C398" s="13">
        <v>44750</v>
      </c>
      <c r="D398" s="13">
        <v>44734</v>
      </c>
      <c r="E398" s="13">
        <v>44734</v>
      </c>
      <c r="F398" s="13">
        <v>45098</v>
      </c>
      <c r="G398" s="14" t="str">
        <f t="shared" si="132"/>
        <v>000-397/AIB RDC/2022</v>
      </c>
      <c r="H398" s="1">
        <v>0</v>
      </c>
      <c r="I398" s="1" t="s">
        <v>74</v>
      </c>
      <c r="J398" s="24" t="s">
        <v>684</v>
      </c>
      <c r="K398" s="1" t="s">
        <v>685</v>
      </c>
      <c r="L398" s="1" t="s">
        <v>608</v>
      </c>
      <c r="M398" s="1" t="s">
        <v>62</v>
      </c>
      <c r="N398" s="1" t="s">
        <v>106</v>
      </c>
      <c r="O398" s="1" t="s">
        <v>152</v>
      </c>
      <c r="P398" s="1" t="s">
        <v>153</v>
      </c>
      <c r="Q398" s="1" t="s">
        <v>130</v>
      </c>
      <c r="R398" s="1" t="s">
        <v>130</v>
      </c>
      <c r="S398" s="17">
        <v>14000</v>
      </c>
      <c r="T398" s="17">
        <v>693.17</v>
      </c>
      <c r="U398" s="17">
        <v>0</v>
      </c>
      <c r="V398" s="17">
        <v>0</v>
      </c>
      <c r="W398" s="17">
        <v>92.43</v>
      </c>
      <c r="X398" s="17">
        <v>495</v>
      </c>
      <c r="Y398" s="17">
        <v>93.99</v>
      </c>
      <c r="Z398" s="18">
        <f t="shared" si="133"/>
        <v>4.9512142857142852E-2</v>
      </c>
      <c r="AA398" s="19">
        <v>0.15</v>
      </c>
      <c r="AB398" s="17">
        <f t="shared" si="131"/>
        <v>74.25</v>
      </c>
      <c r="AC398" s="17">
        <v>0</v>
      </c>
      <c r="AD398" s="17">
        <v>0</v>
      </c>
      <c r="AE398" s="17">
        <f t="shared" si="134"/>
        <v>74.25</v>
      </c>
      <c r="AF398" s="17">
        <f t="shared" si="129"/>
        <v>11.88</v>
      </c>
      <c r="AG398" s="17">
        <f t="shared" si="135"/>
        <v>86.13</v>
      </c>
      <c r="AH398" s="17">
        <f t="shared" si="130"/>
        <v>1.4850000000000001</v>
      </c>
      <c r="AI398" s="17"/>
      <c r="AJ398" s="17">
        <f t="shared" si="136"/>
        <v>1.4850000000000001</v>
      </c>
      <c r="AK398" s="20"/>
      <c r="AL398" s="17">
        <f t="shared" si="137"/>
        <v>72.765000000000001</v>
      </c>
      <c r="AM398" s="17"/>
      <c r="AN398" s="21"/>
      <c r="AO398" s="17">
        <f t="shared" si="138"/>
        <v>0</v>
      </c>
      <c r="AP398" s="17"/>
      <c r="AQ398" s="16"/>
      <c r="AR398" s="17">
        <f t="shared" si="125"/>
        <v>0</v>
      </c>
      <c r="AS398" s="17"/>
      <c r="AT398" s="17">
        <v>86.13</v>
      </c>
      <c r="AU398" s="17">
        <f t="shared" si="127"/>
        <v>86.13</v>
      </c>
      <c r="AV398" s="17">
        <f t="shared" si="139"/>
        <v>0</v>
      </c>
      <c r="AW398" s="17" t="str">
        <f t="shared" si="122"/>
        <v>SFA</v>
      </c>
      <c r="AX398" s="22">
        <v>44781</v>
      </c>
      <c r="AY398" s="22"/>
      <c r="AZ398" s="1" t="s">
        <v>100</v>
      </c>
      <c r="BA398" s="22" t="str">
        <f t="shared" si="128"/>
        <v>COMP MOTOR</v>
      </c>
      <c r="BB398" s="22"/>
      <c r="BC398" s="22"/>
      <c r="BD398" s="22"/>
    </row>
    <row r="399" spans="1:56" ht="14.25" customHeight="1" x14ac:dyDescent="0.2">
      <c r="A399" s="1" t="s">
        <v>578</v>
      </c>
      <c r="B399" s="1" t="s">
        <v>57</v>
      </c>
      <c r="C399" s="13">
        <v>44750</v>
      </c>
      <c r="D399" s="13">
        <v>44700</v>
      </c>
      <c r="E399" s="13">
        <v>44718</v>
      </c>
      <c r="F399" s="13">
        <v>44722</v>
      </c>
      <c r="G399" s="14" t="str">
        <f t="shared" si="132"/>
        <v>000-398/AIB RDC/2022</v>
      </c>
      <c r="H399" s="1">
        <v>0</v>
      </c>
      <c r="I399" s="1" t="s">
        <v>74</v>
      </c>
      <c r="J399" s="1" t="s">
        <v>686</v>
      </c>
      <c r="K399" s="1" t="s">
        <v>687</v>
      </c>
      <c r="L399" s="1" t="s">
        <v>608</v>
      </c>
      <c r="M399" s="1" t="s">
        <v>95</v>
      </c>
      <c r="N399" s="1" t="s">
        <v>102</v>
      </c>
      <c r="O399" s="1" t="s">
        <v>240</v>
      </c>
      <c r="P399" s="1" t="s">
        <v>98</v>
      </c>
      <c r="Q399" s="1" t="s">
        <v>86</v>
      </c>
      <c r="R399" s="1" t="s">
        <v>86</v>
      </c>
      <c r="S399" s="17">
        <v>0</v>
      </c>
      <c r="T399" s="17">
        <v>10.86</v>
      </c>
      <c r="U399" s="17">
        <v>0</v>
      </c>
      <c r="V399" s="17">
        <v>0</v>
      </c>
      <c r="W399" s="17">
        <v>0.18</v>
      </c>
      <c r="X399" s="17">
        <v>9.18</v>
      </c>
      <c r="Y399" s="17">
        <v>1.5</v>
      </c>
      <c r="Z399" s="18" t="e">
        <f t="shared" si="133"/>
        <v>#DIV/0!</v>
      </c>
      <c r="AA399" s="19">
        <v>0.2</v>
      </c>
      <c r="AB399" s="17">
        <f t="shared" si="131"/>
        <v>1.8360000000000001</v>
      </c>
      <c r="AC399" s="17"/>
      <c r="AD399" s="17"/>
      <c r="AE399" s="17">
        <f t="shared" si="134"/>
        <v>1.8360000000000001</v>
      </c>
      <c r="AF399" s="17">
        <f t="shared" si="129"/>
        <v>0.29376000000000002</v>
      </c>
      <c r="AG399" s="17">
        <f t="shared" si="135"/>
        <v>2.1297600000000001</v>
      </c>
      <c r="AH399" s="17">
        <f t="shared" si="130"/>
        <v>3.6720000000000003E-2</v>
      </c>
      <c r="AI399" s="17"/>
      <c r="AJ399" s="17">
        <f t="shared" si="136"/>
        <v>3.6720000000000003E-2</v>
      </c>
      <c r="AK399" s="20"/>
      <c r="AL399" s="17">
        <f t="shared" si="137"/>
        <v>1.79928</v>
      </c>
      <c r="AM399" s="17"/>
      <c r="AN399" s="21"/>
      <c r="AO399" s="17">
        <f t="shared" si="138"/>
        <v>0</v>
      </c>
      <c r="AP399" s="17"/>
      <c r="AQ399" s="16"/>
      <c r="AR399" s="17">
        <f t="shared" si="125"/>
        <v>0</v>
      </c>
      <c r="AS399" s="17"/>
      <c r="AT399" s="17">
        <v>2.1297600000000001</v>
      </c>
      <c r="AU399" s="17">
        <f t="shared" si="127"/>
        <v>2.1297600000000001</v>
      </c>
      <c r="AV399" s="17">
        <f t="shared" si="139"/>
        <v>0</v>
      </c>
      <c r="AW399" s="17" t="str">
        <f t="shared" si="122"/>
        <v>SUNU</v>
      </c>
      <c r="AX399" s="22">
        <v>44749</v>
      </c>
      <c r="AY399" s="22"/>
      <c r="AZ399" s="1" t="s">
        <v>110</v>
      </c>
      <c r="BA399" s="22" t="str">
        <f t="shared" si="128"/>
        <v>TRAVEL</v>
      </c>
      <c r="BB399" s="22"/>
      <c r="BC399" s="22"/>
      <c r="BD399" s="22"/>
    </row>
    <row r="400" spans="1:56" ht="14.25" customHeight="1" x14ac:dyDescent="0.2">
      <c r="A400" s="1" t="s">
        <v>578</v>
      </c>
      <c r="B400" s="1" t="s">
        <v>57</v>
      </c>
      <c r="C400" s="13">
        <v>44750</v>
      </c>
      <c r="D400" s="13">
        <v>44700</v>
      </c>
      <c r="E400" s="13">
        <v>44718</v>
      </c>
      <c r="F400" s="13">
        <v>44724</v>
      </c>
      <c r="G400" s="14" t="str">
        <f t="shared" si="132"/>
        <v>000-399/AIB RDC/2022</v>
      </c>
      <c r="H400" s="1">
        <v>0</v>
      </c>
      <c r="I400" s="1" t="s">
        <v>74</v>
      </c>
      <c r="J400" s="1" t="s">
        <v>688</v>
      </c>
      <c r="K400" s="1" t="s">
        <v>689</v>
      </c>
      <c r="L400" s="1" t="s">
        <v>608</v>
      </c>
      <c r="M400" s="1" t="s">
        <v>95</v>
      </c>
      <c r="N400" s="1" t="s">
        <v>102</v>
      </c>
      <c r="O400" s="1" t="s">
        <v>240</v>
      </c>
      <c r="P400" s="1" t="s">
        <v>98</v>
      </c>
      <c r="Q400" s="1" t="s">
        <v>86</v>
      </c>
      <c r="R400" s="1" t="s">
        <v>86</v>
      </c>
      <c r="S400" s="17">
        <v>0</v>
      </c>
      <c r="T400" s="17">
        <v>10.86</v>
      </c>
      <c r="U400" s="17">
        <v>0</v>
      </c>
      <c r="V400" s="17">
        <v>0</v>
      </c>
      <c r="W400" s="17">
        <v>0.18</v>
      </c>
      <c r="X400" s="17">
        <v>9.18</v>
      </c>
      <c r="Y400" s="17">
        <v>1.5</v>
      </c>
      <c r="Z400" s="18" t="e">
        <f t="shared" si="133"/>
        <v>#DIV/0!</v>
      </c>
      <c r="AA400" s="19">
        <v>0.2</v>
      </c>
      <c r="AB400" s="17">
        <f t="shared" si="131"/>
        <v>1.8360000000000001</v>
      </c>
      <c r="AC400" s="17"/>
      <c r="AD400" s="17"/>
      <c r="AE400" s="17">
        <f t="shared" si="134"/>
        <v>1.8360000000000001</v>
      </c>
      <c r="AF400" s="17">
        <f t="shared" si="129"/>
        <v>0.29376000000000002</v>
      </c>
      <c r="AG400" s="17">
        <f t="shared" si="135"/>
        <v>2.1297600000000001</v>
      </c>
      <c r="AH400" s="17">
        <f t="shared" si="130"/>
        <v>3.6720000000000003E-2</v>
      </c>
      <c r="AI400" s="17"/>
      <c r="AJ400" s="17">
        <f t="shared" si="136"/>
        <v>3.6720000000000003E-2</v>
      </c>
      <c r="AK400" s="20"/>
      <c r="AL400" s="17">
        <f t="shared" si="137"/>
        <v>1.79928</v>
      </c>
      <c r="AM400" s="17"/>
      <c r="AN400" s="21"/>
      <c r="AO400" s="17">
        <f t="shared" si="138"/>
        <v>0</v>
      </c>
      <c r="AP400" s="17"/>
      <c r="AQ400" s="16"/>
      <c r="AR400" s="17">
        <f t="shared" si="125"/>
        <v>0</v>
      </c>
      <c r="AS400" s="17"/>
      <c r="AT400" s="17">
        <v>2.1297600000000001</v>
      </c>
      <c r="AU400" s="17">
        <f t="shared" si="127"/>
        <v>2.1297600000000001</v>
      </c>
      <c r="AV400" s="17">
        <f t="shared" si="139"/>
        <v>0</v>
      </c>
      <c r="AW400" s="17" t="str">
        <f t="shared" si="122"/>
        <v>SUNU</v>
      </c>
      <c r="AX400" s="22">
        <v>44749</v>
      </c>
      <c r="AY400" s="22"/>
      <c r="AZ400" s="1" t="s">
        <v>110</v>
      </c>
      <c r="BA400" s="22" t="str">
        <f t="shared" si="128"/>
        <v>TRAVEL</v>
      </c>
      <c r="BB400" s="22"/>
      <c r="BC400" s="22"/>
      <c r="BD400" s="22"/>
    </row>
    <row r="401" spans="1:56" ht="14.25" customHeight="1" x14ac:dyDescent="0.2">
      <c r="A401" s="1" t="s">
        <v>654</v>
      </c>
      <c r="B401" s="1" t="s">
        <v>57</v>
      </c>
      <c r="C401" s="13">
        <v>44771</v>
      </c>
      <c r="D401" s="13">
        <v>44770</v>
      </c>
      <c r="E401" s="13">
        <v>44763</v>
      </c>
      <c r="F401" s="13">
        <v>45127</v>
      </c>
      <c r="G401" s="14" t="str">
        <f t="shared" si="132"/>
        <v>000-400/AIB RDC/2022</v>
      </c>
      <c r="H401" s="1">
        <v>0</v>
      </c>
      <c r="I401" s="1" t="s">
        <v>74</v>
      </c>
      <c r="J401" s="1" t="s">
        <v>690</v>
      </c>
      <c r="K401" s="1" t="s">
        <v>222</v>
      </c>
      <c r="L401" s="1" t="s">
        <v>160</v>
      </c>
      <c r="M401" s="1" t="s">
        <v>105</v>
      </c>
      <c r="N401" s="1" t="s">
        <v>184</v>
      </c>
      <c r="O401" s="1" t="s">
        <v>172</v>
      </c>
      <c r="P401" s="1" t="s">
        <v>90</v>
      </c>
      <c r="Q401" s="1" t="s">
        <v>130</v>
      </c>
      <c r="R401" s="16" t="s">
        <v>130</v>
      </c>
      <c r="S401" s="17">
        <v>0</v>
      </c>
      <c r="T401" s="17">
        <v>26520.14</v>
      </c>
      <c r="U401" s="17">
        <v>3352.94</v>
      </c>
      <c r="V401" s="17">
        <v>0</v>
      </c>
      <c r="W401" s="17">
        <v>121.76</v>
      </c>
      <c r="X401" s="17">
        <v>19000</v>
      </c>
      <c r="Y401" s="17">
        <v>3595.95</v>
      </c>
      <c r="Z401" s="18" t="e">
        <f t="shared" si="133"/>
        <v>#DIV/0!</v>
      </c>
      <c r="AA401" s="19">
        <v>0.15</v>
      </c>
      <c r="AB401" s="17">
        <f t="shared" si="131"/>
        <v>2850</v>
      </c>
      <c r="AC401" s="17">
        <v>0</v>
      </c>
      <c r="AD401" s="17">
        <v>0</v>
      </c>
      <c r="AE401" s="17">
        <f t="shared" si="134"/>
        <v>2850</v>
      </c>
      <c r="AF401" s="17">
        <f t="shared" si="129"/>
        <v>456</v>
      </c>
      <c r="AG401" s="17">
        <f t="shared" si="135"/>
        <v>3306</v>
      </c>
      <c r="AH401" s="17">
        <f t="shared" si="130"/>
        <v>57</v>
      </c>
      <c r="AI401" s="17">
        <v>0</v>
      </c>
      <c r="AJ401" s="17">
        <f t="shared" si="136"/>
        <v>57</v>
      </c>
      <c r="AK401" s="20"/>
      <c r="AL401" s="17">
        <f t="shared" si="137"/>
        <v>2793</v>
      </c>
      <c r="AM401" s="17"/>
      <c r="AN401" s="21"/>
      <c r="AO401" s="17">
        <f t="shared" si="138"/>
        <v>0</v>
      </c>
      <c r="AP401" s="17"/>
      <c r="AQ401" s="16"/>
      <c r="AR401" s="17">
        <f t="shared" si="125"/>
        <v>0</v>
      </c>
      <c r="AS401" s="17"/>
      <c r="AT401" s="17">
        <v>3306</v>
      </c>
      <c r="AU401" s="17">
        <f t="shared" si="127"/>
        <v>3306</v>
      </c>
      <c r="AV401" s="17">
        <f t="shared" si="139"/>
        <v>0</v>
      </c>
      <c r="AW401" s="17" t="str">
        <f t="shared" si="122"/>
        <v>SFA</v>
      </c>
      <c r="AX401" s="22">
        <v>44791</v>
      </c>
      <c r="AY401" s="22"/>
      <c r="AZ401" s="1" t="s">
        <v>100</v>
      </c>
      <c r="BA401" s="22" t="str">
        <f t="shared" si="128"/>
        <v>PUBLIC LIABILITY</v>
      </c>
      <c r="BB401" s="22"/>
      <c r="BC401" s="22"/>
      <c r="BD401" s="22"/>
    </row>
    <row r="402" spans="1:56" ht="14.25" customHeight="1" x14ac:dyDescent="0.2">
      <c r="A402" s="1" t="s">
        <v>654</v>
      </c>
      <c r="B402" s="1" t="s">
        <v>57</v>
      </c>
      <c r="C402" s="13">
        <v>44771</v>
      </c>
      <c r="D402" s="13">
        <v>44767</v>
      </c>
      <c r="E402" s="13">
        <v>44759</v>
      </c>
      <c r="F402" s="13">
        <v>45123</v>
      </c>
      <c r="G402" s="14" t="str">
        <f t="shared" si="132"/>
        <v>000-401/AIB RDC/2022</v>
      </c>
      <c r="H402" s="1">
        <v>0</v>
      </c>
      <c r="I402" s="1" t="s">
        <v>74</v>
      </c>
      <c r="J402" s="1" t="s">
        <v>691</v>
      </c>
      <c r="K402" s="1" t="s">
        <v>692</v>
      </c>
      <c r="L402" s="1" t="s">
        <v>693</v>
      </c>
      <c r="M402" s="1" t="s">
        <v>105</v>
      </c>
      <c r="N402" s="1" t="s">
        <v>694</v>
      </c>
      <c r="O402" s="1" t="s">
        <v>70</v>
      </c>
      <c r="P402" s="1" t="s">
        <v>71</v>
      </c>
      <c r="Q402" s="1" t="s">
        <v>79</v>
      </c>
      <c r="R402" s="1" t="s">
        <v>79</v>
      </c>
      <c r="S402" s="17">
        <v>0</v>
      </c>
      <c r="T402" s="17">
        <v>4586.66</v>
      </c>
      <c r="U402" s="17">
        <v>0</v>
      </c>
      <c r="V402" s="17">
        <v>0</v>
      </c>
      <c r="W402" s="17">
        <v>50</v>
      </c>
      <c r="X402" s="17">
        <v>3837</v>
      </c>
      <c r="Y402" s="17">
        <v>621.91999999999996</v>
      </c>
      <c r="Z402" s="18" t="e">
        <f t="shared" si="133"/>
        <v>#DIV/0!</v>
      </c>
      <c r="AA402" s="19">
        <v>0.15</v>
      </c>
      <c r="AB402" s="17">
        <f t="shared" si="131"/>
        <v>575.54999999999995</v>
      </c>
      <c r="AC402" s="17"/>
      <c r="AD402" s="17"/>
      <c r="AE402" s="17">
        <f t="shared" si="134"/>
        <v>575.54999999999995</v>
      </c>
      <c r="AF402" s="17">
        <f t="shared" si="129"/>
        <v>92.087999999999994</v>
      </c>
      <c r="AG402" s="17">
        <f t="shared" si="135"/>
        <v>667.63799999999992</v>
      </c>
      <c r="AH402" s="17">
        <f t="shared" si="130"/>
        <v>11.510999999999999</v>
      </c>
      <c r="AI402" s="17"/>
      <c r="AJ402" s="17">
        <f t="shared" si="136"/>
        <v>11.510999999999999</v>
      </c>
      <c r="AK402" s="20"/>
      <c r="AL402" s="17">
        <f t="shared" si="137"/>
        <v>564.03899999999999</v>
      </c>
      <c r="AM402" s="17"/>
      <c r="AN402" s="21"/>
      <c r="AO402" s="17">
        <f t="shared" si="138"/>
        <v>0</v>
      </c>
      <c r="AP402" s="17"/>
      <c r="AQ402" s="16"/>
      <c r="AR402" s="17">
        <f t="shared" si="125"/>
        <v>0</v>
      </c>
      <c r="AS402" s="17"/>
      <c r="AT402" s="17">
        <v>667.63799999999992</v>
      </c>
      <c r="AU402" s="17">
        <f t="shared" si="127"/>
        <v>667.63799999999992</v>
      </c>
      <c r="AV402" s="17">
        <f t="shared" si="139"/>
        <v>0</v>
      </c>
      <c r="AW402" s="17" t="str">
        <f t="shared" si="122"/>
        <v>MAYFAIR</v>
      </c>
      <c r="AX402" s="22">
        <v>44791</v>
      </c>
      <c r="AY402" s="22"/>
      <c r="AZ402" s="1" t="s">
        <v>100</v>
      </c>
      <c r="BA402" s="22" t="str">
        <f t="shared" si="128"/>
        <v>FIRE</v>
      </c>
      <c r="BB402" s="22"/>
      <c r="BC402" s="22"/>
      <c r="BD402" s="22"/>
    </row>
    <row r="403" spans="1:56" ht="14.25" customHeight="1" x14ac:dyDescent="0.2">
      <c r="A403" s="1" t="s">
        <v>654</v>
      </c>
      <c r="B403" s="1" t="s">
        <v>57</v>
      </c>
      <c r="C403" s="13">
        <v>44771</v>
      </c>
      <c r="D403" s="13">
        <v>44767</v>
      </c>
      <c r="E403" s="13">
        <v>44759</v>
      </c>
      <c r="F403" s="13">
        <v>45123</v>
      </c>
      <c r="G403" s="14" t="str">
        <f t="shared" si="132"/>
        <v>000-402/AIB RDC/2022</v>
      </c>
      <c r="H403" s="1">
        <v>0</v>
      </c>
      <c r="I403" s="1" t="s">
        <v>74</v>
      </c>
      <c r="J403" s="1" t="s">
        <v>695</v>
      </c>
      <c r="K403" s="1" t="s">
        <v>692</v>
      </c>
      <c r="L403" s="1" t="s">
        <v>693</v>
      </c>
      <c r="M403" s="1" t="s">
        <v>105</v>
      </c>
      <c r="N403" s="1" t="s">
        <v>694</v>
      </c>
      <c r="O403" s="1" t="s">
        <v>233</v>
      </c>
      <c r="P403" s="1" t="s">
        <v>234</v>
      </c>
      <c r="Q403" s="1" t="s">
        <v>79</v>
      </c>
      <c r="R403" s="1" t="s">
        <v>79</v>
      </c>
      <c r="S403" s="17">
        <v>0</v>
      </c>
      <c r="T403" s="17">
        <v>12690.9</v>
      </c>
      <c r="U403" s="17">
        <v>0</v>
      </c>
      <c r="V403" s="17">
        <v>0</v>
      </c>
      <c r="W403" s="17">
        <v>20</v>
      </c>
      <c r="X403" s="17">
        <v>10735</v>
      </c>
      <c r="Y403" s="17">
        <v>1720.8</v>
      </c>
      <c r="Z403" s="18" t="e">
        <f t="shared" si="133"/>
        <v>#DIV/0!</v>
      </c>
      <c r="AA403" s="19">
        <v>0.15</v>
      </c>
      <c r="AB403" s="17">
        <f t="shared" si="131"/>
        <v>1610.25</v>
      </c>
      <c r="AC403" s="17"/>
      <c r="AD403" s="17"/>
      <c r="AE403" s="17">
        <f t="shared" si="134"/>
        <v>1610.25</v>
      </c>
      <c r="AF403" s="17">
        <f t="shared" si="129"/>
        <v>257.64</v>
      </c>
      <c r="AG403" s="17">
        <f t="shared" si="135"/>
        <v>1867.8899999999999</v>
      </c>
      <c r="AH403" s="17">
        <f t="shared" si="130"/>
        <v>32.204999999999998</v>
      </c>
      <c r="AI403" s="17"/>
      <c r="AJ403" s="17">
        <f t="shared" si="136"/>
        <v>32.204999999999998</v>
      </c>
      <c r="AK403" s="20"/>
      <c r="AL403" s="17">
        <f t="shared" si="137"/>
        <v>1578.0450000000001</v>
      </c>
      <c r="AM403" s="17"/>
      <c r="AN403" s="21"/>
      <c r="AO403" s="17">
        <f t="shared" si="138"/>
        <v>0</v>
      </c>
      <c r="AP403" s="17"/>
      <c r="AQ403" s="16"/>
      <c r="AR403" s="17">
        <f t="shared" si="125"/>
        <v>0</v>
      </c>
      <c r="AS403" s="17"/>
      <c r="AT403" s="17">
        <v>1867.8899999999999</v>
      </c>
      <c r="AU403" s="17">
        <f t="shared" si="127"/>
        <v>1867.8899999999999</v>
      </c>
      <c r="AV403" s="17">
        <f t="shared" si="139"/>
        <v>0</v>
      </c>
      <c r="AW403" s="17" t="str">
        <f t="shared" si="122"/>
        <v>MAYFAIR</v>
      </c>
      <c r="AX403" s="22">
        <v>44791</v>
      </c>
      <c r="AY403" s="22"/>
      <c r="AZ403" s="1" t="s">
        <v>100</v>
      </c>
      <c r="BA403" s="22" t="str">
        <f t="shared" si="128"/>
        <v>PVT</v>
      </c>
      <c r="BB403" s="22"/>
      <c r="BC403" s="22"/>
      <c r="BD403" s="22"/>
    </row>
    <row r="404" spans="1:56" ht="14.25" customHeight="1" x14ac:dyDescent="0.2">
      <c r="A404" s="1" t="s">
        <v>654</v>
      </c>
      <c r="B404" s="1" t="s">
        <v>57</v>
      </c>
      <c r="C404" s="13">
        <v>44771</v>
      </c>
      <c r="D404" s="13">
        <v>44767</v>
      </c>
      <c r="E404" s="13">
        <v>44759</v>
      </c>
      <c r="F404" s="13">
        <v>45123</v>
      </c>
      <c r="G404" s="14" t="str">
        <f t="shared" si="132"/>
        <v>000-403/AIB RDC/2022</v>
      </c>
      <c r="H404" s="1">
        <v>0</v>
      </c>
      <c r="I404" s="1" t="s">
        <v>74</v>
      </c>
      <c r="J404" s="1" t="s">
        <v>696</v>
      </c>
      <c r="K404" s="1" t="s">
        <v>692</v>
      </c>
      <c r="L404" s="1" t="s">
        <v>693</v>
      </c>
      <c r="M404" s="1" t="s">
        <v>105</v>
      </c>
      <c r="N404" s="1" t="s">
        <v>694</v>
      </c>
      <c r="O404" s="1" t="s">
        <v>172</v>
      </c>
      <c r="P404" s="1" t="s">
        <v>90</v>
      </c>
      <c r="Q404" s="1" t="s">
        <v>79</v>
      </c>
      <c r="R404" s="1" t="s">
        <v>79</v>
      </c>
      <c r="S404" s="17">
        <v>0</v>
      </c>
      <c r="T404" s="17">
        <v>613.6</v>
      </c>
      <c r="U404" s="17">
        <v>0</v>
      </c>
      <c r="V404" s="17">
        <v>0</v>
      </c>
      <c r="W404" s="17">
        <v>20</v>
      </c>
      <c r="X404" s="17">
        <v>500</v>
      </c>
      <c r="Y404" s="17">
        <v>83.2</v>
      </c>
      <c r="Z404" s="18" t="e">
        <f t="shared" si="133"/>
        <v>#DIV/0!</v>
      </c>
      <c r="AA404" s="19">
        <v>0.1</v>
      </c>
      <c r="AB404" s="17">
        <f t="shared" si="131"/>
        <v>50</v>
      </c>
      <c r="AC404" s="17"/>
      <c r="AD404" s="17"/>
      <c r="AE404" s="17">
        <f t="shared" si="134"/>
        <v>50</v>
      </c>
      <c r="AF404" s="17">
        <f t="shared" si="129"/>
        <v>8</v>
      </c>
      <c r="AG404" s="17">
        <f t="shared" si="135"/>
        <v>58</v>
      </c>
      <c r="AH404" s="17">
        <f t="shared" si="130"/>
        <v>1</v>
      </c>
      <c r="AI404" s="17"/>
      <c r="AJ404" s="17">
        <f t="shared" si="136"/>
        <v>1</v>
      </c>
      <c r="AK404" s="20"/>
      <c r="AL404" s="17">
        <f t="shared" si="137"/>
        <v>49</v>
      </c>
      <c r="AM404" s="17"/>
      <c r="AN404" s="21"/>
      <c r="AO404" s="17">
        <f t="shared" si="138"/>
        <v>0</v>
      </c>
      <c r="AP404" s="17"/>
      <c r="AQ404" s="16"/>
      <c r="AR404" s="17">
        <f t="shared" si="125"/>
        <v>0</v>
      </c>
      <c r="AS404" s="17"/>
      <c r="AT404" s="17">
        <v>58</v>
      </c>
      <c r="AU404" s="17">
        <f t="shared" si="127"/>
        <v>58</v>
      </c>
      <c r="AV404" s="17">
        <f t="shared" si="139"/>
        <v>0</v>
      </c>
      <c r="AW404" s="17" t="str">
        <f t="shared" si="122"/>
        <v>MAYFAIR</v>
      </c>
      <c r="AX404" s="22">
        <v>44791</v>
      </c>
      <c r="AY404" s="22"/>
      <c r="AZ404" s="1" t="s">
        <v>100</v>
      </c>
      <c r="BA404" s="22" t="str">
        <f t="shared" si="128"/>
        <v>PUBLIC LIABILITY</v>
      </c>
      <c r="BB404" s="22"/>
      <c r="BC404" s="22"/>
      <c r="BD404" s="22"/>
    </row>
    <row r="405" spans="1:56" ht="14.25" customHeight="1" x14ac:dyDescent="0.2">
      <c r="A405" s="1" t="s">
        <v>654</v>
      </c>
      <c r="B405" s="1" t="s">
        <v>57</v>
      </c>
      <c r="C405" s="13">
        <v>44771</v>
      </c>
      <c r="D405" s="13">
        <v>44746</v>
      </c>
      <c r="E405" s="13">
        <v>44747</v>
      </c>
      <c r="F405" s="13">
        <v>44945</v>
      </c>
      <c r="G405" s="14" t="str">
        <f t="shared" si="132"/>
        <v>000-404/AIB RDC/2022</v>
      </c>
      <c r="H405" s="1">
        <v>16</v>
      </c>
      <c r="I405" s="1" t="s">
        <v>91</v>
      </c>
      <c r="J405" s="1" t="s">
        <v>221</v>
      </c>
      <c r="K405" s="1" t="s">
        <v>222</v>
      </c>
      <c r="L405" s="1" t="s">
        <v>160</v>
      </c>
      <c r="M405" s="1" t="s">
        <v>105</v>
      </c>
      <c r="N405" s="1" t="s">
        <v>184</v>
      </c>
      <c r="O405" s="1" t="s">
        <v>73</v>
      </c>
      <c r="P405" s="1" t="s">
        <v>73</v>
      </c>
      <c r="Q405" s="1" t="s">
        <v>130</v>
      </c>
      <c r="R405" s="16" t="s">
        <v>130</v>
      </c>
      <c r="S405" s="17">
        <v>0</v>
      </c>
      <c r="T405" s="17">
        <v>868.56</v>
      </c>
      <c r="U405" s="17">
        <v>0</v>
      </c>
      <c r="V405" s="17">
        <v>0</v>
      </c>
      <c r="W405" s="17">
        <v>10.88</v>
      </c>
      <c r="X405" s="17">
        <v>725.19</v>
      </c>
      <c r="Y405" s="17">
        <v>117.77</v>
      </c>
      <c r="Z405" s="18" t="e">
        <f t="shared" si="133"/>
        <v>#DIV/0!</v>
      </c>
      <c r="AA405" s="19">
        <v>0.1</v>
      </c>
      <c r="AB405" s="17">
        <f t="shared" si="131"/>
        <v>72.519000000000005</v>
      </c>
      <c r="AC405" s="17">
        <v>0</v>
      </c>
      <c r="AD405" s="17">
        <v>0</v>
      </c>
      <c r="AE405" s="17">
        <f t="shared" si="134"/>
        <v>72.519000000000005</v>
      </c>
      <c r="AF405" s="17">
        <f t="shared" si="129"/>
        <v>11.603040000000002</v>
      </c>
      <c r="AG405" s="17">
        <f t="shared" si="135"/>
        <v>84.122040000000013</v>
      </c>
      <c r="AH405" s="17">
        <f t="shared" si="130"/>
        <v>1.4503800000000002</v>
      </c>
      <c r="AI405" s="17">
        <v>0</v>
      </c>
      <c r="AJ405" s="17">
        <f t="shared" si="136"/>
        <v>1.4503800000000002</v>
      </c>
      <c r="AK405" s="20"/>
      <c r="AL405" s="17">
        <f t="shared" si="137"/>
        <v>71.06862000000001</v>
      </c>
      <c r="AM405" s="17"/>
      <c r="AN405" s="21"/>
      <c r="AO405" s="17">
        <f t="shared" si="138"/>
        <v>0</v>
      </c>
      <c r="AP405" s="17"/>
      <c r="AQ405" s="16"/>
      <c r="AR405" s="17">
        <f t="shared" si="125"/>
        <v>0</v>
      </c>
      <c r="AS405" s="17"/>
      <c r="AT405" s="17">
        <v>84.122040000000013</v>
      </c>
      <c r="AU405" s="17">
        <f t="shared" si="127"/>
        <v>84.122040000000013</v>
      </c>
      <c r="AV405" s="17">
        <f t="shared" si="139"/>
        <v>0</v>
      </c>
      <c r="AW405" s="17" t="str">
        <f t="shared" si="122"/>
        <v>SFA</v>
      </c>
      <c r="AX405" s="22">
        <v>44791</v>
      </c>
      <c r="AY405" s="22"/>
      <c r="AZ405" s="1" t="s">
        <v>68</v>
      </c>
      <c r="BA405" s="22" t="str">
        <f t="shared" si="128"/>
        <v>MOTOR TPL</v>
      </c>
      <c r="BB405" s="22"/>
      <c r="BC405" s="22"/>
      <c r="BD405" s="22"/>
    </row>
    <row r="406" spans="1:56" ht="14.25" customHeight="1" x14ac:dyDescent="0.2">
      <c r="A406" s="1" t="s">
        <v>654</v>
      </c>
      <c r="B406" s="1" t="s">
        <v>57</v>
      </c>
      <c r="C406" s="13">
        <v>44771</v>
      </c>
      <c r="D406" s="13">
        <v>44762</v>
      </c>
      <c r="E406" s="13">
        <v>44762</v>
      </c>
      <c r="F406" s="13">
        <v>45126</v>
      </c>
      <c r="G406" s="14" t="str">
        <f t="shared" si="132"/>
        <v>000-405/AIB RDC/2022</v>
      </c>
      <c r="H406" s="1">
        <v>0</v>
      </c>
      <c r="I406" s="1" t="s">
        <v>74</v>
      </c>
      <c r="J406" s="1" t="s">
        <v>697</v>
      </c>
      <c r="K406" s="16" t="s">
        <v>278</v>
      </c>
      <c r="L406" s="16" t="s">
        <v>94</v>
      </c>
      <c r="M406" s="1" t="s">
        <v>105</v>
      </c>
      <c r="N406" s="1" t="s">
        <v>184</v>
      </c>
      <c r="O406" s="16" t="s">
        <v>73</v>
      </c>
      <c r="P406" s="16" t="s">
        <v>73</v>
      </c>
      <c r="Q406" s="16" t="s">
        <v>79</v>
      </c>
      <c r="R406" s="16" t="s">
        <v>79</v>
      </c>
      <c r="S406" s="17">
        <v>0</v>
      </c>
      <c r="T406" s="17">
        <v>206.5</v>
      </c>
      <c r="U406" s="17">
        <v>0</v>
      </c>
      <c r="V406" s="17">
        <v>0</v>
      </c>
      <c r="W406" s="17">
        <v>10</v>
      </c>
      <c r="X406" s="17">
        <v>165</v>
      </c>
      <c r="Y406" s="17">
        <v>20</v>
      </c>
      <c r="Z406" s="18" t="e">
        <f t="shared" si="133"/>
        <v>#DIV/0!</v>
      </c>
      <c r="AA406" s="19">
        <v>0.125</v>
      </c>
      <c r="AB406" s="17">
        <f t="shared" si="131"/>
        <v>20.625</v>
      </c>
      <c r="AC406" s="17">
        <v>0</v>
      </c>
      <c r="AD406" s="17">
        <v>0</v>
      </c>
      <c r="AE406" s="17">
        <f t="shared" si="134"/>
        <v>20.625</v>
      </c>
      <c r="AF406" s="17">
        <f t="shared" si="129"/>
        <v>3.3000000000000003</v>
      </c>
      <c r="AG406" s="17">
        <f t="shared" si="135"/>
        <v>23.925000000000001</v>
      </c>
      <c r="AH406" s="17">
        <f t="shared" si="130"/>
        <v>0.41250000000000003</v>
      </c>
      <c r="AI406" s="17"/>
      <c r="AJ406" s="17">
        <f t="shared" si="136"/>
        <v>0.41250000000000003</v>
      </c>
      <c r="AK406" s="20"/>
      <c r="AL406" s="17">
        <f t="shared" si="137"/>
        <v>20.212499999999999</v>
      </c>
      <c r="AM406" s="17"/>
      <c r="AN406" s="21"/>
      <c r="AO406" s="17">
        <f t="shared" si="138"/>
        <v>0</v>
      </c>
      <c r="AP406" s="17"/>
      <c r="AQ406" s="16"/>
      <c r="AR406" s="17">
        <f t="shared" si="125"/>
        <v>0</v>
      </c>
      <c r="AS406" s="17"/>
      <c r="AT406" s="17">
        <v>23.925000000000001</v>
      </c>
      <c r="AU406" s="17">
        <f t="shared" si="127"/>
        <v>23.925000000000001</v>
      </c>
      <c r="AV406" s="17">
        <f t="shared" si="139"/>
        <v>0</v>
      </c>
      <c r="AW406" s="17" t="str">
        <f t="shared" si="122"/>
        <v>MAYFAIR</v>
      </c>
      <c r="AX406" s="22">
        <v>44791</v>
      </c>
      <c r="AY406" s="22"/>
      <c r="AZ406" s="1"/>
      <c r="BA406" s="22" t="str">
        <f t="shared" si="128"/>
        <v>MOTOR TPL</v>
      </c>
      <c r="BB406" s="22"/>
      <c r="BC406" s="22"/>
      <c r="BD406" s="22"/>
    </row>
    <row r="407" spans="1:56" ht="14.25" customHeight="1" x14ac:dyDescent="0.2">
      <c r="A407" s="1" t="s">
        <v>654</v>
      </c>
      <c r="B407" s="1" t="s">
        <v>57</v>
      </c>
      <c r="C407" s="13">
        <v>44771</v>
      </c>
      <c r="D407" s="13">
        <v>44765</v>
      </c>
      <c r="E407" s="13">
        <v>44764</v>
      </c>
      <c r="F407" s="13">
        <v>45128</v>
      </c>
      <c r="G407" s="14" t="str">
        <f t="shared" si="132"/>
        <v>000-406/AIB RDC/2022</v>
      </c>
      <c r="H407" s="1">
        <v>0</v>
      </c>
      <c r="I407" s="1" t="s">
        <v>74</v>
      </c>
      <c r="J407" s="1" t="s">
        <v>698</v>
      </c>
      <c r="K407" s="1" t="s">
        <v>117</v>
      </c>
      <c r="L407" s="1" t="s">
        <v>118</v>
      </c>
      <c r="M407" s="1" t="s">
        <v>105</v>
      </c>
      <c r="N407" s="1" t="s">
        <v>191</v>
      </c>
      <c r="O407" s="1" t="s">
        <v>138</v>
      </c>
      <c r="P407" s="1" t="s">
        <v>71</v>
      </c>
      <c r="Q407" s="1" t="s">
        <v>130</v>
      </c>
      <c r="R407" s="1" t="s">
        <v>130</v>
      </c>
      <c r="S407" s="17">
        <v>0</v>
      </c>
      <c r="T407" s="17">
        <v>4454.3999999999996</v>
      </c>
      <c r="U407" s="17">
        <v>0</v>
      </c>
      <c r="V407" s="17">
        <v>0</v>
      </c>
      <c r="W407" s="17">
        <v>100</v>
      </c>
      <c r="X407" s="17">
        <v>3675</v>
      </c>
      <c r="Y407" s="17">
        <v>604</v>
      </c>
      <c r="Z407" s="18" t="e">
        <f t="shared" si="133"/>
        <v>#DIV/0!</v>
      </c>
      <c r="AA407" s="19">
        <v>0.15</v>
      </c>
      <c r="AB407" s="17">
        <f t="shared" si="131"/>
        <v>551.25</v>
      </c>
      <c r="AC407" s="17">
        <v>0</v>
      </c>
      <c r="AD407" s="17">
        <v>0</v>
      </c>
      <c r="AE407" s="17">
        <f t="shared" si="134"/>
        <v>551.25</v>
      </c>
      <c r="AF407" s="17">
        <f t="shared" si="129"/>
        <v>88.2</v>
      </c>
      <c r="AG407" s="17">
        <f t="shared" si="135"/>
        <v>639.45000000000005</v>
      </c>
      <c r="AH407" s="17">
        <f t="shared" si="130"/>
        <v>11.025</v>
      </c>
      <c r="AI407" s="17"/>
      <c r="AJ407" s="17">
        <f t="shared" si="136"/>
        <v>11.025</v>
      </c>
      <c r="AK407" s="20"/>
      <c r="AL407" s="17">
        <f t="shared" si="137"/>
        <v>540.22500000000002</v>
      </c>
      <c r="AM407" s="17"/>
      <c r="AN407" s="21"/>
      <c r="AO407" s="17">
        <f t="shared" si="138"/>
        <v>0</v>
      </c>
      <c r="AP407" s="17"/>
      <c r="AQ407" s="16"/>
      <c r="AR407" s="17">
        <f t="shared" si="125"/>
        <v>0</v>
      </c>
      <c r="AS407" s="17"/>
      <c r="AT407" s="17">
        <v>639.45000000000005</v>
      </c>
      <c r="AU407" s="17">
        <f t="shared" ref="AU407:AU427" si="140">AG407</f>
        <v>639.45000000000005</v>
      </c>
      <c r="AV407" s="17">
        <f t="shared" si="139"/>
        <v>0</v>
      </c>
      <c r="AW407" s="17" t="str">
        <f t="shared" si="122"/>
        <v>SFA</v>
      </c>
      <c r="AX407" s="22">
        <v>44791</v>
      </c>
      <c r="AY407" s="22"/>
      <c r="AZ407" s="1" t="s">
        <v>100</v>
      </c>
      <c r="BA407" s="22" t="str">
        <f t="shared" si="128"/>
        <v>MACHINARY BREAKDOWN</v>
      </c>
      <c r="BB407" s="22"/>
      <c r="BC407" s="22"/>
      <c r="BD407" s="22"/>
    </row>
    <row r="408" spans="1:56" ht="14.25" customHeight="1" x14ac:dyDescent="0.2">
      <c r="A408" s="1" t="s">
        <v>654</v>
      </c>
      <c r="B408" s="1" t="s">
        <v>57</v>
      </c>
      <c r="C408" s="13">
        <v>44771</v>
      </c>
      <c r="D408" s="13">
        <v>44798</v>
      </c>
      <c r="E408" s="13">
        <v>44755</v>
      </c>
      <c r="F408" s="13">
        <v>44846</v>
      </c>
      <c r="G408" s="14" t="str">
        <f t="shared" si="132"/>
        <v>000-407/AIB RDC/2022</v>
      </c>
      <c r="H408" s="1">
        <v>0</v>
      </c>
      <c r="I408" s="1" t="s">
        <v>74</v>
      </c>
      <c r="J408" s="1">
        <v>72000053</v>
      </c>
      <c r="K408" s="1" t="s">
        <v>228</v>
      </c>
      <c r="L408" s="1"/>
      <c r="M408" s="1" t="s">
        <v>105</v>
      </c>
      <c r="N408" s="1" t="s">
        <v>106</v>
      </c>
      <c r="O408" s="1" t="s">
        <v>64</v>
      </c>
      <c r="P408" s="1" t="s">
        <v>65</v>
      </c>
      <c r="Q408" s="1" t="s">
        <v>107</v>
      </c>
      <c r="R408" s="1" t="s">
        <v>107</v>
      </c>
      <c r="S408" s="17">
        <v>157389</v>
      </c>
      <c r="T408" s="17">
        <v>586.66</v>
      </c>
      <c r="U408" s="17">
        <v>0</v>
      </c>
      <c r="V408" s="17">
        <v>0</v>
      </c>
      <c r="W408" s="17">
        <v>25</v>
      </c>
      <c r="X408" s="17">
        <v>472.17</v>
      </c>
      <c r="Y408" s="17">
        <v>79.55</v>
      </c>
      <c r="Z408" s="18">
        <f t="shared" si="133"/>
        <v>3.7274523632528319E-3</v>
      </c>
      <c r="AA408" s="19">
        <v>0.15</v>
      </c>
      <c r="AB408" s="17">
        <f t="shared" si="131"/>
        <v>70.825500000000005</v>
      </c>
      <c r="AC408" s="17"/>
      <c r="AD408" s="17"/>
      <c r="AE408" s="17">
        <f t="shared" si="134"/>
        <v>70.825500000000005</v>
      </c>
      <c r="AF408" s="17">
        <f t="shared" si="129"/>
        <v>11.332080000000001</v>
      </c>
      <c r="AG408" s="17">
        <f t="shared" si="135"/>
        <v>82.15758000000001</v>
      </c>
      <c r="AH408" s="17">
        <f t="shared" si="130"/>
        <v>1.4165100000000002</v>
      </c>
      <c r="AI408" s="17"/>
      <c r="AJ408" s="17">
        <f t="shared" si="136"/>
        <v>1.4165100000000002</v>
      </c>
      <c r="AK408" s="20"/>
      <c r="AL408" s="17">
        <f t="shared" si="137"/>
        <v>69.408990000000003</v>
      </c>
      <c r="AM408" s="17" t="s">
        <v>108</v>
      </c>
      <c r="AN408" s="21">
        <v>0.4</v>
      </c>
      <c r="AO408" s="17">
        <f t="shared" si="138"/>
        <v>27.763596000000003</v>
      </c>
      <c r="AP408" s="17">
        <v>27.763596000000003</v>
      </c>
      <c r="AQ408" s="16">
        <v>44867</v>
      </c>
      <c r="AR408" s="17">
        <f t="shared" si="125"/>
        <v>0</v>
      </c>
      <c r="AS408" s="17" t="s">
        <v>397</v>
      </c>
      <c r="AT408" s="17">
        <v>82.15758000000001</v>
      </c>
      <c r="AU408" s="17">
        <f t="shared" si="140"/>
        <v>82.15758000000001</v>
      </c>
      <c r="AV408" s="17">
        <f t="shared" si="139"/>
        <v>0</v>
      </c>
      <c r="AW408" s="17" t="str">
        <f t="shared" si="122"/>
        <v>RAWSUR</v>
      </c>
      <c r="AX408" s="22">
        <v>44832</v>
      </c>
      <c r="AY408" s="22"/>
      <c r="AZ408" s="1" t="s">
        <v>110</v>
      </c>
      <c r="BA408" s="22" t="str">
        <f t="shared" ref="BA408:BA423" si="141">O408</f>
        <v>MARINE CARGO / GIT</v>
      </c>
      <c r="BB408" s="22"/>
      <c r="BC408" s="22"/>
      <c r="BD408" s="22"/>
    </row>
    <row r="409" spans="1:56" ht="14.25" customHeight="1" x14ac:dyDescent="0.2">
      <c r="A409" s="1" t="s">
        <v>439</v>
      </c>
      <c r="B409" s="1" t="s">
        <v>57</v>
      </c>
      <c r="C409" s="13">
        <v>44771</v>
      </c>
      <c r="D409" s="13">
        <v>44798</v>
      </c>
      <c r="E409" s="13">
        <v>44801</v>
      </c>
      <c r="F409" s="13">
        <v>44892</v>
      </c>
      <c r="G409" s="14" t="str">
        <f t="shared" si="132"/>
        <v>000-408/AIB RDC/2022</v>
      </c>
      <c r="H409" s="1">
        <v>0</v>
      </c>
      <c r="I409" s="1" t="s">
        <v>74</v>
      </c>
      <c r="J409" s="1">
        <v>72000061</v>
      </c>
      <c r="K409" s="1" t="s">
        <v>228</v>
      </c>
      <c r="L409" s="1"/>
      <c r="M409" s="1" t="s">
        <v>105</v>
      </c>
      <c r="N409" s="1" t="s">
        <v>106</v>
      </c>
      <c r="O409" s="1" t="s">
        <v>64</v>
      </c>
      <c r="P409" s="1" t="s">
        <v>65</v>
      </c>
      <c r="Q409" s="1" t="s">
        <v>107</v>
      </c>
      <c r="R409" s="1" t="s">
        <v>107</v>
      </c>
      <c r="S409" s="17">
        <v>43076</v>
      </c>
      <c r="T409" s="17">
        <v>232.82</v>
      </c>
      <c r="U409" s="17">
        <v>0</v>
      </c>
      <c r="V409" s="17">
        <v>0</v>
      </c>
      <c r="W409" s="17">
        <v>25</v>
      </c>
      <c r="X409" s="17">
        <v>172.3</v>
      </c>
      <c r="Y409" s="17">
        <v>31.57</v>
      </c>
      <c r="Z409" s="18">
        <f t="shared" si="133"/>
        <v>5.4048658185532547E-3</v>
      </c>
      <c r="AA409" s="19">
        <v>0.15</v>
      </c>
      <c r="AB409" s="17">
        <f t="shared" si="131"/>
        <v>25.845000000000002</v>
      </c>
      <c r="AC409" s="17"/>
      <c r="AD409" s="17"/>
      <c r="AE409" s="17">
        <f t="shared" si="134"/>
        <v>25.845000000000002</v>
      </c>
      <c r="AF409" s="17">
        <f t="shared" si="129"/>
        <v>4.1352000000000002</v>
      </c>
      <c r="AG409" s="17">
        <f t="shared" si="135"/>
        <v>29.980200000000004</v>
      </c>
      <c r="AH409" s="17">
        <f t="shared" si="130"/>
        <v>0.51690000000000003</v>
      </c>
      <c r="AI409" s="17"/>
      <c r="AJ409" s="17">
        <f t="shared" si="136"/>
        <v>0.51690000000000003</v>
      </c>
      <c r="AK409" s="20"/>
      <c r="AL409" s="17">
        <f t="shared" si="137"/>
        <v>25.328100000000003</v>
      </c>
      <c r="AM409" s="17" t="s">
        <v>108</v>
      </c>
      <c r="AN409" s="21">
        <v>0.4</v>
      </c>
      <c r="AO409" s="17">
        <f t="shared" si="138"/>
        <v>10.131240000000002</v>
      </c>
      <c r="AP409" s="17">
        <v>10.131240000000002</v>
      </c>
      <c r="AQ409" s="16">
        <v>44867</v>
      </c>
      <c r="AR409" s="17">
        <f t="shared" si="125"/>
        <v>0</v>
      </c>
      <c r="AS409" s="17" t="s">
        <v>397</v>
      </c>
      <c r="AT409" s="17">
        <v>29.980200000000004</v>
      </c>
      <c r="AU409" s="17">
        <f t="shared" si="140"/>
        <v>29.980200000000004</v>
      </c>
      <c r="AV409" s="17">
        <f t="shared" si="139"/>
        <v>0</v>
      </c>
      <c r="AW409" s="17" t="str">
        <f t="shared" ref="AW409:AW472" si="142">Q409</f>
        <v>RAWSUR</v>
      </c>
      <c r="AX409" s="22">
        <v>44832</v>
      </c>
      <c r="AY409" s="22"/>
      <c r="AZ409" s="1" t="s">
        <v>110</v>
      </c>
      <c r="BA409" s="22" t="str">
        <f t="shared" si="141"/>
        <v>MARINE CARGO / GIT</v>
      </c>
      <c r="BB409" s="22"/>
      <c r="BC409" s="22"/>
      <c r="BD409" s="22"/>
    </row>
    <row r="410" spans="1:56" ht="14.25" customHeight="1" x14ac:dyDescent="0.2">
      <c r="A410" s="1" t="s">
        <v>439</v>
      </c>
      <c r="B410" s="1" t="s">
        <v>57</v>
      </c>
      <c r="C410" s="13">
        <v>44771</v>
      </c>
      <c r="D410" s="13">
        <v>44798</v>
      </c>
      <c r="E410" s="13">
        <v>44798</v>
      </c>
      <c r="F410" s="13">
        <v>44889</v>
      </c>
      <c r="G410" s="14" t="str">
        <f t="shared" si="132"/>
        <v>000-409/AIB RDC/2022</v>
      </c>
      <c r="H410" s="1">
        <v>0</v>
      </c>
      <c r="I410" s="1" t="s">
        <v>74</v>
      </c>
      <c r="J410" s="1">
        <v>72000062</v>
      </c>
      <c r="K410" s="1" t="s">
        <v>228</v>
      </c>
      <c r="L410" s="1"/>
      <c r="M410" s="1" t="s">
        <v>105</v>
      </c>
      <c r="N410" s="1" t="s">
        <v>106</v>
      </c>
      <c r="O410" s="1" t="s">
        <v>64</v>
      </c>
      <c r="P410" s="1" t="s">
        <v>65</v>
      </c>
      <c r="Q410" s="1" t="s">
        <v>107</v>
      </c>
      <c r="R410" s="1" t="s">
        <v>107</v>
      </c>
      <c r="S410" s="17">
        <v>169015</v>
      </c>
      <c r="T410" s="17">
        <v>827.25</v>
      </c>
      <c r="U410" s="17">
        <v>0</v>
      </c>
      <c r="V410" s="17">
        <v>0</v>
      </c>
      <c r="W410" s="17">
        <v>25</v>
      </c>
      <c r="X410" s="17">
        <v>676.06</v>
      </c>
      <c r="Y410" s="17">
        <v>112.17</v>
      </c>
      <c r="Z410" s="18">
        <f t="shared" si="133"/>
        <v>4.8945359879300652E-3</v>
      </c>
      <c r="AA410" s="19">
        <v>0.15</v>
      </c>
      <c r="AB410" s="17">
        <f t="shared" si="131"/>
        <v>101.40899999999999</v>
      </c>
      <c r="AC410" s="17"/>
      <c r="AD410" s="17"/>
      <c r="AE410" s="17">
        <f t="shared" si="134"/>
        <v>101.40899999999999</v>
      </c>
      <c r="AF410" s="17">
        <f t="shared" si="129"/>
        <v>16.225439999999999</v>
      </c>
      <c r="AG410" s="17">
        <f t="shared" si="135"/>
        <v>117.63443999999998</v>
      </c>
      <c r="AH410" s="17">
        <f t="shared" si="130"/>
        <v>2.0281799999999999</v>
      </c>
      <c r="AI410" s="17"/>
      <c r="AJ410" s="17">
        <f t="shared" si="136"/>
        <v>2.0281799999999999</v>
      </c>
      <c r="AK410" s="20"/>
      <c r="AL410" s="17">
        <f t="shared" si="137"/>
        <v>99.380819999999986</v>
      </c>
      <c r="AM410" s="17" t="s">
        <v>108</v>
      </c>
      <c r="AN410" s="21">
        <v>0.4</v>
      </c>
      <c r="AO410" s="17">
        <f t="shared" si="138"/>
        <v>39.752327999999999</v>
      </c>
      <c r="AP410" s="17">
        <v>39.752327999999999</v>
      </c>
      <c r="AQ410" s="16">
        <v>44867</v>
      </c>
      <c r="AR410" s="17">
        <f t="shared" si="125"/>
        <v>0</v>
      </c>
      <c r="AS410" s="17" t="s">
        <v>397</v>
      </c>
      <c r="AT410" s="17">
        <v>117.63443999999998</v>
      </c>
      <c r="AU410" s="17">
        <f t="shared" si="140"/>
        <v>117.63443999999998</v>
      </c>
      <c r="AV410" s="17">
        <f t="shared" si="139"/>
        <v>0</v>
      </c>
      <c r="AW410" s="17" t="str">
        <f t="shared" si="142"/>
        <v>RAWSUR</v>
      </c>
      <c r="AX410" s="22">
        <v>44832</v>
      </c>
      <c r="AY410" s="22"/>
      <c r="AZ410" s="1" t="s">
        <v>110</v>
      </c>
      <c r="BA410" s="22" t="str">
        <f t="shared" si="141"/>
        <v>MARINE CARGO / GIT</v>
      </c>
      <c r="BB410" s="22"/>
      <c r="BC410" s="22"/>
      <c r="BD410" s="22"/>
    </row>
    <row r="411" spans="1:56" ht="14.25" customHeight="1" x14ac:dyDescent="0.2">
      <c r="A411" s="1" t="s">
        <v>654</v>
      </c>
      <c r="B411" s="1" t="s">
        <v>57</v>
      </c>
      <c r="C411" s="13">
        <v>44771</v>
      </c>
      <c r="D411" s="13">
        <v>44805</v>
      </c>
      <c r="E411" s="13">
        <v>44754</v>
      </c>
      <c r="F411" s="13">
        <v>44784</v>
      </c>
      <c r="G411" s="14" t="str">
        <f t="shared" si="132"/>
        <v>000-410/AIB RDC/2022</v>
      </c>
      <c r="H411" s="1">
        <v>0</v>
      </c>
      <c r="I411" s="1" t="s">
        <v>74</v>
      </c>
      <c r="J411" s="1" t="s">
        <v>699</v>
      </c>
      <c r="K411" s="1" t="s">
        <v>211</v>
      </c>
      <c r="L411" s="1"/>
      <c r="M411" s="1" t="s">
        <v>105</v>
      </c>
      <c r="N411" s="1" t="s">
        <v>106</v>
      </c>
      <c r="O411" s="1" t="s">
        <v>64</v>
      </c>
      <c r="P411" s="1" t="s">
        <v>65</v>
      </c>
      <c r="Q411" s="1" t="s">
        <v>107</v>
      </c>
      <c r="R411" s="1" t="s">
        <v>107</v>
      </c>
      <c r="S411" s="17">
        <v>16444</v>
      </c>
      <c r="T411" s="17">
        <v>129.80000000000001</v>
      </c>
      <c r="U411" s="17">
        <v>0</v>
      </c>
      <c r="V411" s="17">
        <v>0</v>
      </c>
      <c r="W411" s="17">
        <v>10</v>
      </c>
      <c r="X411" s="17">
        <v>100</v>
      </c>
      <c r="Y411" s="17">
        <v>17.8</v>
      </c>
      <c r="Z411" s="18">
        <f t="shared" si="133"/>
        <v>7.8934565799075665E-3</v>
      </c>
      <c r="AA411" s="19">
        <v>0.15</v>
      </c>
      <c r="AB411" s="17">
        <f t="shared" si="131"/>
        <v>15</v>
      </c>
      <c r="AC411" s="17">
        <v>0</v>
      </c>
      <c r="AD411" s="17">
        <v>0</v>
      </c>
      <c r="AE411" s="17">
        <f t="shared" si="134"/>
        <v>15</v>
      </c>
      <c r="AF411" s="17">
        <f t="shared" si="129"/>
        <v>2.4</v>
      </c>
      <c r="AG411" s="17">
        <f t="shared" si="135"/>
        <v>17.399999999999999</v>
      </c>
      <c r="AH411" s="17">
        <f t="shared" si="130"/>
        <v>0.3</v>
      </c>
      <c r="AI411" s="17">
        <v>0</v>
      </c>
      <c r="AJ411" s="17">
        <f t="shared" si="136"/>
        <v>0.3</v>
      </c>
      <c r="AK411" s="20"/>
      <c r="AL411" s="17">
        <f t="shared" si="137"/>
        <v>14.7</v>
      </c>
      <c r="AM411" s="17" t="s">
        <v>108</v>
      </c>
      <c r="AN411" s="21">
        <v>0.4</v>
      </c>
      <c r="AO411" s="17">
        <f t="shared" si="138"/>
        <v>5.88</v>
      </c>
      <c r="AP411" s="30">
        <v>5.88</v>
      </c>
      <c r="AQ411" s="29">
        <v>45229</v>
      </c>
      <c r="AR411" s="17">
        <f t="shared" si="125"/>
        <v>0</v>
      </c>
      <c r="AS411" s="17"/>
      <c r="AT411" s="17">
        <v>17.399999999999999</v>
      </c>
      <c r="AU411" s="17">
        <f t="shared" si="140"/>
        <v>17.399999999999999</v>
      </c>
      <c r="AV411" s="17">
        <f t="shared" si="139"/>
        <v>0</v>
      </c>
      <c r="AW411" s="17" t="str">
        <f t="shared" si="142"/>
        <v>RAWSUR</v>
      </c>
      <c r="AX411" s="22">
        <v>44869</v>
      </c>
      <c r="AY411" s="22"/>
      <c r="AZ411" s="1" t="s">
        <v>110</v>
      </c>
      <c r="BA411" s="22" t="str">
        <f t="shared" si="141"/>
        <v>MARINE CARGO / GIT</v>
      </c>
      <c r="BB411" s="22"/>
      <c r="BC411" s="22"/>
      <c r="BD411" s="22"/>
    </row>
    <row r="412" spans="1:56" ht="14.25" customHeight="1" x14ac:dyDescent="0.2">
      <c r="A412" s="1" t="s">
        <v>439</v>
      </c>
      <c r="B412" s="1" t="s">
        <v>57</v>
      </c>
      <c r="C412" s="13">
        <v>44771</v>
      </c>
      <c r="D412" s="13">
        <v>44798</v>
      </c>
      <c r="E412" s="13">
        <v>44798</v>
      </c>
      <c r="F412" s="13">
        <v>44889</v>
      </c>
      <c r="G412" s="14" t="str">
        <f t="shared" si="132"/>
        <v>000-411/AIB RDC/2022</v>
      </c>
      <c r="H412" s="1">
        <v>0</v>
      </c>
      <c r="I412" s="1" t="s">
        <v>74</v>
      </c>
      <c r="J412" s="1">
        <v>72000060</v>
      </c>
      <c r="K412" s="1" t="s">
        <v>263</v>
      </c>
      <c r="L412" s="1"/>
      <c r="M412" s="1" t="s">
        <v>105</v>
      </c>
      <c r="N412" s="1" t="s">
        <v>106</v>
      </c>
      <c r="O412" s="1" t="s">
        <v>64</v>
      </c>
      <c r="P412" s="1" t="s">
        <v>65</v>
      </c>
      <c r="Q412" s="1" t="s">
        <v>107</v>
      </c>
      <c r="R412" s="1" t="s">
        <v>107</v>
      </c>
      <c r="S412" s="17">
        <v>22442</v>
      </c>
      <c r="T412" s="17">
        <v>129.80000000000001</v>
      </c>
      <c r="U412" s="17">
        <v>0</v>
      </c>
      <c r="V412" s="17">
        <v>0</v>
      </c>
      <c r="W412" s="17">
        <v>10</v>
      </c>
      <c r="X412" s="17">
        <v>100</v>
      </c>
      <c r="Y412" s="17">
        <v>17.8</v>
      </c>
      <c r="Z412" s="18">
        <f t="shared" si="133"/>
        <v>5.7837982354513864E-3</v>
      </c>
      <c r="AA412" s="19">
        <v>0.15</v>
      </c>
      <c r="AB412" s="17">
        <f t="shared" si="131"/>
        <v>15</v>
      </c>
      <c r="AC412" s="17">
        <v>0</v>
      </c>
      <c r="AD412" s="17">
        <v>0</v>
      </c>
      <c r="AE412" s="17">
        <f t="shared" si="134"/>
        <v>15</v>
      </c>
      <c r="AF412" s="17">
        <f t="shared" si="129"/>
        <v>2.4</v>
      </c>
      <c r="AG412" s="17">
        <f t="shared" si="135"/>
        <v>17.399999999999999</v>
      </c>
      <c r="AH412" s="17">
        <f t="shared" si="130"/>
        <v>0.3</v>
      </c>
      <c r="AI412" s="17"/>
      <c r="AJ412" s="17">
        <f t="shared" si="136"/>
        <v>0.3</v>
      </c>
      <c r="AK412" s="20"/>
      <c r="AL412" s="17">
        <f t="shared" si="137"/>
        <v>14.7</v>
      </c>
      <c r="AM412" s="17" t="s">
        <v>108</v>
      </c>
      <c r="AN412" s="21">
        <v>0.4</v>
      </c>
      <c r="AO412" s="17">
        <f t="shared" si="138"/>
        <v>5.88</v>
      </c>
      <c r="AP412" s="17">
        <v>5.88</v>
      </c>
      <c r="AQ412" s="16">
        <v>44867</v>
      </c>
      <c r="AR412" s="17">
        <f t="shared" si="125"/>
        <v>0</v>
      </c>
      <c r="AS412" s="17" t="s">
        <v>397</v>
      </c>
      <c r="AT412" s="17">
        <v>17.399999999999999</v>
      </c>
      <c r="AU412" s="17">
        <f t="shared" si="140"/>
        <v>17.399999999999999</v>
      </c>
      <c r="AV412" s="17">
        <f t="shared" si="139"/>
        <v>0</v>
      </c>
      <c r="AW412" s="17" t="str">
        <f t="shared" si="142"/>
        <v>RAWSUR</v>
      </c>
      <c r="AX412" s="22">
        <v>44832</v>
      </c>
      <c r="AY412" s="22"/>
      <c r="AZ412" s="1" t="s">
        <v>110</v>
      </c>
      <c r="BA412" s="22" t="str">
        <f t="shared" si="141"/>
        <v>MARINE CARGO / GIT</v>
      </c>
      <c r="BB412" s="22"/>
      <c r="BC412" s="22"/>
      <c r="BD412" s="22"/>
    </row>
    <row r="413" spans="1:56" ht="14.25" customHeight="1" x14ac:dyDescent="0.2">
      <c r="A413" s="1" t="s">
        <v>439</v>
      </c>
      <c r="B413" s="1" t="s">
        <v>57</v>
      </c>
      <c r="C413" s="13">
        <v>44771</v>
      </c>
      <c r="D413" s="13">
        <v>44798</v>
      </c>
      <c r="E413" s="13">
        <v>44798</v>
      </c>
      <c r="F413" s="13">
        <v>44889</v>
      </c>
      <c r="G413" s="14" t="str">
        <f t="shared" si="132"/>
        <v>000-412/AIB RDC/2022</v>
      </c>
      <c r="H413" s="1">
        <v>0</v>
      </c>
      <c r="I413" s="1" t="s">
        <v>74</v>
      </c>
      <c r="J413" s="1">
        <v>72000058</v>
      </c>
      <c r="K413" s="1" t="s">
        <v>263</v>
      </c>
      <c r="L413" s="1"/>
      <c r="M413" s="1" t="s">
        <v>105</v>
      </c>
      <c r="N413" s="1" t="s">
        <v>106</v>
      </c>
      <c r="O413" s="1" t="s">
        <v>64</v>
      </c>
      <c r="P413" s="1" t="s">
        <v>65</v>
      </c>
      <c r="Q413" s="1" t="s">
        <v>107</v>
      </c>
      <c r="R413" s="1" t="s">
        <v>107</v>
      </c>
      <c r="S413" s="17">
        <v>3650</v>
      </c>
      <c r="T413" s="17">
        <v>129.80000000000001</v>
      </c>
      <c r="U413" s="17">
        <v>0</v>
      </c>
      <c r="V413" s="17">
        <v>0</v>
      </c>
      <c r="W413" s="17">
        <v>10</v>
      </c>
      <c r="X413" s="17">
        <v>100</v>
      </c>
      <c r="Y413" s="17">
        <v>17.8</v>
      </c>
      <c r="Z413" s="18">
        <f t="shared" si="133"/>
        <v>3.5561643835616441E-2</v>
      </c>
      <c r="AA413" s="19">
        <v>0.15</v>
      </c>
      <c r="AB413" s="17">
        <f t="shared" si="131"/>
        <v>15</v>
      </c>
      <c r="AC413" s="17">
        <v>0</v>
      </c>
      <c r="AD413" s="17">
        <v>0</v>
      </c>
      <c r="AE413" s="17">
        <f t="shared" si="134"/>
        <v>15</v>
      </c>
      <c r="AF413" s="17">
        <f t="shared" si="129"/>
        <v>2.4</v>
      </c>
      <c r="AG413" s="17">
        <f t="shared" si="135"/>
        <v>17.399999999999999</v>
      </c>
      <c r="AH413" s="17">
        <f t="shared" si="130"/>
        <v>0.3</v>
      </c>
      <c r="AI413" s="17"/>
      <c r="AJ413" s="17">
        <f t="shared" si="136"/>
        <v>0.3</v>
      </c>
      <c r="AK413" s="20"/>
      <c r="AL413" s="17">
        <f t="shared" si="137"/>
        <v>14.7</v>
      </c>
      <c r="AM413" s="17" t="s">
        <v>108</v>
      </c>
      <c r="AN413" s="21">
        <v>0.4</v>
      </c>
      <c r="AO413" s="17">
        <f t="shared" si="138"/>
        <v>5.88</v>
      </c>
      <c r="AP413" s="17">
        <v>5.88</v>
      </c>
      <c r="AQ413" s="16">
        <v>44867</v>
      </c>
      <c r="AR413" s="17">
        <f t="shared" si="125"/>
        <v>0</v>
      </c>
      <c r="AS413" s="17" t="s">
        <v>397</v>
      </c>
      <c r="AT413" s="17">
        <v>17.399999999999999</v>
      </c>
      <c r="AU413" s="17">
        <f t="shared" si="140"/>
        <v>17.399999999999999</v>
      </c>
      <c r="AV413" s="17">
        <f t="shared" si="139"/>
        <v>0</v>
      </c>
      <c r="AW413" s="17" t="str">
        <f t="shared" si="142"/>
        <v>RAWSUR</v>
      </c>
      <c r="AX413" s="22">
        <v>44832</v>
      </c>
      <c r="AY413" s="22"/>
      <c r="AZ413" s="1" t="s">
        <v>110</v>
      </c>
      <c r="BA413" s="22" t="str">
        <f t="shared" si="141"/>
        <v>MARINE CARGO / GIT</v>
      </c>
      <c r="BB413" s="22"/>
      <c r="BC413" s="22"/>
      <c r="BD413" s="22"/>
    </row>
    <row r="414" spans="1:56" ht="14.25" customHeight="1" x14ac:dyDescent="0.2">
      <c r="A414" s="1" t="s">
        <v>439</v>
      </c>
      <c r="B414" s="1" t="s">
        <v>57</v>
      </c>
      <c r="C414" s="13">
        <v>44771</v>
      </c>
      <c r="D414" s="13">
        <v>44798</v>
      </c>
      <c r="E414" s="13">
        <v>44798</v>
      </c>
      <c r="F414" s="13">
        <v>44889</v>
      </c>
      <c r="G414" s="14" t="str">
        <f t="shared" si="132"/>
        <v>000-413/AIB RDC/2022</v>
      </c>
      <c r="H414" s="1">
        <v>0</v>
      </c>
      <c r="I414" s="1" t="s">
        <v>74</v>
      </c>
      <c r="J414" s="1">
        <v>72000056</v>
      </c>
      <c r="K414" s="1" t="s">
        <v>263</v>
      </c>
      <c r="L414" s="1"/>
      <c r="M414" s="1" t="s">
        <v>105</v>
      </c>
      <c r="N414" s="1" t="s">
        <v>106</v>
      </c>
      <c r="O414" s="1" t="s">
        <v>64</v>
      </c>
      <c r="P414" s="1" t="s">
        <v>65</v>
      </c>
      <c r="Q414" s="1" t="s">
        <v>107</v>
      </c>
      <c r="R414" s="1" t="s">
        <v>107</v>
      </c>
      <c r="S414" s="17">
        <v>50638</v>
      </c>
      <c r="T414" s="17">
        <v>250.81</v>
      </c>
      <c r="U414" s="17">
        <v>0</v>
      </c>
      <c r="V414" s="17">
        <v>0</v>
      </c>
      <c r="W414" s="17">
        <v>10</v>
      </c>
      <c r="X414" s="17">
        <v>202.53</v>
      </c>
      <c r="Y414" s="17">
        <v>34.01</v>
      </c>
      <c r="Z414" s="18">
        <f t="shared" si="133"/>
        <v>4.9529997235277859E-3</v>
      </c>
      <c r="AA414" s="19">
        <v>0.15</v>
      </c>
      <c r="AB414" s="17">
        <f t="shared" si="131"/>
        <v>30.3795</v>
      </c>
      <c r="AC414" s="17">
        <v>0</v>
      </c>
      <c r="AD414" s="17">
        <v>0</v>
      </c>
      <c r="AE414" s="17">
        <f t="shared" si="134"/>
        <v>30.3795</v>
      </c>
      <c r="AF414" s="17">
        <f t="shared" si="129"/>
        <v>4.8607199999999997</v>
      </c>
      <c r="AG414" s="17">
        <f t="shared" si="135"/>
        <v>35.240220000000001</v>
      </c>
      <c r="AH414" s="17">
        <f t="shared" si="130"/>
        <v>0.60758999999999996</v>
      </c>
      <c r="AI414" s="17"/>
      <c r="AJ414" s="17">
        <f t="shared" si="136"/>
        <v>0.60758999999999996</v>
      </c>
      <c r="AK414" s="20"/>
      <c r="AL414" s="17">
        <f t="shared" si="137"/>
        <v>29.771910000000002</v>
      </c>
      <c r="AM414" s="17" t="s">
        <v>108</v>
      </c>
      <c r="AN414" s="21">
        <v>0.4</v>
      </c>
      <c r="AO414" s="17">
        <f t="shared" si="138"/>
        <v>11.908764000000001</v>
      </c>
      <c r="AP414" s="17">
        <v>11.908764000000001</v>
      </c>
      <c r="AQ414" s="16">
        <v>44867</v>
      </c>
      <c r="AR414" s="17">
        <f t="shared" si="125"/>
        <v>0</v>
      </c>
      <c r="AS414" s="17" t="s">
        <v>397</v>
      </c>
      <c r="AT414" s="17">
        <v>35.240220000000001</v>
      </c>
      <c r="AU414" s="17">
        <f t="shared" si="140"/>
        <v>35.240220000000001</v>
      </c>
      <c r="AV414" s="17">
        <f t="shared" si="139"/>
        <v>0</v>
      </c>
      <c r="AW414" s="17" t="str">
        <f t="shared" si="142"/>
        <v>RAWSUR</v>
      </c>
      <c r="AX414" s="22">
        <v>44832</v>
      </c>
      <c r="AY414" s="22"/>
      <c r="AZ414" s="1" t="s">
        <v>110</v>
      </c>
      <c r="BA414" s="22" t="str">
        <f t="shared" si="141"/>
        <v>MARINE CARGO / GIT</v>
      </c>
      <c r="BB414" s="22"/>
      <c r="BC414" s="22"/>
      <c r="BD414" s="22"/>
    </row>
    <row r="415" spans="1:56" ht="14.25" customHeight="1" x14ac:dyDescent="0.2">
      <c r="A415" s="1" t="s">
        <v>439</v>
      </c>
      <c r="B415" s="1" t="s">
        <v>57</v>
      </c>
      <c r="C415" s="13">
        <v>44771</v>
      </c>
      <c r="D415" s="13">
        <v>44798</v>
      </c>
      <c r="E415" s="13">
        <v>44798</v>
      </c>
      <c r="F415" s="13">
        <v>44889</v>
      </c>
      <c r="G415" s="14" t="str">
        <f t="shared" si="132"/>
        <v>000-414/AIB RDC/2022</v>
      </c>
      <c r="H415" s="1">
        <v>0</v>
      </c>
      <c r="I415" s="1" t="s">
        <v>74</v>
      </c>
      <c r="J415" s="1">
        <v>72000055</v>
      </c>
      <c r="K415" s="1" t="s">
        <v>263</v>
      </c>
      <c r="L415" s="1"/>
      <c r="M415" s="1" t="s">
        <v>105</v>
      </c>
      <c r="N415" s="1" t="s">
        <v>106</v>
      </c>
      <c r="O415" s="1" t="s">
        <v>64</v>
      </c>
      <c r="P415" s="1" t="s">
        <v>65</v>
      </c>
      <c r="Q415" s="1" t="s">
        <v>107</v>
      </c>
      <c r="R415" s="1" t="s">
        <v>107</v>
      </c>
      <c r="S415" s="17">
        <v>74382</v>
      </c>
      <c r="T415" s="17">
        <v>362.88</v>
      </c>
      <c r="U415" s="17">
        <v>0</v>
      </c>
      <c r="V415" s="17">
        <v>0</v>
      </c>
      <c r="W415" s="17">
        <v>10</v>
      </c>
      <c r="X415" s="17">
        <v>297.52999999999997</v>
      </c>
      <c r="Y415" s="17">
        <v>49.2</v>
      </c>
      <c r="Z415" s="18">
        <f t="shared" si="133"/>
        <v>4.8785996612083571E-3</v>
      </c>
      <c r="AA415" s="19">
        <v>0.15</v>
      </c>
      <c r="AB415" s="17">
        <f t="shared" si="131"/>
        <v>44.629499999999993</v>
      </c>
      <c r="AC415" s="17">
        <v>0</v>
      </c>
      <c r="AD415" s="17">
        <v>0</v>
      </c>
      <c r="AE415" s="17">
        <f t="shared" si="134"/>
        <v>44.629499999999993</v>
      </c>
      <c r="AF415" s="17">
        <f t="shared" ref="AF415:AF446" si="143">16%*AE415</f>
        <v>7.1407199999999991</v>
      </c>
      <c r="AG415" s="17">
        <f t="shared" si="135"/>
        <v>51.770219999999995</v>
      </c>
      <c r="AH415" s="17">
        <f t="shared" ref="AH415:AH446" si="144">2%*AE415</f>
        <v>0.89258999999999988</v>
      </c>
      <c r="AI415" s="17"/>
      <c r="AJ415" s="17">
        <f t="shared" si="136"/>
        <v>0.89258999999999988</v>
      </c>
      <c r="AK415" s="20"/>
      <c r="AL415" s="17">
        <f t="shared" si="137"/>
        <v>43.736909999999995</v>
      </c>
      <c r="AM415" s="17" t="s">
        <v>108</v>
      </c>
      <c r="AN415" s="21">
        <v>0.4</v>
      </c>
      <c r="AO415" s="17">
        <f t="shared" si="138"/>
        <v>17.494764</v>
      </c>
      <c r="AP415" s="17">
        <v>17.494764</v>
      </c>
      <c r="AQ415" s="16">
        <v>44867</v>
      </c>
      <c r="AR415" s="17">
        <f t="shared" si="125"/>
        <v>0</v>
      </c>
      <c r="AS415" s="17" t="s">
        <v>397</v>
      </c>
      <c r="AT415" s="17">
        <v>51.770219999999995</v>
      </c>
      <c r="AU415" s="17">
        <f t="shared" si="140"/>
        <v>51.770219999999995</v>
      </c>
      <c r="AV415" s="17">
        <f t="shared" si="139"/>
        <v>0</v>
      </c>
      <c r="AW415" s="17" t="str">
        <f t="shared" si="142"/>
        <v>RAWSUR</v>
      </c>
      <c r="AX415" s="22">
        <v>44832</v>
      </c>
      <c r="AY415" s="22"/>
      <c r="AZ415" s="1" t="s">
        <v>110</v>
      </c>
      <c r="BA415" s="22" t="str">
        <f t="shared" si="141"/>
        <v>MARINE CARGO / GIT</v>
      </c>
      <c r="BB415" s="22"/>
      <c r="BC415" s="22"/>
      <c r="BD415" s="22"/>
    </row>
    <row r="416" spans="1:56" ht="14.25" customHeight="1" x14ac:dyDescent="0.2">
      <c r="A416" s="1" t="s">
        <v>439</v>
      </c>
      <c r="B416" s="1" t="s">
        <v>57</v>
      </c>
      <c r="C416" s="13">
        <v>44771</v>
      </c>
      <c r="D416" s="13">
        <v>44798</v>
      </c>
      <c r="E416" s="13">
        <v>44798</v>
      </c>
      <c r="F416" s="13">
        <v>44889</v>
      </c>
      <c r="G416" s="14" t="str">
        <f t="shared" si="132"/>
        <v>000-415/AIB RDC/2022</v>
      </c>
      <c r="H416" s="1">
        <v>0</v>
      </c>
      <c r="I416" s="1" t="s">
        <v>74</v>
      </c>
      <c r="J416" s="1">
        <v>72000054</v>
      </c>
      <c r="K416" s="1" t="s">
        <v>263</v>
      </c>
      <c r="L416" s="1"/>
      <c r="M416" s="1" t="s">
        <v>105</v>
      </c>
      <c r="N416" s="1" t="s">
        <v>106</v>
      </c>
      <c r="O416" s="1" t="s">
        <v>64</v>
      </c>
      <c r="P416" s="1" t="s">
        <v>65</v>
      </c>
      <c r="Q416" s="1" t="s">
        <v>107</v>
      </c>
      <c r="R416" s="1" t="s">
        <v>107</v>
      </c>
      <c r="S416" s="17">
        <v>21337</v>
      </c>
      <c r="T416" s="17">
        <v>129.80000000000001</v>
      </c>
      <c r="U416" s="17">
        <v>0</v>
      </c>
      <c r="V416" s="17">
        <v>0</v>
      </c>
      <c r="W416" s="17">
        <v>10</v>
      </c>
      <c r="X416" s="17">
        <v>100</v>
      </c>
      <c r="Y416" s="17">
        <v>17.8</v>
      </c>
      <c r="Z416" s="18">
        <f t="shared" si="133"/>
        <v>6.0833294277546053E-3</v>
      </c>
      <c r="AA416" s="19">
        <v>0.15</v>
      </c>
      <c r="AB416" s="17">
        <f t="shared" si="131"/>
        <v>15</v>
      </c>
      <c r="AC416" s="17">
        <v>0</v>
      </c>
      <c r="AD416" s="17">
        <v>0</v>
      </c>
      <c r="AE416" s="17">
        <f t="shared" si="134"/>
        <v>15</v>
      </c>
      <c r="AF416" s="17">
        <f t="shared" si="143"/>
        <v>2.4</v>
      </c>
      <c r="AG416" s="17">
        <f t="shared" si="135"/>
        <v>17.399999999999999</v>
      </c>
      <c r="AH416" s="17">
        <f t="shared" si="144"/>
        <v>0.3</v>
      </c>
      <c r="AI416" s="17"/>
      <c r="AJ416" s="17">
        <f t="shared" si="136"/>
        <v>0.3</v>
      </c>
      <c r="AK416" s="20"/>
      <c r="AL416" s="17">
        <f t="shared" si="137"/>
        <v>14.7</v>
      </c>
      <c r="AM416" s="17" t="s">
        <v>108</v>
      </c>
      <c r="AN416" s="21">
        <v>0.4</v>
      </c>
      <c r="AO416" s="17">
        <f t="shared" si="138"/>
        <v>5.88</v>
      </c>
      <c r="AP416" s="17">
        <v>5.88</v>
      </c>
      <c r="AQ416" s="16">
        <v>44867</v>
      </c>
      <c r="AR416" s="17">
        <f t="shared" si="125"/>
        <v>0</v>
      </c>
      <c r="AS416" s="17" t="s">
        <v>397</v>
      </c>
      <c r="AT416" s="17">
        <v>17.399999999999999</v>
      </c>
      <c r="AU416" s="17">
        <f t="shared" si="140"/>
        <v>17.399999999999999</v>
      </c>
      <c r="AV416" s="17">
        <f t="shared" si="139"/>
        <v>0</v>
      </c>
      <c r="AW416" s="17" t="str">
        <f t="shared" si="142"/>
        <v>RAWSUR</v>
      </c>
      <c r="AX416" s="22">
        <v>44832</v>
      </c>
      <c r="AY416" s="22"/>
      <c r="AZ416" s="1" t="s">
        <v>110</v>
      </c>
      <c r="BA416" s="22" t="str">
        <f t="shared" si="141"/>
        <v>MARINE CARGO / GIT</v>
      </c>
      <c r="BB416" s="22"/>
      <c r="BC416" s="22"/>
      <c r="BD416" s="22"/>
    </row>
    <row r="417" spans="1:56" ht="14.25" customHeight="1" x14ac:dyDescent="0.2">
      <c r="A417" s="1" t="s">
        <v>439</v>
      </c>
      <c r="B417" s="1" t="s">
        <v>57</v>
      </c>
      <c r="C417" s="13">
        <v>44771</v>
      </c>
      <c r="D417" s="13">
        <v>44798</v>
      </c>
      <c r="E417" s="13">
        <v>44798</v>
      </c>
      <c r="F417" s="13">
        <v>44889</v>
      </c>
      <c r="G417" s="14" t="str">
        <f t="shared" si="132"/>
        <v>000-416/AIB RDC/2022</v>
      </c>
      <c r="H417" s="1">
        <v>0</v>
      </c>
      <c r="I417" s="1" t="s">
        <v>74</v>
      </c>
      <c r="J417" s="1">
        <v>72000059</v>
      </c>
      <c r="K417" s="1" t="s">
        <v>263</v>
      </c>
      <c r="L417" s="1"/>
      <c r="M417" s="1" t="s">
        <v>105</v>
      </c>
      <c r="N417" s="1" t="s">
        <v>106</v>
      </c>
      <c r="O417" s="1" t="s">
        <v>64</v>
      </c>
      <c r="P417" s="1" t="s">
        <v>65</v>
      </c>
      <c r="Q417" s="1" t="s">
        <v>107</v>
      </c>
      <c r="R417" s="1" t="s">
        <v>107</v>
      </c>
      <c r="S417" s="17">
        <v>65024</v>
      </c>
      <c r="T417" s="17">
        <v>318.72000000000003</v>
      </c>
      <c r="U417" s="17">
        <v>0</v>
      </c>
      <c r="V417" s="17">
        <v>0</v>
      </c>
      <c r="W417" s="17">
        <v>10</v>
      </c>
      <c r="X417" s="17">
        <v>260.10000000000002</v>
      </c>
      <c r="Y417" s="17">
        <v>43.22</v>
      </c>
      <c r="Z417" s="18">
        <f t="shared" si="133"/>
        <v>4.9015748031496064E-3</v>
      </c>
      <c r="AA417" s="19">
        <v>0.15</v>
      </c>
      <c r="AB417" s="17">
        <f t="shared" si="131"/>
        <v>39.015000000000001</v>
      </c>
      <c r="AC417" s="17">
        <v>0</v>
      </c>
      <c r="AD417" s="17">
        <v>0</v>
      </c>
      <c r="AE417" s="17">
        <f t="shared" si="134"/>
        <v>39.015000000000001</v>
      </c>
      <c r="AF417" s="17">
        <f t="shared" si="143"/>
        <v>6.2423999999999999</v>
      </c>
      <c r="AG417" s="17">
        <f t="shared" si="135"/>
        <v>45.257400000000004</v>
      </c>
      <c r="AH417" s="17">
        <f t="shared" si="144"/>
        <v>0.78029999999999999</v>
      </c>
      <c r="AI417" s="17"/>
      <c r="AJ417" s="17">
        <f t="shared" si="136"/>
        <v>0.78029999999999999</v>
      </c>
      <c r="AK417" s="20"/>
      <c r="AL417" s="17">
        <f t="shared" si="137"/>
        <v>38.234700000000004</v>
      </c>
      <c r="AM417" s="17" t="s">
        <v>108</v>
      </c>
      <c r="AN417" s="21">
        <v>0.4</v>
      </c>
      <c r="AO417" s="17">
        <f t="shared" si="138"/>
        <v>15.293880000000001</v>
      </c>
      <c r="AP417" s="17">
        <v>15.293880000000001</v>
      </c>
      <c r="AQ417" s="16">
        <v>44867</v>
      </c>
      <c r="AR417" s="17">
        <f t="shared" ref="AR417:AR480" si="145">AO417-AP417</f>
        <v>0</v>
      </c>
      <c r="AS417" s="17" t="s">
        <v>397</v>
      </c>
      <c r="AT417" s="17">
        <v>45.257400000000004</v>
      </c>
      <c r="AU417" s="17">
        <f t="shared" si="140"/>
        <v>45.257400000000004</v>
      </c>
      <c r="AV417" s="17">
        <f t="shared" si="139"/>
        <v>0</v>
      </c>
      <c r="AW417" s="17" t="str">
        <f t="shared" si="142"/>
        <v>RAWSUR</v>
      </c>
      <c r="AX417" s="22">
        <v>44832</v>
      </c>
      <c r="AY417" s="22"/>
      <c r="AZ417" s="1" t="s">
        <v>110</v>
      </c>
      <c r="BA417" s="22" t="str">
        <f t="shared" si="141"/>
        <v>MARINE CARGO / GIT</v>
      </c>
      <c r="BB417" s="22"/>
      <c r="BC417" s="22"/>
      <c r="BD417" s="22"/>
    </row>
    <row r="418" spans="1:56" ht="14.25" customHeight="1" x14ac:dyDescent="0.2">
      <c r="A418" s="1" t="s">
        <v>654</v>
      </c>
      <c r="B418" s="1" t="s">
        <v>57</v>
      </c>
      <c r="C418" s="13">
        <v>44771</v>
      </c>
      <c r="D418" s="13">
        <v>44772</v>
      </c>
      <c r="E418" s="13">
        <v>44770</v>
      </c>
      <c r="F418" s="13">
        <v>45093</v>
      </c>
      <c r="G418" s="14" t="str">
        <f t="shared" si="132"/>
        <v>000-417/AIB RDC/2022</v>
      </c>
      <c r="H418" s="1">
        <v>2</v>
      </c>
      <c r="I418" s="1" t="s">
        <v>91</v>
      </c>
      <c r="J418" s="1" t="s">
        <v>638</v>
      </c>
      <c r="K418" s="1" t="s">
        <v>527</v>
      </c>
      <c r="L418" s="1"/>
      <c r="M418" s="1" t="s">
        <v>105</v>
      </c>
      <c r="N418" s="1" t="s">
        <v>541</v>
      </c>
      <c r="O418" s="1" t="s">
        <v>152</v>
      </c>
      <c r="P418" s="1" t="s">
        <v>153</v>
      </c>
      <c r="Q418" s="1" t="s">
        <v>130</v>
      </c>
      <c r="R418" s="1" t="s">
        <v>130</v>
      </c>
      <c r="S418" s="17">
        <v>0</v>
      </c>
      <c r="T418" s="17">
        <v>2233.5100000000002</v>
      </c>
      <c r="U418" s="17">
        <v>0</v>
      </c>
      <c r="V418" s="17">
        <v>0</v>
      </c>
      <c r="W418" s="17">
        <v>111.72</v>
      </c>
      <c r="X418" s="17">
        <v>1781.08</v>
      </c>
      <c r="Y418" s="17">
        <v>302.85000000000002</v>
      </c>
      <c r="Z418" s="18" t="e">
        <f t="shared" si="133"/>
        <v>#DIV/0!</v>
      </c>
      <c r="AA418" s="19">
        <v>0.15</v>
      </c>
      <c r="AB418" s="17">
        <f t="shared" si="131"/>
        <v>267.16199999999998</v>
      </c>
      <c r="AC418" s="17">
        <v>0</v>
      </c>
      <c r="AD418" s="17">
        <v>0</v>
      </c>
      <c r="AE418" s="17">
        <f t="shared" si="134"/>
        <v>267.16199999999998</v>
      </c>
      <c r="AF418" s="17">
        <f t="shared" si="143"/>
        <v>42.745919999999998</v>
      </c>
      <c r="AG418" s="17">
        <f t="shared" si="135"/>
        <v>309.90791999999999</v>
      </c>
      <c r="AH418" s="17">
        <f t="shared" si="144"/>
        <v>5.3432399999999998</v>
      </c>
      <c r="AI418" s="17"/>
      <c r="AJ418" s="17">
        <f t="shared" si="136"/>
        <v>5.3432399999999998</v>
      </c>
      <c r="AK418" s="20"/>
      <c r="AL418" s="17">
        <f t="shared" si="137"/>
        <v>261.81876</v>
      </c>
      <c r="AM418" s="17"/>
      <c r="AN418" s="21"/>
      <c r="AO418" s="17">
        <f t="shared" si="138"/>
        <v>0</v>
      </c>
      <c r="AP418" s="17"/>
      <c r="AQ418" s="16"/>
      <c r="AR418" s="17">
        <f t="shared" si="145"/>
        <v>0</v>
      </c>
      <c r="AS418" s="17"/>
      <c r="AT418" s="17">
        <v>309.90791999999999</v>
      </c>
      <c r="AU418" s="17">
        <f t="shared" si="140"/>
        <v>309.90791999999999</v>
      </c>
      <c r="AV418" s="17">
        <f t="shared" si="139"/>
        <v>0</v>
      </c>
      <c r="AW418" s="17" t="str">
        <f t="shared" si="142"/>
        <v>SFA</v>
      </c>
      <c r="AX418" s="22">
        <v>44791</v>
      </c>
      <c r="AY418" s="22"/>
      <c r="AZ418" s="1" t="s">
        <v>68</v>
      </c>
      <c r="BA418" s="22" t="str">
        <f t="shared" si="141"/>
        <v>COMP MOTOR</v>
      </c>
      <c r="BB418" s="22"/>
      <c r="BC418" s="22"/>
      <c r="BD418" s="22"/>
    </row>
    <row r="419" spans="1:56" ht="14.25" customHeight="1" x14ac:dyDescent="0.2">
      <c r="A419" s="1" t="s">
        <v>654</v>
      </c>
      <c r="B419" s="1" t="s">
        <v>57</v>
      </c>
      <c r="C419" s="13">
        <v>44771</v>
      </c>
      <c r="D419" s="13">
        <v>44764</v>
      </c>
      <c r="E419" s="13">
        <v>44760</v>
      </c>
      <c r="F419" s="13">
        <v>44762</v>
      </c>
      <c r="G419" s="14" t="str">
        <f t="shared" si="132"/>
        <v>000-418/AIB RDC/2022</v>
      </c>
      <c r="H419" s="1">
        <v>0</v>
      </c>
      <c r="I419" s="1" t="s">
        <v>74</v>
      </c>
      <c r="J419" s="1" t="s">
        <v>700</v>
      </c>
      <c r="K419" s="1" t="s">
        <v>181</v>
      </c>
      <c r="L419" s="1"/>
      <c r="M419" s="1" t="s">
        <v>105</v>
      </c>
      <c r="N419" s="1" t="s">
        <v>106</v>
      </c>
      <c r="O419" s="1" t="s">
        <v>64</v>
      </c>
      <c r="P419" s="1" t="s">
        <v>65</v>
      </c>
      <c r="Q419" s="1" t="s">
        <v>130</v>
      </c>
      <c r="R419" s="1" t="s">
        <v>130</v>
      </c>
      <c r="S419" s="17">
        <v>1220</v>
      </c>
      <c r="T419" s="17">
        <v>94.4</v>
      </c>
      <c r="U419" s="17">
        <v>0</v>
      </c>
      <c r="V419" s="17">
        <v>0</v>
      </c>
      <c r="W419" s="17">
        <v>20</v>
      </c>
      <c r="X419" s="17">
        <v>60</v>
      </c>
      <c r="Y419" s="17">
        <v>12.8</v>
      </c>
      <c r="Z419" s="18">
        <f t="shared" si="133"/>
        <v>7.7377049180327867E-2</v>
      </c>
      <c r="AA419" s="19">
        <v>0.15</v>
      </c>
      <c r="AB419" s="17">
        <f t="shared" si="131"/>
        <v>9</v>
      </c>
      <c r="AC419" s="17"/>
      <c r="AD419" s="17"/>
      <c r="AE419" s="17">
        <f t="shared" si="134"/>
        <v>9</v>
      </c>
      <c r="AF419" s="17">
        <f t="shared" si="143"/>
        <v>1.44</v>
      </c>
      <c r="AG419" s="17">
        <f t="shared" si="135"/>
        <v>10.44</v>
      </c>
      <c r="AH419" s="17">
        <f t="shared" si="144"/>
        <v>0.18</v>
      </c>
      <c r="AI419" s="17"/>
      <c r="AJ419" s="17">
        <f t="shared" si="136"/>
        <v>0.18</v>
      </c>
      <c r="AK419" s="20"/>
      <c r="AL419" s="17">
        <f t="shared" si="137"/>
        <v>8.82</v>
      </c>
      <c r="AM419" s="17" t="s">
        <v>108</v>
      </c>
      <c r="AN419" s="21">
        <v>0.4</v>
      </c>
      <c r="AO419" s="17">
        <f t="shared" si="138"/>
        <v>3.5280000000000005</v>
      </c>
      <c r="AP419" s="17">
        <v>3.5280000000000005</v>
      </c>
      <c r="AQ419" s="16">
        <v>44834</v>
      </c>
      <c r="AR419" s="17">
        <f t="shared" si="145"/>
        <v>0</v>
      </c>
      <c r="AS419" s="17" t="s">
        <v>109</v>
      </c>
      <c r="AT419" s="17">
        <v>10.44</v>
      </c>
      <c r="AU419" s="17">
        <f t="shared" si="140"/>
        <v>10.44</v>
      </c>
      <c r="AV419" s="17">
        <f t="shared" si="139"/>
        <v>0</v>
      </c>
      <c r="AW419" s="17" t="str">
        <f t="shared" si="142"/>
        <v>SFA</v>
      </c>
      <c r="AX419" s="22">
        <v>44791</v>
      </c>
      <c r="AY419" s="22"/>
      <c r="AZ419" s="1" t="s">
        <v>110</v>
      </c>
      <c r="BA419" s="22" t="str">
        <f t="shared" si="141"/>
        <v>MARINE CARGO / GIT</v>
      </c>
      <c r="BB419" s="22"/>
      <c r="BC419" s="22"/>
      <c r="BD419" s="22"/>
    </row>
    <row r="420" spans="1:56" ht="14.25" customHeight="1" x14ac:dyDescent="0.2">
      <c r="A420" s="1" t="s">
        <v>654</v>
      </c>
      <c r="B420" s="1" t="s">
        <v>57</v>
      </c>
      <c r="C420" s="13">
        <v>44771</v>
      </c>
      <c r="D420" s="13">
        <v>44764</v>
      </c>
      <c r="E420" s="13">
        <v>44760</v>
      </c>
      <c r="F420" s="13">
        <v>44762</v>
      </c>
      <c r="G420" s="14" t="str">
        <f t="shared" si="132"/>
        <v>000-419/AIB RDC/2022</v>
      </c>
      <c r="H420" s="1">
        <v>0</v>
      </c>
      <c r="I420" s="1" t="s">
        <v>74</v>
      </c>
      <c r="J420" s="1" t="s">
        <v>701</v>
      </c>
      <c r="K420" s="1" t="s">
        <v>181</v>
      </c>
      <c r="L420" s="1"/>
      <c r="M420" s="1" t="s">
        <v>105</v>
      </c>
      <c r="N420" s="1" t="s">
        <v>106</v>
      </c>
      <c r="O420" s="1" t="s">
        <v>64</v>
      </c>
      <c r="P420" s="1" t="s">
        <v>65</v>
      </c>
      <c r="Q420" s="1" t="s">
        <v>130</v>
      </c>
      <c r="R420" s="1" t="s">
        <v>130</v>
      </c>
      <c r="S420" s="17">
        <v>5046.21</v>
      </c>
      <c r="T420" s="17">
        <v>94.4</v>
      </c>
      <c r="U420" s="17">
        <v>0</v>
      </c>
      <c r="V420" s="17">
        <v>0</v>
      </c>
      <c r="W420" s="17">
        <v>20</v>
      </c>
      <c r="X420" s="17">
        <v>60</v>
      </c>
      <c r="Y420" s="17">
        <v>12.8</v>
      </c>
      <c r="Z420" s="18">
        <f t="shared" si="133"/>
        <v>1.8707108899550358E-2</v>
      </c>
      <c r="AA420" s="19">
        <v>0.15</v>
      </c>
      <c r="AB420" s="17">
        <f t="shared" si="131"/>
        <v>9</v>
      </c>
      <c r="AC420" s="17"/>
      <c r="AD420" s="17"/>
      <c r="AE420" s="17">
        <f t="shared" si="134"/>
        <v>9</v>
      </c>
      <c r="AF420" s="17">
        <f t="shared" si="143"/>
        <v>1.44</v>
      </c>
      <c r="AG420" s="17">
        <f t="shared" si="135"/>
        <v>10.44</v>
      </c>
      <c r="AH420" s="17">
        <f t="shared" si="144"/>
        <v>0.18</v>
      </c>
      <c r="AI420" s="17"/>
      <c r="AJ420" s="17">
        <f t="shared" si="136"/>
        <v>0.18</v>
      </c>
      <c r="AK420" s="20"/>
      <c r="AL420" s="17">
        <f t="shared" si="137"/>
        <v>8.82</v>
      </c>
      <c r="AM420" s="17" t="s">
        <v>108</v>
      </c>
      <c r="AN420" s="21">
        <v>0.4</v>
      </c>
      <c r="AO420" s="17">
        <f t="shared" si="138"/>
        <v>3.5280000000000005</v>
      </c>
      <c r="AP420" s="17">
        <v>3.5280000000000005</v>
      </c>
      <c r="AQ420" s="16">
        <v>44834</v>
      </c>
      <c r="AR420" s="17">
        <f t="shared" si="145"/>
        <v>0</v>
      </c>
      <c r="AS420" s="17" t="s">
        <v>109</v>
      </c>
      <c r="AT420" s="17">
        <v>10.44</v>
      </c>
      <c r="AU420" s="17">
        <f t="shared" si="140"/>
        <v>10.44</v>
      </c>
      <c r="AV420" s="17">
        <f t="shared" si="139"/>
        <v>0</v>
      </c>
      <c r="AW420" s="17" t="str">
        <f t="shared" si="142"/>
        <v>SFA</v>
      </c>
      <c r="AX420" s="22">
        <v>44791</v>
      </c>
      <c r="AY420" s="22"/>
      <c r="AZ420" s="1" t="s">
        <v>110</v>
      </c>
      <c r="BA420" s="22" t="str">
        <f t="shared" si="141"/>
        <v>MARINE CARGO / GIT</v>
      </c>
      <c r="BB420" s="22"/>
      <c r="BC420" s="22"/>
      <c r="BD420" s="22"/>
    </row>
    <row r="421" spans="1:56" ht="14.25" customHeight="1" x14ac:dyDescent="0.2">
      <c r="A421" s="1" t="s">
        <v>439</v>
      </c>
      <c r="B421" s="1" t="s">
        <v>57</v>
      </c>
      <c r="C421" s="13">
        <v>44811</v>
      </c>
      <c r="D421" s="13">
        <v>44796</v>
      </c>
      <c r="E421" s="13">
        <v>44792</v>
      </c>
      <c r="F421" s="13">
        <v>44852</v>
      </c>
      <c r="G421" s="14" t="str">
        <f t="shared" si="132"/>
        <v>000-420/AIB RDC/2022</v>
      </c>
      <c r="H421" s="1">
        <v>0</v>
      </c>
      <c r="I421" s="1" t="s">
        <v>74</v>
      </c>
      <c r="J421" s="24" t="s">
        <v>702</v>
      </c>
      <c r="K421" s="1" t="s">
        <v>181</v>
      </c>
      <c r="L421" s="1"/>
      <c r="M421" s="1" t="s">
        <v>105</v>
      </c>
      <c r="N421" s="1" t="s">
        <v>106</v>
      </c>
      <c r="O421" s="1" t="s">
        <v>64</v>
      </c>
      <c r="P421" s="1" t="s">
        <v>65</v>
      </c>
      <c r="Q421" s="1" t="s">
        <v>130</v>
      </c>
      <c r="R421" s="1" t="s">
        <v>130</v>
      </c>
      <c r="S421" s="17">
        <v>4565.8999999999996</v>
      </c>
      <c r="T421" s="17">
        <v>94.4</v>
      </c>
      <c r="U421" s="17">
        <v>0</v>
      </c>
      <c r="V421" s="17">
        <v>0</v>
      </c>
      <c r="W421" s="17">
        <v>20</v>
      </c>
      <c r="X421" s="17">
        <v>60</v>
      </c>
      <c r="Y421" s="17">
        <v>12.8</v>
      </c>
      <c r="Z421" s="18">
        <f t="shared" si="133"/>
        <v>2.0675003832760247E-2</v>
      </c>
      <c r="AA421" s="19">
        <v>0.15</v>
      </c>
      <c r="AB421" s="17">
        <f t="shared" si="131"/>
        <v>9</v>
      </c>
      <c r="AC421" s="17"/>
      <c r="AD421" s="17"/>
      <c r="AE421" s="17">
        <f t="shared" si="134"/>
        <v>9</v>
      </c>
      <c r="AF421" s="17">
        <f t="shared" si="143"/>
        <v>1.44</v>
      </c>
      <c r="AG421" s="17">
        <f t="shared" si="135"/>
        <v>10.44</v>
      </c>
      <c r="AH421" s="17">
        <f t="shared" si="144"/>
        <v>0.18</v>
      </c>
      <c r="AI421" s="17"/>
      <c r="AJ421" s="17">
        <f t="shared" si="136"/>
        <v>0.18</v>
      </c>
      <c r="AK421" s="20"/>
      <c r="AL421" s="17">
        <f t="shared" si="137"/>
        <v>8.82</v>
      </c>
      <c r="AM421" s="17" t="s">
        <v>108</v>
      </c>
      <c r="AN421" s="21">
        <v>0.4</v>
      </c>
      <c r="AO421" s="17">
        <f t="shared" si="138"/>
        <v>3.5280000000000005</v>
      </c>
      <c r="AP421" s="17">
        <v>3.5280000000000005</v>
      </c>
      <c r="AQ421" s="16">
        <v>44867</v>
      </c>
      <c r="AR421" s="17">
        <f t="shared" si="145"/>
        <v>0</v>
      </c>
      <c r="AS421" s="17" t="s">
        <v>397</v>
      </c>
      <c r="AT421" s="17">
        <v>10.44</v>
      </c>
      <c r="AU421" s="17">
        <f t="shared" si="140"/>
        <v>10.44</v>
      </c>
      <c r="AV421" s="17">
        <f t="shared" si="139"/>
        <v>0</v>
      </c>
      <c r="AW421" s="17" t="str">
        <f t="shared" si="142"/>
        <v>SFA</v>
      </c>
      <c r="AX421" s="22">
        <v>44823</v>
      </c>
      <c r="AY421" s="22"/>
      <c r="AZ421" s="1" t="s">
        <v>110</v>
      </c>
      <c r="BA421" s="22" t="str">
        <f t="shared" si="141"/>
        <v>MARINE CARGO / GIT</v>
      </c>
      <c r="BB421" s="22"/>
      <c r="BC421" s="22"/>
      <c r="BD421" s="22"/>
    </row>
    <row r="422" spans="1:56" ht="14.25" customHeight="1" x14ac:dyDescent="0.2">
      <c r="A422" s="1" t="s">
        <v>578</v>
      </c>
      <c r="B422" s="1" t="s">
        <v>57</v>
      </c>
      <c r="C422" s="13">
        <v>44735</v>
      </c>
      <c r="D422" s="50">
        <v>44855</v>
      </c>
      <c r="E422" s="13">
        <v>44727</v>
      </c>
      <c r="F422" s="13">
        <v>45091</v>
      </c>
      <c r="G422" s="14" t="str">
        <f t="shared" si="132"/>
        <v>000-421/AIB RDC/2022</v>
      </c>
      <c r="H422" s="1">
        <v>1</v>
      </c>
      <c r="I422" s="1" t="s">
        <v>58</v>
      </c>
      <c r="J422" s="1" t="s">
        <v>705</v>
      </c>
      <c r="K422" s="1" t="s">
        <v>546</v>
      </c>
      <c r="L422" s="1" t="s">
        <v>160</v>
      </c>
      <c r="M422" s="1" t="s">
        <v>706</v>
      </c>
      <c r="N422" s="1" t="s">
        <v>209</v>
      </c>
      <c r="O422" s="1" t="s">
        <v>89</v>
      </c>
      <c r="P422" s="1" t="s">
        <v>90</v>
      </c>
      <c r="Q422" s="1" t="s">
        <v>130</v>
      </c>
      <c r="R422" s="1" t="s">
        <v>130</v>
      </c>
      <c r="S422" s="17">
        <v>0</v>
      </c>
      <c r="T422" s="17">
        <v>7193.84</v>
      </c>
      <c r="U422" s="17">
        <v>0</v>
      </c>
      <c r="V422" s="17">
        <v>0</v>
      </c>
      <c r="W422" s="17">
        <v>0</v>
      </c>
      <c r="X422" s="17">
        <v>6097</v>
      </c>
      <c r="Y422" s="17">
        <v>975.44</v>
      </c>
      <c r="Z422" s="18" t="e">
        <f t="shared" si="133"/>
        <v>#DIV/0!</v>
      </c>
      <c r="AA422" s="19">
        <v>0.1</v>
      </c>
      <c r="AB422" s="17">
        <f t="shared" si="131"/>
        <v>609.70000000000005</v>
      </c>
      <c r="AC422" s="17">
        <v>0</v>
      </c>
      <c r="AD422" s="17"/>
      <c r="AE422" s="17">
        <f t="shared" si="134"/>
        <v>609.70000000000005</v>
      </c>
      <c r="AF422" s="17">
        <f t="shared" si="143"/>
        <v>97.552000000000007</v>
      </c>
      <c r="AG422" s="17">
        <f t="shared" si="135"/>
        <v>707.25200000000007</v>
      </c>
      <c r="AH422" s="17">
        <f t="shared" si="144"/>
        <v>12.194000000000001</v>
      </c>
      <c r="AI422" s="17"/>
      <c r="AJ422" s="17">
        <f t="shared" si="136"/>
        <v>12.194000000000001</v>
      </c>
      <c r="AK422" s="20"/>
      <c r="AL422" s="17">
        <f t="shared" si="137"/>
        <v>597.50600000000009</v>
      </c>
      <c r="AM422" s="17"/>
      <c r="AN422" s="21"/>
      <c r="AO422" s="17">
        <f t="shared" si="138"/>
        <v>0</v>
      </c>
      <c r="AP422" s="17"/>
      <c r="AQ422" s="16"/>
      <c r="AR422" s="17">
        <f t="shared" si="145"/>
        <v>0</v>
      </c>
      <c r="AS422" s="17"/>
      <c r="AT422" s="17">
        <v>318.42</v>
      </c>
      <c r="AU422" s="17">
        <f t="shared" si="140"/>
        <v>707.25200000000007</v>
      </c>
      <c r="AV422" s="84">
        <f t="shared" si="139"/>
        <v>388.83200000000005</v>
      </c>
      <c r="AW422" s="17" t="str">
        <f t="shared" si="142"/>
        <v>SFA</v>
      </c>
      <c r="AX422" s="22">
        <v>44949</v>
      </c>
      <c r="AY422" s="22"/>
      <c r="AZ422" s="1" t="s">
        <v>100</v>
      </c>
      <c r="BA422" s="22" t="str">
        <f t="shared" si="141"/>
        <v>GENERAL LIABILITY</v>
      </c>
      <c r="BB422" s="22"/>
      <c r="BC422" s="22"/>
      <c r="BD422" s="1" t="s">
        <v>707</v>
      </c>
    </row>
    <row r="423" spans="1:56" ht="14.25" customHeight="1" x14ac:dyDescent="0.2">
      <c r="A423" s="1" t="s">
        <v>992</v>
      </c>
      <c r="B423" s="1" t="s">
        <v>273</v>
      </c>
      <c r="C423" s="13">
        <v>44924</v>
      </c>
      <c r="D423" s="1" t="s">
        <v>837</v>
      </c>
      <c r="E423" s="1" t="s">
        <v>837</v>
      </c>
      <c r="F423" s="1" t="s">
        <v>837</v>
      </c>
      <c r="G423" s="14" t="str">
        <f t="shared" si="132"/>
        <v>000-422/AIB RDC/2022</v>
      </c>
      <c r="H423" s="1">
        <v>0</v>
      </c>
      <c r="I423" s="1" t="s">
        <v>74</v>
      </c>
      <c r="J423" s="15" t="s">
        <v>1076</v>
      </c>
      <c r="K423" s="1" t="s">
        <v>1077</v>
      </c>
      <c r="L423" s="16"/>
      <c r="M423" s="1" t="s">
        <v>105</v>
      </c>
      <c r="N423" s="1" t="s">
        <v>106</v>
      </c>
      <c r="O423" s="1" t="s">
        <v>64</v>
      </c>
      <c r="P423" s="1" t="s">
        <v>65</v>
      </c>
      <c r="Q423" s="1" t="s">
        <v>130</v>
      </c>
      <c r="R423" s="1" t="s">
        <v>130</v>
      </c>
      <c r="S423" s="17">
        <v>3025.41</v>
      </c>
      <c r="T423" s="17">
        <v>115</v>
      </c>
      <c r="U423" s="17">
        <v>0</v>
      </c>
      <c r="V423" s="17">
        <v>0</v>
      </c>
      <c r="W423" s="17">
        <v>1.44</v>
      </c>
      <c r="X423" s="17">
        <v>96.02</v>
      </c>
      <c r="Y423" s="17">
        <v>15.59</v>
      </c>
      <c r="Z423" s="18">
        <f t="shared" si="133"/>
        <v>3.8011376970394098E-2</v>
      </c>
      <c r="AA423" s="19">
        <v>0.15</v>
      </c>
      <c r="AB423" s="17">
        <f t="shared" ref="AB423:AB454" si="146">(AA423*X423)</f>
        <v>14.402999999999999</v>
      </c>
      <c r="AC423" s="17">
        <v>0</v>
      </c>
      <c r="AD423" s="17">
        <v>0</v>
      </c>
      <c r="AE423" s="17">
        <f t="shared" si="134"/>
        <v>14.402999999999999</v>
      </c>
      <c r="AF423" s="17">
        <f t="shared" si="143"/>
        <v>2.3044799999999999</v>
      </c>
      <c r="AG423" s="17">
        <f t="shared" si="135"/>
        <v>16.707479999999997</v>
      </c>
      <c r="AH423" s="17">
        <f t="shared" si="144"/>
        <v>0.28805999999999998</v>
      </c>
      <c r="AI423" s="17"/>
      <c r="AJ423" s="17">
        <f t="shared" si="136"/>
        <v>0.28805999999999998</v>
      </c>
      <c r="AK423" s="20"/>
      <c r="AL423" s="17">
        <f t="shared" si="137"/>
        <v>14.114939999999999</v>
      </c>
      <c r="AM423" s="17" t="s">
        <v>108</v>
      </c>
      <c r="AN423" s="21">
        <v>0.4</v>
      </c>
      <c r="AO423" s="17">
        <f t="shared" si="138"/>
        <v>5.6459760000000001</v>
      </c>
      <c r="AP423" s="27"/>
      <c r="AQ423" s="16"/>
      <c r="AR423" s="17">
        <f t="shared" si="145"/>
        <v>5.6459760000000001</v>
      </c>
      <c r="AS423" s="17"/>
      <c r="AT423" s="17"/>
      <c r="AU423" s="17">
        <f t="shared" si="140"/>
        <v>16.707479999999997</v>
      </c>
      <c r="AV423" s="84">
        <f t="shared" si="139"/>
        <v>16.707479999999997</v>
      </c>
      <c r="AW423" s="17" t="str">
        <f t="shared" si="142"/>
        <v>SFA</v>
      </c>
      <c r="AX423" s="22"/>
      <c r="AY423" s="22"/>
      <c r="AZ423" s="1" t="s">
        <v>110</v>
      </c>
      <c r="BA423" s="22" t="str">
        <f t="shared" si="141"/>
        <v>MARINE CARGO / GIT</v>
      </c>
      <c r="BB423" s="54"/>
      <c r="BC423" s="22"/>
      <c r="BD423" s="1" t="s">
        <v>226</v>
      </c>
    </row>
    <row r="424" spans="1:56" ht="14.25" customHeight="1" x14ac:dyDescent="0.2">
      <c r="A424" s="2" t="s">
        <v>578</v>
      </c>
      <c r="B424" s="28" t="s">
        <v>273</v>
      </c>
      <c r="C424" s="48">
        <v>45103</v>
      </c>
      <c r="D424" s="48"/>
      <c r="E424" s="48">
        <v>44742</v>
      </c>
      <c r="F424" s="13">
        <v>45106</v>
      </c>
      <c r="G424" s="14" t="str">
        <f t="shared" si="132"/>
        <v>000-423/AIB RDC/2022</v>
      </c>
      <c r="H424" s="1">
        <v>1</v>
      </c>
      <c r="I424" s="1" t="s">
        <v>58</v>
      </c>
      <c r="J424" s="2" t="s">
        <v>1118</v>
      </c>
      <c r="K424" s="1" t="s">
        <v>1092</v>
      </c>
      <c r="L424" s="1" t="s">
        <v>214</v>
      </c>
      <c r="M424" s="1" t="s">
        <v>84</v>
      </c>
      <c r="N424" s="1" t="s">
        <v>85</v>
      </c>
      <c r="O424" s="1" t="s">
        <v>662</v>
      </c>
      <c r="P424" s="1" t="s">
        <v>90</v>
      </c>
      <c r="Q424" s="1" t="s">
        <v>107</v>
      </c>
      <c r="R424" s="1" t="s">
        <v>780</v>
      </c>
      <c r="S424" s="34">
        <v>0</v>
      </c>
      <c r="T424" s="34">
        <v>67329.41</v>
      </c>
      <c r="U424" s="34">
        <v>8558.82</v>
      </c>
      <c r="V424" s="34">
        <v>-3814.98</v>
      </c>
      <c r="W424" s="34">
        <v>0</v>
      </c>
      <c r="X424" s="34">
        <v>48500</v>
      </c>
      <c r="Y424" s="34">
        <v>9129.41</v>
      </c>
      <c r="Z424" s="18" t="e">
        <f t="shared" si="133"/>
        <v>#DIV/0!</v>
      </c>
      <c r="AA424" s="19">
        <v>0</v>
      </c>
      <c r="AB424" s="23">
        <f t="shared" si="146"/>
        <v>0</v>
      </c>
      <c r="AC424" s="17">
        <f>30%*(U424+V424)</f>
        <v>1423.152</v>
      </c>
      <c r="AD424" s="17">
        <v>0</v>
      </c>
      <c r="AE424" s="17">
        <f t="shared" si="134"/>
        <v>1423.152</v>
      </c>
      <c r="AF424" s="17">
        <f t="shared" si="143"/>
        <v>227.70432000000002</v>
      </c>
      <c r="AG424" s="17">
        <f>AE424+AF424</f>
        <v>1650.8563200000001</v>
      </c>
      <c r="AH424" s="17">
        <f t="shared" si="144"/>
        <v>28.463040000000003</v>
      </c>
      <c r="AI424" s="17">
        <v>0</v>
      </c>
      <c r="AJ424" s="17">
        <f t="shared" si="136"/>
        <v>28.463040000000003</v>
      </c>
      <c r="AK424" s="20"/>
      <c r="AL424" s="17">
        <f t="shared" si="137"/>
        <v>1394.68896</v>
      </c>
      <c r="AM424" s="30" t="s">
        <v>198</v>
      </c>
      <c r="AN424" s="80"/>
      <c r="AO424" s="23">
        <f t="shared" si="138"/>
        <v>0</v>
      </c>
      <c r="AP424" s="30"/>
      <c r="AQ424" s="33"/>
      <c r="AR424" s="17">
        <f t="shared" si="145"/>
        <v>0</v>
      </c>
      <c r="AS424" s="30"/>
      <c r="AT424" s="30"/>
      <c r="AU424" s="17">
        <f t="shared" si="140"/>
        <v>1650.8563200000001</v>
      </c>
      <c r="AV424" s="84">
        <f t="shared" si="139"/>
        <v>1650.8563200000001</v>
      </c>
      <c r="AW424" s="17" t="str">
        <f t="shared" si="142"/>
        <v>RAWSUR</v>
      </c>
      <c r="AX424" s="81"/>
      <c r="AY424" s="81"/>
      <c r="AZ424" s="2"/>
      <c r="BA424" s="1"/>
      <c r="BB424" s="82"/>
      <c r="BC424" s="81"/>
      <c r="BD424" s="2"/>
    </row>
    <row r="425" spans="1:56" ht="14.25" customHeight="1" x14ac:dyDescent="0.2">
      <c r="A425" s="1" t="s">
        <v>654</v>
      </c>
      <c r="B425" s="1" t="s">
        <v>57</v>
      </c>
      <c r="C425" s="13">
        <v>44743</v>
      </c>
      <c r="D425" s="13">
        <v>44749</v>
      </c>
      <c r="E425" s="13">
        <v>44743</v>
      </c>
      <c r="F425" s="13">
        <v>45107</v>
      </c>
      <c r="G425" s="14" t="str">
        <f t="shared" si="132"/>
        <v>000-424/AIB RDC/2022</v>
      </c>
      <c r="H425" s="1">
        <v>0</v>
      </c>
      <c r="I425" s="1" t="s">
        <v>74</v>
      </c>
      <c r="J425" s="1" t="s">
        <v>708</v>
      </c>
      <c r="K425" s="1" t="s">
        <v>709</v>
      </c>
      <c r="L425" s="1" t="s">
        <v>186</v>
      </c>
      <c r="M425" s="1" t="s">
        <v>706</v>
      </c>
      <c r="N425" s="1" t="s">
        <v>209</v>
      </c>
      <c r="O425" s="1" t="s">
        <v>466</v>
      </c>
      <c r="P425" s="1" t="s">
        <v>71</v>
      </c>
      <c r="Q425" s="1" t="s">
        <v>66</v>
      </c>
      <c r="R425" s="1" t="s">
        <v>66</v>
      </c>
      <c r="S425" s="17">
        <v>0</v>
      </c>
      <c r="T425" s="17">
        <v>3828.06</v>
      </c>
      <c r="U425" s="17">
        <v>0</v>
      </c>
      <c r="V425" s="17">
        <v>0</v>
      </c>
      <c r="W425" s="17">
        <v>32.67</v>
      </c>
      <c r="X425" s="17">
        <v>3267.38</v>
      </c>
      <c r="Y425" s="17">
        <v>528.01</v>
      </c>
      <c r="Z425" s="18" t="e">
        <f t="shared" si="133"/>
        <v>#DIV/0!</v>
      </c>
      <c r="AA425" s="19">
        <v>0.1</v>
      </c>
      <c r="AB425" s="17">
        <f t="shared" si="146"/>
        <v>326.73800000000006</v>
      </c>
      <c r="AC425" s="17"/>
      <c r="AD425" s="17"/>
      <c r="AE425" s="17">
        <f t="shared" si="134"/>
        <v>326.73800000000006</v>
      </c>
      <c r="AF425" s="17">
        <f t="shared" si="143"/>
        <v>52.27808000000001</v>
      </c>
      <c r="AG425" s="17">
        <f t="shared" ref="AG425:AG456" si="147">AF425+AE425</f>
        <v>379.01608000000004</v>
      </c>
      <c r="AH425" s="17">
        <f t="shared" si="144"/>
        <v>6.5347600000000012</v>
      </c>
      <c r="AI425" s="17"/>
      <c r="AJ425" s="17">
        <f t="shared" si="136"/>
        <v>6.5347600000000012</v>
      </c>
      <c r="AK425" s="20"/>
      <c r="AL425" s="17">
        <f t="shared" si="137"/>
        <v>320.20324000000005</v>
      </c>
      <c r="AM425" s="17"/>
      <c r="AN425" s="21"/>
      <c r="AO425" s="17">
        <f t="shared" si="138"/>
        <v>0</v>
      </c>
      <c r="AP425" s="17"/>
      <c r="AQ425" s="16"/>
      <c r="AR425" s="17">
        <f t="shared" si="145"/>
        <v>0</v>
      </c>
      <c r="AS425" s="17"/>
      <c r="AT425" s="17">
        <v>379.01608000000004</v>
      </c>
      <c r="AU425" s="17">
        <f t="shared" si="140"/>
        <v>379.01608000000004</v>
      </c>
      <c r="AV425" s="17">
        <f t="shared" si="139"/>
        <v>0</v>
      </c>
      <c r="AW425" s="17" t="str">
        <f t="shared" si="142"/>
        <v>ACTIVA</v>
      </c>
      <c r="AX425" s="22">
        <v>44805</v>
      </c>
      <c r="AY425" s="22"/>
      <c r="AZ425" s="1" t="s">
        <v>100</v>
      </c>
      <c r="BA425" s="22" t="str">
        <f t="shared" ref="BA425:BA456" si="148">O425</f>
        <v>PROPERTY DAMAGE &amp; BI</v>
      </c>
      <c r="BB425" s="22"/>
      <c r="BC425" s="22"/>
      <c r="BD425" s="22"/>
    </row>
    <row r="426" spans="1:56" ht="14.25" customHeight="1" x14ac:dyDescent="0.2">
      <c r="A426" s="1" t="s">
        <v>654</v>
      </c>
      <c r="B426" s="1" t="s">
        <v>57</v>
      </c>
      <c r="C426" s="13">
        <v>44722</v>
      </c>
      <c r="D426" s="13">
        <v>44749</v>
      </c>
      <c r="E426" s="13">
        <v>44750</v>
      </c>
      <c r="F426" s="13">
        <v>45114</v>
      </c>
      <c r="G426" s="14" t="str">
        <f t="shared" si="132"/>
        <v>000-425/AIB RDC/2022</v>
      </c>
      <c r="H426" s="1">
        <v>0</v>
      </c>
      <c r="I426" s="1" t="s">
        <v>74</v>
      </c>
      <c r="J426" s="1" t="s">
        <v>710</v>
      </c>
      <c r="K426" s="1" t="s">
        <v>709</v>
      </c>
      <c r="L426" s="1" t="s">
        <v>186</v>
      </c>
      <c r="M426" s="1" t="s">
        <v>706</v>
      </c>
      <c r="N426" s="1" t="s">
        <v>209</v>
      </c>
      <c r="O426" s="1" t="s">
        <v>73</v>
      </c>
      <c r="P426" s="1" t="s">
        <v>73</v>
      </c>
      <c r="Q426" s="1" t="s">
        <v>711</v>
      </c>
      <c r="R426" s="1" t="s">
        <v>712</v>
      </c>
      <c r="S426" s="17">
        <v>0</v>
      </c>
      <c r="T426" s="17">
        <v>1844</v>
      </c>
      <c r="U426" s="17">
        <v>0</v>
      </c>
      <c r="V426" s="17">
        <v>0</v>
      </c>
      <c r="W426" s="17">
        <v>5</v>
      </c>
      <c r="X426" s="17">
        <v>1584.65</v>
      </c>
      <c r="Y426" s="17">
        <v>254.35</v>
      </c>
      <c r="Z426" s="18" t="e">
        <f t="shared" si="133"/>
        <v>#DIV/0!</v>
      </c>
      <c r="AA426" s="19">
        <v>0.1</v>
      </c>
      <c r="AB426" s="17">
        <f t="shared" si="146"/>
        <v>158.46500000000003</v>
      </c>
      <c r="AC426" s="17"/>
      <c r="AD426" s="17"/>
      <c r="AE426" s="17">
        <f t="shared" si="134"/>
        <v>158.46500000000003</v>
      </c>
      <c r="AF426" s="17">
        <f t="shared" si="143"/>
        <v>25.354400000000005</v>
      </c>
      <c r="AG426" s="17">
        <f t="shared" si="147"/>
        <v>183.81940000000003</v>
      </c>
      <c r="AH426" s="17">
        <f t="shared" si="144"/>
        <v>3.1693000000000007</v>
      </c>
      <c r="AI426" s="17"/>
      <c r="AJ426" s="17">
        <f t="shared" si="136"/>
        <v>3.1693000000000007</v>
      </c>
      <c r="AK426" s="20"/>
      <c r="AL426" s="17">
        <f t="shared" si="137"/>
        <v>155.29570000000004</v>
      </c>
      <c r="AM426" s="17"/>
      <c r="AN426" s="21"/>
      <c r="AO426" s="17">
        <f t="shared" si="138"/>
        <v>0</v>
      </c>
      <c r="AP426" s="17"/>
      <c r="AQ426" s="16"/>
      <c r="AR426" s="17">
        <f t="shared" si="145"/>
        <v>0</v>
      </c>
      <c r="AS426" s="17"/>
      <c r="AT426" s="17">
        <v>183.81940000000003</v>
      </c>
      <c r="AU426" s="17">
        <f t="shared" si="140"/>
        <v>183.81940000000003</v>
      </c>
      <c r="AV426" s="17">
        <f t="shared" si="139"/>
        <v>0</v>
      </c>
      <c r="AW426" s="17" t="str">
        <f t="shared" si="142"/>
        <v>SONAS</v>
      </c>
      <c r="AX426" s="22">
        <v>44792</v>
      </c>
      <c r="AY426" s="22"/>
      <c r="AZ426" s="1" t="s">
        <v>100</v>
      </c>
      <c r="BA426" s="22" t="str">
        <f t="shared" si="148"/>
        <v>MOTOR TPL</v>
      </c>
      <c r="BB426" s="22"/>
      <c r="BC426" s="22"/>
      <c r="BD426" s="22"/>
    </row>
    <row r="427" spans="1:56" ht="14.25" customHeight="1" x14ac:dyDescent="0.2">
      <c r="A427" s="1" t="s">
        <v>654</v>
      </c>
      <c r="B427" s="1" t="s">
        <v>57</v>
      </c>
      <c r="C427" s="13">
        <v>44761</v>
      </c>
      <c r="D427" s="13">
        <v>44769</v>
      </c>
      <c r="E427" s="13">
        <v>44769</v>
      </c>
      <c r="F427" s="50">
        <v>44860</v>
      </c>
      <c r="G427" s="14" t="str">
        <f t="shared" si="132"/>
        <v>000-426/AIB RDC/2022</v>
      </c>
      <c r="H427" s="1">
        <v>0</v>
      </c>
      <c r="I427" s="1" t="s">
        <v>74</v>
      </c>
      <c r="J427" s="1" t="s">
        <v>713</v>
      </c>
      <c r="K427" s="1" t="s">
        <v>714</v>
      </c>
      <c r="L427" s="1"/>
      <c r="M427" s="1" t="s">
        <v>706</v>
      </c>
      <c r="N427" s="1" t="s">
        <v>209</v>
      </c>
      <c r="O427" s="1" t="s">
        <v>64</v>
      </c>
      <c r="P427" s="1" t="s">
        <v>65</v>
      </c>
      <c r="Q427" s="1" t="s">
        <v>86</v>
      </c>
      <c r="R427" s="1" t="s">
        <v>86</v>
      </c>
      <c r="S427" s="17">
        <v>256200</v>
      </c>
      <c r="T427" s="17">
        <v>2460.36</v>
      </c>
      <c r="U427" s="17">
        <v>0</v>
      </c>
      <c r="V427" s="17">
        <v>0</v>
      </c>
      <c r="W427" s="17">
        <v>21</v>
      </c>
      <c r="X427" s="17">
        <v>2100</v>
      </c>
      <c r="Y427" s="17">
        <v>339.36</v>
      </c>
      <c r="Z427" s="18">
        <f t="shared" si="133"/>
        <v>9.6032786885245913E-3</v>
      </c>
      <c r="AA427" s="19">
        <v>0.15</v>
      </c>
      <c r="AB427" s="17">
        <f t="shared" si="146"/>
        <v>315</v>
      </c>
      <c r="AC427" s="17"/>
      <c r="AD427" s="17"/>
      <c r="AE427" s="17">
        <f t="shared" si="134"/>
        <v>315</v>
      </c>
      <c r="AF427" s="17">
        <f t="shared" si="143"/>
        <v>50.4</v>
      </c>
      <c r="AG427" s="17">
        <f t="shared" si="147"/>
        <v>365.4</v>
      </c>
      <c r="AH427" s="17">
        <f t="shared" si="144"/>
        <v>6.3</v>
      </c>
      <c r="AI427" s="17"/>
      <c r="AJ427" s="17">
        <f t="shared" si="136"/>
        <v>6.3</v>
      </c>
      <c r="AK427" s="20"/>
      <c r="AL427" s="17">
        <f t="shared" si="137"/>
        <v>308.7</v>
      </c>
      <c r="AM427" s="17" t="s">
        <v>393</v>
      </c>
      <c r="AN427" s="21">
        <v>0.2</v>
      </c>
      <c r="AO427" s="17">
        <f t="shared" si="138"/>
        <v>61.74</v>
      </c>
      <c r="AP427" s="17">
        <v>61.74</v>
      </c>
      <c r="AQ427" s="16">
        <v>44830</v>
      </c>
      <c r="AR427" s="17">
        <f t="shared" si="145"/>
        <v>0</v>
      </c>
      <c r="AS427" s="17" t="s">
        <v>394</v>
      </c>
      <c r="AT427" s="17">
        <v>365.4</v>
      </c>
      <c r="AU427" s="17">
        <f t="shared" si="140"/>
        <v>365.4</v>
      </c>
      <c r="AV427" s="17">
        <f t="shared" si="139"/>
        <v>0</v>
      </c>
      <c r="AW427" s="17" t="str">
        <f t="shared" si="142"/>
        <v>SUNU</v>
      </c>
      <c r="AX427" s="22">
        <v>44795</v>
      </c>
      <c r="AY427" s="22"/>
      <c r="AZ427" s="1" t="s">
        <v>110</v>
      </c>
      <c r="BA427" s="22" t="str">
        <f t="shared" si="148"/>
        <v>MARINE CARGO / GIT</v>
      </c>
      <c r="BB427" s="22"/>
      <c r="BC427" s="22"/>
      <c r="BD427" s="22"/>
    </row>
    <row r="428" spans="1:56" ht="14.25" customHeight="1" x14ac:dyDescent="0.2">
      <c r="A428" s="1" t="s">
        <v>654</v>
      </c>
      <c r="B428" s="1" t="s">
        <v>57</v>
      </c>
      <c r="C428" s="13">
        <v>44760</v>
      </c>
      <c r="D428" s="13">
        <v>44770</v>
      </c>
      <c r="E428" s="13">
        <v>44763</v>
      </c>
      <c r="F428" s="13">
        <v>45127</v>
      </c>
      <c r="G428" s="14" t="str">
        <f t="shared" si="132"/>
        <v>000-427/AIB RDC/2022</v>
      </c>
      <c r="H428" s="1">
        <v>0</v>
      </c>
      <c r="I428" s="1" t="s">
        <v>74</v>
      </c>
      <c r="J428" s="1" t="s">
        <v>715</v>
      </c>
      <c r="K428" s="1" t="s">
        <v>224</v>
      </c>
      <c r="L428" s="1" t="s">
        <v>716</v>
      </c>
      <c r="M428" s="1" t="s">
        <v>706</v>
      </c>
      <c r="N428" s="1" t="s">
        <v>209</v>
      </c>
      <c r="O428" s="1" t="s">
        <v>70</v>
      </c>
      <c r="P428" s="1" t="s">
        <v>71</v>
      </c>
      <c r="Q428" s="1" t="s">
        <v>79</v>
      </c>
      <c r="R428" s="1" t="s">
        <v>79</v>
      </c>
      <c r="S428" s="17">
        <v>1951865</v>
      </c>
      <c r="T428" s="17">
        <v>2851.34</v>
      </c>
      <c r="U428" s="17">
        <v>0</v>
      </c>
      <c r="V428" s="17">
        <v>0</v>
      </c>
      <c r="W428" s="17">
        <v>20</v>
      </c>
      <c r="X428" s="17">
        <v>2396.39</v>
      </c>
      <c r="Y428" s="17">
        <v>386.39</v>
      </c>
      <c r="Z428" s="18">
        <f t="shared" si="133"/>
        <v>1.4608284896752593E-3</v>
      </c>
      <c r="AA428" s="19">
        <v>0.15</v>
      </c>
      <c r="AB428" s="17">
        <f t="shared" si="146"/>
        <v>359.45849999999996</v>
      </c>
      <c r="AC428" s="17"/>
      <c r="AD428" s="17"/>
      <c r="AE428" s="17">
        <f t="shared" si="134"/>
        <v>359.45849999999996</v>
      </c>
      <c r="AF428" s="17">
        <f t="shared" si="143"/>
        <v>57.513359999999992</v>
      </c>
      <c r="AG428" s="17">
        <f t="shared" si="147"/>
        <v>416.97185999999994</v>
      </c>
      <c r="AH428" s="17">
        <f t="shared" si="144"/>
        <v>7.189169999999999</v>
      </c>
      <c r="AI428" s="17"/>
      <c r="AJ428" s="17">
        <f t="shared" si="136"/>
        <v>7.189169999999999</v>
      </c>
      <c r="AK428" s="20"/>
      <c r="AL428" s="17">
        <f t="shared" si="137"/>
        <v>352.26932999999997</v>
      </c>
      <c r="AM428" s="17"/>
      <c r="AN428" s="21"/>
      <c r="AO428" s="17">
        <f t="shared" si="138"/>
        <v>0</v>
      </c>
      <c r="AP428" s="17"/>
      <c r="AQ428" s="16"/>
      <c r="AR428" s="17">
        <f t="shared" si="145"/>
        <v>0</v>
      </c>
      <c r="AS428" s="17"/>
      <c r="AT428" s="17">
        <f>208.49+208.48186</f>
        <v>416.97185999999999</v>
      </c>
      <c r="AU428" s="17">
        <v>416.97185999999999</v>
      </c>
      <c r="AV428" s="17">
        <f t="shared" si="139"/>
        <v>0</v>
      </c>
      <c r="AW428" s="17" t="str">
        <f t="shared" si="142"/>
        <v>MAYFAIR</v>
      </c>
      <c r="AX428" s="22">
        <v>45106</v>
      </c>
      <c r="AY428" s="22"/>
      <c r="AZ428" s="1" t="s">
        <v>100</v>
      </c>
      <c r="BA428" s="22" t="str">
        <f t="shared" si="148"/>
        <v>FIRE</v>
      </c>
      <c r="BB428" s="26"/>
      <c r="BC428" s="22"/>
      <c r="BD428" s="1" t="s">
        <v>549</v>
      </c>
    </row>
    <row r="429" spans="1:56" ht="14.25" customHeight="1" x14ac:dyDescent="0.2">
      <c r="A429" s="1" t="s">
        <v>654</v>
      </c>
      <c r="B429" s="1" t="s">
        <v>57</v>
      </c>
      <c r="C429" s="13">
        <v>44746</v>
      </c>
      <c r="D429" s="13">
        <v>44765</v>
      </c>
      <c r="E429" s="13">
        <v>44765</v>
      </c>
      <c r="F429" s="13">
        <v>45007</v>
      </c>
      <c r="G429" s="14" t="str">
        <f t="shared" si="132"/>
        <v>000-428/AIB RDC/2022</v>
      </c>
      <c r="H429" s="1">
        <v>3</v>
      </c>
      <c r="I429" s="1" t="s">
        <v>91</v>
      </c>
      <c r="J429" s="24" t="s">
        <v>434</v>
      </c>
      <c r="K429" s="1" t="s">
        <v>197</v>
      </c>
      <c r="L429" s="1" t="s">
        <v>77</v>
      </c>
      <c r="M429" s="1" t="s">
        <v>706</v>
      </c>
      <c r="N429" s="1" t="s">
        <v>209</v>
      </c>
      <c r="O429" s="1" t="s">
        <v>73</v>
      </c>
      <c r="P429" s="1" t="s">
        <v>73</v>
      </c>
      <c r="Q429" s="1" t="s">
        <v>130</v>
      </c>
      <c r="R429" s="1" t="s">
        <v>130</v>
      </c>
      <c r="S429" s="17">
        <v>0</v>
      </c>
      <c r="T429" s="17">
        <v>212.58</v>
      </c>
      <c r="U429" s="17">
        <v>0</v>
      </c>
      <c r="V429" s="17">
        <v>0</v>
      </c>
      <c r="W429" s="17">
        <v>2.66</v>
      </c>
      <c r="X429" s="17">
        <v>177.5</v>
      </c>
      <c r="Y429" s="17">
        <v>28.82</v>
      </c>
      <c r="Z429" s="18" t="e">
        <f t="shared" si="133"/>
        <v>#DIV/0!</v>
      </c>
      <c r="AA429" s="19">
        <v>0.1</v>
      </c>
      <c r="AB429" s="17">
        <f t="shared" si="146"/>
        <v>17.75</v>
      </c>
      <c r="AC429" s="17">
        <v>0</v>
      </c>
      <c r="AD429" s="17">
        <v>0</v>
      </c>
      <c r="AE429" s="17">
        <f t="shared" si="134"/>
        <v>17.75</v>
      </c>
      <c r="AF429" s="17">
        <f t="shared" si="143"/>
        <v>2.84</v>
      </c>
      <c r="AG429" s="17">
        <f t="shared" si="147"/>
        <v>20.59</v>
      </c>
      <c r="AH429" s="17">
        <f t="shared" si="144"/>
        <v>0.35499999999999998</v>
      </c>
      <c r="AI429" s="17">
        <v>0</v>
      </c>
      <c r="AJ429" s="17">
        <f t="shared" si="136"/>
        <v>0.35499999999999998</v>
      </c>
      <c r="AK429" s="20"/>
      <c r="AL429" s="17">
        <f t="shared" si="137"/>
        <v>17.395</v>
      </c>
      <c r="AM429" s="17"/>
      <c r="AN429" s="21"/>
      <c r="AO429" s="17">
        <f t="shared" si="138"/>
        <v>0</v>
      </c>
      <c r="AP429" s="17"/>
      <c r="AQ429" s="16"/>
      <c r="AR429" s="17">
        <f t="shared" si="145"/>
        <v>0</v>
      </c>
      <c r="AS429" s="17"/>
      <c r="AT429" s="17">
        <v>20.59</v>
      </c>
      <c r="AU429" s="17">
        <f t="shared" ref="AU429:AU460" si="149">AG429</f>
        <v>20.59</v>
      </c>
      <c r="AV429" s="17">
        <f t="shared" si="139"/>
        <v>0</v>
      </c>
      <c r="AW429" s="17" t="str">
        <f t="shared" si="142"/>
        <v>SFA</v>
      </c>
      <c r="AX429" s="22">
        <v>44791</v>
      </c>
      <c r="AY429" s="22"/>
      <c r="AZ429" s="1" t="s">
        <v>68</v>
      </c>
      <c r="BA429" s="22" t="str">
        <f t="shared" si="148"/>
        <v>MOTOR TPL</v>
      </c>
      <c r="BB429" s="22"/>
      <c r="BC429" s="22"/>
      <c r="BD429" s="22"/>
    </row>
    <row r="430" spans="1:56" ht="14.25" customHeight="1" x14ac:dyDescent="0.2">
      <c r="A430" s="1" t="s">
        <v>654</v>
      </c>
      <c r="B430" s="1" t="s">
        <v>57</v>
      </c>
      <c r="C430" s="13">
        <v>44762</v>
      </c>
      <c r="D430" s="13">
        <v>44765</v>
      </c>
      <c r="E430" s="13">
        <v>44765</v>
      </c>
      <c r="F430" s="13">
        <v>45007</v>
      </c>
      <c r="G430" s="14" t="str">
        <f t="shared" si="132"/>
        <v>000-429/AIB RDC/2022</v>
      </c>
      <c r="H430" s="1">
        <v>4</v>
      </c>
      <c r="I430" s="1" t="s">
        <v>91</v>
      </c>
      <c r="J430" s="24" t="s">
        <v>434</v>
      </c>
      <c r="K430" s="1" t="s">
        <v>197</v>
      </c>
      <c r="L430" s="1" t="s">
        <v>77</v>
      </c>
      <c r="M430" s="1" t="s">
        <v>706</v>
      </c>
      <c r="N430" s="1" t="s">
        <v>209</v>
      </c>
      <c r="O430" s="1" t="s">
        <v>73</v>
      </c>
      <c r="P430" s="1" t="s">
        <v>73</v>
      </c>
      <c r="Q430" s="1" t="s">
        <v>130</v>
      </c>
      <c r="R430" s="1" t="s">
        <v>130</v>
      </c>
      <c r="S430" s="17">
        <v>0</v>
      </c>
      <c r="T430" s="17">
        <v>123.44</v>
      </c>
      <c r="U430" s="17">
        <v>0</v>
      </c>
      <c r="V430" s="17">
        <v>0</v>
      </c>
      <c r="W430" s="17">
        <v>1.54</v>
      </c>
      <c r="X430" s="17">
        <v>103.08</v>
      </c>
      <c r="Y430" s="17">
        <v>16.73</v>
      </c>
      <c r="Z430" s="18" t="e">
        <f t="shared" si="133"/>
        <v>#DIV/0!</v>
      </c>
      <c r="AA430" s="19">
        <v>0.1</v>
      </c>
      <c r="AB430" s="17">
        <f t="shared" si="146"/>
        <v>10.308</v>
      </c>
      <c r="AC430" s="17">
        <v>0</v>
      </c>
      <c r="AD430" s="17">
        <v>0</v>
      </c>
      <c r="AE430" s="17">
        <f t="shared" si="134"/>
        <v>10.308</v>
      </c>
      <c r="AF430" s="17">
        <f t="shared" si="143"/>
        <v>1.6492800000000001</v>
      </c>
      <c r="AG430" s="17">
        <f t="shared" si="147"/>
        <v>11.957280000000001</v>
      </c>
      <c r="AH430" s="17">
        <f t="shared" si="144"/>
        <v>0.20616000000000001</v>
      </c>
      <c r="AI430" s="17">
        <v>0</v>
      </c>
      <c r="AJ430" s="17">
        <f t="shared" si="136"/>
        <v>0.20616000000000001</v>
      </c>
      <c r="AK430" s="20"/>
      <c r="AL430" s="17">
        <f t="shared" si="137"/>
        <v>10.101839999999999</v>
      </c>
      <c r="AM430" s="17"/>
      <c r="AN430" s="21"/>
      <c r="AO430" s="17">
        <f t="shared" si="138"/>
        <v>0</v>
      </c>
      <c r="AP430" s="17"/>
      <c r="AQ430" s="16"/>
      <c r="AR430" s="17">
        <f t="shared" si="145"/>
        <v>0</v>
      </c>
      <c r="AS430" s="17"/>
      <c r="AT430" s="17">
        <v>11.957280000000001</v>
      </c>
      <c r="AU430" s="17">
        <f t="shared" si="149"/>
        <v>11.957280000000001</v>
      </c>
      <c r="AV430" s="17">
        <f t="shared" si="139"/>
        <v>0</v>
      </c>
      <c r="AW430" s="17" t="str">
        <f t="shared" si="142"/>
        <v>SFA</v>
      </c>
      <c r="AX430" s="22">
        <v>44791</v>
      </c>
      <c r="AY430" s="22"/>
      <c r="AZ430" s="1" t="s">
        <v>68</v>
      </c>
      <c r="BA430" s="22" t="str">
        <f t="shared" si="148"/>
        <v>MOTOR TPL</v>
      </c>
      <c r="BB430" s="22"/>
      <c r="BC430" s="22"/>
      <c r="BD430" s="22"/>
    </row>
    <row r="431" spans="1:56" ht="14.25" customHeight="1" x14ac:dyDescent="0.2">
      <c r="A431" s="1" t="s">
        <v>654</v>
      </c>
      <c r="B431" s="1" t="s">
        <v>57</v>
      </c>
      <c r="C431" s="13">
        <v>44873</v>
      </c>
      <c r="D431" s="13">
        <v>44771</v>
      </c>
      <c r="E431" s="13">
        <v>44750</v>
      </c>
      <c r="F431" s="13">
        <v>45114</v>
      </c>
      <c r="G431" s="14" t="str">
        <f t="shared" si="132"/>
        <v>000-430/AIB RDC/2022</v>
      </c>
      <c r="H431" s="1">
        <v>0</v>
      </c>
      <c r="I431" s="1" t="s">
        <v>74</v>
      </c>
      <c r="J431" s="1" t="s">
        <v>717</v>
      </c>
      <c r="K431" s="1" t="s">
        <v>718</v>
      </c>
      <c r="L431" s="1"/>
      <c r="M431" s="1" t="s">
        <v>706</v>
      </c>
      <c r="N431" s="1" t="s">
        <v>209</v>
      </c>
      <c r="O431" s="1" t="s">
        <v>233</v>
      </c>
      <c r="P431" s="1" t="s">
        <v>234</v>
      </c>
      <c r="Q431" s="1" t="s">
        <v>79</v>
      </c>
      <c r="R431" s="1" t="s">
        <v>79</v>
      </c>
      <c r="S431" s="17">
        <v>8000000</v>
      </c>
      <c r="T431" s="17">
        <v>20839.96</v>
      </c>
      <c r="U431" s="17">
        <v>0</v>
      </c>
      <c r="V431" s="17">
        <v>0</v>
      </c>
      <c r="W431" s="17">
        <v>100</v>
      </c>
      <c r="X431" s="17">
        <v>17560.98</v>
      </c>
      <c r="Y431" s="17">
        <v>2825.76</v>
      </c>
      <c r="Z431" s="18">
        <f t="shared" si="133"/>
        <v>2.6049949999999997E-3</v>
      </c>
      <c r="AA431" s="19">
        <v>0.03</v>
      </c>
      <c r="AB431" s="17">
        <f t="shared" si="146"/>
        <v>526.82939999999996</v>
      </c>
      <c r="AC431" s="17"/>
      <c r="AD431" s="17"/>
      <c r="AE431" s="17">
        <f t="shared" si="134"/>
        <v>526.82939999999996</v>
      </c>
      <c r="AF431" s="17">
        <f t="shared" si="143"/>
        <v>84.292704000000001</v>
      </c>
      <c r="AG431" s="17">
        <f t="shared" si="147"/>
        <v>611.12210399999992</v>
      </c>
      <c r="AH431" s="17">
        <f t="shared" si="144"/>
        <v>10.536588</v>
      </c>
      <c r="AI431" s="17"/>
      <c r="AJ431" s="17">
        <f t="shared" si="136"/>
        <v>10.536588</v>
      </c>
      <c r="AK431" s="20"/>
      <c r="AL431" s="17">
        <f t="shared" si="137"/>
        <v>516.29281199999991</v>
      </c>
      <c r="AM431" s="17"/>
      <c r="AN431" s="21"/>
      <c r="AO431" s="17">
        <f t="shared" si="138"/>
        <v>0</v>
      </c>
      <c r="AP431" s="17"/>
      <c r="AQ431" s="16"/>
      <c r="AR431" s="17">
        <f t="shared" si="145"/>
        <v>0</v>
      </c>
      <c r="AS431" s="17"/>
      <c r="AT431" s="17">
        <v>611.12210399999992</v>
      </c>
      <c r="AU431" s="17">
        <f t="shared" si="149"/>
        <v>611.12210399999992</v>
      </c>
      <c r="AV431" s="17">
        <f t="shared" si="139"/>
        <v>0</v>
      </c>
      <c r="AW431" s="17" t="str">
        <f t="shared" si="142"/>
        <v>MAYFAIR</v>
      </c>
      <c r="AX431" s="22">
        <v>44875</v>
      </c>
      <c r="AY431" s="22"/>
      <c r="AZ431" s="1"/>
      <c r="BA431" s="22" t="str">
        <f t="shared" si="148"/>
        <v>PVT</v>
      </c>
      <c r="BB431" s="22"/>
      <c r="BC431" s="22"/>
      <c r="BD431" s="22"/>
    </row>
    <row r="432" spans="1:56" ht="14.25" customHeight="1" x14ac:dyDescent="0.2">
      <c r="A432" s="1" t="s">
        <v>654</v>
      </c>
      <c r="B432" s="1" t="s">
        <v>57</v>
      </c>
      <c r="C432" s="13">
        <v>44760</v>
      </c>
      <c r="D432" s="13">
        <v>44771</v>
      </c>
      <c r="E432" s="13">
        <v>44750</v>
      </c>
      <c r="F432" s="13">
        <v>45114</v>
      </c>
      <c r="G432" s="14" t="str">
        <f t="shared" si="132"/>
        <v>000-431/AIB RDC/2022</v>
      </c>
      <c r="H432" s="1">
        <v>2</v>
      </c>
      <c r="I432" s="1" t="s">
        <v>58</v>
      </c>
      <c r="J432" s="1" t="s">
        <v>719</v>
      </c>
      <c r="K432" s="1" t="s">
        <v>720</v>
      </c>
      <c r="L432" s="1"/>
      <c r="M432" s="1" t="s">
        <v>706</v>
      </c>
      <c r="N432" s="1" t="s">
        <v>209</v>
      </c>
      <c r="O432" s="1" t="s">
        <v>233</v>
      </c>
      <c r="P432" s="1" t="s">
        <v>234</v>
      </c>
      <c r="Q432" s="1" t="s">
        <v>79</v>
      </c>
      <c r="R432" s="1" t="s">
        <v>79</v>
      </c>
      <c r="S432" s="17">
        <v>5000000</v>
      </c>
      <c r="T432" s="17">
        <v>11223.88</v>
      </c>
      <c r="U432" s="17">
        <v>0</v>
      </c>
      <c r="V432" s="17">
        <v>0</v>
      </c>
      <c r="W432" s="17">
        <v>100</v>
      </c>
      <c r="X432" s="17">
        <v>9411.76</v>
      </c>
      <c r="Y432" s="17">
        <v>1521.88</v>
      </c>
      <c r="Z432" s="18">
        <f t="shared" si="133"/>
        <v>2.244776E-3</v>
      </c>
      <c r="AA432" s="19">
        <v>2.2499511249755622E-2</v>
      </c>
      <c r="AB432" s="17">
        <f t="shared" si="146"/>
        <v>211.76</v>
      </c>
      <c r="AC432" s="17"/>
      <c r="AD432" s="17"/>
      <c r="AE432" s="17">
        <f t="shared" si="134"/>
        <v>211.76</v>
      </c>
      <c r="AF432" s="17">
        <f t="shared" si="143"/>
        <v>33.881599999999999</v>
      </c>
      <c r="AG432" s="17">
        <f t="shared" si="147"/>
        <v>245.64159999999998</v>
      </c>
      <c r="AH432" s="17">
        <f t="shared" si="144"/>
        <v>4.2351999999999999</v>
      </c>
      <c r="AI432" s="17"/>
      <c r="AJ432" s="17">
        <f t="shared" si="136"/>
        <v>4.2351999999999999</v>
      </c>
      <c r="AK432" s="20"/>
      <c r="AL432" s="17">
        <f t="shared" si="137"/>
        <v>207.5248</v>
      </c>
      <c r="AM432" s="17"/>
      <c r="AN432" s="21"/>
      <c r="AO432" s="17">
        <f t="shared" si="138"/>
        <v>0</v>
      </c>
      <c r="AP432" s="17"/>
      <c r="AQ432" s="16"/>
      <c r="AR432" s="17">
        <f t="shared" si="145"/>
        <v>0</v>
      </c>
      <c r="AS432" s="17"/>
      <c r="AT432" s="17">
        <v>245.64159999999998</v>
      </c>
      <c r="AU432" s="17">
        <f t="shared" si="149"/>
        <v>245.64159999999998</v>
      </c>
      <c r="AV432" s="17">
        <f t="shared" si="139"/>
        <v>0</v>
      </c>
      <c r="AW432" s="17" t="str">
        <f t="shared" si="142"/>
        <v>MAYFAIR</v>
      </c>
      <c r="AX432" s="22">
        <v>44988</v>
      </c>
      <c r="AY432" s="22"/>
      <c r="AZ432" s="1"/>
      <c r="BA432" s="22" t="str">
        <f t="shared" si="148"/>
        <v>PVT</v>
      </c>
      <c r="BB432" s="22"/>
      <c r="BC432" s="22"/>
      <c r="BD432" s="22"/>
    </row>
    <row r="433" spans="1:56" ht="14.25" customHeight="1" x14ac:dyDescent="0.2">
      <c r="A433" s="1" t="s">
        <v>654</v>
      </c>
      <c r="B433" s="1" t="s">
        <v>57</v>
      </c>
      <c r="C433" s="13">
        <v>44768</v>
      </c>
      <c r="D433" s="13">
        <v>44769</v>
      </c>
      <c r="E433" s="13">
        <v>44768</v>
      </c>
      <c r="F433" s="13">
        <v>44994</v>
      </c>
      <c r="G433" s="14" t="str">
        <f t="shared" si="132"/>
        <v>000-432/AIB RDC/2022</v>
      </c>
      <c r="H433" s="1">
        <v>2</v>
      </c>
      <c r="I433" s="1" t="s">
        <v>91</v>
      </c>
      <c r="J433" s="1" t="s">
        <v>398</v>
      </c>
      <c r="K433" s="1" t="s">
        <v>207</v>
      </c>
      <c r="L433" s="1" t="s">
        <v>208</v>
      </c>
      <c r="M433" s="1" t="s">
        <v>706</v>
      </c>
      <c r="N433" s="1" t="s">
        <v>209</v>
      </c>
      <c r="O433" s="1" t="s">
        <v>73</v>
      </c>
      <c r="P433" s="1" t="s">
        <v>73</v>
      </c>
      <c r="Q433" s="1" t="s">
        <v>79</v>
      </c>
      <c r="R433" s="1" t="s">
        <v>79</v>
      </c>
      <c r="S433" s="17">
        <v>0</v>
      </c>
      <c r="T433" s="17">
        <v>168.84</v>
      </c>
      <c r="U433" s="17">
        <v>0</v>
      </c>
      <c r="V433" s="17">
        <v>0</v>
      </c>
      <c r="W433" s="17">
        <v>10</v>
      </c>
      <c r="X433" s="17">
        <v>133.09</v>
      </c>
      <c r="Y433" s="17">
        <v>22.89</v>
      </c>
      <c r="Z433" s="18" t="e">
        <f t="shared" si="133"/>
        <v>#DIV/0!</v>
      </c>
      <c r="AA433" s="19">
        <v>0.1</v>
      </c>
      <c r="AB433" s="17">
        <f t="shared" si="146"/>
        <v>13.309000000000001</v>
      </c>
      <c r="AC433" s="17"/>
      <c r="AD433" s="17"/>
      <c r="AE433" s="17">
        <f t="shared" si="134"/>
        <v>13.309000000000001</v>
      </c>
      <c r="AF433" s="17">
        <f t="shared" si="143"/>
        <v>2.1294400000000002</v>
      </c>
      <c r="AG433" s="17">
        <f t="shared" si="147"/>
        <v>15.438440000000002</v>
      </c>
      <c r="AH433" s="17">
        <f t="shared" si="144"/>
        <v>0.26618000000000003</v>
      </c>
      <c r="AI433" s="17"/>
      <c r="AJ433" s="17">
        <f t="shared" si="136"/>
        <v>0.26618000000000003</v>
      </c>
      <c r="AK433" s="20"/>
      <c r="AL433" s="17">
        <f t="shared" si="137"/>
        <v>13.042820000000001</v>
      </c>
      <c r="AM433" s="17"/>
      <c r="AN433" s="21"/>
      <c r="AO433" s="17">
        <f t="shared" si="138"/>
        <v>0</v>
      </c>
      <c r="AP433" s="17"/>
      <c r="AQ433" s="16"/>
      <c r="AR433" s="17">
        <f t="shared" si="145"/>
        <v>0</v>
      </c>
      <c r="AS433" s="17"/>
      <c r="AT433" s="17">
        <v>15.438440000000002</v>
      </c>
      <c r="AU433" s="17">
        <f t="shared" si="149"/>
        <v>15.438440000000002</v>
      </c>
      <c r="AV433" s="17">
        <f t="shared" si="139"/>
        <v>0</v>
      </c>
      <c r="AW433" s="17" t="str">
        <f t="shared" si="142"/>
        <v>MAYFAIR</v>
      </c>
      <c r="AX433" s="22">
        <v>44791</v>
      </c>
      <c r="AY433" s="22"/>
      <c r="AZ433" s="1" t="s">
        <v>68</v>
      </c>
      <c r="BA433" s="22" t="str">
        <f t="shared" si="148"/>
        <v>MOTOR TPL</v>
      </c>
      <c r="BB433" s="22"/>
      <c r="BC433" s="22"/>
      <c r="BD433" s="22"/>
    </row>
    <row r="434" spans="1:56" ht="14.25" customHeight="1" x14ac:dyDescent="0.2">
      <c r="A434" s="1" t="s">
        <v>654</v>
      </c>
      <c r="B434" s="1" t="s">
        <v>57</v>
      </c>
      <c r="C434" s="13">
        <v>44768</v>
      </c>
      <c r="D434" s="13">
        <v>44769</v>
      </c>
      <c r="E434" s="13">
        <v>44768</v>
      </c>
      <c r="F434" s="13">
        <v>44994</v>
      </c>
      <c r="G434" s="14" t="str">
        <f t="shared" si="132"/>
        <v>000-433/AIB RDC/2022</v>
      </c>
      <c r="H434" s="1">
        <v>3</v>
      </c>
      <c r="I434" s="1" t="s">
        <v>91</v>
      </c>
      <c r="J434" s="1" t="s">
        <v>399</v>
      </c>
      <c r="K434" s="1" t="s">
        <v>400</v>
      </c>
      <c r="L434" s="1" t="s">
        <v>208</v>
      </c>
      <c r="M434" s="1" t="s">
        <v>706</v>
      </c>
      <c r="N434" s="1" t="s">
        <v>209</v>
      </c>
      <c r="O434" s="1" t="s">
        <v>73</v>
      </c>
      <c r="P434" s="1" t="s">
        <v>73</v>
      </c>
      <c r="Q434" s="1" t="s">
        <v>79</v>
      </c>
      <c r="R434" s="1" t="s">
        <v>79</v>
      </c>
      <c r="S434" s="17">
        <v>0</v>
      </c>
      <c r="T434" s="17">
        <v>110.38</v>
      </c>
      <c r="U434" s="17">
        <v>0</v>
      </c>
      <c r="V434" s="17">
        <v>0</v>
      </c>
      <c r="W434" s="17">
        <v>10</v>
      </c>
      <c r="X434" s="17">
        <v>83.54</v>
      </c>
      <c r="Y434" s="17">
        <v>14.97</v>
      </c>
      <c r="Z434" s="18" t="e">
        <f t="shared" si="133"/>
        <v>#DIV/0!</v>
      </c>
      <c r="AA434" s="19">
        <v>0.1</v>
      </c>
      <c r="AB434" s="17">
        <f t="shared" si="146"/>
        <v>8.354000000000001</v>
      </c>
      <c r="AC434" s="17">
        <v>0</v>
      </c>
      <c r="AD434" s="17">
        <v>0</v>
      </c>
      <c r="AE434" s="17">
        <f t="shared" si="134"/>
        <v>8.354000000000001</v>
      </c>
      <c r="AF434" s="17">
        <f t="shared" si="143"/>
        <v>1.3366400000000003</v>
      </c>
      <c r="AG434" s="17">
        <f t="shared" si="147"/>
        <v>9.6906400000000019</v>
      </c>
      <c r="AH434" s="17">
        <f t="shared" si="144"/>
        <v>0.16708000000000003</v>
      </c>
      <c r="AI434" s="17"/>
      <c r="AJ434" s="17">
        <f t="shared" si="136"/>
        <v>0.16708000000000003</v>
      </c>
      <c r="AK434" s="20"/>
      <c r="AL434" s="17">
        <f t="shared" si="137"/>
        <v>8.1869200000000006</v>
      </c>
      <c r="AM434" s="17"/>
      <c r="AN434" s="21"/>
      <c r="AO434" s="17">
        <f t="shared" si="138"/>
        <v>0</v>
      </c>
      <c r="AP434" s="17"/>
      <c r="AQ434" s="16"/>
      <c r="AR434" s="17">
        <f t="shared" si="145"/>
        <v>0</v>
      </c>
      <c r="AS434" s="17"/>
      <c r="AT434" s="17">
        <v>9.6906400000000019</v>
      </c>
      <c r="AU434" s="17">
        <f t="shared" si="149"/>
        <v>9.6906400000000019</v>
      </c>
      <c r="AV434" s="17">
        <f t="shared" si="139"/>
        <v>0</v>
      </c>
      <c r="AW434" s="17" t="str">
        <f t="shared" si="142"/>
        <v>MAYFAIR</v>
      </c>
      <c r="AX434" s="22">
        <v>44791</v>
      </c>
      <c r="AY434" s="22"/>
      <c r="AZ434" s="1" t="s">
        <v>68</v>
      </c>
      <c r="BA434" s="22" t="str">
        <f t="shared" si="148"/>
        <v>MOTOR TPL</v>
      </c>
      <c r="BB434" s="22"/>
      <c r="BC434" s="22"/>
      <c r="BD434" s="22"/>
    </row>
    <row r="435" spans="1:56" ht="14.25" customHeight="1" x14ac:dyDescent="0.2">
      <c r="A435" s="1" t="s">
        <v>439</v>
      </c>
      <c r="B435" s="1" t="s">
        <v>57</v>
      </c>
      <c r="C435" s="13">
        <v>44749</v>
      </c>
      <c r="D435" s="13">
        <v>44797</v>
      </c>
      <c r="E435" s="13">
        <v>44774</v>
      </c>
      <c r="F435" s="13">
        <v>45138</v>
      </c>
      <c r="G435" s="14" t="str">
        <f t="shared" si="132"/>
        <v>000-434/AIB RDC/2022</v>
      </c>
      <c r="H435" s="1">
        <v>1</v>
      </c>
      <c r="I435" s="1" t="s">
        <v>58</v>
      </c>
      <c r="J435" s="1" t="s">
        <v>721</v>
      </c>
      <c r="K435" s="1" t="s">
        <v>722</v>
      </c>
      <c r="L435" s="1" t="s">
        <v>388</v>
      </c>
      <c r="M435" s="1" t="s">
        <v>706</v>
      </c>
      <c r="N435" s="1" t="s">
        <v>209</v>
      </c>
      <c r="O435" s="1" t="s">
        <v>129</v>
      </c>
      <c r="P435" s="1" t="s">
        <v>90</v>
      </c>
      <c r="Q435" s="1" t="s">
        <v>107</v>
      </c>
      <c r="R435" s="1" t="s">
        <v>107</v>
      </c>
      <c r="S435" s="17">
        <v>5000000</v>
      </c>
      <c r="T435" s="17">
        <v>38641.53</v>
      </c>
      <c r="U435" s="17">
        <v>4897.0600000000004</v>
      </c>
      <c r="V435" s="17">
        <v>0</v>
      </c>
      <c r="W435" s="17">
        <v>100</v>
      </c>
      <c r="X435" s="17">
        <v>32647.06</v>
      </c>
      <c r="Y435" s="17">
        <v>5239.53</v>
      </c>
      <c r="Z435" s="18">
        <f t="shared" si="133"/>
        <v>7.7283059999999999E-3</v>
      </c>
      <c r="AA435" s="19">
        <v>0</v>
      </c>
      <c r="AB435" s="17">
        <f t="shared" si="146"/>
        <v>0</v>
      </c>
      <c r="AC435" s="17">
        <f>30%*U435</f>
        <v>1469.1180000000002</v>
      </c>
      <c r="AD435" s="17">
        <v>750</v>
      </c>
      <c r="AE435" s="17">
        <f t="shared" si="134"/>
        <v>2219.1180000000004</v>
      </c>
      <c r="AF435" s="17">
        <f t="shared" si="143"/>
        <v>355.05888000000004</v>
      </c>
      <c r="AG435" s="17">
        <f t="shared" si="147"/>
        <v>2574.1768800000004</v>
      </c>
      <c r="AH435" s="17">
        <f t="shared" si="144"/>
        <v>44.382360000000006</v>
      </c>
      <c r="AI435" s="17"/>
      <c r="AJ435" s="17">
        <f t="shared" si="136"/>
        <v>44.382360000000006</v>
      </c>
      <c r="AK435" s="20"/>
      <c r="AL435" s="17">
        <f t="shared" si="137"/>
        <v>2174.7356400000003</v>
      </c>
      <c r="AM435" s="17"/>
      <c r="AN435" s="21"/>
      <c r="AO435" s="17">
        <f t="shared" si="138"/>
        <v>0</v>
      </c>
      <c r="AP435" s="17"/>
      <c r="AQ435" s="16"/>
      <c r="AR435" s="17">
        <f t="shared" si="145"/>
        <v>0</v>
      </c>
      <c r="AS435" s="17"/>
      <c r="AT435" s="17">
        <v>2574.1768800000004</v>
      </c>
      <c r="AU435" s="17">
        <f t="shared" si="149"/>
        <v>2574.1768800000004</v>
      </c>
      <c r="AV435" s="17">
        <f t="shared" si="139"/>
        <v>0</v>
      </c>
      <c r="AW435" s="17" t="str">
        <f t="shared" si="142"/>
        <v>RAWSUR</v>
      </c>
      <c r="AX435" s="22">
        <v>44832</v>
      </c>
      <c r="AY435" s="22"/>
      <c r="AZ435" s="1" t="s">
        <v>100</v>
      </c>
      <c r="BA435" s="22" t="str">
        <f t="shared" si="148"/>
        <v>D&amp;O</v>
      </c>
      <c r="BB435" s="22"/>
      <c r="BC435" s="22"/>
      <c r="BD435" s="22"/>
    </row>
    <row r="436" spans="1:56" ht="14.25" customHeight="1" x14ac:dyDescent="0.2">
      <c r="A436" s="1" t="s">
        <v>654</v>
      </c>
      <c r="B436" s="1" t="s">
        <v>57</v>
      </c>
      <c r="C436" s="13">
        <v>44755</v>
      </c>
      <c r="D436" s="13">
        <v>44755</v>
      </c>
      <c r="E436" s="13">
        <v>44743</v>
      </c>
      <c r="F436" s="13">
        <v>44772</v>
      </c>
      <c r="G436" s="14" t="str">
        <f t="shared" si="132"/>
        <v>000-435/AIB RDC/2022</v>
      </c>
      <c r="H436" s="1">
        <v>3</v>
      </c>
      <c r="I436" s="1" t="s">
        <v>217</v>
      </c>
      <c r="J436" s="1" t="s">
        <v>520</v>
      </c>
      <c r="K436" s="1" t="s">
        <v>723</v>
      </c>
      <c r="L436" s="1" t="s">
        <v>366</v>
      </c>
      <c r="M436" s="1" t="s">
        <v>706</v>
      </c>
      <c r="N436" s="1" t="s">
        <v>209</v>
      </c>
      <c r="O436" s="1" t="s">
        <v>281</v>
      </c>
      <c r="P436" s="1" t="s">
        <v>166</v>
      </c>
      <c r="Q436" s="1" t="s">
        <v>130</v>
      </c>
      <c r="R436" s="1" t="s">
        <v>130</v>
      </c>
      <c r="S436" s="17">
        <v>0</v>
      </c>
      <c r="T436" s="17">
        <v>1036.04</v>
      </c>
      <c r="U436" s="17">
        <v>0</v>
      </c>
      <c r="V436" s="17">
        <v>0</v>
      </c>
      <c r="W436" s="17">
        <v>20</v>
      </c>
      <c r="X436" s="17">
        <v>858</v>
      </c>
      <c r="Y436" s="17">
        <v>140.47999999999999</v>
      </c>
      <c r="Z436" s="18" t="e">
        <f t="shared" si="133"/>
        <v>#DIV/0!</v>
      </c>
      <c r="AA436" s="19">
        <v>0.15</v>
      </c>
      <c r="AB436" s="17">
        <f t="shared" si="146"/>
        <v>128.69999999999999</v>
      </c>
      <c r="AC436" s="17"/>
      <c r="AD436" s="17"/>
      <c r="AE436" s="17">
        <f t="shared" si="134"/>
        <v>128.69999999999999</v>
      </c>
      <c r="AF436" s="17">
        <f t="shared" si="143"/>
        <v>20.591999999999999</v>
      </c>
      <c r="AG436" s="17">
        <f t="shared" si="147"/>
        <v>149.29199999999997</v>
      </c>
      <c r="AH436" s="17">
        <f t="shared" si="144"/>
        <v>2.5739999999999998</v>
      </c>
      <c r="AI436" s="17"/>
      <c r="AJ436" s="17">
        <f t="shared" si="136"/>
        <v>2.5739999999999998</v>
      </c>
      <c r="AK436" s="20"/>
      <c r="AL436" s="17">
        <f t="shared" si="137"/>
        <v>126.12599999999999</v>
      </c>
      <c r="AM436" s="17"/>
      <c r="AN436" s="21"/>
      <c r="AO436" s="17">
        <f t="shared" si="138"/>
        <v>0</v>
      </c>
      <c r="AP436" s="17"/>
      <c r="AQ436" s="16"/>
      <c r="AR436" s="17">
        <f t="shared" si="145"/>
        <v>0</v>
      </c>
      <c r="AS436" s="17"/>
      <c r="AT436" s="17">
        <v>149.29199999999997</v>
      </c>
      <c r="AU436" s="17">
        <f t="shared" si="149"/>
        <v>149.29199999999997</v>
      </c>
      <c r="AV436" s="17">
        <f t="shared" si="139"/>
        <v>0</v>
      </c>
      <c r="AW436" s="17" t="str">
        <f t="shared" si="142"/>
        <v>SFA</v>
      </c>
      <c r="AX436" s="22">
        <v>44791</v>
      </c>
      <c r="AY436" s="22"/>
      <c r="AZ436" s="1" t="s">
        <v>68</v>
      </c>
      <c r="BA436" s="22" t="str">
        <f t="shared" si="148"/>
        <v>TRC</v>
      </c>
      <c r="BB436" s="22"/>
      <c r="BC436" s="1" t="s">
        <v>130</v>
      </c>
      <c r="BD436" s="1"/>
    </row>
    <row r="437" spans="1:56" ht="14.25" customHeight="1" x14ac:dyDescent="0.2">
      <c r="A437" s="1" t="s">
        <v>654</v>
      </c>
      <c r="B437" s="1" t="s">
        <v>57</v>
      </c>
      <c r="C437" s="13">
        <v>44755</v>
      </c>
      <c r="D437" s="13">
        <v>44755</v>
      </c>
      <c r="E437" s="13">
        <v>44743</v>
      </c>
      <c r="F437" s="50">
        <v>44864</v>
      </c>
      <c r="G437" s="14" t="str">
        <f t="shared" si="132"/>
        <v>000-436/AIB RDC/2022</v>
      </c>
      <c r="H437" s="1">
        <v>4</v>
      </c>
      <c r="I437" s="1" t="s">
        <v>217</v>
      </c>
      <c r="J437" s="1" t="s">
        <v>364</v>
      </c>
      <c r="K437" s="1" t="s">
        <v>724</v>
      </c>
      <c r="L437" s="1" t="s">
        <v>366</v>
      </c>
      <c r="M437" s="1" t="s">
        <v>706</v>
      </c>
      <c r="N437" s="1" t="s">
        <v>209</v>
      </c>
      <c r="O437" s="1" t="s">
        <v>281</v>
      </c>
      <c r="P437" s="1" t="s">
        <v>166</v>
      </c>
      <c r="Q437" s="1" t="s">
        <v>130</v>
      </c>
      <c r="R437" s="1" t="s">
        <v>130</v>
      </c>
      <c r="S437" s="17">
        <v>0</v>
      </c>
      <c r="T437" s="17">
        <v>8292.01</v>
      </c>
      <c r="U437" s="17">
        <v>0</v>
      </c>
      <c r="V437" s="17">
        <v>0</v>
      </c>
      <c r="W437" s="17">
        <v>44.91</v>
      </c>
      <c r="X437" s="17">
        <v>6982.22</v>
      </c>
      <c r="Y437" s="17">
        <v>1124.3399999999999</v>
      </c>
      <c r="Z437" s="18" t="e">
        <f t="shared" si="133"/>
        <v>#DIV/0!</v>
      </c>
      <c r="AA437" s="19">
        <v>0.15</v>
      </c>
      <c r="AB437" s="17">
        <f t="shared" si="146"/>
        <v>1047.3330000000001</v>
      </c>
      <c r="AC437" s="17"/>
      <c r="AD437" s="17"/>
      <c r="AE437" s="17">
        <f t="shared" si="134"/>
        <v>1047.3330000000001</v>
      </c>
      <c r="AF437" s="17">
        <f t="shared" si="143"/>
        <v>167.57328000000001</v>
      </c>
      <c r="AG437" s="17">
        <f t="shared" si="147"/>
        <v>1214.9062800000002</v>
      </c>
      <c r="AH437" s="17">
        <f t="shared" si="144"/>
        <v>20.946660000000001</v>
      </c>
      <c r="AI437" s="17"/>
      <c r="AJ437" s="17">
        <f t="shared" si="136"/>
        <v>20.946660000000001</v>
      </c>
      <c r="AK437" s="20"/>
      <c r="AL437" s="17">
        <f t="shared" si="137"/>
        <v>1026.38634</v>
      </c>
      <c r="AM437" s="17"/>
      <c r="AN437" s="21"/>
      <c r="AO437" s="17">
        <f t="shared" si="138"/>
        <v>0</v>
      </c>
      <c r="AP437" s="17"/>
      <c r="AQ437" s="16"/>
      <c r="AR437" s="17">
        <f t="shared" si="145"/>
        <v>0</v>
      </c>
      <c r="AS437" s="17"/>
      <c r="AT437" s="17">
        <v>1214.9062800000002</v>
      </c>
      <c r="AU437" s="17">
        <f t="shared" si="149"/>
        <v>1214.9062800000002</v>
      </c>
      <c r="AV437" s="17">
        <f t="shared" si="139"/>
        <v>0</v>
      </c>
      <c r="AW437" s="17" t="str">
        <f t="shared" si="142"/>
        <v>SFA</v>
      </c>
      <c r="AX437" s="22">
        <v>44791</v>
      </c>
      <c r="AY437" s="22"/>
      <c r="AZ437" s="1" t="s">
        <v>110</v>
      </c>
      <c r="BA437" s="22" t="str">
        <f t="shared" si="148"/>
        <v>TRC</v>
      </c>
      <c r="BB437" s="22"/>
      <c r="BC437" s="22"/>
      <c r="BD437" s="22"/>
    </row>
    <row r="438" spans="1:56" ht="14.25" customHeight="1" x14ac:dyDescent="0.2">
      <c r="A438" s="1" t="s">
        <v>654</v>
      </c>
      <c r="B438" s="1" t="s">
        <v>57</v>
      </c>
      <c r="C438" s="13">
        <v>44760</v>
      </c>
      <c r="D438" s="13">
        <v>44798</v>
      </c>
      <c r="E438" s="13">
        <v>44750</v>
      </c>
      <c r="F438" s="13">
        <v>44784</v>
      </c>
      <c r="G438" s="14" t="str">
        <f t="shared" si="132"/>
        <v>000-437/AIB RDC/2022</v>
      </c>
      <c r="H438" s="1">
        <v>1</v>
      </c>
      <c r="I438" s="1" t="s">
        <v>91</v>
      </c>
      <c r="J438" s="1" t="s">
        <v>725</v>
      </c>
      <c r="K438" s="1" t="s">
        <v>726</v>
      </c>
      <c r="L438" s="1"/>
      <c r="M438" s="1" t="s">
        <v>706</v>
      </c>
      <c r="N438" s="1" t="s">
        <v>727</v>
      </c>
      <c r="O438" s="1" t="s">
        <v>152</v>
      </c>
      <c r="P438" s="1" t="s">
        <v>153</v>
      </c>
      <c r="Q438" s="1" t="s">
        <v>130</v>
      </c>
      <c r="R438" s="1" t="s">
        <v>130</v>
      </c>
      <c r="S438" s="17">
        <v>105990</v>
      </c>
      <c r="T438" s="17">
        <v>2062.84</v>
      </c>
      <c r="U438" s="17">
        <v>0</v>
      </c>
      <c r="V438" s="17">
        <v>0</v>
      </c>
      <c r="W438" s="17">
        <v>193.32</v>
      </c>
      <c r="X438" s="17">
        <v>1554.86</v>
      </c>
      <c r="Y438" s="17">
        <v>279.7</v>
      </c>
      <c r="Z438" s="18">
        <f t="shared" si="133"/>
        <v>1.9462590810453817E-2</v>
      </c>
      <c r="AA438" s="19">
        <v>0.15</v>
      </c>
      <c r="AB438" s="17">
        <f t="shared" si="146"/>
        <v>233.22899999999998</v>
      </c>
      <c r="AC438" s="17"/>
      <c r="AD438" s="17"/>
      <c r="AE438" s="17">
        <f t="shared" si="134"/>
        <v>233.22899999999998</v>
      </c>
      <c r="AF438" s="17">
        <f t="shared" si="143"/>
        <v>37.31664</v>
      </c>
      <c r="AG438" s="17">
        <f t="shared" si="147"/>
        <v>270.54563999999999</v>
      </c>
      <c r="AH438" s="17">
        <f t="shared" si="144"/>
        <v>4.6645799999999999</v>
      </c>
      <c r="AI438" s="17"/>
      <c r="AJ438" s="17">
        <f t="shared" si="136"/>
        <v>4.6645799999999999</v>
      </c>
      <c r="AK438" s="20"/>
      <c r="AL438" s="17">
        <f t="shared" si="137"/>
        <v>228.56441999999998</v>
      </c>
      <c r="AM438" s="17"/>
      <c r="AN438" s="21"/>
      <c r="AO438" s="17">
        <f t="shared" si="138"/>
        <v>0</v>
      </c>
      <c r="AP438" s="17"/>
      <c r="AQ438" s="16"/>
      <c r="AR438" s="17">
        <f t="shared" si="145"/>
        <v>0</v>
      </c>
      <c r="AS438" s="17"/>
      <c r="AT438" s="17">
        <v>270.54563999999999</v>
      </c>
      <c r="AU438" s="17">
        <f t="shared" si="149"/>
        <v>270.54563999999999</v>
      </c>
      <c r="AV438" s="17">
        <f t="shared" si="139"/>
        <v>0</v>
      </c>
      <c r="AW438" s="17" t="str">
        <f t="shared" si="142"/>
        <v>SFA</v>
      </c>
      <c r="AX438" s="22">
        <v>44823</v>
      </c>
      <c r="AY438" s="22"/>
      <c r="AZ438" s="1" t="s">
        <v>68</v>
      </c>
      <c r="BA438" s="22" t="str">
        <f t="shared" si="148"/>
        <v>COMP MOTOR</v>
      </c>
      <c r="BB438" s="22"/>
      <c r="BC438" s="1" t="s">
        <v>130</v>
      </c>
      <c r="BD438" s="1"/>
    </row>
    <row r="439" spans="1:56" ht="14.25" customHeight="1" x14ac:dyDescent="0.2">
      <c r="A439" s="1" t="s">
        <v>439</v>
      </c>
      <c r="B439" s="1" t="s">
        <v>57</v>
      </c>
      <c r="C439" s="13">
        <v>44748</v>
      </c>
      <c r="D439" s="13">
        <v>44763</v>
      </c>
      <c r="E439" s="13">
        <v>44775</v>
      </c>
      <c r="F439" s="50">
        <v>44848</v>
      </c>
      <c r="G439" s="14" t="str">
        <f t="shared" si="132"/>
        <v>000-438/AIB RDC/2022</v>
      </c>
      <c r="H439" s="1">
        <v>12</v>
      </c>
      <c r="I439" s="1" t="s">
        <v>91</v>
      </c>
      <c r="J439" s="1" t="s">
        <v>299</v>
      </c>
      <c r="K439" s="1" t="s">
        <v>300</v>
      </c>
      <c r="L439" s="1" t="s">
        <v>214</v>
      </c>
      <c r="M439" s="1" t="s">
        <v>706</v>
      </c>
      <c r="N439" s="1" t="s">
        <v>209</v>
      </c>
      <c r="O439" s="1" t="s">
        <v>73</v>
      </c>
      <c r="P439" s="1" t="s">
        <v>73</v>
      </c>
      <c r="Q439" s="1" t="s">
        <v>130</v>
      </c>
      <c r="R439" s="1" t="s">
        <v>130</v>
      </c>
      <c r="S439" s="17">
        <v>0</v>
      </c>
      <c r="T439" s="17">
        <v>2157.7199999999998</v>
      </c>
      <c r="U439" s="17">
        <v>0</v>
      </c>
      <c r="V439" s="17">
        <v>0</v>
      </c>
      <c r="W439" s="17">
        <v>27.05</v>
      </c>
      <c r="X439" s="17">
        <v>1801.53</v>
      </c>
      <c r="Y439" s="17">
        <v>292.57</v>
      </c>
      <c r="Z439" s="18" t="e">
        <f t="shared" si="133"/>
        <v>#DIV/0!</v>
      </c>
      <c r="AA439" s="19">
        <v>0.1</v>
      </c>
      <c r="AB439" s="17">
        <f t="shared" si="146"/>
        <v>180.15300000000002</v>
      </c>
      <c r="AC439" s="17">
        <v>0</v>
      </c>
      <c r="AD439" s="17">
        <v>0</v>
      </c>
      <c r="AE439" s="17">
        <f t="shared" si="134"/>
        <v>180.15300000000002</v>
      </c>
      <c r="AF439" s="17">
        <f t="shared" si="143"/>
        <v>28.824480000000005</v>
      </c>
      <c r="AG439" s="17">
        <f t="shared" si="147"/>
        <v>208.97748000000001</v>
      </c>
      <c r="AH439" s="17">
        <f t="shared" si="144"/>
        <v>3.6030600000000006</v>
      </c>
      <c r="AI439" s="17"/>
      <c r="AJ439" s="17">
        <f t="shared" si="136"/>
        <v>3.6030600000000006</v>
      </c>
      <c r="AK439" s="20"/>
      <c r="AL439" s="17">
        <f t="shared" si="137"/>
        <v>176.54994000000002</v>
      </c>
      <c r="AM439" s="17"/>
      <c r="AN439" s="21"/>
      <c r="AO439" s="17">
        <f t="shared" si="138"/>
        <v>0</v>
      </c>
      <c r="AP439" s="17"/>
      <c r="AQ439" s="16"/>
      <c r="AR439" s="17">
        <f t="shared" si="145"/>
        <v>0</v>
      </c>
      <c r="AS439" s="17"/>
      <c r="AT439" s="17">
        <v>208.97748000000001</v>
      </c>
      <c r="AU439" s="17">
        <f t="shared" si="149"/>
        <v>208.97748000000001</v>
      </c>
      <c r="AV439" s="17">
        <f t="shared" si="139"/>
        <v>0</v>
      </c>
      <c r="AW439" s="17" t="str">
        <f t="shared" si="142"/>
        <v>SFA</v>
      </c>
      <c r="AX439" s="22">
        <v>44791</v>
      </c>
      <c r="AY439" s="22"/>
      <c r="AZ439" s="1" t="s">
        <v>68</v>
      </c>
      <c r="BA439" s="22" t="str">
        <f t="shared" si="148"/>
        <v>MOTOR TPL</v>
      </c>
      <c r="BB439" s="22"/>
      <c r="BC439" s="1" t="s">
        <v>130</v>
      </c>
      <c r="BD439" s="1"/>
    </row>
    <row r="440" spans="1:56" ht="14.25" customHeight="1" x14ac:dyDescent="0.2">
      <c r="A440" s="1" t="s">
        <v>439</v>
      </c>
      <c r="B440" s="1" t="s">
        <v>57</v>
      </c>
      <c r="C440" s="13">
        <v>44811</v>
      </c>
      <c r="D440" s="13">
        <v>44798</v>
      </c>
      <c r="E440" s="13">
        <v>44774</v>
      </c>
      <c r="F440" s="13">
        <v>45138</v>
      </c>
      <c r="G440" s="14" t="str">
        <f t="shared" si="132"/>
        <v>000-439/AIB RDC/2022</v>
      </c>
      <c r="H440" s="1">
        <v>0</v>
      </c>
      <c r="I440" s="1" t="s">
        <v>74</v>
      </c>
      <c r="J440" s="1" t="s">
        <v>728</v>
      </c>
      <c r="K440" s="1" t="s">
        <v>726</v>
      </c>
      <c r="L440" s="1"/>
      <c r="M440" s="1" t="s">
        <v>706</v>
      </c>
      <c r="N440" s="1" t="s">
        <v>209</v>
      </c>
      <c r="O440" s="1" t="s">
        <v>152</v>
      </c>
      <c r="P440" s="1" t="s">
        <v>153</v>
      </c>
      <c r="Q440" s="1" t="s">
        <v>130</v>
      </c>
      <c r="R440" s="1" t="s">
        <v>130</v>
      </c>
      <c r="S440" s="17">
        <v>405615</v>
      </c>
      <c r="T440" s="17">
        <v>23673.03</v>
      </c>
      <c r="U440" s="17">
        <v>0</v>
      </c>
      <c r="V440" s="17">
        <v>0</v>
      </c>
      <c r="W440" s="17">
        <v>296.48</v>
      </c>
      <c r="X440" s="17">
        <v>19765.419999999998</v>
      </c>
      <c r="Y440" s="17">
        <v>3209.9</v>
      </c>
      <c r="Z440" s="18">
        <f t="shared" si="133"/>
        <v>5.836330017381014E-2</v>
      </c>
      <c r="AA440" s="19">
        <v>0.15</v>
      </c>
      <c r="AB440" s="17">
        <f t="shared" si="146"/>
        <v>2964.8129999999996</v>
      </c>
      <c r="AC440" s="17"/>
      <c r="AD440" s="17"/>
      <c r="AE440" s="17">
        <f t="shared" si="134"/>
        <v>2964.8129999999996</v>
      </c>
      <c r="AF440" s="17">
        <f t="shared" si="143"/>
        <v>474.37007999999997</v>
      </c>
      <c r="AG440" s="17">
        <f t="shared" si="147"/>
        <v>3439.1830799999998</v>
      </c>
      <c r="AH440" s="17">
        <f t="shared" si="144"/>
        <v>59.296259999999997</v>
      </c>
      <c r="AI440" s="17"/>
      <c r="AJ440" s="17">
        <f t="shared" si="136"/>
        <v>59.296259999999997</v>
      </c>
      <c r="AK440" s="20"/>
      <c r="AL440" s="17">
        <f t="shared" si="137"/>
        <v>2905.5167399999996</v>
      </c>
      <c r="AM440" s="17"/>
      <c r="AN440" s="21"/>
      <c r="AO440" s="17">
        <f t="shared" si="138"/>
        <v>0</v>
      </c>
      <c r="AP440" s="17"/>
      <c r="AQ440" s="16"/>
      <c r="AR440" s="17">
        <f t="shared" si="145"/>
        <v>0</v>
      </c>
      <c r="AS440" s="17"/>
      <c r="AT440" s="17">
        <v>3439.1830799999998</v>
      </c>
      <c r="AU440" s="17">
        <f t="shared" si="149"/>
        <v>3439.1830799999998</v>
      </c>
      <c r="AV440" s="17">
        <f t="shared" si="139"/>
        <v>0</v>
      </c>
      <c r="AW440" s="17" t="str">
        <f t="shared" si="142"/>
        <v>SFA</v>
      </c>
      <c r="AX440" s="22">
        <v>44823</v>
      </c>
      <c r="AY440" s="22"/>
      <c r="AZ440" s="1" t="s">
        <v>100</v>
      </c>
      <c r="BA440" s="22" t="str">
        <f t="shared" si="148"/>
        <v>COMP MOTOR</v>
      </c>
      <c r="BB440" s="22"/>
      <c r="BC440" s="22"/>
      <c r="BD440" s="22"/>
    </row>
    <row r="441" spans="1:56" ht="14.25" customHeight="1" x14ac:dyDescent="0.2">
      <c r="A441" s="1" t="s">
        <v>667</v>
      </c>
      <c r="B441" s="1" t="s">
        <v>57</v>
      </c>
      <c r="C441" s="13">
        <v>44755</v>
      </c>
      <c r="D441" s="13">
        <v>44761</v>
      </c>
      <c r="E441" s="13">
        <v>44835</v>
      </c>
      <c r="F441" s="13">
        <v>45046</v>
      </c>
      <c r="G441" s="14" t="str">
        <f t="shared" si="132"/>
        <v>000-440/AIB RDC/2022</v>
      </c>
      <c r="H441" s="1">
        <v>2</v>
      </c>
      <c r="I441" s="1" t="s">
        <v>217</v>
      </c>
      <c r="J441" s="1" t="s">
        <v>729</v>
      </c>
      <c r="K441" s="1" t="s">
        <v>365</v>
      </c>
      <c r="L441" s="1" t="s">
        <v>366</v>
      </c>
      <c r="M441" s="1" t="s">
        <v>706</v>
      </c>
      <c r="N441" s="1" t="s">
        <v>209</v>
      </c>
      <c r="O441" s="1" t="s">
        <v>281</v>
      </c>
      <c r="P441" s="1" t="s">
        <v>166</v>
      </c>
      <c r="Q441" s="1" t="s">
        <v>66</v>
      </c>
      <c r="R441" s="1" t="s">
        <v>66</v>
      </c>
      <c r="S441" s="17">
        <v>0</v>
      </c>
      <c r="T441" s="17">
        <v>3779.47</v>
      </c>
      <c r="U441" s="17">
        <v>0</v>
      </c>
      <c r="V441" s="17">
        <v>0</v>
      </c>
      <c r="W441" s="17">
        <v>32.26</v>
      </c>
      <c r="X441" s="17">
        <v>3225.91</v>
      </c>
      <c r="Y441" s="17">
        <v>521.30999999999995</v>
      </c>
      <c r="Z441" s="18" t="e">
        <f t="shared" si="133"/>
        <v>#DIV/0!</v>
      </c>
      <c r="AA441" s="19">
        <v>0.15</v>
      </c>
      <c r="AB441" s="17">
        <f t="shared" si="146"/>
        <v>483.88649999999996</v>
      </c>
      <c r="AC441" s="17">
        <v>0</v>
      </c>
      <c r="AD441" s="17">
        <v>0</v>
      </c>
      <c r="AE441" s="17">
        <f t="shared" si="134"/>
        <v>483.88649999999996</v>
      </c>
      <c r="AF441" s="17">
        <f t="shared" si="143"/>
        <v>77.421839999999989</v>
      </c>
      <c r="AG441" s="17">
        <f t="shared" si="147"/>
        <v>561.30833999999993</v>
      </c>
      <c r="AH441" s="17">
        <f t="shared" si="144"/>
        <v>9.6777299999999986</v>
      </c>
      <c r="AI441" s="17"/>
      <c r="AJ441" s="17">
        <f t="shared" si="136"/>
        <v>9.6777299999999986</v>
      </c>
      <c r="AK441" s="20"/>
      <c r="AL441" s="17">
        <f t="shared" si="137"/>
        <v>474.20876999999996</v>
      </c>
      <c r="AM441" s="17"/>
      <c r="AN441" s="21"/>
      <c r="AO441" s="17">
        <f t="shared" si="138"/>
        <v>0</v>
      </c>
      <c r="AP441" s="17"/>
      <c r="AQ441" s="16"/>
      <c r="AR441" s="17">
        <f t="shared" si="145"/>
        <v>0</v>
      </c>
      <c r="AS441" s="17"/>
      <c r="AT441" s="17">
        <v>561.30833999999993</v>
      </c>
      <c r="AU441" s="17">
        <f t="shared" si="149"/>
        <v>561.30833999999993</v>
      </c>
      <c r="AV441" s="17">
        <f t="shared" si="139"/>
        <v>0</v>
      </c>
      <c r="AW441" s="17" t="str">
        <f t="shared" si="142"/>
        <v>ACTIVA</v>
      </c>
      <c r="AX441" s="22">
        <v>44805</v>
      </c>
      <c r="AY441" s="22"/>
      <c r="AZ441" s="1" t="s">
        <v>367</v>
      </c>
      <c r="BA441" s="22" t="str">
        <f t="shared" si="148"/>
        <v>TRC</v>
      </c>
      <c r="BB441" s="22"/>
      <c r="BC441" s="22"/>
      <c r="BD441" s="22"/>
    </row>
    <row r="442" spans="1:56" ht="14.25" customHeight="1" x14ac:dyDescent="0.2">
      <c r="A442" s="1" t="s">
        <v>654</v>
      </c>
      <c r="B442" s="1" t="s">
        <v>57</v>
      </c>
      <c r="C442" s="13">
        <v>44873</v>
      </c>
      <c r="D442" s="13">
        <v>44755</v>
      </c>
      <c r="E442" s="13">
        <v>44758</v>
      </c>
      <c r="F442" s="13">
        <v>45123</v>
      </c>
      <c r="G442" s="14" t="str">
        <f t="shared" si="132"/>
        <v>000-441/AIB RDC/2022</v>
      </c>
      <c r="H442" s="1">
        <v>0</v>
      </c>
      <c r="I442" s="1" t="s">
        <v>74</v>
      </c>
      <c r="J442" s="1" t="s">
        <v>730</v>
      </c>
      <c r="K442" s="1" t="s">
        <v>731</v>
      </c>
      <c r="L442" s="1"/>
      <c r="M442" s="1" t="s">
        <v>706</v>
      </c>
      <c r="N442" s="1" t="s">
        <v>209</v>
      </c>
      <c r="O442" s="1" t="s">
        <v>233</v>
      </c>
      <c r="P442" s="1" t="s">
        <v>234</v>
      </c>
      <c r="Q442" s="1" t="s">
        <v>79</v>
      </c>
      <c r="R442" s="1" t="s">
        <v>79</v>
      </c>
      <c r="S442" s="17">
        <v>0</v>
      </c>
      <c r="T442" s="17">
        <v>20705</v>
      </c>
      <c r="U442" s="17">
        <v>0</v>
      </c>
      <c r="V442" s="17">
        <v>0</v>
      </c>
      <c r="W442" s="17">
        <v>50</v>
      </c>
      <c r="X442" s="17">
        <v>17496.61</v>
      </c>
      <c r="Y442" s="17">
        <v>2807.46</v>
      </c>
      <c r="Z442" s="18" t="e">
        <f t="shared" si="133"/>
        <v>#DIV/0!</v>
      </c>
      <c r="AA442" s="19">
        <v>0.03</v>
      </c>
      <c r="AB442" s="17">
        <f t="shared" si="146"/>
        <v>524.89829999999995</v>
      </c>
      <c r="AC442" s="17"/>
      <c r="AD442" s="17"/>
      <c r="AE442" s="17">
        <f t="shared" si="134"/>
        <v>524.89829999999995</v>
      </c>
      <c r="AF442" s="17">
        <f t="shared" si="143"/>
        <v>83.983727999999999</v>
      </c>
      <c r="AG442" s="17">
        <f t="shared" si="147"/>
        <v>608.88202799999999</v>
      </c>
      <c r="AH442" s="17">
        <f t="shared" si="144"/>
        <v>10.497966</v>
      </c>
      <c r="AI442" s="17"/>
      <c r="AJ442" s="17">
        <f t="shared" si="136"/>
        <v>10.497966</v>
      </c>
      <c r="AK442" s="20"/>
      <c r="AL442" s="17">
        <f t="shared" si="137"/>
        <v>514.40033399999993</v>
      </c>
      <c r="AM442" s="17"/>
      <c r="AN442" s="21"/>
      <c r="AO442" s="17">
        <f t="shared" si="138"/>
        <v>0</v>
      </c>
      <c r="AP442" s="17"/>
      <c r="AQ442" s="16"/>
      <c r="AR442" s="17">
        <f t="shared" si="145"/>
        <v>0</v>
      </c>
      <c r="AS442" s="17"/>
      <c r="AT442" s="17">
        <v>608.88202799999999</v>
      </c>
      <c r="AU442" s="17">
        <f t="shared" si="149"/>
        <v>608.88202799999999</v>
      </c>
      <c r="AV442" s="17">
        <f t="shared" si="139"/>
        <v>0</v>
      </c>
      <c r="AW442" s="17" t="str">
        <f t="shared" si="142"/>
        <v>MAYFAIR</v>
      </c>
      <c r="AX442" s="22">
        <v>44875</v>
      </c>
      <c r="AY442" s="22"/>
      <c r="AZ442" s="1"/>
      <c r="BA442" s="22" t="str">
        <f t="shared" si="148"/>
        <v>PVT</v>
      </c>
      <c r="BB442" s="22"/>
      <c r="BC442" s="22"/>
      <c r="BD442" s="22"/>
    </row>
    <row r="443" spans="1:56" ht="14.25" customHeight="1" x14ac:dyDescent="0.2">
      <c r="A443" s="1" t="s">
        <v>654</v>
      </c>
      <c r="B443" s="1" t="s">
        <v>273</v>
      </c>
      <c r="C443" s="13"/>
      <c r="D443" s="1"/>
      <c r="E443" s="13">
        <v>44757</v>
      </c>
      <c r="F443" s="13">
        <v>45121</v>
      </c>
      <c r="G443" s="14" t="str">
        <f t="shared" si="132"/>
        <v>000-442/AIB RDC/2022</v>
      </c>
      <c r="H443" s="1">
        <v>1</v>
      </c>
      <c r="I443" s="1" t="s">
        <v>58</v>
      </c>
      <c r="J443" s="1"/>
      <c r="K443" s="1" t="s">
        <v>731</v>
      </c>
      <c r="L443" s="1"/>
      <c r="M443" s="1" t="s">
        <v>706</v>
      </c>
      <c r="N443" s="1" t="s">
        <v>209</v>
      </c>
      <c r="O443" s="1" t="s">
        <v>466</v>
      </c>
      <c r="P443" s="1" t="s">
        <v>71</v>
      </c>
      <c r="Q443" s="1" t="s">
        <v>79</v>
      </c>
      <c r="R443" s="1" t="s">
        <v>79</v>
      </c>
      <c r="S443" s="17">
        <v>0</v>
      </c>
      <c r="T443" s="17"/>
      <c r="U443" s="17"/>
      <c r="V443" s="17"/>
      <c r="W443" s="17"/>
      <c r="X443" s="17"/>
      <c r="Y443" s="17"/>
      <c r="Z443" s="18" t="e">
        <f t="shared" si="133"/>
        <v>#DIV/0!</v>
      </c>
      <c r="AA443" s="19">
        <v>0.1</v>
      </c>
      <c r="AB443" s="17">
        <f t="shared" si="146"/>
        <v>0</v>
      </c>
      <c r="AC443" s="17"/>
      <c r="AD443" s="17"/>
      <c r="AE443" s="17">
        <f t="shared" si="134"/>
        <v>0</v>
      </c>
      <c r="AF443" s="17">
        <f t="shared" si="143"/>
        <v>0</v>
      </c>
      <c r="AG443" s="17">
        <f t="shared" si="147"/>
        <v>0</v>
      </c>
      <c r="AH443" s="17">
        <f t="shared" si="144"/>
        <v>0</v>
      </c>
      <c r="AI443" s="17"/>
      <c r="AJ443" s="17">
        <f t="shared" si="136"/>
        <v>0</v>
      </c>
      <c r="AK443" s="20"/>
      <c r="AL443" s="17">
        <f t="shared" si="137"/>
        <v>0</v>
      </c>
      <c r="AM443" s="17"/>
      <c r="AN443" s="21"/>
      <c r="AO443" s="17">
        <f t="shared" si="138"/>
        <v>0</v>
      </c>
      <c r="AP443" s="17"/>
      <c r="AQ443" s="16"/>
      <c r="AR443" s="17">
        <f t="shared" si="145"/>
        <v>0</v>
      </c>
      <c r="AS443" s="17"/>
      <c r="AT443" s="17"/>
      <c r="AU443" s="17">
        <f t="shared" si="149"/>
        <v>0</v>
      </c>
      <c r="AV443" s="17">
        <f t="shared" si="139"/>
        <v>0</v>
      </c>
      <c r="AW443" s="17" t="str">
        <f t="shared" si="142"/>
        <v>MAYFAIR</v>
      </c>
      <c r="AX443" s="22"/>
      <c r="AY443" s="22"/>
      <c r="AZ443" s="1"/>
      <c r="BA443" s="22" t="str">
        <f t="shared" si="148"/>
        <v>PROPERTY DAMAGE &amp; BI</v>
      </c>
      <c r="BB443" s="22"/>
      <c r="BC443" s="22"/>
      <c r="BD443" s="22"/>
    </row>
    <row r="444" spans="1:56" ht="14.25" customHeight="1" x14ac:dyDescent="0.2">
      <c r="A444" s="1" t="s">
        <v>439</v>
      </c>
      <c r="B444" s="1" t="s">
        <v>57</v>
      </c>
      <c r="C444" s="13">
        <v>44763</v>
      </c>
      <c r="D444" s="13">
        <v>44796</v>
      </c>
      <c r="E444" s="13">
        <v>44774</v>
      </c>
      <c r="F444" s="13">
        <v>45138</v>
      </c>
      <c r="G444" s="14" t="str">
        <f t="shared" si="132"/>
        <v>000-443/AIB RDC/2022</v>
      </c>
      <c r="H444" s="1">
        <v>0</v>
      </c>
      <c r="I444" s="1" t="s">
        <v>74</v>
      </c>
      <c r="J444" s="1" t="s">
        <v>732</v>
      </c>
      <c r="K444" s="1" t="s">
        <v>726</v>
      </c>
      <c r="L444" s="1"/>
      <c r="M444" s="1" t="s">
        <v>706</v>
      </c>
      <c r="N444" s="1" t="s">
        <v>209</v>
      </c>
      <c r="O444" s="1" t="s">
        <v>192</v>
      </c>
      <c r="P444" s="1" t="s">
        <v>98</v>
      </c>
      <c r="Q444" s="1" t="s">
        <v>86</v>
      </c>
      <c r="R444" s="1" t="s">
        <v>86</v>
      </c>
      <c r="S444" s="17">
        <v>0</v>
      </c>
      <c r="T444" s="17">
        <v>3105.66</v>
      </c>
      <c r="U444" s="17">
        <v>0</v>
      </c>
      <c r="V444" s="17">
        <v>0</v>
      </c>
      <c r="W444" s="17">
        <v>26.5</v>
      </c>
      <c r="X444" s="17">
        <v>2650.8</v>
      </c>
      <c r="Y444" s="17">
        <v>428.36</v>
      </c>
      <c r="Z444" s="18" t="e">
        <f t="shared" si="133"/>
        <v>#DIV/0!</v>
      </c>
      <c r="AA444" s="19">
        <v>0.1</v>
      </c>
      <c r="AB444" s="17">
        <f t="shared" si="146"/>
        <v>265.08000000000004</v>
      </c>
      <c r="AC444" s="17"/>
      <c r="AD444" s="17"/>
      <c r="AE444" s="17">
        <f t="shared" si="134"/>
        <v>265.08000000000004</v>
      </c>
      <c r="AF444" s="17">
        <f t="shared" si="143"/>
        <v>42.412800000000004</v>
      </c>
      <c r="AG444" s="17">
        <f t="shared" si="147"/>
        <v>307.49280000000005</v>
      </c>
      <c r="AH444" s="17">
        <f t="shared" si="144"/>
        <v>5.3016000000000005</v>
      </c>
      <c r="AI444" s="17"/>
      <c r="AJ444" s="17">
        <f t="shared" si="136"/>
        <v>5.3016000000000005</v>
      </c>
      <c r="AK444" s="20"/>
      <c r="AL444" s="17">
        <f t="shared" si="137"/>
        <v>259.77840000000003</v>
      </c>
      <c r="AM444" s="17"/>
      <c r="AN444" s="21"/>
      <c r="AO444" s="17">
        <f t="shared" si="138"/>
        <v>0</v>
      </c>
      <c r="AP444" s="17"/>
      <c r="AQ444" s="16"/>
      <c r="AR444" s="17">
        <f t="shared" si="145"/>
        <v>0</v>
      </c>
      <c r="AS444" s="17"/>
      <c r="AT444" s="17">
        <v>307.49280000000005</v>
      </c>
      <c r="AU444" s="17">
        <f t="shared" si="149"/>
        <v>307.49280000000005</v>
      </c>
      <c r="AV444" s="17">
        <f t="shared" si="139"/>
        <v>0</v>
      </c>
      <c r="AW444" s="17" t="str">
        <f t="shared" si="142"/>
        <v>SUNU</v>
      </c>
      <c r="AX444" s="22">
        <v>44846</v>
      </c>
      <c r="AY444" s="22"/>
      <c r="AZ444" s="1" t="s">
        <v>100</v>
      </c>
      <c r="BA444" s="22" t="str">
        <f t="shared" si="148"/>
        <v>GPA</v>
      </c>
      <c r="BB444" s="22"/>
      <c r="BC444" s="22"/>
      <c r="BD444" s="22"/>
    </row>
    <row r="445" spans="1:56" ht="14.25" customHeight="1" x14ac:dyDescent="0.2">
      <c r="A445" s="1" t="s">
        <v>439</v>
      </c>
      <c r="B445" s="1" t="s">
        <v>57</v>
      </c>
      <c r="C445" s="13">
        <v>44763</v>
      </c>
      <c r="D445" s="13">
        <v>44796</v>
      </c>
      <c r="E445" s="13">
        <v>44774</v>
      </c>
      <c r="F445" s="13">
        <v>45138</v>
      </c>
      <c r="G445" s="14" t="str">
        <f t="shared" si="132"/>
        <v>000-444/AIB RDC/2022</v>
      </c>
      <c r="H445" s="1">
        <v>0</v>
      </c>
      <c r="I445" s="1" t="s">
        <v>74</v>
      </c>
      <c r="J445" s="1" t="s">
        <v>733</v>
      </c>
      <c r="K445" s="1" t="s">
        <v>726</v>
      </c>
      <c r="L445" s="1"/>
      <c r="M445" s="1" t="s">
        <v>706</v>
      </c>
      <c r="N445" s="1" t="s">
        <v>209</v>
      </c>
      <c r="O445" s="1" t="s">
        <v>89</v>
      </c>
      <c r="P445" s="1" t="s">
        <v>90</v>
      </c>
      <c r="Q445" s="1" t="s">
        <v>86</v>
      </c>
      <c r="R445" s="1" t="s">
        <v>86</v>
      </c>
      <c r="S445" s="17">
        <v>0</v>
      </c>
      <c r="T445" s="17">
        <v>7267.74</v>
      </c>
      <c r="U445" s="17">
        <v>0</v>
      </c>
      <c r="V445" s="17">
        <v>0</v>
      </c>
      <c r="W445" s="17">
        <v>62.03</v>
      </c>
      <c r="X445" s="17">
        <v>6203.27</v>
      </c>
      <c r="Y445" s="17">
        <v>1002.44</v>
      </c>
      <c r="Z445" s="18" t="e">
        <f t="shared" si="133"/>
        <v>#DIV/0!</v>
      </c>
      <c r="AA445" s="19">
        <v>0.1</v>
      </c>
      <c r="AB445" s="17">
        <f t="shared" si="146"/>
        <v>620.32700000000011</v>
      </c>
      <c r="AC445" s="17"/>
      <c r="AD445" s="17"/>
      <c r="AE445" s="17">
        <f t="shared" si="134"/>
        <v>620.32700000000011</v>
      </c>
      <c r="AF445" s="17">
        <f t="shared" si="143"/>
        <v>99.252320000000026</v>
      </c>
      <c r="AG445" s="17">
        <f t="shared" si="147"/>
        <v>719.57932000000017</v>
      </c>
      <c r="AH445" s="17">
        <f t="shared" si="144"/>
        <v>12.406540000000003</v>
      </c>
      <c r="AI445" s="17"/>
      <c r="AJ445" s="17">
        <f t="shared" si="136"/>
        <v>12.406540000000003</v>
      </c>
      <c r="AK445" s="20"/>
      <c r="AL445" s="17">
        <f t="shared" si="137"/>
        <v>607.92046000000016</v>
      </c>
      <c r="AM445" s="17"/>
      <c r="AN445" s="21"/>
      <c r="AO445" s="17">
        <f t="shared" si="138"/>
        <v>0</v>
      </c>
      <c r="AP445" s="17"/>
      <c r="AQ445" s="16"/>
      <c r="AR445" s="17">
        <f t="shared" si="145"/>
        <v>0</v>
      </c>
      <c r="AS445" s="17"/>
      <c r="AT445" s="17">
        <v>719.57932000000017</v>
      </c>
      <c r="AU445" s="17">
        <f t="shared" si="149"/>
        <v>719.57932000000017</v>
      </c>
      <c r="AV445" s="17">
        <f t="shared" si="139"/>
        <v>0</v>
      </c>
      <c r="AW445" s="17" t="str">
        <f t="shared" si="142"/>
        <v>SUNU</v>
      </c>
      <c r="AX445" s="22">
        <v>44846</v>
      </c>
      <c r="AY445" s="22"/>
      <c r="AZ445" s="1" t="s">
        <v>100</v>
      </c>
      <c r="BA445" s="22" t="str">
        <f t="shared" si="148"/>
        <v>GENERAL LIABILITY</v>
      </c>
      <c r="BB445" s="22"/>
      <c r="BC445" s="22"/>
      <c r="BD445" s="22"/>
    </row>
    <row r="446" spans="1:56" ht="14.25" customHeight="1" x14ac:dyDescent="0.2">
      <c r="A446" s="1" t="s">
        <v>578</v>
      </c>
      <c r="B446" s="1" t="s">
        <v>57</v>
      </c>
      <c r="C446" s="13">
        <v>44746</v>
      </c>
      <c r="D446" s="13">
        <v>44746</v>
      </c>
      <c r="E446" s="13">
        <v>44741</v>
      </c>
      <c r="F446" s="13">
        <v>45105</v>
      </c>
      <c r="G446" s="14" t="str">
        <f t="shared" si="132"/>
        <v>000-445/AIB RDC/2022</v>
      </c>
      <c r="H446" s="1">
        <v>0</v>
      </c>
      <c r="I446" s="1" t="s">
        <v>74</v>
      </c>
      <c r="J446" s="1" t="s">
        <v>734</v>
      </c>
      <c r="K446" s="1" t="s">
        <v>392</v>
      </c>
      <c r="L446" s="1"/>
      <c r="M446" s="1" t="s">
        <v>95</v>
      </c>
      <c r="N446" s="1" t="s">
        <v>102</v>
      </c>
      <c r="O446" s="1" t="s">
        <v>152</v>
      </c>
      <c r="P446" s="1" t="s">
        <v>153</v>
      </c>
      <c r="Q446" s="1" t="s">
        <v>66</v>
      </c>
      <c r="R446" s="1" t="s">
        <v>66</v>
      </c>
      <c r="S446" s="17">
        <v>0</v>
      </c>
      <c r="T446" s="17">
        <v>7274.83</v>
      </c>
      <c r="U446" s="17">
        <v>0</v>
      </c>
      <c r="V446" s="17">
        <v>0</v>
      </c>
      <c r="W446" s="17">
        <v>62.09</v>
      </c>
      <c r="X446" s="17">
        <v>6209.31</v>
      </c>
      <c r="Y446" s="17">
        <v>1003.43</v>
      </c>
      <c r="Z446" s="18" t="e">
        <f t="shared" si="133"/>
        <v>#DIV/0!</v>
      </c>
      <c r="AA446" s="19">
        <v>0.14833532228218593</v>
      </c>
      <c r="AB446" s="17">
        <f t="shared" si="146"/>
        <v>921.06</v>
      </c>
      <c r="AC446" s="17"/>
      <c r="AD446" s="17"/>
      <c r="AE446" s="17">
        <f t="shared" si="134"/>
        <v>921.06</v>
      </c>
      <c r="AF446" s="17">
        <f t="shared" si="143"/>
        <v>147.36959999999999</v>
      </c>
      <c r="AG446" s="17">
        <f t="shared" si="147"/>
        <v>1068.4295999999999</v>
      </c>
      <c r="AH446" s="17">
        <f t="shared" si="144"/>
        <v>18.421199999999999</v>
      </c>
      <c r="AI446" s="17"/>
      <c r="AJ446" s="17">
        <f t="shared" si="136"/>
        <v>18.421199999999999</v>
      </c>
      <c r="AK446" s="20"/>
      <c r="AL446" s="17">
        <f t="shared" si="137"/>
        <v>902.63879999999995</v>
      </c>
      <c r="AM446" s="17" t="s">
        <v>393</v>
      </c>
      <c r="AN446" s="21">
        <v>0.2</v>
      </c>
      <c r="AO446" s="17">
        <f t="shared" si="138"/>
        <v>180.52776</v>
      </c>
      <c r="AP446" s="17">
        <v>180.52776</v>
      </c>
      <c r="AQ446" s="16">
        <v>44830</v>
      </c>
      <c r="AR446" s="17">
        <f t="shared" si="145"/>
        <v>0</v>
      </c>
      <c r="AS446" s="17" t="s">
        <v>394</v>
      </c>
      <c r="AT446" s="17">
        <v>1068.4295999999999</v>
      </c>
      <c r="AU446" s="17">
        <f t="shared" si="149"/>
        <v>1068.4295999999999</v>
      </c>
      <c r="AV446" s="17">
        <f t="shared" si="139"/>
        <v>0</v>
      </c>
      <c r="AW446" s="17" t="str">
        <f t="shared" si="142"/>
        <v>ACTIVA</v>
      </c>
      <c r="AX446" s="22">
        <v>44805</v>
      </c>
      <c r="AY446" s="22"/>
      <c r="AZ446" s="1" t="s">
        <v>100</v>
      </c>
      <c r="BA446" s="22" t="str">
        <f t="shared" si="148"/>
        <v>COMP MOTOR</v>
      </c>
      <c r="BB446" s="22"/>
      <c r="BC446" s="22"/>
      <c r="BD446" s="22"/>
    </row>
    <row r="447" spans="1:56" ht="14.25" customHeight="1" x14ac:dyDescent="0.2">
      <c r="A447" s="1" t="s">
        <v>654</v>
      </c>
      <c r="B447" s="1" t="s">
        <v>57</v>
      </c>
      <c r="C447" s="13">
        <v>44873</v>
      </c>
      <c r="D447" s="13">
        <v>44795</v>
      </c>
      <c r="E447" s="13">
        <v>44743</v>
      </c>
      <c r="F447" s="50">
        <v>44926</v>
      </c>
      <c r="G447" s="14" t="str">
        <f t="shared" si="132"/>
        <v>000-446/AIB RDC/2022</v>
      </c>
      <c r="H447" s="1">
        <v>0</v>
      </c>
      <c r="I447" s="1" t="s">
        <v>74</v>
      </c>
      <c r="J447" s="1" t="s">
        <v>735</v>
      </c>
      <c r="K447" s="1" t="s">
        <v>736</v>
      </c>
      <c r="L447" s="1"/>
      <c r="M447" s="1" t="s">
        <v>95</v>
      </c>
      <c r="N447" s="1" t="s">
        <v>102</v>
      </c>
      <c r="O447" s="1" t="s">
        <v>113</v>
      </c>
      <c r="P447" s="1" t="s">
        <v>113</v>
      </c>
      <c r="Q447" s="1" t="s">
        <v>114</v>
      </c>
      <c r="R447" s="1" t="s">
        <v>737</v>
      </c>
      <c r="S447" s="17">
        <v>0</v>
      </c>
      <c r="T447" s="17">
        <v>8132.43</v>
      </c>
      <c r="U447" s="17">
        <v>0</v>
      </c>
      <c r="V447" s="17">
        <v>0</v>
      </c>
      <c r="W447" s="17">
        <v>0</v>
      </c>
      <c r="X447" s="17">
        <v>8132.43</v>
      </c>
      <c r="Y447" s="17">
        <v>0</v>
      </c>
      <c r="Z447" s="18" t="e">
        <f t="shared" si="133"/>
        <v>#DIV/0!</v>
      </c>
      <c r="AA447" s="19">
        <v>9.9009890032868406E-2</v>
      </c>
      <c r="AB447" s="17">
        <f t="shared" si="146"/>
        <v>805.19100000000003</v>
      </c>
      <c r="AC447" s="17"/>
      <c r="AD447" s="17"/>
      <c r="AE447" s="17">
        <f t="shared" si="134"/>
        <v>805.19100000000003</v>
      </c>
      <c r="AF447" s="17">
        <v>0</v>
      </c>
      <c r="AG447" s="17">
        <f t="shared" si="147"/>
        <v>805.19100000000003</v>
      </c>
      <c r="AH447" s="17">
        <f>1%*AE447</f>
        <v>8.0519100000000012</v>
      </c>
      <c r="AI447" s="17"/>
      <c r="AJ447" s="17">
        <f t="shared" si="136"/>
        <v>8.0519100000000012</v>
      </c>
      <c r="AK447" s="20"/>
      <c r="AL447" s="17">
        <f t="shared" si="137"/>
        <v>797.13909000000001</v>
      </c>
      <c r="AM447" s="17" t="s">
        <v>738</v>
      </c>
      <c r="AN447" s="21">
        <v>0.7</v>
      </c>
      <c r="AO447" s="17">
        <f t="shared" si="138"/>
        <v>557.99736299999995</v>
      </c>
      <c r="AP447" s="17"/>
      <c r="AQ447" s="16"/>
      <c r="AR447" s="17">
        <f t="shared" si="145"/>
        <v>557.99736299999995</v>
      </c>
      <c r="AS447" s="17"/>
      <c r="AT447" s="17">
        <v>805.19100000000003</v>
      </c>
      <c r="AU447" s="17">
        <f t="shared" si="149"/>
        <v>805.19100000000003</v>
      </c>
      <c r="AV447" s="17">
        <f t="shared" si="139"/>
        <v>0</v>
      </c>
      <c r="AW447" s="17" t="str">
        <f t="shared" si="142"/>
        <v>RAWSUR - LIFE</v>
      </c>
      <c r="AX447" s="22">
        <v>44875</v>
      </c>
      <c r="AY447" s="22"/>
      <c r="AZ447" s="1" t="s">
        <v>68</v>
      </c>
      <c r="BA447" s="22" t="str">
        <f t="shared" si="148"/>
        <v>LIFE</v>
      </c>
      <c r="BB447" s="22"/>
      <c r="BC447" s="22"/>
      <c r="BD447" s="1" t="s">
        <v>739</v>
      </c>
    </row>
    <row r="448" spans="1:56" ht="14.25" customHeight="1" x14ac:dyDescent="0.2">
      <c r="A448" s="1" t="s">
        <v>654</v>
      </c>
      <c r="B448" s="1" t="s">
        <v>273</v>
      </c>
      <c r="C448" s="13">
        <v>44748</v>
      </c>
      <c r="D448" s="13">
        <v>44748</v>
      </c>
      <c r="E448" s="13">
        <v>44743</v>
      </c>
      <c r="F448" s="50">
        <v>44926</v>
      </c>
      <c r="G448" s="14" t="str">
        <f t="shared" si="132"/>
        <v>000-447/AIB RDC/2022</v>
      </c>
      <c r="H448" s="1">
        <v>0</v>
      </c>
      <c r="I448" s="1" t="s">
        <v>74</v>
      </c>
      <c r="J448" s="1" t="s">
        <v>740</v>
      </c>
      <c r="K448" s="1" t="s">
        <v>736</v>
      </c>
      <c r="L448" s="1"/>
      <c r="M448" s="1" t="s">
        <v>95</v>
      </c>
      <c r="N448" s="1" t="s">
        <v>102</v>
      </c>
      <c r="O448" s="1" t="s">
        <v>97</v>
      </c>
      <c r="P448" s="1" t="s">
        <v>98</v>
      </c>
      <c r="Q448" s="1" t="s">
        <v>107</v>
      </c>
      <c r="R448" s="1" t="s">
        <v>737</v>
      </c>
      <c r="S448" s="17">
        <v>0</v>
      </c>
      <c r="T448" s="17">
        <v>62538.239999999998</v>
      </c>
      <c r="U448" s="17">
        <v>0</v>
      </c>
      <c r="V448" s="17">
        <v>0</v>
      </c>
      <c r="W448" s="17">
        <v>0</v>
      </c>
      <c r="X448" s="17">
        <v>61312</v>
      </c>
      <c r="Y448" s="17">
        <v>0</v>
      </c>
      <c r="Z448" s="18" t="e">
        <f t="shared" si="133"/>
        <v>#DIV/0!</v>
      </c>
      <c r="AA448" s="19">
        <v>8.4804279749478101E-2</v>
      </c>
      <c r="AB448" s="17">
        <f t="shared" si="146"/>
        <v>5199.5200000000013</v>
      </c>
      <c r="AC448" s="17"/>
      <c r="AD448" s="17"/>
      <c r="AE448" s="17">
        <f t="shared" si="134"/>
        <v>5199.5200000000013</v>
      </c>
      <c r="AF448" s="17">
        <v>0</v>
      </c>
      <c r="AG448" s="17">
        <f t="shared" si="147"/>
        <v>5199.5200000000013</v>
      </c>
      <c r="AH448" s="17">
        <f t="shared" ref="AH448:AH479" si="150">2%*AE448</f>
        <v>103.99040000000002</v>
      </c>
      <c r="AI448" s="17"/>
      <c r="AJ448" s="17">
        <f t="shared" si="136"/>
        <v>103.99040000000002</v>
      </c>
      <c r="AK448" s="20"/>
      <c r="AL448" s="17">
        <f t="shared" si="137"/>
        <v>5095.5296000000017</v>
      </c>
      <c r="AM448" s="17" t="s">
        <v>738</v>
      </c>
      <c r="AN448" s="21">
        <v>0.7</v>
      </c>
      <c r="AO448" s="17">
        <f t="shared" si="138"/>
        <v>3566.8707200000008</v>
      </c>
      <c r="AP448" s="17"/>
      <c r="AQ448" s="16"/>
      <c r="AR448" s="17">
        <f t="shared" si="145"/>
        <v>3566.8707200000008</v>
      </c>
      <c r="AS448" s="17"/>
      <c r="AT448" s="17">
        <v>5199.5200000000004</v>
      </c>
      <c r="AU448" s="17">
        <f t="shared" si="149"/>
        <v>5199.5200000000013</v>
      </c>
      <c r="AV448" s="17">
        <f t="shared" si="139"/>
        <v>0</v>
      </c>
      <c r="AW448" s="17" t="str">
        <f t="shared" si="142"/>
        <v>RAWSUR</v>
      </c>
      <c r="AX448" s="22">
        <v>44992</v>
      </c>
      <c r="AY448" s="22"/>
      <c r="AZ448" s="1" t="s">
        <v>68</v>
      </c>
      <c r="BA448" s="22" t="str">
        <f t="shared" si="148"/>
        <v>MEDICAL</v>
      </c>
      <c r="BB448" s="22"/>
      <c r="BC448" s="22"/>
      <c r="BD448" s="1" t="s">
        <v>741</v>
      </c>
    </row>
    <row r="449" spans="1:56" ht="14.25" customHeight="1" x14ac:dyDescent="0.2">
      <c r="A449" s="1" t="s">
        <v>324</v>
      </c>
      <c r="B449" s="1" t="s">
        <v>57</v>
      </c>
      <c r="C449" s="13">
        <v>44746</v>
      </c>
      <c r="D449" s="13">
        <v>44663</v>
      </c>
      <c r="E449" s="13">
        <v>44645</v>
      </c>
      <c r="F449" s="13">
        <v>44933</v>
      </c>
      <c r="G449" s="14" t="str">
        <f t="shared" si="132"/>
        <v>000-448/AIB RDC/2022</v>
      </c>
      <c r="H449" s="1">
        <v>1</v>
      </c>
      <c r="I449" s="1" t="s">
        <v>91</v>
      </c>
      <c r="J449" s="1" t="s">
        <v>199</v>
      </c>
      <c r="K449" s="16" t="s">
        <v>200</v>
      </c>
      <c r="L449" s="16" t="s">
        <v>169</v>
      </c>
      <c r="M449" s="16" t="s">
        <v>84</v>
      </c>
      <c r="N449" s="16" t="s">
        <v>85</v>
      </c>
      <c r="O449" s="16" t="s">
        <v>185</v>
      </c>
      <c r="P449" s="16" t="s">
        <v>186</v>
      </c>
      <c r="Q449" s="16" t="s">
        <v>130</v>
      </c>
      <c r="R449" s="16" t="s">
        <v>201</v>
      </c>
      <c r="S449" s="17">
        <v>0</v>
      </c>
      <c r="T449" s="17">
        <v>359443.35</v>
      </c>
      <c r="U449" s="17">
        <f>45676.95</f>
        <v>45676.95</v>
      </c>
      <c r="V449" s="17">
        <v>-34408.629999999997</v>
      </c>
      <c r="W449" s="17">
        <v>100</v>
      </c>
      <c r="X449" s="17">
        <v>258836.05</v>
      </c>
      <c r="Y449" s="17">
        <v>48738.080000000002</v>
      </c>
      <c r="Z449" s="18" t="e">
        <f t="shared" si="133"/>
        <v>#DIV/0!</v>
      </c>
      <c r="AA449" s="19">
        <v>0</v>
      </c>
      <c r="AB449" s="17">
        <f t="shared" si="146"/>
        <v>0</v>
      </c>
      <c r="AC449" s="17">
        <f>30%*(U449+V449)</f>
        <v>3380.4959999999996</v>
      </c>
      <c r="AD449" s="17">
        <v>0</v>
      </c>
      <c r="AE449" s="17">
        <f t="shared" si="134"/>
        <v>3380.4959999999996</v>
      </c>
      <c r="AF449" s="17">
        <f t="shared" ref="AF449:AF480" si="151">16%*AE449</f>
        <v>540.87935999999991</v>
      </c>
      <c r="AG449" s="17">
        <f t="shared" si="147"/>
        <v>3921.3753599999995</v>
      </c>
      <c r="AH449" s="17">
        <f t="shared" si="150"/>
        <v>67.609919999999988</v>
      </c>
      <c r="AI449" s="17">
        <v>0</v>
      </c>
      <c r="AJ449" s="17">
        <f t="shared" si="136"/>
        <v>67.609919999999988</v>
      </c>
      <c r="AK449" s="20"/>
      <c r="AL449" s="17">
        <f t="shared" si="137"/>
        <v>3312.8860799999998</v>
      </c>
      <c r="AM449" s="17" t="s">
        <v>198</v>
      </c>
      <c r="AN449" s="21"/>
      <c r="AO449" s="17">
        <f t="shared" si="138"/>
        <v>0</v>
      </c>
      <c r="AP449" s="17"/>
      <c r="AQ449" s="16"/>
      <c r="AR449" s="17">
        <f t="shared" si="145"/>
        <v>0</v>
      </c>
      <c r="AS449" s="17"/>
      <c r="AT449" s="17">
        <v>3921.3753599999995</v>
      </c>
      <c r="AU449" s="17">
        <f t="shared" si="149"/>
        <v>3921.3753599999995</v>
      </c>
      <c r="AV449" s="17">
        <f t="shared" si="139"/>
        <v>0</v>
      </c>
      <c r="AW449" s="17" t="str">
        <f t="shared" si="142"/>
        <v>SFA</v>
      </c>
      <c r="AX449" s="22">
        <v>45076</v>
      </c>
      <c r="AY449" s="22"/>
      <c r="AZ449" s="1" t="s">
        <v>68</v>
      </c>
      <c r="BA449" s="22" t="str">
        <f t="shared" si="148"/>
        <v>AVIATION HULL ALL RISK</v>
      </c>
      <c r="BB449" s="22"/>
      <c r="BC449" s="22"/>
      <c r="BD449" s="1" t="s">
        <v>591</v>
      </c>
    </row>
    <row r="450" spans="1:56" ht="14.25" customHeight="1" x14ac:dyDescent="0.2">
      <c r="A450" s="1" t="s">
        <v>578</v>
      </c>
      <c r="B450" s="1" t="s">
        <v>57</v>
      </c>
      <c r="C450" s="13">
        <v>44727</v>
      </c>
      <c r="D450" s="13">
        <v>44765</v>
      </c>
      <c r="E450" s="13">
        <v>44717</v>
      </c>
      <c r="F450" s="13">
        <v>44808</v>
      </c>
      <c r="G450" s="14" t="str">
        <f t="shared" si="132"/>
        <v>000-449/AIB RDC/2022</v>
      </c>
      <c r="H450" s="1">
        <v>1</v>
      </c>
      <c r="I450" s="1" t="s">
        <v>217</v>
      </c>
      <c r="J450" s="1" t="s">
        <v>742</v>
      </c>
      <c r="K450" s="1" t="s">
        <v>335</v>
      </c>
      <c r="L450" s="16" t="s">
        <v>137</v>
      </c>
      <c r="M450" s="16" t="s">
        <v>84</v>
      </c>
      <c r="N450" s="16" t="s">
        <v>85</v>
      </c>
      <c r="O450" s="1" t="s">
        <v>192</v>
      </c>
      <c r="P450" s="1" t="s">
        <v>98</v>
      </c>
      <c r="Q450" s="1" t="s">
        <v>130</v>
      </c>
      <c r="R450" s="1" t="s">
        <v>130</v>
      </c>
      <c r="S450" s="17">
        <v>0</v>
      </c>
      <c r="T450" s="17">
        <v>3036.85</v>
      </c>
      <c r="U450" s="17">
        <v>0</v>
      </c>
      <c r="V450" s="17">
        <v>0</v>
      </c>
      <c r="W450" s="17">
        <v>400.59</v>
      </c>
      <c r="X450" s="17">
        <v>2173.02</v>
      </c>
      <c r="Y450" s="17">
        <v>411.77</v>
      </c>
      <c r="Z450" s="18" t="e">
        <f t="shared" si="133"/>
        <v>#DIV/0!</v>
      </c>
      <c r="AA450" s="19">
        <v>0.1</v>
      </c>
      <c r="AB450" s="17">
        <f t="shared" si="146"/>
        <v>217.30200000000002</v>
      </c>
      <c r="AC450" s="17">
        <v>0</v>
      </c>
      <c r="AD450" s="17">
        <v>0</v>
      </c>
      <c r="AE450" s="17">
        <f t="shared" si="134"/>
        <v>217.30200000000002</v>
      </c>
      <c r="AF450" s="17">
        <f t="shared" si="151"/>
        <v>34.768320000000003</v>
      </c>
      <c r="AG450" s="17">
        <f t="shared" si="147"/>
        <v>252.07032000000004</v>
      </c>
      <c r="AH450" s="17">
        <f t="shared" si="150"/>
        <v>4.3460400000000003</v>
      </c>
      <c r="AI450" s="17"/>
      <c r="AJ450" s="17">
        <f t="shared" si="136"/>
        <v>4.3460400000000003</v>
      </c>
      <c r="AK450" s="20"/>
      <c r="AL450" s="17">
        <f t="shared" si="137"/>
        <v>212.95596000000003</v>
      </c>
      <c r="AM450" s="17" t="s">
        <v>430</v>
      </c>
      <c r="AN450" s="21">
        <v>0.5</v>
      </c>
      <c r="AO450" s="17">
        <f t="shared" si="138"/>
        <v>106.47798000000002</v>
      </c>
      <c r="AP450" s="17">
        <v>106.47798000000002</v>
      </c>
      <c r="AQ450" s="16">
        <v>44867</v>
      </c>
      <c r="AR450" s="17">
        <f t="shared" si="145"/>
        <v>0</v>
      </c>
      <c r="AS450" s="17" t="s">
        <v>743</v>
      </c>
      <c r="AT450" s="17">
        <v>252.07032000000004</v>
      </c>
      <c r="AU450" s="17">
        <f t="shared" si="149"/>
        <v>252.07032000000004</v>
      </c>
      <c r="AV450" s="17">
        <f t="shared" si="139"/>
        <v>0</v>
      </c>
      <c r="AW450" s="17" t="str">
        <f t="shared" si="142"/>
        <v>SFA</v>
      </c>
      <c r="AX450" s="22">
        <v>44791</v>
      </c>
      <c r="AY450" s="22"/>
      <c r="AZ450" s="1" t="s">
        <v>367</v>
      </c>
      <c r="BA450" s="22" t="str">
        <f t="shared" si="148"/>
        <v>GPA</v>
      </c>
      <c r="BB450" s="22"/>
      <c r="BC450" s="22"/>
      <c r="BD450" s="22"/>
    </row>
    <row r="451" spans="1:56" ht="14.25" customHeight="1" x14ac:dyDescent="0.2">
      <c r="A451" s="1" t="s">
        <v>578</v>
      </c>
      <c r="B451" s="1" t="s">
        <v>57</v>
      </c>
      <c r="C451" s="13">
        <v>44727</v>
      </c>
      <c r="D451" s="13">
        <v>44763</v>
      </c>
      <c r="E451" s="13">
        <v>44717</v>
      </c>
      <c r="F451" s="13">
        <v>45081</v>
      </c>
      <c r="G451" s="14" t="str">
        <f t="shared" si="132"/>
        <v>000-450/AIB RDC/2022</v>
      </c>
      <c r="H451" s="1">
        <v>0</v>
      </c>
      <c r="I451" s="1" t="s">
        <v>74</v>
      </c>
      <c r="J451" s="1" t="s">
        <v>744</v>
      </c>
      <c r="K451" s="1" t="s">
        <v>335</v>
      </c>
      <c r="L451" s="16" t="s">
        <v>137</v>
      </c>
      <c r="M451" s="16" t="s">
        <v>84</v>
      </c>
      <c r="N451" s="16" t="s">
        <v>85</v>
      </c>
      <c r="O451" s="1" t="s">
        <v>70</v>
      </c>
      <c r="P451" s="1" t="s">
        <v>71</v>
      </c>
      <c r="Q451" s="1" t="s">
        <v>130</v>
      </c>
      <c r="R451" s="1" t="s">
        <v>130</v>
      </c>
      <c r="S451" s="17">
        <v>90888.23</v>
      </c>
      <c r="T451" s="17">
        <v>1989.04</v>
      </c>
      <c r="U451" s="17">
        <v>0</v>
      </c>
      <c r="V451" s="17">
        <v>0</v>
      </c>
      <c r="W451" s="17">
        <v>22.55</v>
      </c>
      <c r="X451" s="17">
        <v>2510.54</v>
      </c>
      <c r="Y451" s="17">
        <v>405.29</v>
      </c>
      <c r="Z451" s="18">
        <f t="shared" si="133"/>
        <v>2.1884461827455546E-2</v>
      </c>
      <c r="AA451" s="19">
        <v>0.1</v>
      </c>
      <c r="AB451" s="17">
        <f t="shared" si="146"/>
        <v>251.054</v>
      </c>
      <c r="AC451" s="17">
        <v>0</v>
      </c>
      <c r="AD451" s="17">
        <v>0</v>
      </c>
      <c r="AE451" s="17">
        <f t="shared" si="134"/>
        <v>251.054</v>
      </c>
      <c r="AF451" s="17">
        <f t="shared" si="151"/>
        <v>40.168640000000003</v>
      </c>
      <c r="AG451" s="17">
        <f t="shared" si="147"/>
        <v>291.22264000000001</v>
      </c>
      <c r="AH451" s="17">
        <f t="shared" si="150"/>
        <v>5.0210800000000004</v>
      </c>
      <c r="AI451" s="17"/>
      <c r="AJ451" s="17">
        <f t="shared" si="136"/>
        <v>5.0210800000000004</v>
      </c>
      <c r="AK451" s="20"/>
      <c r="AL451" s="17">
        <f t="shared" si="137"/>
        <v>246.03291999999999</v>
      </c>
      <c r="AM451" s="17" t="s">
        <v>430</v>
      </c>
      <c r="AN451" s="21">
        <v>0.5</v>
      </c>
      <c r="AO451" s="17">
        <f t="shared" si="138"/>
        <v>123.01646</v>
      </c>
      <c r="AP451" s="17">
        <v>123.01646</v>
      </c>
      <c r="AQ451" s="16">
        <v>44867</v>
      </c>
      <c r="AR451" s="17">
        <f t="shared" si="145"/>
        <v>0</v>
      </c>
      <c r="AS451" s="17" t="s">
        <v>743</v>
      </c>
      <c r="AT451" s="17">
        <v>291.22264000000001</v>
      </c>
      <c r="AU451" s="17">
        <f t="shared" si="149"/>
        <v>291.22264000000001</v>
      </c>
      <c r="AV451" s="17">
        <f t="shared" si="139"/>
        <v>0</v>
      </c>
      <c r="AW451" s="17" t="str">
        <f t="shared" si="142"/>
        <v>SFA</v>
      </c>
      <c r="AX451" s="22">
        <v>44791</v>
      </c>
      <c r="AY451" s="22"/>
      <c r="AZ451" s="1" t="s">
        <v>100</v>
      </c>
      <c r="BA451" s="22" t="str">
        <f t="shared" si="148"/>
        <v>FIRE</v>
      </c>
      <c r="BB451" s="22"/>
      <c r="BC451" s="22"/>
      <c r="BD451" s="22"/>
    </row>
    <row r="452" spans="1:56" ht="14.25" customHeight="1" x14ac:dyDescent="0.2">
      <c r="A452" s="1" t="s">
        <v>578</v>
      </c>
      <c r="B452" s="1" t="s">
        <v>57</v>
      </c>
      <c r="C452" s="13">
        <v>44727</v>
      </c>
      <c r="D452" s="13">
        <v>44763</v>
      </c>
      <c r="E452" s="13">
        <v>44717</v>
      </c>
      <c r="F452" s="13">
        <v>45081</v>
      </c>
      <c r="G452" s="14" t="str">
        <f t="shared" si="132"/>
        <v>000-451/AIB RDC/2022</v>
      </c>
      <c r="H452" s="1">
        <v>0</v>
      </c>
      <c r="I452" s="1" t="s">
        <v>74</v>
      </c>
      <c r="J452" s="1" t="s">
        <v>745</v>
      </c>
      <c r="K452" s="1" t="s">
        <v>335</v>
      </c>
      <c r="L452" s="16" t="s">
        <v>137</v>
      </c>
      <c r="M452" s="16" t="s">
        <v>84</v>
      </c>
      <c r="N452" s="16" t="s">
        <v>85</v>
      </c>
      <c r="O452" s="1" t="s">
        <v>70</v>
      </c>
      <c r="P452" s="1" t="s">
        <v>71</v>
      </c>
      <c r="Q452" s="1" t="s">
        <v>130</v>
      </c>
      <c r="R452" s="1" t="s">
        <v>130</v>
      </c>
      <c r="S452" s="17">
        <v>123918.15</v>
      </c>
      <c r="T452" s="17">
        <v>2125.39</v>
      </c>
      <c r="U452" s="17">
        <v>0</v>
      </c>
      <c r="V452" s="17">
        <v>0</v>
      </c>
      <c r="W452" s="17">
        <v>20</v>
      </c>
      <c r="X452" s="17">
        <v>1781.18</v>
      </c>
      <c r="Y452" s="17">
        <v>288.19</v>
      </c>
      <c r="Z452" s="18">
        <f t="shared" si="133"/>
        <v>1.7151563350485784E-2</v>
      </c>
      <c r="AA452" s="19">
        <v>0.1</v>
      </c>
      <c r="AB452" s="17">
        <f t="shared" si="146"/>
        <v>178.11800000000002</v>
      </c>
      <c r="AC452" s="17">
        <v>0</v>
      </c>
      <c r="AD452" s="17">
        <v>0</v>
      </c>
      <c r="AE452" s="17">
        <f t="shared" si="134"/>
        <v>178.11800000000002</v>
      </c>
      <c r="AF452" s="17">
        <f t="shared" si="151"/>
        <v>28.498880000000003</v>
      </c>
      <c r="AG452" s="17">
        <f t="shared" si="147"/>
        <v>206.61688000000004</v>
      </c>
      <c r="AH452" s="17">
        <f t="shared" si="150"/>
        <v>3.5623600000000004</v>
      </c>
      <c r="AI452" s="17"/>
      <c r="AJ452" s="17">
        <f t="shared" si="136"/>
        <v>3.5623600000000004</v>
      </c>
      <c r="AK452" s="20"/>
      <c r="AL452" s="17">
        <f t="shared" si="137"/>
        <v>174.55564000000001</v>
      </c>
      <c r="AM452" s="17" t="s">
        <v>430</v>
      </c>
      <c r="AN452" s="21">
        <v>0.5</v>
      </c>
      <c r="AO452" s="17">
        <f t="shared" si="138"/>
        <v>87.277820000000006</v>
      </c>
      <c r="AP452" s="17">
        <v>87.277820000000006</v>
      </c>
      <c r="AQ452" s="16">
        <v>44867</v>
      </c>
      <c r="AR452" s="17">
        <f t="shared" si="145"/>
        <v>0</v>
      </c>
      <c r="AS452" s="17" t="s">
        <v>743</v>
      </c>
      <c r="AT452" s="17">
        <v>206.61688000000004</v>
      </c>
      <c r="AU452" s="17">
        <f t="shared" si="149"/>
        <v>206.61688000000004</v>
      </c>
      <c r="AV452" s="17">
        <f t="shared" si="139"/>
        <v>0</v>
      </c>
      <c r="AW452" s="17" t="str">
        <f t="shared" si="142"/>
        <v>SFA</v>
      </c>
      <c r="AX452" s="22">
        <v>44791</v>
      </c>
      <c r="AY452" s="22"/>
      <c r="AZ452" s="1" t="s">
        <v>100</v>
      </c>
      <c r="BA452" s="22" t="str">
        <f t="shared" si="148"/>
        <v>FIRE</v>
      </c>
      <c r="BB452" s="22"/>
      <c r="BC452" s="22"/>
      <c r="BD452" s="22"/>
    </row>
    <row r="453" spans="1:56" ht="14.25" customHeight="1" x14ac:dyDescent="0.2">
      <c r="A453" s="1" t="s">
        <v>578</v>
      </c>
      <c r="B453" s="1" t="s">
        <v>57</v>
      </c>
      <c r="C453" s="13">
        <v>44729</v>
      </c>
      <c r="D453" s="13">
        <v>44767</v>
      </c>
      <c r="E453" s="13">
        <v>44717</v>
      </c>
      <c r="F453" s="13">
        <v>45081</v>
      </c>
      <c r="G453" s="14" t="str">
        <f t="shared" si="132"/>
        <v>000-452/AIB RDC/2022</v>
      </c>
      <c r="H453" s="1">
        <v>0</v>
      </c>
      <c r="I453" s="1" t="s">
        <v>74</v>
      </c>
      <c r="J453" s="1" t="s">
        <v>746</v>
      </c>
      <c r="K453" s="1" t="s">
        <v>335</v>
      </c>
      <c r="L453" s="16" t="s">
        <v>137</v>
      </c>
      <c r="M453" s="16" t="s">
        <v>84</v>
      </c>
      <c r="N453" s="16" t="s">
        <v>85</v>
      </c>
      <c r="O453" s="1" t="s">
        <v>747</v>
      </c>
      <c r="P453" s="1" t="s">
        <v>90</v>
      </c>
      <c r="Q453" s="1" t="s">
        <v>130</v>
      </c>
      <c r="R453" s="1" t="s">
        <v>130</v>
      </c>
      <c r="S453" s="17">
        <v>0</v>
      </c>
      <c r="T453" s="17">
        <v>10015.219999999999</v>
      </c>
      <c r="U453" s="17">
        <v>1265.29</v>
      </c>
      <c r="V453" s="17">
        <v>0</v>
      </c>
      <c r="W453" s="17">
        <v>52.18</v>
      </c>
      <c r="X453" s="17">
        <v>7170</v>
      </c>
      <c r="Y453" s="17">
        <v>1358</v>
      </c>
      <c r="Z453" s="18" t="e">
        <f t="shared" si="133"/>
        <v>#DIV/0!</v>
      </c>
      <c r="AA453" s="19">
        <v>0.15</v>
      </c>
      <c r="AB453" s="17">
        <f t="shared" si="146"/>
        <v>1075.5</v>
      </c>
      <c r="AC453" s="17">
        <v>0</v>
      </c>
      <c r="AD453" s="17">
        <v>0</v>
      </c>
      <c r="AE453" s="17">
        <f t="shared" si="134"/>
        <v>1075.5</v>
      </c>
      <c r="AF453" s="17">
        <f t="shared" si="151"/>
        <v>172.08</v>
      </c>
      <c r="AG453" s="17">
        <f t="shared" si="147"/>
        <v>1247.58</v>
      </c>
      <c r="AH453" s="17">
        <f t="shared" si="150"/>
        <v>21.51</v>
      </c>
      <c r="AI453" s="17"/>
      <c r="AJ453" s="17">
        <f t="shared" si="136"/>
        <v>21.51</v>
      </c>
      <c r="AK453" s="20"/>
      <c r="AL453" s="17">
        <f t="shared" si="137"/>
        <v>1053.99</v>
      </c>
      <c r="AM453" s="17" t="s">
        <v>430</v>
      </c>
      <c r="AN453" s="21">
        <v>0.5</v>
      </c>
      <c r="AO453" s="17">
        <f t="shared" si="138"/>
        <v>526.995</v>
      </c>
      <c r="AP453" s="17">
        <v>526.995</v>
      </c>
      <c r="AQ453" s="16">
        <v>44867</v>
      </c>
      <c r="AR453" s="17">
        <f t="shared" si="145"/>
        <v>0</v>
      </c>
      <c r="AS453" s="17" t="s">
        <v>743</v>
      </c>
      <c r="AT453" s="17">
        <v>1247.58</v>
      </c>
      <c r="AU453" s="17">
        <f t="shared" si="149"/>
        <v>1247.58</v>
      </c>
      <c r="AV453" s="17">
        <f t="shared" si="139"/>
        <v>0</v>
      </c>
      <c r="AW453" s="17" t="str">
        <f t="shared" si="142"/>
        <v>SFA</v>
      </c>
      <c r="AX453" s="22">
        <v>44791</v>
      </c>
      <c r="AY453" s="22"/>
      <c r="AZ453" s="1" t="s">
        <v>100</v>
      </c>
      <c r="BA453" s="22" t="str">
        <f t="shared" si="148"/>
        <v>FIDELITY GUARANTEE</v>
      </c>
      <c r="BB453" s="22"/>
      <c r="BC453" s="22"/>
      <c r="BD453" s="22"/>
    </row>
    <row r="454" spans="1:56" ht="14.25" customHeight="1" x14ac:dyDescent="0.2">
      <c r="A454" s="1" t="s">
        <v>654</v>
      </c>
      <c r="B454" s="1" t="s">
        <v>57</v>
      </c>
      <c r="C454" s="13">
        <v>44811</v>
      </c>
      <c r="D454" s="13">
        <v>44744</v>
      </c>
      <c r="E454" s="13">
        <v>44743</v>
      </c>
      <c r="F454" s="50">
        <v>44915</v>
      </c>
      <c r="G454" s="14" t="str">
        <f t="shared" si="132"/>
        <v>000-453/AIB RDC/2022</v>
      </c>
      <c r="H454" s="1">
        <v>1</v>
      </c>
      <c r="I454" s="1" t="s">
        <v>91</v>
      </c>
      <c r="J454" s="1" t="s">
        <v>748</v>
      </c>
      <c r="K454" s="16" t="s">
        <v>749</v>
      </c>
      <c r="L454" s="1" t="s">
        <v>94</v>
      </c>
      <c r="M454" s="16" t="s">
        <v>84</v>
      </c>
      <c r="N454" s="16" t="s">
        <v>85</v>
      </c>
      <c r="O454" s="1" t="s">
        <v>73</v>
      </c>
      <c r="P454" s="1" t="s">
        <v>73</v>
      </c>
      <c r="Q454" s="1" t="s">
        <v>79</v>
      </c>
      <c r="R454" s="1" t="s">
        <v>79</v>
      </c>
      <c r="S454" s="17">
        <v>0</v>
      </c>
      <c r="T454" s="17">
        <v>179.13</v>
      </c>
      <c r="U454" s="17">
        <v>0</v>
      </c>
      <c r="V454" s="17">
        <v>0</v>
      </c>
      <c r="W454" s="17">
        <v>10</v>
      </c>
      <c r="X454" s="17">
        <v>141.80000000000001</v>
      </c>
      <c r="Y454" s="17">
        <v>24.29</v>
      </c>
      <c r="Z454" s="18" t="e">
        <f t="shared" si="133"/>
        <v>#DIV/0!</v>
      </c>
      <c r="AA454" s="19">
        <v>0.1</v>
      </c>
      <c r="AB454" s="17">
        <f t="shared" si="146"/>
        <v>14.180000000000001</v>
      </c>
      <c r="AC454" s="17"/>
      <c r="AD454" s="17"/>
      <c r="AE454" s="17">
        <f t="shared" si="134"/>
        <v>14.180000000000001</v>
      </c>
      <c r="AF454" s="17">
        <f t="shared" si="151"/>
        <v>2.2688000000000001</v>
      </c>
      <c r="AG454" s="17">
        <f t="shared" si="147"/>
        <v>16.448800000000002</v>
      </c>
      <c r="AH454" s="17">
        <f t="shared" si="150"/>
        <v>0.28360000000000002</v>
      </c>
      <c r="AI454" s="17"/>
      <c r="AJ454" s="17">
        <f t="shared" si="136"/>
        <v>0.28360000000000002</v>
      </c>
      <c r="AK454" s="20"/>
      <c r="AL454" s="17">
        <f t="shared" si="137"/>
        <v>13.896400000000002</v>
      </c>
      <c r="AM454" s="17"/>
      <c r="AN454" s="21"/>
      <c r="AO454" s="17">
        <f t="shared" si="138"/>
        <v>0</v>
      </c>
      <c r="AP454" s="17"/>
      <c r="AQ454" s="16"/>
      <c r="AR454" s="17">
        <f t="shared" si="145"/>
        <v>0</v>
      </c>
      <c r="AS454" s="17"/>
      <c r="AT454" s="17">
        <v>16.448800000000002</v>
      </c>
      <c r="AU454" s="17">
        <f t="shared" si="149"/>
        <v>16.448800000000002</v>
      </c>
      <c r="AV454" s="17">
        <f t="shared" si="139"/>
        <v>0</v>
      </c>
      <c r="AW454" s="17" t="str">
        <f t="shared" si="142"/>
        <v>MAYFAIR</v>
      </c>
      <c r="AX454" s="22">
        <v>44791</v>
      </c>
      <c r="AY454" s="22"/>
      <c r="AZ454" s="1" t="s">
        <v>68</v>
      </c>
      <c r="BA454" s="22" t="str">
        <f t="shared" si="148"/>
        <v>MOTOR TPL</v>
      </c>
      <c r="BB454" s="22"/>
      <c r="BC454" s="1" t="s">
        <v>86</v>
      </c>
      <c r="BD454" s="22"/>
    </row>
    <row r="455" spans="1:56" ht="14.25" customHeight="1" x14ac:dyDescent="0.2">
      <c r="A455" s="1" t="s">
        <v>654</v>
      </c>
      <c r="B455" s="1" t="s">
        <v>57</v>
      </c>
      <c r="C455" s="13">
        <v>44765</v>
      </c>
      <c r="D455" s="13">
        <v>44765</v>
      </c>
      <c r="E455" s="13">
        <v>44757</v>
      </c>
      <c r="F455" s="50">
        <v>45121</v>
      </c>
      <c r="G455" s="14" t="str">
        <f t="shared" si="132"/>
        <v>000-454/AIB RDC/2022</v>
      </c>
      <c r="H455" s="1">
        <v>0</v>
      </c>
      <c r="I455" s="1" t="s">
        <v>74</v>
      </c>
      <c r="J455" s="1" t="s">
        <v>750</v>
      </c>
      <c r="K455" s="1" t="s">
        <v>751</v>
      </c>
      <c r="L455" s="1"/>
      <c r="M455" s="16" t="s">
        <v>84</v>
      </c>
      <c r="N455" s="16" t="s">
        <v>85</v>
      </c>
      <c r="O455" s="1" t="s">
        <v>185</v>
      </c>
      <c r="P455" s="1" t="s">
        <v>186</v>
      </c>
      <c r="Q455" s="1" t="s">
        <v>130</v>
      </c>
      <c r="R455" s="1" t="s">
        <v>752</v>
      </c>
      <c r="S455" s="17">
        <v>0</v>
      </c>
      <c r="T455" s="17">
        <v>26744.34</v>
      </c>
      <c r="U455" s="17">
        <v>3383.82</v>
      </c>
      <c r="V455" s="17">
        <v>0</v>
      </c>
      <c r="W455" s="17">
        <v>105.88</v>
      </c>
      <c r="X455" s="17">
        <v>19175</v>
      </c>
      <c r="Y455" s="17">
        <v>3626.35</v>
      </c>
      <c r="Z455" s="18" t="e">
        <f t="shared" si="133"/>
        <v>#DIV/0!</v>
      </c>
      <c r="AA455" s="19">
        <v>0</v>
      </c>
      <c r="AB455" s="17">
        <f t="shared" ref="AB455:AB486" si="152">(AA455*X455)</f>
        <v>0</v>
      </c>
      <c r="AC455" s="17">
        <f>30%*U455</f>
        <v>1015.146</v>
      </c>
      <c r="AD455" s="17">
        <f>4.25415%*X455</f>
        <v>815.73326250000002</v>
      </c>
      <c r="AE455" s="17">
        <f t="shared" si="134"/>
        <v>1830.8792625000001</v>
      </c>
      <c r="AF455" s="17">
        <f t="shared" si="151"/>
        <v>292.94068200000004</v>
      </c>
      <c r="AG455" s="17">
        <f t="shared" si="147"/>
        <v>2123.8199445</v>
      </c>
      <c r="AH455" s="17">
        <f t="shared" si="150"/>
        <v>36.617585250000005</v>
      </c>
      <c r="AI455" s="17"/>
      <c r="AJ455" s="17">
        <f t="shared" si="136"/>
        <v>36.617585250000005</v>
      </c>
      <c r="AK455" s="20"/>
      <c r="AL455" s="17">
        <f t="shared" si="137"/>
        <v>1794.26167725</v>
      </c>
      <c r="AM455" s="17" t="s">
        <v>198</v>
      </c>
      <c r="AN455" s="21"/>
      <c r="AO455" s="17">
        <f t="shared" si="138"/>
        <v>0</v>
      </c>
      <c r="AP455" s="17"/>
      <c r="AQ455" s="16"/>
      <c r="AR455" s="17">
        <f t="shared" si="145"/>
        <v>0</v>
      </c>
      <c r="AS455" s="17"/>
      <c r="AT455" s="17">
        <f>1177.57+946.2499445</f>
        <v>2123.8199445</v>
      </c>
      <c r="AU455" s="17">
        <f t="shared" si="149"/>
        <v>2123.8199445</v>
      </c>
      <c r="AV455" s="17">
        <f t="shared" si="139"/>
        <v>0</v>
      </c>
      <c r="AW455" s="17" t="str">
        <f t="shared" si="142"/>
        <v>SFA</v>
      </c>
      <c r="AX455" s="22">
        <v>44791</v>
      </c>
      <c r="AY455" s="22"/>
      <c r="AZ455" s="1"/>
      <c r="BA455" s="22" t="str">
        <f t="shared" si="148"/>
        <v>AVIATION HULL ALL RISK</v>
      </c>
      <c r="BB455" s="26"/>
      <c r="BC455" s="22"/>
      <c r="BD455" s="22"/>
    </row>
    <row r="456" spans="1:56" ht="14.25" customHeight="1" x14ac:dyDescent="0.2">
      <c r="A456" s="1" t="s">
        <v>654</v>
      </c>
      <c r="B456" s="1" t="s">
        <v>57</v>
      </c>
      <c r="C456" s="13">
        <v>44756</v>
      </c>
      <c r="D456" s="13">
        <v>44757</v>
      </c>
      <c r="E456" s="13">
        <v>44757</v>
      </c>
      <c r="F456" s="13">
        <v>45038</v>
      </c>
      <c r="G456" s="14" t="str">
        <f t="shared" si="132"/>
        <v>000-455/AIB RDC/2022</v>
      </c>
      <c r="H456" s="1">
        <v>3</v>
      </c>
      <c r="I456" s="1" t="s">
        <v>91</v>
      </c>
      <c r="J456" s="44" t="s">
        <v>519</v>
      </c>
      <c r="K456" s="1" t="s">
        <v>345</v>
      </c>
      <c r="L456" s="1" t="s">
        <v>137</v>
      </c>
      <c r="M456" s="16" t="s">
        <v>84</v>
      </c>
      <c r="N456" s="1" t="s">
        <v>586</v>
      </c>
      <c r="O456" s="1" t="s">
        <v>73</v>
      </c>
      <c r="P456" s="1" t="s">
        <v>73</v>
      </c>
      <c r="Q456" s="1" t="s">
        <v>107</v>
      </c>
      <c r="R456" s="1" t="s">
        <v>107</v>
      </c>
      <c r="S456" s="17">
        <v>0</v>
      </c>
      <c r="T456" s="17">
        <v>1264.46</v>
      </c>
      <c r="U456" s="17">
        <v>0</v>
      </c>
      <c r="V456" s="17">
        <v>0</v>
      </c>
      <c r="W456" s="17">
        <v>30</v>
      </c>
      <c r="X456" s="17">
        <v>1041.57</v>
      </c>
      <c r="Y456" s="17">
        <v>171.45</v>
      </c>
      <c r="Z456" s="18" t="e">
        <f t="shared" si="133"/>
        <v>#DIV/0!</v>
      </c>
      <c r="AA456" s="19">
        <v>0.1</v>
      </c>
      <c r="AB456" s="17">
        <f t="shared" si="152"/>
        <v>104.157</v>
      </c>
      <c r="AC456" s="17"/>
      <c r="AD456" s="17"/>
      <c r="AE456" s="17">
        <f t="shared" si="134"/>
        <v>104.157</v>
      </c>
      <c r="AF456" s="17">
        <f t="shared" si="151"/>
        <v>16.665119999999998</v>
      </c>
      <c r="AG456" s="17">
        <f t="shared" si="147"/>
        <v>120.82212</v>
      </c>
      <c r="AH456" s="17">
        <f t="shared" si="150"/>
        <v>2.0831399999999998</v>
      </c>
      <c r="AI456" s="17"/>
      <c r="AJ456" s="17">
        <f t="shared" si="136"/>
        <v>2.0831399999999998</v>
      </c>
      <c r="AK456" s="20"/>
      <c r="AL456" s="17">
        <f t="shared" si="137"/>
        <v>102.07386</v>
      </c>
      <c r="AM456" s="17"/>
      <c r="AN456" s="21"/>
      <c r="AO456" s="17">
        <f t="shared" si="138"/>
        <v>0</v>
      </c>
      <c r="AP456" s="17"/>
      <c r="AQ456" s="16"/>
      <c r="AR456" s="17">
        <f t="shared" si="145"/>
        <v>0</v>
      </c>
      <c r="AS456" s="17"/>
      <c r="AT456" s="17">
        <v>120.82212</v>
      </c>
      <c r="AU456" s="17">
        <f t="shared" si="149"/>
        <v>120.82212</v>
      </c>
      <c r="AV456" s="17">
        <f t="shared" si="139"/>
        <v>0</v>
      </c>
      <c r="AW456" s="17" t="str">
        <f t="shared" si="142"/>
        <v>RAWSUR</v>
      </c>
      <c r="AX456" s="22">
        <v>44797</v>
      </c>
      <c r="AY456" s="22"/>
      <c r="AZ456" s="1" t="s">
        <v>68</v>
      </c>
      <c r="BA456" s="22" t="str">
        <f t="shared" si="148"/>
        <v>MOTOR TPL</v>
      </c>
      <c r="BB456" s="22"/>
      <c r="BC456" s="22"/>
      <c r="BD456" s="22"/>
    </row>
    <row r="457" spans="1:56" ht="14.25" customHeight="1" x14ac:dyDescent="0.2">
      <c r="A457" s="1" t="s">
        <v>654</v>
      </c>
      <c r="B457" s="1" t="s">
        <v>57</v>
      </c>
      <c r="C457" s="13">
        <v>44755</v>
      </c>
      <c r="D457" s="13">
        <v>44764</v>
      </c>
      <c r="E457" s="13">
        <v>44764</v>
      </c>
      <c r="F457" s="13">
        <v>45034</v>
      </c>
      <c r="G457" s="14" t="str">
        <f t="shared" si="132"/>
        <v>000-456/AIB RDC/2022</v>
      </c>
      <c r="H457" s="1">
        <v>2</v>
      </c>
      <c r="I457" s="1" t="s">
        <v>91</v>
      </c>
      <c r="J457" s="1" t="s">
        <v>505</v>
      </c>
      <c r="K457" s="16" t="s">
        <v>409</v>
      </c>
      <c r="L457" s="16" t="s">
        <v>137</v>
      </c>
      <c r="M457" s="16" t="s">
        <v>84</v>
      </c>
      <c r="N457" s="16" t="s">
        <v>85</v>
      </c>
      <c r="O457" s="1" t="s">
        <v>152</v>
      </c>
      <c r="P457" s="1" t="s">
        <v>153</v>
      </c>
      <c r="Q457" s="1" t="s">
        <v>130</v>
      </c>
      <c r="R457" s="1" t="s">
        <v>130</v>
      </c>
      <c r="S457" s="17">
        <v>66930</v>
      </c>
      <c r="T457" s="17">
        <v>2867.53</v>
      </c>
      <c r="U457" s="17">
        <v>0</v>
      </c>
      <c r="V457" s="17">
        <v>0</v>
      </c>
      <c r="W457" s="17">
        <v>119.66</v>
      </c>
      <c r="X457" s="17">
        <v>2310.46</v>
      </c>
      <c r="Y457" s="17">
        <v>388.81</v>
      </c>
      <c r="Z457" s="18">
        <f t="shared" si="133"/>
        <v>4.2843717316599438E-2</v>
      </c>
      <c r="AA457" s="19">
        <v>0.15</v>
      </c>
      <c r="AB457" s="17">
        <f t="shared" si="152"/>
        <v>346.56900000000002</v>
      </c>
      <c r="AC457" s="17"/>
      <c r="AD457" s="17"/>
      <c r="AE457" s="17">
        <f t="shared" si="134"/>
        <v>346.56900000000002</v>
      </c>
      <c r="AF457" s="17">
        <f t="shared" si="151"/>
        <v>55.451040000000006</v>
      </c>
      <c r="AG457" s="17">
        <f t="shared" ref="AG457:AG488" si="153">AF457+AE457</f>
        <v>402.02003999999999</v>
      </c>
      <c r="AH457" s="17">
        <f t="shared" si="150"/>
        <v>6.9313800000000008</v>
      </c>
      <c r="AI457" s="17"/>
      <c r="AJ457" s="17">
        <f t="shared" si="136"/>
        <v>6.9313800000000008</v>
      </c>
      <c r="AK457" s="20"/>
      <c r="AL457" s="17">
        <f t="shared" si="137"/>
        <v>339.63762000000003</v>
      </c>
      <c r="AM457" s="17" t="s">
        <v>289</v>
      </c>
      <c r="AN457" s="21">
        <v>0.5</v>
      </c>
      <c r="AO457" s="17">
        <f t="shared" si="138"/>
        <v>169.81881000000001</v>
      </c>
      <c r="AP457" s="17">
        <v>169.81881000000001</v>
      </c>
      <c r="AQ457" s="16">
        <v>44867</v>
      </c>
      <c r="AR457" s="17">
        <f t="shared" si="145"/>
        <v>0</v>
      </c>
      <c r="AS457" s="17" t="s">
        <v>290</v>
      </c>
      <c r="AT457" s="17">
        <v>402.02003999999999</v>
      </c>
      <c r="AU457" s="17">
        <f t="shared" si="149"/>
        <v>402.02003999999999</v>
      </c>
      <c r="AV457" s="17">
        <f t="shared" si="139"/>
        <v>0</v>
      </c>
      <c r="AW457" s="17" t="str">
        <f t="shared" si="142"/>
        <v>SFA</v>
      </c>
      <c r="AX457" s="22">
        <v>44791</v>
      </c>
      <c r="AY457" s="22"/>
      <c r="AZ457" s="1" t="s">
        <v>68</v>
      </c>
      <c r="BA457" s="22" t="str">
        <f t="shared" ref="BA457:BA488" si="154">O457</f>
        <v>COMP MOTOR</v>
      </c>
      <c r="BB457" s="22"/>
      <c r="BC457" s="22"/>
      <c r="BD457" s="22"/>
    </row>
    <row r="458" spans="1:56" ht="14.25" customHeight="1" x14ac:dyDescent="0.2">
      <c r="A458" s="1" t="s">
        <v>439</v>
      </c>
      <c r="B458" s="1" t="s">
        <v>57</v>
      </c>
      <c r="C458" s="13">
        <v>44743</v>
      </c>
      <c r="D458" s="13">
        <v>44775</v>
      </c>
      <c r="E458" s="13">
        <v>44774</v>
      </c>
      <c r="F458" s="13">
        <v>45138</v>
      </c>
      <c r="G458" s="14" t="str">
        <f t="shared" si="132"/>
        <v>000-457/AIB RDC/2022</v>
      </c>
      <c r="H458" s="1">
        <v>3</v>
      </c>
      <c r="I458" s="1" t="s">
        <v>58</v>
      </c>
      <c r="J458" s="1" t="s">
        <v>753</v>
      </c>
      <c r="K458" s="1" t="s">
        <v>216</v>
      </c>
      <c r="L458" s="1" t="s">
        <v>137</v>
      </c>
      <c r="M458" s="16" t="s">
        <v>84</v>
      </c>
      <c r="N458" s="16" t="s">
        <v>85</v>
      </c>
      <c r="O458" s="1" t="s">
        <v>89</v>
      </c>
      <c r="P458" s="1" t="s">
        <v>90</v>
      </c>
      <c r="Q458" s="1" t="s">
        <v>107</v>
      </c>
      <c r="R458" s="1" t="s">
        <v>666</v>
      </c>
      <c r="S458" s="17">
        <v>0</v>
      </c>
      <c r="T458" s="17">
        <v>71699.58</v>
      </c>
      <c r="U458" s="17">
        <v>9099.35</v>
      </c>
      <c r="V458" s="17">
        <v>-3470.13</v>
      </c>
      <c r="W458" s="17">
        <v>100</v>
      </c>
      <c r="X458" s="17">
        <v>51563</v>
      </c>
      <c r="Y458" s="17">
        <v>9721.98</v>
      </c>
      <c r="Z458" s="18" t="e">
        <f t="shared" si="133"/>
        <v>#DIV/0!</v>
      </c>
      <c r="AA458" s="19">
        <v>0</v>
      </c>
      <c r="AB458" s="17">
        <f t="shared" si="152"/>
        <v>0</v>
      </c>
      <c r="AC458" s="17">
        <f>30%*(U458+V458)</f>
        <v>1688.7660000000001</v>
      </c>
      <c r="AD458" s="17"/>
      <c r="AE458" s="17">
        <f t="shared" si="134"/>
        <v>1688.7660000000001</v>
      </c>
      <c r="AF458" s="17">
        <f t="shared" si="151"/>
        <v>270.20256000000001</v>
      </c>
      <c r="AG458" s="17">
        <f t="shared" si="153"/>
        <v>1958.96856</v>
      </c>
      <c r="AH458" s="17">
        <f t="shared" si="150"/>
        <v>33.775320000000001</v>
      </c>
      <c r="AI458" s="17"/>
      <c r="AJ458" s="17">
        <f t="shared" si="136"/>
        <v>33.775320000000001</v>
      </c>
      <c r="AK458" s="20"/>
      <c r="AL458" s="17">
        <f t="shared" si="137"/>
        <v>1654.9906800000001</v>
      </c>
      <c r="AM458" s="17"/>
      <c r="AN458" s="21"/>
      <c r="AO458" s="17">
        <f t="shared" si="138"/>
        <v>0</v>
      </c>
      <c r="AP458" s="17"/>
      <c r="AQ458" s="16"/>
      <c r="AR458" s="17">
        <f t="shared" si="145"/>
        <v>0</v>
      </c>
      <c r="AS458" s="17"/>
      <c r="AT458" s="17">
        <v>1958.96856</v>
      </c>
      <c r="AU458" s="17">
        <f t="shared" si="149"/>
        <v>1958.96856</v>
      </c>
      <c r="AV458" s="17">
        <f t="shared" si="139"/>
        <v>0</v>
      </c>
      <c r="AW458" s="17" t="str">
        <f t="shared" si="142"/>
        <v>RAWSUR</v>
      </c>
      <c r="AX458" s="22">
        <v>44832</v>
      </c>
      <c r="AY458" s="22"/>
      <c r="AZ458" s="1"/>
      <c r="BA458" s="22" t="str">
        <f t="shared" si="154"/>
        <v>GENERAL LIABILITY</v>
      </c>
      <c r="BB458" s="22"/>
      <c r="BC458" s="22"/>
      <c r="BD458" s="22"/>
    </row>
    <row r="459" spans="1:56" ht="14.25" customHeight="1" x14ac:dyDescent="0.2">
      <c r="A459" s="28" t="s">
        <v>439</v>
      </c>
      <c r="B459" s="28" t="s">
        <v>57</v>
      </c>
      <c r="C459" s="36">
        <v>44776</v>
      </c>
      <c r="D459" s="36">
        <v>44858</v>
      </c>
      <c r="E459" s="36">
        <v>44774</v>
      </c>
      <c r="F459" s="51">
        <v>45138</v>
      </c>
      <c r="G459" s="37" t="str">
        <f t="shared" si="132"/>
        <v>000-458/AIB RDC/2022</v>
      </c>
      <c r="H459" s="28">
        <v>0</v>
      </c>
      <c r="I459" s="28" t="s">
        <v>74</v>
      </c>
      <c r="J459" s="28" t="s">
        <v>754</v>
      </c>
      <c r="K459" s="28" t="s">
        <v>755</v>
      </c>
      <c r="L459" s="28"/>
      <c r="M459" s="29" t="s">
        <v>84</v>
      </c>
      <c r="N459" s="29" t="s">
        <v>85</v>
      </c>
      <c r="O459" s="28" t="s">
        <v>129</v>
      </c>
      <c r="P459" s="28" t="s">
        <v>90</v>
      </c>
      <c r="Q459" s="28" t="s">
        <v>66</v>
      </c>
      <c r="R459" s="28" t="s">
        <v>756</v>
      </c>
      <c r="S459" s="23">
        <v>0</v>
      </c>
      <c r="T459" s="23">
        <v>2179.1799999999998</v>
      </c>
      <c r="U459" s="23">
        <v>0</v>
      </c>
      <c r="V459" s="23">
        <v>0</v>
      </c>
      <c r="W459" s="23">
        <v>18.600000000000001</v>
      </c>
      <c r="X459" s="23">
        <v>1860</v>
      </c>
      <c r="Y459" s="23">
        <v>300.58</v>
      </c>
      <c r="Z459" s="38" t="e">
        <f t="shared" si="133"/>
        <v>#DIV/0!</v>
      </c>
      <c r="AA459" s="39">
        <v>0.15</v>
      </c>
      <c r="AB459" s="23">
        <f t="shared" si="152"/>
        <v>279</v>
      </c>
      <c r="AC459" s="23"/>
      <c r="AD459" s="23"/>
      <c r="AE459" s="23">
        <f t="shared" si="134"/>
        <v>279</v>
      </c>
      <c r="AF459" s="23">
        <f t="shared" si="151"/>
        <v>44.64</v>
      </c>
      <c r="AG459" s="23">
        <f t="shared" si="153"/>
        <v>323.64</v>
      </c>
      <c r="AH459" s="23">
        <f t="shared" si="150"/>
        <v>5.58</v>
      </c>
      <c r="AI459" s="23"/>
      <c r="AJ459" s="23">
        <f t="shared" si="136"/>
        <v>5.58</v>
      </c>
      <c r="AK459" s="40"/>
      <c r="AL459" s="23">
        <f t="shared" si="137"/>
        <v>273.42</v>
      </c>
      <c r="AM459" s="23"/>
      <c r="AN459" s="41"/>
      <c r="AO459" s="23">
        <f t="shared" si="138"/>
        <v>0</v>
      </c>
      <c r="AP459" s="23"/>
      <c r="AQ459" s="29"/>
      <c r="AR459" s="23">
        <f t="shared" si="145"/>
        <v>0</v>
      </c>
      <c r="AS459" s="23"/>
      <c r="AT459" s="23">
        <v>323.64</v>
      </c>
      <c r="AU459" s="23">
        <f t="shared" si="149"/>
        <v>323.64</v>
      </c>
      <c r="AV459" s="23">
        <f t="shared" si="139"/>
        <v>0</v>
      </c>
      <c r="AW459" s="23" t="str">
        <f t="shared" si="142"/>
        <v>ACTIVA</v>
      </c>
      <c r="AX459" s="42">
        <v>45152</v>
      </c>
      <c r="AY459" s="42"/>
      <c r="AZ459" s="28"/>
      <c r="BA459" s="42" t="str">
        <f t="shared" si="154"/>
        <v>D&amp;O</v>
      </c>
      <c r="BB459" s="42"/>
      <c r="BC459" s="42"/>
      <c r="BD459" s="28" t="s">
        <v>757</v>
      </c>
    </row>
    <row r="460" spans="1:56" ht="14.25" customHeight="1" x14ac:dyDescent="0.2">
      <c r="A460" s="1" t="s">
        <v>439</v>
      </c>
      <c r="B460" s="1" t="s">
        <v>57</v>
      </c>
      <c r="C460" s="13">
        <v>44768</v>
      </c>
      <c r="D460" s="13">
        <v>44797</v>
      </c>
      <c r="E460" s="13">
        <v>44774</v>
      </c>
      <c r="F460" s="13">
        <v>44804</v>
      </c>
      <c r="G460" s="14" t="str">
        <f t="shared" ref="G460:G523" si="155">TEXT(ROW(G460)-1,"000-000") &amp; "/AIB RDC/2022"</f>
        <v>000-459/AIB RDC/2022</v>
      </c>
      <c r="H460" s="1">
        <v>4</v>
      </c>
      <c r="I460" s="1" t="s">
        <v>217</v>
      </c>
      <c r="J460" s="1" t="s">
        <v>373</v>
      </c>
      <c r="K460" s="16" t="s">
        <v>374</v>
      </c>
      <c r="L460" s="1"/>
      <c r="M460" s="16" t="s">
        <v>84</v>
      </c>
      <c r="N460" s="16" t="s">
        <v>85</v>
      </c>
      <c r="O460" s="1" t="s">
        <v>70</v>
      </c>
      <c r="P460" s="1" t="s">
        <v>71</v>
      </c>
      <c r="Q460" s="1" t="s">
        <v>66</v>
      </c>
      <c r="R460" s="1" t="s">
        <v>66</v>
      </c>
      <c r="S460" s="17">
        <v>565500</v>
      </c>
      <c r="T460" s="17">
        <v>229.22</v>
      </c>
      <c r="U460" s="17">
        <v>0</v>
      </c>
      <c r="V460" s="17">
        <v>0</v>
      </c>
      <c r="W460" s="17">
        <v>10</v>
      </c>
      <c r="X460" s="17">
        <v>187.6</v>
      </c>
      <c r="Y460" s="17">
        <v>31.62</v>
      </c>
      <c r="Z460" s="18">
        <f t="shared" ref="Z460:Z523" si="156">T460/S460</f>
        <v>4.0534040671971706E-4</v>
      </c>
      <c r="AA460" s="19">
        <v>0.1</v>
      </c>
      <c r="AB460" s="17">
        <f t="shared" si="152"/>
        <v>18.760000000000002</v>
      </c>
      <c r="AC460" s="17">
        <v>0</v>
      </c>
      <c r="AD460" s="17">
        <v>0</v>
      </c>
      <c r="AE460" s="17">
        <f t="shared" ref="AE460:AE523" si="157">SUM(AB460:AD460)</f>
        <v>18.760000000000002</v>
      </c>
      <c r="AF460" s="17">
        <f t="shared" si="151"/>
        <v>3.0016000000000003</v>
      </c>
      <c r="AG460" s="17">
        <f t="shared" si="153"/>
        <v>21.761600000000001</v>
      </c>
      <c r="AH460" s="17">
        <f t="shared" si="150"/>
        <v>0.37520000000000003</v>
      </c>
      <c r="AI460" s="17">
        <v>0</v>
      </c>
      <c r="AJ460" s="17">
        <f t="shared" ref="AJ460:AJ523" si="158">AH460-AI460</f>
        <v>0.37520000000000003</v>
      </c>
      <c r="AK460" s="20"/>
      <c r="AL460" s="17">
        <f t="shared" ref="AL460:AL523" si="159">AE460-AH460</f>
        <v>18.384800000000002</v>
      </c>
      <c r="AM460" s="17" t="s">
        <v>87</v>
      </c>
      <c r="AN460" s="21">
        <v>0.35</v>
      </c>
      <c r="AO460" s="17">
        <f t="shared" ref="AO460:AO523" si="160">AL460*AN460</f>
        <v>6.4346800000000002</v>
      </c>
      <c r="AP460" s="17"/>
      <c r="AQ460" s="16"/>
      <c r="AR460" s="17">
        <f t="shared" si="145"/>
        <v>6.4346800000000002</v>
      </c>
      <c r="AS460" s="17"/>
      <c r="AT460" s="17">
        <v>21.761600000000001</v>
      </c>
      <c r="AU460" s="17">
        <f t="shared" si="149"/>
        <v>21.761600000000001</v>
      </c>
      <c r="AV460" s="17">
        <f t="shared" ref="AV460:AV523" si="161">AU460-AT460</f>
        <v>0</v>
      </c>
      <c r="AW460" s="17" t="str">
        <f t="shared" si="142"/>
        <v>ACTIVA</v>
      </c>
      <c r="AX460" s="22">
        <v>44831</v>
      </c>
      <c r="AY460" s="22"/>
      <c r="AZ460" s="1" t="s">
        <v>367</v>
      </c>
      <c r="BA460" s="22" t="str">
        <f t="shared" si="154"/>
        <v>FIRE</v>
      </c>
      <c r="BB460" s="22"/>
      <c r="BC460" s="22"/>
      <c r="BD460" s="22"/>
    </row>
    <row r="461" spans="1:56" ht="14.25" customHeight="1" x14ac:dyDescent="0.2">
      <c r="A461" s="1" t="s">
        <v>439</v>
      </c>
      <c r="B461" s="1" t="s">
        <v>57</v>
      </c>
      <c r="C461" s="13">
        <v>44771</v>
      </c>
      <c r="D461" s="13">
        <v>44798</v>
      </c>
      <c r="E461" s="13">
        <v>44798</v>
      </c>
      <c r="F461" s="13">
        <v>44889</v>
      </c>
      <c r="G461" s="14" t="str">
        <f t="shared" si="155"/>
        <v>000-460/AIB RDC/2022</v>
      </c>
      <c r="H461" s="1">
        <v>0</v>
      </c>
      <c r="I461" s="1" t="s">
        <v>74</v>
      </c>
      <c r="J461" s="1">
        <v>72000057</v>
      </c>
      <c r="K461" s="1" t="s">
        <v>263</v>
      </c>
      <c r="L461" s="1"/>
      <c r="M461" s="1" t="s">
        <v>105</v>
      </c>
      <c r="N461" s="1" t="s">
        <v>106</v>
      </c>
      <c r="O461" s="1" t="s">
        <v>64</v>
      </c>
      <c r="P461" s="1" t="s">
        <v>65</v>
      </c>
      <c r="Q461" s="1" t="s">
        <v>107</v>
      </c>
      <c r="R461" s="1" t="s">
        <v>107</v>
      </c>
      <c r="S461" s="17">
        <v>18135</v>
      </c>
      <c r="T461" s="17">
        <v>129.80000000000001</v>
      </c>
      <c r="U461" s="17">
        <v>0</v>
      </c>
      <c r="V461" s="17">
        <v>0</v>
      </c>
      <c r="W461" s="17">
        <v>10</v>
      </c>
      <c r="X461" s="17">
        <v>100</v>
      </c>
      <c r="Y461" s="17">
        <v>17.8</v>
      </c>
      <c r="Z461" s="18">
        <f t="shared" si="156"/>
        <v>7.1574303832368357E-3</v>
      </c>
      <c r="AA461" s="19">
        <v>0.15</v>
      </c>
      <c r="AB461" s="17">
        <f t="shared" si="152"/>
        <v>15</v>
      </c>
      <c r="AC461" s="17">
        <v>0</v>
      </c>
      <c r="AD461" s="17">
        <v>0</v>
      </c>
      <c r="AE461" s="17">
        <f t="shared" si="157"/>
        <v>15</v>
      </c>
      <c r="AF461" s="17">
        <f t="shared" si="151"/>
        <v>2.4</v>
      </c>
      <c r="AG461" s="17">
        <f t="shared" si="153"/>
        <v>17.399999999999999</v>
      </c>
      <c r="AH461" s="17">
        <f t="shared" si="150"/>
        <v>0.3</v>
      </c>
      <c r="AI461" s="17"/>
      <c r="AJ461" s="17">
        <f t="shared" si="158"/>
        <v>0.3</v>
      </c>
      <c r="AK461" s="20"/>
      <c r="AL461" s="17">
        <f t="shared" si="159"/>
        <v>14.7</v>
      </c>
      <c r="AM461" s="17" t="s">
        <v>108</v>
      </c>
      <c r="AN461" s="21">
        <v>0.4</v>
      </c>
      <c r="AO461" s="17">
        <f t="shared" si="160"/>
        <v>5.88</v>
      </c>
      <c r="AP461" s="17">
        <v>5.88</v>
      </c>
      <c r="AQ461" s="16">
        <v>44867</v>
      </c>
      <c r="AR461" s="17">
        <f t="shared" si="145"/>
        <v>0</v>
      </c>
      <c r="AS461" s="17" t="s">
        <v>397</v>
      </c>
      <c r="AT461" s="17">
        <v>17.399999999999999</v>
      </c>
      <c r="AU461" s="17">
        <f t="shared" ref="AU461:AU492" si="162">AG461</f>
        <v>17.399999999999999</v>
      </c>
      <c r="AV461" s="17">
        <f t="shared" si="161"/>
        <v>0</v>
      </c>
      <c r="AW461" s="17" t="str">
        <f t="shared" si="142"/>
        <v>RAWSUR</v>
      </c>
      <c r="AX461" s="22">
        <v>44832</v>
      </c>
      <c r="AY461" s="22"/>
      <c r="AZ461" s="1" t="s">
        <v>110</v>
      </c>
      <c r="BA461" s="22" t="str">
        <f t="shared" si="154"/>
        <v>MARINE CARGO / GIT</v>
      </c>
      <c r="BB461" s="22"/>
      <c r="BC461" s="22"/>
      <c r="BD461" s="22"/>
    </row>
    <row r="462" spans="1:56" ht="14.25" customHeight="1" x14ac:dyDescent="0.2">
      <c r="A462" s="1" t="s">
        <v>369</v>
      </c>
      <c r="B462" s="1" t="s">
        <v>57</v>
      </c>
      <c r="C462" s="13">
        <v>44780</v>
      </c>
      <c r="D462" s="13">
        <v>44750</v>
      </c>
      <c r="E462" s="13">
        <v>44678</v>
      </c>
      <c r="F462" s="13">
        <v>44680</v>
      </c>
      <c r="G462" s="14" t="str">
        <f t="shared" si="155"/>
        <v>000-461/AIB RDC/2022</v>
      </c>
      <c r="H462" s="1">
        <v>0</v>
      </c>
      <c r="I462" s="1" t="s">
        <v>74</v>
      </c>
      <c r="J462" s="1" t="s">
        <v>758</v>
      </c>
      <c r="K462" s="1" t="s">
        <v>211</v>
      </c>
      <c r="L462" s="1"/>
      <c r="M462" s="1" t="s">
        <v>105</v>
      </c>
      <c r="N462" s="1" t="s">
        <v>106</v>
      </c>
      <c r="O462" s="1" t="s">
        <v>64</v>
      </c>
      <c r="P462" s="1" t="s">
        <v>65</v>
      </c>
      <c r="Q462" s="1" t="s">
        <v>130</v>
      </c>
      <c r="R462" s="1" t="s">
        <v>130</v>
      </c>
      <c r="S462" s="17">
        <v>5625.1</v>
      </c>
      <c r="T462" s="17">
        <v>94.4</v>
      </c>
      <c r="U462" s="17">
        <v>0</v>
      </c>
      <c r="V462" s="17">
        <v>0</v>
      </c>
      <c r="W462" s="17">
        <v>20</v>
      </c>
      <c r="X462" s="17">
        <v>60</v>
      </c>
      <c r="Y462" s="17">
        <v>12.8</v>
      </c>
      <c r="Z462" s="18">
        <f t="shared" si="156"/>
        <v>1.6781923876908855E-2</v>
      </c>
      <c r="AA462" s="19">
        <v>0.15</v>
      </c>
      <c r="AB462" s="17">
        <f t="shared" si="152"/>
        <v>9</v>
      </c>
      <c r="AC462" s="17">
        <v>0</v>
      </c>
      <c r="AD462" s="17">
        <v>0</v>
      </c>
      <c r="AE462" s="17">
        <f t="shared" si="157"/>
        <v>9</v>
      </c>
      <c r="AF462" s="17">
        <f t="shared" si="151"/>
        <v>1.44</v>
      </c>
      <c r="AG462" s="17">
        <f t="shared" si="153"/>
        <v>10.44</v>
      </c>
      <c r="AH462" s="17">
        <f t="shared" si="150"/>
        <v>0.18</v>
      </c>
      <c r="AI462" s="17">
        <v>0</v>
      </c>
      <c r="AJ462" s="17">
        <f t="shared" si="158"/>
        <v>0.18</v>
      </c>
      <c r="AK462" s="20"/>
      <c r="AL462" s="17">
        <f t="shared" si="159"/>
        <v>8.82</v>
      </c>
      <c r="AM462" s="17" t="s">
        <v>108</v>
      </c>
      <c r="AN462" s="21">
        <v>0.4</v>
      </c>
      <c r="AO462" s="17">
        <f t="shared" si="160"/>
        <v>3.5280000000000005</v>
      </c>
      <c r="AP462" s="17">
        <v>3.5280000000000005</v>
      </c>
      <c r="AQ462" s="16">
        <v>44834</v>
      </c>
      <c r="AR462" s="17">
        <f t="shared" si="145"/>
        <v>0</v>
      </c>
      <c r="AS462" s="17" t="s">
        <v>109</v>
      </c>
      <c r="AT462" s="17">
        <v>10.44</v>
      </c>
      <c r="AU462" s="17">
        <f t="shared" si="162"/>
        <v>10.44</v>
      </c>
      <c r="AV462" s="17">
        <f t="shared" si="161"/>
        <v>0</v>
      </c>
      <c r="AW462" s="17" t="str">
        <f t="shared" si="142"/>
        <v>SFA</v>
      </c>
      <c r="AX462" s="22">
        <v>44791</v>
      </c>
      <c r="AY462" s="22"/>
      <c r="AZ462" s="1" t="s">
        <v>110</v>
      </c>
      <c r="BA462" s="22" t="str">
        <f t="shared" si="154"/>
        <v>MARINE CARGO / GIT</v>
      </c>
      <c r="BB462" s="22"/>
      <c r="BC462" s="22"/>
      <c r="BD462" s="22"/>
    </row>
    <row r="463" spans="1:56" ht="14.25" customHeight="1" x14ac:dyDescent="0.2">
      <c r="A463" s="1" t="s">
        <v>654</v>
      </c>
      <c r="B463" s="1" t="s">
        <v>57</v>
      </c>
      <c r="C463" s="13">
        <v>44780</v>
      </c>
      <c r="D463" s="13">
        <v>44751</v>
      </c>
      <c r="E463" s="13">
        <v>44751</v>
      </c>
      <c r="F463" s="13">
        <v>44982</v>
      </c>
      <c r="G463" s="14" t="str">
        <f t="shared" si="155"/>
        <v>000-462/AIB RDC/2022</v>
      </c>
      <c r="H463" s="1">
        <v>1</v>
      </c>
      <c r="I463" s="1" t="s">
        <v>91</v>
      </c>
      <c r="J463" s="1" t="s">
        <v>354</v>
      </c>
      <c r="K463" s="16" t="s">
        <v>355</v>
      </c>
      <c r="L463" s="16" t="s">
        <v>137</v>
      </c>
      <c r="M463" s="16" t="s">
        <v>84</v>
      </c>
      <c r="N463" s="1" t="s">
        <v>586</v>
      </c>
      <c r="O463" s="16" t="s">
        <v>73</v>
      </c>
      <c r="P463" s="16" t="s">
        <v>73</v>
      </c>
      <c r="Q463" s="16" t="s">
        <v>130</v>
      </c>
      <c r="R463" s="16" t="s">
        <v>130</v>
      </c>
      <c r="S463" s="17">
        <v>0</v>
      </c>
      <c r="T463" s="17">
        <v>14484.61</v>
      </c>
      <c r="U463" s="17">
        <v>0</v>
      </c>
      <c r="V463" s="17">
        <v>0</v>
      </c>
      <c r="W463" s="17">
        <v>181.42</v>
      </c>
      <c r="X463" s="17">
        <v>12093.68</v>
      </c>
      <c r="Y463" s="17">
        <v>1964.01</v>
      </c>
      <c r="Z463" s="18" t="e">
        <f t="shared" si="156"/>
        <v>#DIV/0!</v>
      </c>
      <c r="AA463" s="19">
        <v>0.1</v>
      </c>
      <c r="AB463" s="17">
        <f t="shared" si="152"/>
        <v>1209.3680000000002</v>
      </c>
      <c r="AC463" s="17">
        <v>0</v>
      </c>
      <c r="AD463" s="17">
        <v>0</v>
      </c>
      <c r="AE463" s="17">
        <f t="shared" si="157"/>
        <v>1209.3680000000002</v>
      </c>
      <c r="AF463" s="17">
        <f t="shared" si="151"/>
        <v>193.49888000000004</v>
      </c>
      <c r="AG463" s="17">
        <f t="shared" si="153"/>
        <v>1402.8668800000003</v>
      </c>
      <c r="AH463" s="17">
        <f t="shared" si="150"/>
        <v>24.187360000000005</v>
      </c>
      <c r="AI463" s="17">
        <v>0</v>
      </c>
      <c r="AJ463" s="17">
        <f t="shared" si="158"/>
        <v>24.187360000000005</v>
      </c>
      <c r="AK463" s="20"/>
      <c r="AL463" s="17">
        <f t="shared" si="159"/>
        <v>1185.1806400000003</v>
      </c>
      <c r="AM463" s="17"/>
      <c r="AN463" s="21"/>
      <c r="AO463" s="17">
        <f t="shared" si="160"/>
        <v>0</v>
      </c>
      <c r="AP463" s="17"/>
      <c r="AQ463" s="16"/>
      <c r="AR463" s="17">
        <f t="shared" si="145"/>
        <v>0</v>
      </c>
      <c r="AS463" s="17"/>
      <c r="AT463" s="17">
        <v>1402.8668800000003</v>
      </c>
      <c r="AU463" s="17">
        <f t="shared" si="162"/>
        <v>1402.8668800000003</v>
      </c>
      <c r="AV463" s="17">
        <f t="shared" si="161"/>
        <v>0</v>
      </c>
      <c r="AW463" s="17" t="str">
        <f t="shared" si="142"/>
        <v>SFA</v>
      </c>
      <c r="AX463" s="22">
        <v>44791</v>
      </c>
      <c r="AY463" s="22"/>
      <c r="AZ463" s="1" t="s">
        <v>68</v>
      </c>
      <c r="BA463" s="22" t="str">
        <f t="shared" si="154"/>
        <v>MOTOR TPL</v>
      </c>
      <c r="BB463" s="22"/>
      <c r="BC463" s="22"/>
      <c r="BD463" s="22"/>
    </row>
    <row r="464" spans="1:56" ht="14.25" customHeight="1" x14ac:dyDescent="0.2">
      <c r="A464" s="1" t="s">
        <v>654</v>
      </c>
      <c r="B464" s="1" t="s">
        <v>57</v>
      </c>
      <c r="C464" s="13">
        <v>44780</v>
      </c>
      <c r="D464" s="13">
        <v>44772</v>
      </c>
      <c r="E464" s="13">
        <v>44767</v>
      </c>
      <c r="F464" s="13">
        <v>45131</v>
      </c>
      <c r="G464" s="14" t="str">
        <f t="shared" si="155"/>
        <v>000-463/AIB RDC/2022</v>
      </c>
      <c r="H464" s="1">
        <v>0</v>
      </c>
      <c r="I464" s="1" t="s">
        <v>74</v>
      </c>
      <c r="J464" s="1" t="s">
        <v>759</v>
      </c>
      <c r="K464" s="1" t="s">
        <v>760</v>
      </c>
      <c r="L464" s="16"/>
      <c r="M464" s="1" t="s">
        <v>84</v>
      </c>
      <c r="N464" s="1" t="s">
        <v>85</v>
      </c>
      <c r="O464" s="1" t="s">
        <v>70</v>
      </c>
      <c r="P464" s="1" t="s">
        <v>71</v>
      </c>
      <c r="Q464" s="1" t="s">
        <v>79</v>
      </c>
      <c r="R464" s="1" t="s">
        <v>79</v>
      </c>
      <c r="S464" s="17">
        <v>0</v>
      </c>
      <c r="T464" s="17">
        <v>3201.34</v>
      </c>
      <c r="U464" s="17">
        <v>0</v>
      </c>
      <c r="V464" s="17">
        <v>0</v>
      </c>
      <c r="W464" s="17">
        <v>20</v>
      </c>
      <c r="X464" s="17">
        <v>2693</v>
      </c>
      <c r="Y464" s="17">
        <v>434.08</v>
      </c>
      <c r="Z464" s="18" t="e">
        <f t="shared" si="156"/>
        <v>#DIV/0!</v>
      </c>
      <c r="AA464" s="19">
        <v>0.15</v>
      </c>
      <c r="AB464" s="17">
        <f t="shared" si="152"/>
        <v>403.95</v>
      </c>
      <c r="AC464" s="17"/>
      <c r="AD464" s="17"/>
      <c r="AE464" s="17">
        <f t="shared" si="157"/>
        <v>403.95</v>
      </c>
      <c r="AF464" s="17">
        <f t="shared" si="151"/>
        <v>64.632000000000005</v>
      </c>
      <c r="AG464" s="17">
        <f t="shared" si="153"/>
        <v>468.58199999999999</v>
      </c>
      <c r="AH464" s="17">
        <f t="shared" si="150"/>
        <v>8.0790000000000006</v>
      </c>
      <c r="AI464" s="17"/>
      <c r="AJ464" s="17">
        <f t="shared" si="158"/>
        <v>8.0790000000000006</v>
      </c>
      <c r="AK464" s="20"/>
      <c r="AL464" s="17">
        <f t="shared" si="159"/>
        <v>395.87099999999998</v>
      </c>
      <c r="AM464" s="17" t="s">
        <v>393</v>
      </c>
      <c r="AN464" s="21">
        <v>0.2</v>
      </c>
      <c r="AO464" s="17">
        <f t="shared" si="160"/>
        <v>79.174199999999999</v>
      </c>
      <c r="AP464" s="17">
        <v>79.174199999999999</v>
      </c>
      <c r="AQ464" s="16">
        <v>44830</v>
      </c>
      <c r="AR464" s="17">
        <f t="shared" si="145"/>
        <v>0</v>
      </c>
      <c r="AS464" s="17" t="s">
        <v>394</v>
      </c>
      <c r="AT464" s="17">
        <v>468.58199999999999</v>
      </c>
      <c r="AU464" s="17">
        <f t="shared" si="162"/>
        <v>468.58199999999999</v>
      </c>
      <c r="AV464" s="17">
        <f t="shared" si="161"/>
        <v>0</v>
      </c>
      <c r="AW464" s="17" t="str">
        <f t="shared" si="142"/>
        <v>MAYFAIR</v>
      </c>
      <c r="AX464" s="22">
        <v>44791</v>
      </c>
      <c r="AY464" s="22"/>
      <c r="AZ464" s="1"/>
      <c r="BA464" s="22" t="str">
        <f t="shared" si="154"/>
        <v>FIRE</v>
      </c>
      <c r="BB464" s="22"/>
      <c r="BC464" s="22"/>
      <c r="BD464" s="22"/>
    </row>
    <row r="465" spans="1:56" ht="14.25" customHeight="1" x14ac:dyDescent="0.2">
      <c r="A465" s="1" t="s">
        <v>654</v>
      </c>
      <c r="B465" s="1" t="s">
        <v>57</v>
      </c>
      <c r="C465" s="13">
        <v>44780</v>
      </c>
      <c r="D465" s="13">
        <v>44772</v>
      </c>
      <c r="E465" s="13">
        <v>44767</v>
      </c>
      <c r="F465" s="13">
        <v>45131</v>
      </c>
      <c r="G465" s="14" t="str">
        <f t="shared" si="155"/>
        <v>000-464/AIB RDC/2022</v>
      </c>
      <c r="H465" s="1">
        <v>0</v>
      </c>
      <c r="I465" s="1" t="s">
        <v>74</v>
      </c>
      <c r="J465" s="1" t="s">
        <v>761</v>
      </c>
      <c r="K465" s="1" t="s">
        <v>760</v>
      </c>
      <c r="L465" s="16"/>
      <c r="M465" s="1" t="s">
        <v>84</v>
      </c>
      <c r="N465" s="1" t="s">
        <v>85</v>
      </c>
      <c r="O465" s="1" t="s">
        <v>233</v>
      </c>
      <c r="P465" s="1" t="s">
        <v>234</v>
      </c>
      <c r="Q465" s="1" t="s">
        <v>79</v>
      </c>
      <c r="R465" s="1" t="s">
        <v>79</v>
      </c>
      <c r="S465" s="17">
        <v>0</v>
      </c>
      <c r="T465" s="17">
        <v>2552.1799999999998</v>
      </c>
      <c r="U465" s="17">
        <v>0</v>
      </c>
      <c r="V465" s="17">
        <v>0</v>
      </c>
      <c r="W465" s="17">
        <v>20</v>
      </c>
      <c r="X465" s="17">
        <v>2142.86</v>
      </c>
      <c r="Y465" s="17">
        <v>346.06</v>
      </c>
      <c r="Z465" s="18" t="e">
        <f t="shared" si="156"/>
        <v>#DIV/0!</v>
      </c>
      <c r="AA465" s="19">
        <v>0.15</v>
      </c>
      <c r="AB465" s="17">
        <f t="shared" si="152"/>
        <v>321.42900000000003</v>
      </c>
      <c r="AC465" s="17"/>
      <c r="AD465" s="17"/>
      <c r="AE465" s="17">
        <f t="shared" si="157"/>
        <v>321.42900000000003</v>
      </c>
      <c r="AF465" s="17">
        <f t="shared" si="151"/>
        <v>51.428640000000009</v>
      </c>
      <c r="AG465" s="17">
        <f t="shared" si="153"/>
        <v>372.85764000000006</v>
      </c>
      <c r="AH465" s="17">
        <f t="shared" si="150"/>
        <v>6.4285800000000011</v>
      </c>
      <c r="AI465" s="17"/>
      <c r="AJ465" s="17">
        <f t="shared" si="158"/>
        <v>6.4285800000000011</v>
      </c>
      <c r="AK465" s="20"/>
      <c r="AL465" s="17">
        <f t="shared" si="159"/>
        <v>315.00042000000002</v>
      </c>
      <c r="AM465" s="17" t="s">
        <v>393</v>
      </c>
      <c r="AN465" s="21">
        <v>0.2</v>
      </c>
      <c r="AO465" s="17">
        <f t="shared" si="160"/>
        <v>63.000084000000008</v>
      </c>
      <c r="AP465" s="17">
        <v>63.000084000000008</v>
      </c>
      <c r="AQ465" s="16">
        <v>44830</v>
      </c>
      <c r="AR465" s="17">
        <f t="shared" si="145"/>
        <v>0</v>
      </c>
      <c r="AS465" s="17" t="s">
        <v>394</v>
      </c>
      <c r="AT465" s="17">
        <v>372.85764000000006</v>
      </c>
      <c r="AU465" s="17">
        <f t="shared" si="162"/>
        <v>372.85764000000006</v>
      </c>
      <c r="AV465" s="17">
        <f t="shared" si="161"/>
        <v>0</v>
      </c>
      <c r="AW465" s="17" t="str">
        <f t="shared" si="142"/>
        <v>MAYFAIR</v>
      </c>
      <c r="AX465" s="22">
        <v>44791</v>
      </c>
      <c r="AY465" s="22"/>
      <c r="AZ465" s="1"/>
      <c r="BA465" s="22" t="str">
        <f t="shared" si="154"/>
        <v>PVT</v>
      </c>
      <c r="BB465" s="22"/>
      <c r="BC465" s="22"/>
      <c r="BD465" s="22"/>
    </row>
    <row r="466" spans="1:56" ht="14.25" customHeight="1" x14ac:dyDescent="0.2">
      <c r="A466" s="1" t="s">
        <v>654</v>
      </c>
      <c r="B466" s="1" t="s">
        <v>57</v>
      </c>
      <c r="C466" s="13">
        <v>44780</v>
      </c>
      <c r="D466" s="13">
        <v>44748</v>
      </c>
      <c r="E466" s="13">
        <v>44743</v>
      </c>
      <c r="F466" s="13">
        <v>45107</v>
      </c>
      <c r="G466" s="14" t="str">
        <f t="shared" si="155"/>
        <v>000-465/AIB RDC/2022</v>
      </c>
      <c r="H466" s="1">
        <v>0</v>
      </c>
      <c r="I466" s="1" t="s">
        <v>74</v>
      </c>
      <c r="J466" s="1" t="s">
        <v>762</v>
      </c>
      <c r="K466" s="1" t="s">
        <v>502</v>
      </c>
      <c r="L466" s="1"/>
      <c r="M466" s="1" t="s">
        <v>84</v>
      </c>
      <c r="N466" s="1" t="s">
        <v>84</v>
      </c>
      <c r="O466" s="1" t="s">
        <v>73</v>
      </c>
      <c r="P466" s="1" t="s">
        <v>73</v>
      </c>
      <c r="Q466" s="1" t="s">
        <v>66</v>
      </c>
      <c r="R466" s="1" t="s">
        <v>66</v>
      </c>
      <c r="S466" s="17">
        <v>0</v>
      </c>
      <c r="T466" s="17"/>
      <c r="U466" s="17">
        <v>0</v>
      </c>
      <c r="V466" s="17">
        <v>0</v>
      </c>
      <c r="W466" s="17">
        <v>19.66</v>
      </c>
      <c r="X466" s="17">
        <v>1965.71</v>
      </c>
      <c r="Y466" s="17">
        <v>0</v>
      </c>
      <c r="Z466" s="18" t="e">
        <f t="shared" si="156"/>
        <v>#DIV/0!</v>
      </c>
      <c r="AA466" s="19">
        <v>0.1</v>
      </c>
      <c r="AB466" s="17">
        <f t="shared" si="152"/>
        <v>196.57100000000003</v>
      </c>
      <c r="AC466" s="17">
        <v>0</v>
      </c>
      <c r="AD466" s="17">
        <v>0</v>
      </c>
      <c r="AE466" s="17">
        <f t="shared" si="157"/>
        <v>196.57100000000003</v>
      </c>
      <c r="AF466" s="17">
        <f t="shared" si="151"/>
        <v>31.451360000000005</v>
      </c>
      <c r="AG466" s="17">
        <f t="shared" si="153"/>
        <v>228.02236000000002</v>
      </c>
      <c r="AH466" s="17">
        <f t="shared" si="150"/>
        <v>3.9314200000000006</v>
      </c>
      <c r="AI466" s="17">
        <v>0</v>
      </c>
      <c r="AJ466" s="17">
        <f t="shared" si="158"/>
        <v>3.9314200000000006</v>
      </c>
      <c r="AK466" s="20"/>
      <c r="AL466" s="17">
        <f t="shared" si="159"/>
        <v>192.63958000000002</v>
      </c>
      <c r="AM466" s="17" t="s">
        <v>87</v>
      </c>
      <c r="AN466" s="21">
        <v>0.35</v>
      </c>
      <c r="AO466" s="17">
        <f t="shared" si="160"/>
        <v>67.423853000000008</v>
      </c>
      <c r="AP466" s="17"/>
      <c r="AQ466" s="16"/>
      <c r="AR466" s="17">
        <f t="shared" si="145"/>
        <v>67.423853000000008</v>
      </c>
      <c r="AS466" s="17"/>
      <c r="AT466" s="17">
        <v>228.02236000000002</v>
      </c>
      <c r="AU466" s="17">
        <f t="shared" si="162"/>
        <v>228.02236000000002</v>
      </c>
      <c r="AV466" s="17">
        <f t="shared" si="161"/>
        <v>0</v>
      </c>
      <c r="AW466" s="17" t="str">
        <f t="shared" si="142"/>
        <v>ACTIVA</v>
      </c>
      <c r="AX466" s="22">
        <v>44993</v>
      </c>
      <c r="AY466" s="22"/>
      <c r="AZ466" s="1"/>
      <c r="BA466" s="22" t="str">
        <f t="shared" si="154"/>
        <v>MOTOR TPL</v>
      </c>
      <c r="BB466" s="22"/>
      <c r="BC466" s="22"/>
      <c r="BD466" s="22"/>
    </row>
    <row r="467" spans="1:56" ht="14.25" customHeight="1" x14ac:dyDescent="0.2">
      <c r="A467" s="1" t="s">
        <v>439</v>
      </c>
      <c r="B467" s="1" t="s">
        <v>57</v>
      </c>
      <c r="C467" s="13">
        <v>44780</v>
      </c>
      <c r="D467" s="13">
        <v>44746</v>
      </c>
      <c r="E467" s="13">
        <v>44791</v>
      </c>
      <c r="F467" s="13">
        <v>44800</v>
      </c>
      <c r="G467" s="14" t="str">
        <f t="shared" si="155"/>
        <v>000-466/AIB RDC/2022</v>
      </c>
      <c r="H467" s="1">
        <v>0</v>
      </c>
      <c r="I467" s="1" t="s">
        <v>74</v>
      </c>
      <c r="J467" s="1" t="s">
        <v>763</v>
      </c>
      <c r="K467" s="1" t="s">
        <v>607</v>
      </c>
      <c r="L467" s="1" t="s">
        <v>608</v>
      </c>
      <c r="M467" s="1" t="s">
        <v>105</v>
      </c>
      <c r="N467" s="1" t="s">
        <v>119</v>
      </c>
      <c r="O467" s="1" t="s">
        <v>240</v>
      </c>
      <c r="P467" s="1" t="s">
        <v>98</v>
      </c>
      <c r="Q467" s="1" t="s">
        <v>86</v>
      </c>
      <c r="R467" s="1" t="s">
        <v>86</v>
      </c>
      <c r="S467" s="17">
        <v>0</v>
      </c>
      <c r="T467" s="17">
        <v>15.21</v>
      </c>
      <c r="U467" s="17">
        <v>0</v>
      </c>
      <c r="V467" s="17">
        <v>0</v>
      </c>
      <c r="W467" s="17">
        <v>0.25</v>
      </c>
      <c r="X467" s="17">
        <v>12.86</v>
      </c>
      <c r="Y467" s="17">
        <v>2.1</v>
      </c>
      <c r="Z467" s="18" t="e">
        <f t="shared" si="156"/>
        <v>#DIV/0!</v>
      </c>
      <c r="AA467" s="19">
        <v>0.2</v>
      </c>
      <c r="AB467" s="17">
        <f t="shared" si="152"/>
        <v>2.5720000000000001</v>
      </c>
      <c r="AC467" s="17"/>
      <c r="AD467" s="17"/>
      <c r="AE467" s="17">
        <f t="shared" si="157"/>
        <v>2.5720000000000001</v>
      </c>
      <c r="AF467" s="17">
        <f t="shared" si="151"/>
        <v>0.41152</v>
      </c>
      <c r="AG467" s="17">
        <f t="shared" si="153"/>
        <v>2.9835199999999999</v>
      </c>
      <c r="AH467" s="17">
        <f t="shared" si="150"/>
        <v>5.144E-2</v>
      </c>
      <c r="AI467" s="17"/>
      <c r="AJ467" s="17">
        <f t="shared" si="158"/>
        <v>5.144E-2</v>
      </c>
      <c r="AK467" s="20"/>
      <c r="AL467" s="17">
        <f t="shared" si="159"/>
        <v>2.5205600000000001</v>
      </c>
      <c r="AM467" s="17"/>
      <c r="AN467" s="21"/>
      <c r="AO467" s="17">
        <f t="shared" si="160"/>
        <v>0</v>
      </c>
      <c r="AP467" s="17"/>
      <c r="AQ467" s="16"/>
      <c r="AR467" s="17">
        <f t="shared" si="145"/>
        <v>0</v>
      </c>
      <c r="AS467" s="17"/>
      <c r="AT467" s="17">
        <v>2.9835199999999999</v>
      </c>
      <c r="AU467" s="17">
        <f t="shared" si="162"/>
        <v>2.9835199999999999</v>
      </c>
      <c r="AV467" s="17">
        <f t="shared" si="161"/>
        <v>0</v>
      </c>
      <c r="AW467" s="17" t="str">
        <f t="shared" si="142"/>
        <v>SUNU</v>
      </c>
      <c r="AX467" s="22">
        <v>44795</v>
      </c>
      <c r="AY467" s="22"/>
      <c r="AZ467" s="1" t="s">
        <v>110</v>
      </c>
      <c r="BA467" s="22" t="str">
        <f t="shared" si="154"/>
        <v>TRAVEL</v>
      </c>
      <c r="BB467" s="22"/>
      <c r="BC467" s="22"/>
      <c r="BD467" s="22"/>
    </row>
    <row r="468" spans="1:56" ht="14.25" customHeight="1" x14ac:dyDescent="0.2">
      <c r="A468" s="1" t="s">
        <v>654</v>
      </c>
      <c r="B468" s="1" t="s">
        <v>57</v>
      </c>
      <c r="C468" s="13">
        <v>44760</v>
      </c>
      <c r="D468" s="13">
        <v>44761</v>
      </c>
      <c r="E468" s="13">
        <v>44755</v>
      </c>
      <c r="F468" s="13">
        <v>44957</v>
      </c>
      <c r="G468" s="14" t="str">
        <f t="shared" si="155"/>
        <v>000-467/AIB RDC/2022</v>
      </c>
      <c r="H468" s="1">
        <v>13</v>
      </c>
      <c r="I468" s="1" t="s">
        <v>91</v>
      </c>
      <c r="J468" s="1" t="s">
        <v>284</v>
      </c>
      <c r="K468" s="1" t="s">
        <v>285</v>
      </c>
      <c r="L468" s="1" t="s">
        <v>83</v>
      </c>
      <c r="M468" s="1" t="s">
        <v>84</v>
      </c>
      <c r="N468" s="1" t="s">
        <v>85</v>
      </c>
      <c r="O468" s="1" t="s">
        <v>152</v>
      </c>
      <c r="P468" s="1" t="s">
        <v>153</v>
      </c>
      <c r="Q468" s="1" t="s">
        <v>66</v>
      </c>
      <c r="R468" s="1" t="s">
        <v>66</v>
      </c>
      <c r="S468" s="17">
        <v>328289</v>
      </c>
      <c r="T468" s="17">
        <v>7910.85</v>
      </c>
      <c r="U468" s="17">
        <v>0</v>
      </c>
      <c r="V468" s="17">
        <v>0</v>
      </c>
      <c r="W468" s="17">
        <v>67.52</v>
      </c>
      <c r="X468" s="17">
        <v>6752.18</v>
      </c>
      <c r="Y468" s="17">
        <v>1091.1500000000001</v>
      </c>
      <c r="Z468" s="18">
        <f t="shared" si="156"/>
        <v>2.4097213126239383E-2</v>
      </c>
      <c r="AA468" s="19">
        <v>0.14837946232864499</v>
      </c>
      <c r="AB468" s="17">
        <f t="shared" si="152"/>
        <v>1001.8848379462302</v>
      </c>
      <c r="AC468" s="17">
        <v>0</v>
      </c>
      <c r="AD468" s="17">
        <f>3%*X468</f>
        <v>202.56540000000001</v>
      </c>
      <c r="AE468" s="17">
        <f t="shared" si="157"/>
        <v>1204.4502379462301</v>
      </c>
      <c r="AF468" s="17">
        <f t="shared" si="151"/>
        <v>192.71203807139682</v>
      </c>
      <c r="AG468" s="17">
        <f t="shared" si="153"/>
        <v>1397.1622760176269</v>
      </c>
      <c r="AH468" s="17">
        <f t="shared" si="150"/>
        <v>24.089004758924602</v>
      </c>
      <c r="AI468" s="17">
        <v>0</v>
      </c>
      <c r="AJ468" s="17">
        <f t="shared" si="158"/>
        <v>24.089004758924602</v>
      </c>
      <c r="AK468" s="20"/>
      <c r="AL468" s="17">
        <f t="shared" si="159"/>
        <v>1180.3612331873055</v>
      </c>
      <c r="AM468" s="17" t="s">
        <v>198</v>
      </c>
      <c r="AN468" s="21"/>
      <c r="AO468" s="17">
        <f t="shared" si="160"/>
        <v>0</v>
      </c>
      <c r="AP468" s="17"/>
      <c r="AQ468" s="16"/>
      <c r="AR468" s="17">
        <f t="shared" si="145"/>
        <v>0</v>
      </c>
      <c r="AS468" s="17"/>
      <c r="AT468" s="17">
        <v>1397.1622760176269</v>
      </c>
      <c r="AU468" s="17">
        <f t="shared" si="162"/>
        <v>1397.1622760176269</v>
      </c>
      <c r="AV468" s="17">
        <f t="shared" si="161"/>
        <v>0</v>
      </c>
      <c r="AW468" s="17" t="str">
        <f t="shared" si="142"/>
        <v>ACTIVA</v>
      </c>
      <c r="AX468" s="22">
        <v>44805</v>
      </c>
      <c r="AY468" s="22"/>
      <c r="AZ468" s="1" t="s">
        <v>68</v>
      </c>
      <c r="BA468" s="22" t="str">
        <f t="shared" si="154"/>
        <v>COMP MOTOR</v>
      </c>
      <c r="BB468" s="22"/>
      <c r="BC468" s="22"/>
      <c r="BD468" s="1" t="s">
        <v>457</v>
      </c>
    </row>
    <row r="469" spans="1:56" ht="14.25" customHeight="1" x14ac:dyDescent="0.2">
      <c r="A469" s="1" t="s">
        <v>439</v>
      </c>
      <c r="B469" s="1" t="s">
        <v>57</v>
      </c>
      <c r="C469" s="13">
        <v>44777</v>
      </c>
      <c r="D469" s="13">
        <v>44774</v>
      </c>
      <c r="E469" s="13">
        <v>44774</v>
      </c>
      <c r="F469" s="13">
        <v>44957</v>
      </c>
      <c r="G469" s="14" t="str">
        <f t="shared" si="155"/>
        <v>000-468/AIB RDC/2022</v>
      </c>
      <c r="H469" s="1">
        <v>14</v>
      </c>
      <c r="I469" s="1" t="s">
        <v>91</v>
      </c>
      <c r="J469" s="1" t="s">
        <v>284</v>
      </c>
      <c r="K469" s="1" t="s">
        <v>285</v>
      </c>
      <c r="L469" s="1" t="s">
        <v>83</v>
      </c>
      <c r="M469" s="1" t="s">
        <v>84</v>
      </c>
      <c r="N469" s="1" t="s">
        <v>85</v>
      </c>
      <c r="O469" s="1" t="s">
        <v>152</v>
      </c>
      <c r="P469" s="1" t="s">
        <v>153</v>
      </c>
      <c r="Q469" s="1" t="s">
        <v>66</v>
      </c>
      <c r="R469" s="1" t="s">
        <v>66</v>
      </c>
      <c r="S469" s="17">
        <v>26693</v>
      </c>
      <c r="T469" s="17">
        <v>670.02</v>
      </c>
      <c r="U469" s="17">
        <v>0</v>
      </c>
      <c r="V469" s="17">
        <v>0</v>
      </c>
      <c r="W469" s="17">
        <v>5.72</v>
      </c>
      <c r="X469" s="17">
        <v>571.88</v>
      </c>
      <c r="Y469" s="17">
        <v>92.42</v>
      </c>
      <c r="Z469" s="18">
        <f t="shared" si="156"/>
        <v>2.5100962799235755E-2</v>
      </c>
      <c r="AA469" s="52">
        <v>0.14576484577184001</v>
      </c>
      <c r="AB469" s="17">
        <f t="shared" si="152"/>
        <v>83.359999999999872</v>
      </c>
      <c r="AC469" s="17">
        <v>0</v>
      </c>
      <c r="AD469" s="17">
        <f>3%*X469</f>
        <v>17.156399999999998</v>
      </c>
      <c r="AE469" s="17">
        <f t="shared" si="157"/>
        <v>100.51639999999986</v>
      </c>
      <c r="AF469" s="17">
        <f t="shared" si="151"/>
        <v>16.082623999999978</v>
      </c>
      <c r="AG469" s="17">
        <f t="shared" si="153"/>
        <v>116.59902399999984</v>
      </c>
      <c r="AH469" s="17">
        <f t="shared" si="150"/>
        <v>2.0103279999999972</v>
      </c>
      <c r="AI469" s="17">
        <v>0</v>
      </c>
      <c r="AJ469" s="17">
        <f t="shared" si="158"/>
        <v>2.0103279999999972</v>
      </c>
      <c r="AK469" s="20"/>
      <c r="AL469" s="17">
        <f t="shared" si="159"/>
        <v>98.506071999999861</v>
      </c>
      <c r="AM469" s="17" t="s">
        <v>198</v>
      </c>
      <c r="AN469" s="21"/>
      <c r="AO469" s="17">
        <f t="shared" si="160"/>
        <v>0</v>
      </c>
      <c r="AP469" s="17"/>
      <c r="AQ469" s="16"/>
      <c r="AR469" s="17">
        <f t="shared" si="145"/>
        <v>0</v>
      </c>
      <c r="AS469" s="17"/>
      <c r="AT469" s="17">
        <v>116.59902399999984</v>
      </c>
      <c r="AU469" s="17">
        <f t="shared" si="162"/>
        <v>116.59902399999984</v>
      </c>
      <c r="AV469" s="17">
        <f t="shared" si="161"/>
        <v>0</v>
      </c>
      <c r="AW469" s="17" t="str">
        <f t="shared" si="142"/>
        <v>ACTIVA</v>
      </c>
      <c r="AX469" s="22">
        <v>44831</v>
      </c>
      <c r="AY469" s="22"/>
      <c r="AZ469" s="1" t="s">
        <v>68</v>
      </c>
      <c r="BA469" s="22" t="str">
        <f t="shared" si="154"/>
        <v>COMP MOTOR</v>
      </c>
      <c r="BB469" s="26"/>
      <c r="BC469" s="22"/>
      <c r="BD469" s="22"/>
    </row>
    <row r="470" spans="1:56" ht="14.25" customHeight="1" x14ac:dyDescent="0.2">
      <c r="A470" s="1" t="s">
        <v>439</v>
      </c>
      <c r="B470" s="1" t="s">
        <v>57</v>
      </c>
      <c r="C470" s="13">
        <v>44798</v>
      </c>
      <c r="D470" s="13">
        <v>44784</v>
      </c>
      <c r="E470" s="13">
        <v>44784</v>
      </c>
      <c r="F470" s="13">
        <v>44957</v>
      </c>
      <c r="G470" s="14" t="str">
        <f t="shared" si="155"/>
        <v>000-469/AIB RDC/2022</v>
      </c>
      <c r="H470" s="1">
        <v>15</v>
      </c>
      <c r="I470" s="1" t="s">
        <v>91</v>
      </c>
      <c r="J470" s="1" t="s">
        <v>284</v>
      </c>
      <c r="K470" s="1" t="s">
        <v>285</v>
      </c>
      <c r="L470" s="1" t="s">
        <v>83</v>
      </c>
      <c r="M470" s="1" t="s">
        <v>84</v>
      </c>
      <c r="N470" s="1" t="s">
        <v>85</v>
      </c>
      <c r="O470" s="1" t="s">
        <v>152</v>
      </c>
      <c r="P470" s="1" t="s">
        <v>153</v>
      </c>
      <c r="Q470" s="1" t="s">
        <v>66</v>
      </c>
      <c r="R470" s="1" t="s">
        <v>66</v>
      </c>
      <c r="S470" s="17">
        <v>147143.82</v>
      </c>
      <c r="T470" s="17">
        <v>3327.8</v>
      </c>
      <c r="U470" s="17">
        <v>0</v>
      </c>
      <c r="V470" s="17">
        <v>0</v>
      </c>
      <c r="W470" s="17">
        <v>28.4</v>
      </c>
      <c r="X470" s="17">
        <v>2840.4</v>
      </c>
      <c r="Y470" s="17">
        <v>459</v>
      </c>
      <c r="Z470" s="18">
        <f t="shared" si="156"/>
        <v>2.261596851298274E-2</v>
      </c>
      <c r="AA470" s="19">
        <v>0.14724686663850201</v>
      </c>
      <c r="AB470" s="17">
        <f t="shared" si="152"/>
        <v>418.24000000000109</v>
      </c>
      <c r="AC470" s="17">
        <v>0</v>
      </c>
      <c r="AD470" s="17">
        <f>3%*X470</f>
        <v>85.212000000000003</v>
      </c>
      <c r="AE470" s="17">
        <f t="shared" si="157"/>
        <v>503.45200000000108</v>
      </c>
      <c r="AF470" s="17">
        <f t="shared" si="151"/>
        <v>80.552320000000179</v>
      </c>
      <c r="AG470" s="17">
        <f t="shared" si="153"/>
        <v>584.00432000000126</v>
      </c>
      <c r="AH470" s="17">
        <f t="shared" si="150"/>
        <v>10.069040000000022</v>
      </c>
      <c r="AI470" s="17">
        <v>0</v>
      </c>
      <c r="AJ470" s="17">
        <f t="shared" si="158"/>
        <v>10.069040000000022</v>
      </c>
      <c r="AK470" s="20"/>
      <c r="AL470" s="17">
        <f t="shared" si="159"/>
        <v>493.38296000000105</v>
      </c>
      <c r="AM470" s="17" t="s">
        <v>198</v>
      </c>
      <c r="AN470" s="21"/>
      <c r="AO470" s="17">
        <f t="shared" si="160"/>
        <v>0</v>
      </c>
      <c r="AP470" s="17"/>
      <c r="AQ470" s="16"/>
      <c r="AR470" s="17">
        <f t="shared" si="145"/>
        <v>0</v>
      </c>
      <c r="AS470" s="17"/>
      <c r="AT470" s="17">
        <v>584.00432000000126</v>
      </c>
      <c r="AU470" s="17">
        <f t="shared" si="162"/>
        <v>584.00432000000126</v>
      </c>
      <c r="AV470" s="17">
        <f t="shared" si="161"/>
        <v>0</v>
      </c>
      <c r="AW470" s="17" t="str">
        <f t="shared" si="142"/>
        <v>ACTIVA</v>
      </c>
      <c r="AX470" s="22">
        <v>44831</v>
      </c>
      <c r="AY470" s="22"/>
      <c r="AZ470" s="1" t="s">
        <v>68</v>
      </c>
      <c r="BA470" s="22" t="str">
        <f t="shared" si="154"/>
        <v>COMP MOTOR</v>
      </c>
      <c r="BB470" s="26"/>
      <c r="BC470" s="22"/>
      <c r="BD470" s="22"/>
    </row>
    <row r="471" spans="1:56" ht="14.25" customHeight="1" x14ac:dyDescent="0.2">
      <c r="A471" s="1" t="s">
        <v>439</v>
      </c>
      <c r="B471" s="1" t="s">
        <v>57</v>
      </c>
      <c r="C471" s="13">
        <v>44796</v>
      </c>
      <c r="D471" s="13">
        <v>44790</v>
      </c>
      <c r="E471" s="13">
        <v>44790</v>
      </c>
      <c r="F471" s="13">
        <v>44957</v>
      </c>
      <c r="G471" s="14" t="str">
        <f t="shared" si="155"/>
        <v>000-470/AIB RDC/2022</v>
      </c>
      <c r="H471" s="1">
        <v>16</v>
      </c>
      <c r="I471" s="1" t="s">
        <v>91</v>
      </c>
      <c r="J471" s="1" t="s">
        <v>284</v>
      </c>
      <c r="K471" s="1" t="s">
        <v>285</v>
      </c>
      <c r="L471" s="1" t="s">
        <v>83</v>
      </c>
      <c r="M471" s="1" t="s">
        <v>84</v>
      </c>
      <c r="N471" s="1" t="s">
        <v>85</v>
      </c>
      <c r="O471" s="1" t="s">
        <v>152</v>
      </c>
      <c r="P471" s="1" t="s">
        <v>153</v>
      </c>
      <c r="Q471" s="1" t="s">
        <v>66</v>
      </c>
      <c r="R471" s="1" t="s">
        <v>66</v>
      </c>
      <c r="S471" s="17">
        <v>111001</v>
      </c>
      <c r="T471" s="17">
        <v>2385.69</v>
      </c>
      <c r="U471" s="17">
        <v>0</v>
      </c>
      <c r="V471" s="17">
        <v>0</v>
      </c>
      <c r="W471" s="17">
        <v>20.36</v>
      </c>
      <c r="X471" s="17">
        <v>2036.26</v>
      </c>
      <c r="Y471" s="17">
        <v>329.07</v>
      </c>
      <c r="Z471" s="18">
        <f t="shared" si="156"/>
        <v>2.1492509076494807E-2</v>
      </c>
      <c r="AA471" s="19">
        <v>0.14840442772533999</v>
      </c>
      <c r="AB471" s="17">
        <f t="shared" si="152"/>
        <v>302.19000000000079</v>
      </c>
      <c r="AC471" s="17">
        <v>0</v>
      </c>
      <c r="AD471" s="17">
        <f>3%*X471</f>
        <v>61.087799999999994</v>
      </c>
      <c r="AE471" s="17">
        <f t="shared" si="157"/>
        <v>363.27780000000081</v>
      </c>
      <c r="AF471" s="17">
        <f t="shared" si="151"/>
        <v>58.124448000000129</v>
      </c>
      <c r="AG471" s="17">
        <f t="shared" si="153"/>
        <v>421.40224800000095</v>
      </c>
      <c r="AH471" s="17">
        <f t="shared" si="150"/>
        <v>7.2655560000000161</v>
      </c>
      <c r="AI471" s="17">
        <v>0</v>
      </c>
      <c r="AJ471" s="17">
        <f t="shared" si="158"/>
        <v>7.2655560000000161</v>
      </c>
      <c r="AK471" s="20"/>
      <c r="AL471" s="17">
        <f t="shared" si="159"/>
        <v>356.01224400000081</v>
      </c>
      <c r="AM471" s="17" t="s">
        <v>198</v>
      </c>
      <c r="AN471" s="21"/>
      <c r="AO471" s="17">
        <f t="shared" si="160"/>
        <v>0</v>
      </c>
      <c r="AP471" s="17"/>
      <c r="AQ471" s="16"/>
      <c r="AR471" s="17">
        <f t="shared" si="145"/>
        <v>0</v>
      </c>
      <c r="AS471" s="17"/>
      <c r="AT471" s="17">
        <v>421.40224800000095</v>
      </c>
      <c r="AU471" s="17">
        <f t="shared" si="162"/>
        <v>421.40224800000095</v>
      </c>
      <c r="AV471" s="17">
        <f t="shared" si="161"/>
        <v>0</v>
      </c>
      <c r="AW471" s="17" t="str">
        <f t="shared" si="142"/>
        <v>ACTIVA</v>
      </c>
      <c r="AX471" s="22">
        <v>44831</v>
      </c>
      <c r="AY471" s="22"/>
      <c r="AZ471" s="1" t="s">
        <v>68</v>
      </c>
      <c r="BA471" s="22" t="str">
        <f t="shared" si="154"/>
        <v>COMP MOTOR</v>
      </c>
      <c r="BB471" s="26"/>
      <c r="BC471" s="22"/>
      <c r="BD471" s="22"/>
    </row>
    <row r="472" spans="1:56" ht="14.25" customHeight="1" x14ac:dyDescent="0.2">
      <c r="A472" s="1" t="s">
        <v>439</v>
      </c>
      <c r="B472" s="1" t="s">
        <v>57</v>
      </c>
      <c r="C472" s="13">
        <v>44776</v>
      </c>
      <c r="D472" s="13">
        <v>44798</v>
      </c>
      <c r="E472" s="13">
        <v>44774</v>
      </c>
      <c r="F472" s="13">
        <v>45322</v>
      </c>
      <c r="G472" s="14" t="str">
        <f t="shared" si="155"/>
        <v>000-471/AIB RDC/2022</v>
      </c>
      <c r="H472" s="1">
        <v>0</v>
      </c>
      <c r="I472" s="1" t="s">
        <v>74</v>
      </c>
      <c r="J472" s="44" t="s">
        <v>764</v>
      </c>
      <c r="K472" s="1" t="s">
        <v>345</v>
      </c>
      <c r="L472" s="1" t="s">
        <v>137</v>
      </c>
      <c r="M472" s="16" t="s">
        <v>84</v>
      </c>
      <c r="N472" s="1" t="s">
        <v>85</v>
      </c>
      <c r="O472" s="1" t="s">
        <v>165</v>
      </c>
      <c r="P472" s="1" t="s">
        <v>166</v>
      </c>
      <c r="Q472" s="1" t="s">
        <v>107</v>
      </c>
      <c r="R472" s="1" t="s">
        <v>765</v>
      </c>
      <c r="S472" s="17">
        <v>0</v>
      </c>
      <c r="T472" s="17">
        <v>3994506.19</v>
      </c>
      <c r="U472" s="17">
        <v>0</v>
      </c>
      <c r="V472" s="17">
        <v>-116000</v>
      </c>
      <c r="W472" s="17">
        <v>0</v>
      </c>
      <c r="X472" s="17">
        <v>3385174.74</v>
      </c>
      <c r="Y472" s="17">
        <v>541627.96</v>
      </c>
      <c r="Z472" s="18" t="e">
        <f t="shared" si="156"/>
        <v>#DIV/0!</v>
      </c>
      <c r="AA472" s="19">
        <v>0</v>
      </c>
      <c r="AB472" s="17">
        <f t="shared" si="152"/>
        <v>0</v>
      </c>
      <c r="AC472" s="17">
        <v>81709.41</v>
      </c>
      <c r="AD472" s="17">
        <v>121624.05</v>
      </c>
      <c r="AE472" s="17">
        <f t="shared" si="157"/>
        <v>203333.46000000002</v>
      </c>
      <c r="AF472" s="17">
        <f t="shared" si="151"/>
        <v>32533.353600000006</v>
      </c>
      <c r="AG472" s="17">
        <f t="shared" si="153"/>
        <v>235866.81360000002</v>
      </c>
      <c r="AH472" s="17">
        <f t="shared" si="150"/>
        <v>4066.6692000000007</v>
      </c>
      <c r="AI472" s="17"/>
      <c r="AJ472" s="17">
        <f t="shared" si="158"/>
        <v>4066.6692000000007</v>
      </c>
      <c r="AK472" s="20"/>
      <c r="AL472" s="17">
        <f t="shared" si="159"/>
        <v>199266.79080000002</v>
      </c>
      <c r="AM472" s="17"/>
      <c r="AN472" s="21"/>
      <c r="AO472" s="17">
        <f t="shared" si="160"/>
        <v>0</v>
      </c>
      <c r="AP472" s="17"/>
      <c r="AQ472" s="16"/>
      <c r="AR472" s="17">
        <f t="shared" si="145"/>
        <v>0</v>
      </c>
      <c r="AS472" s="17"/>
      <c r="AT472" s="17">
        <v>235866.81360000002</v>
      </c>
      <c r="AU472" s="17">
        <f t="shared" si="162"/>
        <v>235866.81360000002</v>
      </c>
      <c r="AV472" s="17">
        <f t="shared" si="161"/>
        <v>0</v>
      </c>
      <c r="AW472" s="17" t="str">
        <f t="shared" si="142"/>
        <v>RAWSUR</v>
      </c>
      <c r="AX472" s="22">
        <v>44832</v>
      </c>
      <c r="AY472" s="22"/>
      <c r="AZ472" s="1"/>
      <c r="BA472" s="22" t="str">
        <f t="shared" si="154"/>
        <v>CAR</v>
      </c>
      <c r="BB472" s="22"/>
      <c r="BC472" s="22"/>
      <c r="BD472" s="22"/>
    </row>
    <row r="473" spans="1:56" ht="14.25" customHeight="1" x14ac:dyDescent="0.2">
      <c r="A473" s="1" t="s">
        <v>439</v>
      </c>
      <c r="B473" s="1" t="s">
        <v>57</v>
      </c>
      <c r="C473" s="13">
        <v>44776</v>
      </c>
      <c r="D473" s="13">
        <v>44798</v>
      </c>
      <c r="E473" s="13">
        <v>44774</v>
      </c>
      <c r="F473" s="13">
        <v>45350</v>
      </c>
      <c r="G473" s="14" t="str">
        <f t="shared" si="155"/>
        <v>000-472/AIB RDC/2022</v>
      </c>
      <c r="H473" s="1">
        <v>0</v>
      </c>
      <c r="I473" s="1" t="s">
        <v>74</v>
      </c>
      <c r="J473" s="44" t="s">
        <v>766</v>
      </c>
      <c r="K473" s="1" t="s">
        <v>345</v>
      </c>
      <c r="L473" s="1" t="s">
        <v>137</v>
      </c>
      <c r="M473" s="16" t="s">
        <v>84</v>
      </c>
      <c r="N473" s="1" t="s">
        <v>85</v>
      </c>
      <c r="O473" s="1" t="s">
        <v>165</v>
      </c>
      <c r="P473" s="1" t="s">
        <v>166</v>
      </c>
      <c r="Q473" s="1" t="s">
        <v>130</v>
      </c>
      <c r="R473" s="1" t="s">
        <v>765</v>
      </c>
      <c r="S473" s="17">
        <v>0</v>
      </c>
      <c r="T473" s="17">
        <v>1005873.65</v>
      </c>
      <c r="U473" s="17">
        <v>99635.29</v>
      </c>
      <c r="V473" s="17">
        <v>-29850.74</v>
      </c>
      <c r="W473" s="17">
        <v>0</v>
      </c>
      <c r="X473" s="17">
        <v>752800</v>
      </c>
      <c r="Y473" s="17">
        <v>136389.65</v>
      </c>
      <c r="Z473" s="18" t="e">
        <f t="shared" si="156"/>
        <v>#DIV/0!</v>
      </c>
      <c r="AA473" s="19">
        <v>0.05</v>
      </c>
      <c r="AB473" s="17">
        <v>0</v>
      </c>
      <c r="AC473" s="17">
        <v>20935.37</v>
      </c>
      <c r="AD473" s="17">
        <v>18820</v>
      </c>
      <c r="AE473" s="17">
        <f t="shared" si="157"/>
        <v>39755.369999999995</v>
      </c>
      <c r="AF473" s="17">
        <f t="shared" si="151"/>
        <v>6360.859199999999</v>
      </c>
      <c r="AG473" s="17">
        <f t="shared" si="153"/>
        <v>46116.229199999994</v>
      </c>
      <c r="AH473" s="17">
        <f t="shared" si="150"/>
        <v>795.10739999999987</v>
      </c>
      <c r="AI473" s="17"/>
      <c r="AJ473" s="17">
        <f t="shared" si="158"/>
        <v>795.10739999999987</v>
      </c>
      <c r="AK473" s="20"/>
      <c r="AL473" s="17">
        <f t="shared" si="159"/>
        <v>38960.262599999995</v>
      </c>
      <c r="AM473" s="17"/>
      <c r="AN473" s="21"/>
      <c r="AO473" s="17">
        <f t="shared" si="160"/>
        <v>0</v>
      </c>
      <c r="AP473" s="17"/>
      <c r="AQ473" s="16"/>
      <c r="AR473" s="17">
        <f t="shared" si="145"/>
        <v>0</v>
      </c>
      <c r="AS473" s="17"/>
      <c r="AT473" s="17">
        <v>46116.229199999994</v>
      </c>
      <c r="AU473" s="17">
        <f t="shared" si="162"/>
        <v>46116.229199999994</v>
      </c>
      <c r="AV473" s="17">
        <f t="shared" si="161"/>
        <v>0</v>
      </c>
      <c r="AW473" s="17" t="str">
        <f t="shared" ref="AW473:AW536" si="163">Q473</f>
        <v>SFA</v>
      </c>
      <c r="AX473" s="22">
        <v>44823</v>
      </c>
      <c r="AY473" s="22"/>
      <c r="AZ473" s="1"/>
      <c r="BA473" s="22" t="str">
        <f t="shared" si="154"/>
        <v>CAR</v>
      </c>
      <c r="BB473" s="22"/>
      <c r="BC473" s="22"/>
      <c r="BD473" s="22"/>
    </row>
    <row r="474" spans="1:56" ht="14.25" customHeight="1" x14ac:dyDescent="0.2">
      <c r="A474" s="1" t="s">
        <v>439</v>
      </c>
      <c r="B474" s="1" t="s">
        <v>57</v>
      </c>
      <c r="C474" s="13">
        <v>44789</v>
      </c>
      <c r="D474" s="13">
        <v>44791</v>
      </c>
      <c r="E474" s="13">
        <v>44791</v>
      </c>
      <c r="F474" s="13">
        <v>44842</v>
      </c>
      <c r="G474" s="14" t="str">
        <f t="shared" si="155"/>
        <v>000-473/AIB RDC/2022</v>
      </c>
      <c r="H474" s="1">
        <v>0</v>
      </c>
      <c r="I474" s="1" t="s">
        <v>74</v>
      </c>
      <c r="J474" s="1" t="s">
        <v>767</v>
      </c>
      <c r="K474" s="1" t="s">
        <v>647</v>
      </c>
      <c r="L474" s="1"/>
      <c r="M474" s="1" t="s">
        <v>84</v>
      </c>
      <c r="N474" s="1" t="s">
        <v>85</v>
      </c>
      <c r="O474" s="1" t="s">
        <v>64</v>
      </c>
      <c r="P474" s="1" t="s">
        <v>65</v>
      </c>
      <c r="Q474" s="1" t="s">
        <v>86</v>
      </c>
      <c r="R474" s="1" t="s">
        <v>86</v>
      </c>
      <c r="S474" s="17">
        <v>58100.17</v>
      </c>
      <c r="T474" s="17">
        <v>112.69</v>
      </c>
      <c r="U474" s="17">
        <v>0</v>
      </c>
      <c r="V474" s="17">
        <v>0</v>
      </c>
      <c r="W474" s="17">
        <v>10</v>
      </c>
      <c r="X474" s="17">
        <v>87.15</v>
      </c>
      <c r="Y474" s="17">
        <v>15.54</v>
      </c>
      <c r="Z474" s="18">
        <f t="shared" si="156"/>
        <v>1.9395812439103018E-3</v>
      </c>
      <c r="AA474" s="19">
        <v>0.15</v>
      </c>
      <c r="AB474" s="17">
        <f t="shared" ref="AB474:AB506" si="164">(AA474*X474)</f>
        <v>13.0725</v>
      </c>
      <c r="AC474" s="17">
        <v>0</v>
      </c>
      <c r="AD474" s="17">
        <v>0</v>
      </c>
      <c r="AE474" s="17">
        <f t="shared" si="157"/>
        <v>13.0725</v>
      </c>
      <c r="AF474" s="17">
        <f t="shared" si="151"/>
        <v>2.0916000000000001</v>
      </c>
      <c r="AG474" s="17">
        <f t="shared" si="153"/>
        <v>15.164099999999999</v>
      </c>
      <c r="AH474" s="17">
        <f t="shared" si="150"/>
        <v>0.26145000000000002</v>
      </c>
      <c r="AI474" s="17"/>
      <c r="AJ474" s="17">
        <f t="shared" si="158"/>
        <v>0.26145000000000002</v>
      </c>
      <c r="AK474" s="20"/>
      <c r="AL474" s="17">
        <f t="shared" si="159"/>
        <v>12.81105</v>
      </c>
      <c r="AM474" s="17"/>
      <c r="AN474" s="21"/>
      <c r="AO474" s="17">
        <f t="shared" si="160"/>
        <v>0</v>
      </c>
      <c r="AP474" s="17"/>
      <c r="AQ474" s="16"/>
      <c r="AR474" s="17">
        <f t="shared" si="145"/>
        <v>0</v>
      </c>
      <c r="AS474" s="17"/>
      <c r="AT474" s="17">
        <v>15.164099999999999</v>
      </c>
      <c r="AU474" s="17">
        <f t="shared" si="162"/>
        <v>15.164099999999999</v>
      </c>
      <c r="AV474" s="17">
        <f t="shared" si="161"/>
        <v>0</v>
      </c>
      <c r="AW474" s="17" t="str">
        <f t="shared" si="163"/>
        <v>SUNU</v>
      </c>
      <c r="AX474" s="22">
        <v>44846</v>
      </c>
      <c r="AY474" s="22"/>
      <c r="AZ474" s="1" t="s">
        <v>110</v>
      </c>
      <c r="BA474" s="22" t="str">
        <f t="shared" si="154"/>
        <v>MARINE CARGO / GIT</v>
      </c>
      <c r="BB474" s="22"/>
      <c r="BC474" s="22"/>
      <c r="BD474" s="22"/>
    </row>
    <row r="475" spans="1:56" ht="14.25" customHeight="1" x14ac:dyDescent="0.2">
      <c r="A475" s="1" t="s">
        <v>439</v>
      </c>
      <c r="B475" s="1" t="s">
        <v>57</v>
      </c>
      <c r="C475" s="13">
        <v>44781</v>
      </c>
      <c r="D475" s="13">
        <v>44781</v>
      </c>
      <c r="E475" s="13">
        <v>44781</v>
      </c>
      <c r="F475" s="13">
        <v>45145</v>
      </c>
      <c r="G475" s="14" t="str">
        <f t="shared" si="155"/>
        <v>000-474/AIB RDC/2022</v>
      </c>
      <c r="H475" s="1">
        <v>0</v>
      </c>
      <c r="I475" s="1" t="s">
        <v>74</v>
      </c>
      <c r="J475" s="1" t="s">
        <v>768</v>
      </c>
      <c r="K475" s="1" t="s">
        <v>769</v>
      </c>
      <c r="L475" s="1" t="s">
        <v>288</v>
      </c>
      <c r="M475" s="1" t="s">
        <v>84</v>
      </c>
      <c r="N475" s="1" t="s">
        <v>85</v>
      </c>
      <c r="O475" s="1" t="s">
        <v>73</v>
      </c>
      <c r="P475" s="1" t="s">
        <v>73</v>
      </c>
      <c r="Q475" s="1" t="s">
        <v>66</v>
      </c>
      <c r="R475" s="1" t="s">
        <v>66</v>
      </c>
      <c r="S475" s="17">
        <v>0</v>
      </c>
      <c r="T475" s="17">
        <v>322.61</v>
      </c>
      <c r="U475" s="17">
        <v>0</v>
      </c>
      <c r="V475" s="17">
        <v>0</v>
      </c>
      <c r="W475" s="17">
        <v>10</v>
      </c>
      <c r="X475" s="17">
        <v>268.11</v>
      </c>
      <c r="Y475" s="17">
        <v>44.5</v>
      </c>
      <c r="Z475" s="18" t="e">
        <f t="shared" si="156"/>
        <v>#DIV/0!</v>
      </c>
      <c r="AA475" s="19">
        <v>0.13009999999999999</v>
      </c>
      <c r="AB475" s="17">
        <f t="shared" si="164"/>
        <v>34.881110999999997</v>
      </c>
      <c r="AC475" s="17"/>
      <c r="AD475" s="17"/>
      <c r="AE475" s="17">
        <f t="shared" si="157"/>
        <v>34.881110999999997</v>
      </c>
      <c r="AF475" s="17">
        <f t="shared" si="151"/>
        <v>5.5809777599999997</v>
      </c>
      <c r="AG475" s="17">
        <f t="shared" si="153"/>
        <v>40.46208876</v>
      </c>
      <c r="AH475" s="17">
        <f t="shared" si="150"/>
        <v>0.69762221999999996</v>
      </c>
      <c r="AI475" s="17"/>
      <c r="AJ475" s="17">
        <f t="shared" si="158"/>
        <v>0.69762221999999996</v>
      </c>
      <c r="AK475" s="20"/>
      <c r="AL475" s="17">
        <f t="shared" si="159"/>
        <v>34.183488779999998</v>
      </c>
      <c r="AM475" s="17"/>
      <c r="AN475" s="21"/>
      <c r="AO475" s="17">
        <f t="shared" si="160"/>
        <v>0</v>
      </c>
      <c r="AP475" s="17"/>
      <c r="AQ475" s="16"/>
      <c r="AR475" s="17">
        <f t="shared" si="145"/>
        <v>0</v>
      </c>
      <c r="AS475" s="17"/>
      <c r="AT475" s="17">
        <v>40.46208876</v>
      </c>
      <c r="AU475" s="17">
        <f t="shared" si="162"/>
        <v>40.46208876</v>
      </c>
      <c r="AV475" s="17">
        <f t="shared" si="161"/>
        <v>0</v>
      </c>
      <c r="AW475" s="17" t="str">
        <f t="shared" si="163"/>
        <v>ACTIVA</v>
      </c>
      <c r="AX475" s="22">
        <v>44831</v>
      </c>
      <c r="AY475" s="22"/>
      <c r="AZ475" s="1"/>
      <c r="BA475" s="22" t="str">
        <f t="shared" si="154"/>
        <v>MOTOR TPL</v>
      </c>
      <c r="BB475" s="22"/>
      <c r="BC475" s="22"/>
      <c r="BD475" s="22"/>
    </row>
    <row r="476" spans="1:56" ht="14.25" customHeight="1" x14ac:dyDescent="0.2">
      <c r="A476" s="1" t="s">
        <v>439</v>
      </c>
      <c r="B476" s="1" t="s">
        <v>57</v>
      </c>
      <c r="C476" s="13">
        <v>44799</v>
      </c>
      <c r="D476" s="13">
        <v>44813</v>
      </c>
      <c r="E476" s="13">
        <v>44798</v>
      </c>
      <c r="F476" s="13">
        <v>45162</v>
      </c>
      <c r="G476" s="14" t="str">
        <f t="shared" si="155"/>
        <v>000-475/AIB RDC/2022</v>
      </c>
      <c r="H476" s="1">
        <v>0</v>
      </c>
      <c r="I476" s="1" t="s">
        <v>74</v>
      </c>
      <c r="J476" s="24" t="s">
        <v>770</v>
      </c>
      <c r="K476" s="1" t="s">
        <v>771</v>
      </c>
      <c r="L476" s="1"/>
      <c r="M476" s="1" t="s">
        <v>84</v>
      </c>
      <c r="N476" s="1" t="s">
        <v>85</v>
      </c>
      <c r="O476" s="1" t="s">
        <v>185</v>
      </c>
      <c r="P476" s="1" t="s">
        <v>186</v>
      </c>
      <c r="Q476" s="1" t="s">
        <v>130</v>
      </c>
      <c r="R476" s="1" t="s">
        <v>752</v>
      </c>
      <c r="S476" s="17">
        <v>11600000</v>
      </c>
      <c r="T476" s="17">
        <v>43334.2</v>
      </c>
      <c r="U476" s="17">
        <v>5454.04</v>
      </c>
      <c r="V476" s="17">
        <v>0</v>
      </c>
      <c r="W476" s="17">
        <v>363.6</v>
      </c>
      <c r="X476" s="17">
        <v>30906.25</v>
      </c>
      <c r="Y476" s="17">
        <v>5875.8</v>
      </c>
      <c r="Z476" s="18">
        <f t="shared" si="156"/>
        <v>3.735706896551724E-3</v>
      </c>
      <c r="AA476" s="19">
        <v>0</v>
      </c>
      <c r="AB476" s="17">
        <f t="shared" si="164"/>
        <v>0</v>
      </c>
      <c r="AC476" s="17">
        <f>(U476*30%)</f>
        <v>1636.212</v>
      </c>
      <c r="AD476" s="17">
        <f>6.97674418604651%*X476</f>
        <v>2156.2499999999995</v>
      </c>
      <c r="AE476" s="17">
        <f t="shared" si="157"/>
        <v>3792.4619999999995</v>
      </c>
      <c r="AF476" s="17">
        <f t="shared" si="151"/>
        <v>606.79391999999996</v>
      </c>
      <c r="AG476" s="17">
        <f t="shared" si="153"/>
        <v>4399.2559199999996</v>
      </c>
      <c r="AH476" s="17">
        <f t="shared" si="150"/>
        <v>75.849239999999995</v>
      </c>
      <c r="AI476" s="17"/>
      <c r="AJ476" s="17">
        <f t="shared" si="158"/>
        <v>75.849239999999995</v>
      </c>
      <c r="AK476" s="20"/>
      <c r="AL476" s="17">
        <f t="shared" si="159"/>
        <v>3716.6127599999995</v>
      </c>
      <c r="AM476" s="17"/>
      <c r="AN476" s="21"/>
      <c r="AO476" s="17">
        <f t="shared" si="160"/>
        <v>0</v>
      </c>
      <c r="AP476" s="17"/>
      <c r="AQ476" s="16"/>
      <c r="AR476" s="17">
        <f t="shared" si="145"/>
        <v>0</v>
      </c>
      <c r="AS476" s="17"/>
      <c r="AT476" s="17">
        <v>4399.2559199999996</v>
      </c>
      <c r="AU476" s="17">
        <f t="shared" si="162"/>
        <v>4399.2559199999996</v>
      </c>
      <c r="AV476" s="17">
        <f t="shared" si="161"/>
        <v>0</v>
      </c>
      <c r="AW476" s="17" t="str">
        <f t="shared" si="163"/>
        <v>SFA</v>
      </c>
      <c r="AX476" s="22">
        <v>44862</v>
      </c>
      <c r="AY476" s="22"/>
      <c r="AZ476" s="1"/>
      <c r="BA476" s="22" t="str">
        <f t="shared" si="154"/>
        <v>AVIATION HULL ALL RISK</v>
      </c>
      <c r="BB476" s="22"/>
      <c r="BC476" s="22"/>
      <c r="BD476" s="22"/>
    </row>
    <row r="477" spans="1:56" ht="14.25" customHeight="1" x14ac:dyDescent="0.2">
      <c r="A477" s="1" t="s">
        <v>439</v>
      </c>
      <c r="B477" s="1" t="s">
        <v>57</v>
      </c>
      <c r="C477" s="13">
        <v>44638</v>
      </c>
      <c r="D477" s="13">
        <v>44797</v>
      </c>
      <c r="E477" s="13">
        <v>44796</v>
      </c>
      <c r="F477" s="13">
        <v>45160</v>
      </c>
      <c r="G477" s="14" t="str">
        <f t="shared" si="155"/>
        <v>000-476/AIB RDC/2022</v>
      </c>
      <c r="H477" s="1">
        <v>0</v>
      </c>
      <c r="I477" s="1" t="s">
        <v>74</v>
      </c>
      <c r="J477" s="1" t="s">
        <v>772</v>
      </c>
      <c r="K477" s="1" t="s">
        <v>355</v>
      </c>
      <c r="L477" s="16" t="s">
        <v>137</v>
      </c>
      <c r="M477" s="1" t="s">
        <v>84</v>
      </c>
      <c r="N477" s="1" t="s">
        <v>85</v>
      </c>
      <c r="O477" s="1" t="s">
        <v>70</v>
      </c>
      <c r="P477" s="1" t="s">
        <v>71</v>
      </c>
      <c r="Q477" s="1" t="s">
        <v>130</v>
      </c>
      <c r="R477" s="16" t="s">
        <v>130</v>
      </c>
      <c r="S477" s="17">
        <v>0</v>
      </c>
      <c r="T477" s="17">
        <v>2989.42</v>
      </c>
      <c r="U477" s="17">
        <v>0</v>
      </c>
      <c r="V477" s="17">
        <v>0</v>
      </c>
      <c r="W477" s="17">
        <v>22.55</v>
      </c>
      <c r="X477" s="17">
        <v>2510.87</v>
      </c>
      <c r="Y477" s="17">
        <v>405.35</v>
      </c>
      <c r="Z477" s="18" t="e">
        <f t="shared" si="156"/>
        <v>#DIV/0!</v>
      </c>
      <c r="AA477" s="19">
        <v>0.1</v>
      </c>
      <c r="AB477" s="17">
        <f t="shared" si="164"/>
        <v>251.08699999999999</v>
      </c>
      <c r="AC477" s="17">
        <v>0</v>
      </c>
      <c r="AD477" s="17">
        <v>0</v>
      </c>
      <c r="AE477" s="17">
        <f t="shared" si="157"/>
        <v>251.08699999999999</v>
      </c>
      <c r="AF477" s="17">
        <f t="shared" si="151"/>
        <v>40.173920000000003</v>
      </c>
      <c r="AG477" s="17">
        <f t="shared" si="153"/>
        <v>291.26092</v>
      </c>
      <c r="AH477" s="17">
        <f t="shared" si="150"/>
        <v>5.0217400000000003</v>
      </c>
      <c r="AI477" s="17">
        <v>0</v>
      </c>
      <c r="AJ477" s="17">
        <f t="shared" si="158"/>
        <v>5.0217400000000003</v>
      </c>
      <c r="AK477" s="20"/>
      <c r="AL477" s="17">
        <f t="shared" si="159"/>
        <v>246.06525999999999</v>
      </c>
      <c r="AM477" s="17"/>
      <c r="AN477" s="21"/>
      <c r="AO477" s="17">
        <f t="shared" si="160"/>
        <v>0</v>
      </c>
      <c r="AP477" s="17"/>
      <c r="AQ477" s="16"/>
      <c r="AR477" s="17">
        <f t="shared" si="145"/>
        <v>0</v>
      </c>
      <c r="AS477" s="17"/>
      <c r="AT477" s="17">
        <v>291.26092</v>
      </c>
      <c r="AU477" s="17">
        <f t="shared" si="162"/>
        <v>291.26092</v>
      </c>
      <c r="AV477" s="17">
        <f t="shared" si="161"/>
        <v>0</v>
      </c>
      <c r="AW477" s="17" t="str">
        <f t="shared" si="163"/>
        <v>SFA</v>
      </c>
      <c r="AX477" s="22">
        <v>44823</v>
      </c>
      <c r="AY477" s="22"/>
      <c r="AZ477" s="1"/>
      <c r="BA477" s="22" t="str">
        <f t="shared" si="154"/>
        <v>FIRE</v>
      </c>
      <c r="BB477" s="22"/>
      <c r="BC477" s="22"/>
      <c r="BD477" s="22"/>
    </row>
    <row r="478" spans="1:56" ht="14.25" customHeight="1" x14ac:dyDescent="0.2">
      <c r="A478" s="1" t="s">
        <v>773</v>
      </c>
      <c r="B478" s="1" t="s">
        <v>57</v>
      </c>
      <c r="C478" s="13">
        <v>44791</v>
      </c>
      <c r="D478" s="13">
        <v>44804</v>
      </c>
      <c r="E478" s="13">
        <v>44811</v>
      </c>
      <c r="F478" s="13">
        <v>45175</v>
      </c>
      <c r="G478" s="14" t="str">
        <f t="shared" si="155"/>
        <v>000-477/AIB RDC/2022</v>
      </c>
      <c r="H478" s="1">
        <v>0</v>
      </c>
      <c r="I478" s="1" t="s">
        <v>74</v>
      </c>
      <c r="J478" s="24" t="s">
        <v>774</v>
      </c>
      <c r="K478" s="1" t="s">
        <v>335</v>
      </c>
      <c r="L478" s="16" t="s">
        <v>137</v>
      </c>
      <c r="M478" s="16" t="s">
        <v>84</v>
      </c>
      <c r="N478" s="1" t="s">
        <v>694</v>
      </c>
      <c r="O478" s="1" t="s">
        <v>152</v>
      </c>
      <c r="P478" s="1" t="s">
        <v>153</v>
      </c>
      <c r="Q478" s="1" t="s">
        <v>130</v>
      </c>
      <c r="R478" s="1" t="s">
        <v>130</v>
      </c>
      <c r="S478" s="17">
        <v>959013</v>
      </c>
      <c r="T478" s="17">
        <v>50983.61</v>
      </c>
      <c r="U478" s="17">
        <v>0</v>
      </c>
      <c r="V478" s="17">
        <v>0</v>
      </c>
      <c r="W478" s="17">
        <v>638.42999999999995</v>
      </c>
      <c r="X478" s="17">
        <v>42568.03</v>
      </c>
      <c r="Y478" s="17">
        <v>6913.03</v>
      </c>
      <c r="Z478" s="18">
        <f t="shared" si="156"/>
        <v>5.3162584865898588E-2</v>
      </c>
      <c r="AA478" s="19">
        <v>0.15</v>
      </c>
      <c r="AB478" s="17">
        <f t="shared" si="164"/>
        <v>6385.2044999999998</v>
      </c>
      <c r="AC478" s="17">
        <v>0</v>
      </c>
      <c r="AD478" s="17">
        <v>0</v>
      </c>
      <c r="AE478" s="17">
        <f t="shared" si="157"/>
        <v>6385.2044999999998</v>
      </c>
      <c r="AF478" s="17">
        <f t="shared" si="151"/>
        <v>1021.6327199999999</v>
      </c>
      <c r="AG478" s="17">
        <f t="shared" si="153"/>
        <v>7406.8372199999994</v>
      </c>
      <c r="AH478" s="17">
        <f t="shared" si="150"/>
        <v>127.70408999999999</v>
      </c>
      <c r="AI478" s="17"/>
      <c r="AJ478" s="17">
        <f t="shared" si="158"/>
        <v>127.70408999999999</v>
      </c>
      <c r="AK478" s="20"/>
      <c r="AL478" s="17">
        <f t="shared" si="159"/>
        <v>6257.5004099999996</v>
      </c>
      <c r="AM478" s="17" t="s">
        <v>430</v>
      </c>
      <c r="AN478" s="21">
        <v>0.5</v>
      </c>
      <c r="AO478" s="17">
        <f t="shared" si="160"/>
        <v>3128.7502049999998</v>
      </c>
      <c r="AP478" s="17">
        <v>3128.7502049999998</v>
      </c>
      <c r="AQ478" s="16">
        <v>44894</v>
      </c>
      <c r="AR478" s="17">
        <f t="shared" si="145"/>
        <v>0</v>
      </c>
      <c r="AS478" s="17" t="s">
        <v>775</v>
      </c>
      <c r="AT478" s="17">
        <v>7406.8372199999994</v>
      </c>
      <c r="AU478" s="17">
        <f t="shared" si="162"/>
        <v>7406.8372199999994</v>
      </c>
      <c r="AV478" s="17">
        <f t="shared" si="161"/>
        <v>0</v>
      </c>
      <c r="AW478" s="17" t="str">
        <f t="shared" si="163"/>
        <v>SFA</v>
      </c>
      <c r="AX478" s="22">
        <v>44862</v>
      </c>
      <c r="AY478" s="22"/>
      <c r="AZ478" s="1"/>
      <c r="BA478" s="22" t="str">
        <f t="shared" si="154"/>
        <v>COMP MOTOR</v>
      </c>
      <c r="BB478" s="22"/>
      <c r="BC478" s="22"/>
      <c r="BD478" s="22"/>
    </row>
    <row r="479" spans="1:56" ht="14.25" customHeight="1" x14ac:dyDescent="0.2">
      <c r="A479" s="1" t="s">
        <v>654</v>
      </c>
      <c r="B479" s="1" t="s">
        <v>57</v>
      </c>
      <c r="C479" s="13">
        <v>44782</v>
      </c>
      <c r="D479" s="13">
        <v>44816</v>
      </c>
      <c r="E479" s="13">
        <v>44743</v>
      </c>
      <c r="F479" s="13">
        <v>45107</v>
      </c>
      <c r="G479" s="14" t="str">
        <f t="shared" si="155"/>
        <v>000-478/AIB RDC/2022</v>
      </c>
      <c r="H479" s="1">
        <v>2</v>
      </c>
      <c r="I479" s="1" t="s">
        <v>58</v>
      </c>
      <c r="J479" s="53" t="s">
        <v>776</v>
      </c>
      <c r="K479" s="1" t="s">
        <v>777</v>
      </c>
      <c r="L479" s="1"/>
      <c r="M479" s="16" t="s">
        <v>84</v>
      </c>
      <c r="N479" s="1" t="s">
        <v>85</v>
      </c>
      <c r="O479" s="1" t="s">
        <v>64</v>
      </c>
      <c r="P479" s="1" t="s">
        <v>65</v>
      </c>
      <c r="Q479" s="1" t="s">
        <v>130</v>
      </c>
      <c r="R479" s="1" t="s">
        <v>80</v>
      </c>
      <c r="S479" s="17">
        <v>1835003.81</v>
      </c>
      <c r="T479" s="17">
        <v>4041.03</v>
      </c>
      <c r="U479" s="17">
        <v>510.02</v>
      </c>
      <c r="V479" s="17">
        <v>0</v>
      </c>
      <c r="W479" s="17">
        <v>24.45</v>
      </c>
      <c r="X479" s="17">
        <v>2890.13</v>
      </c>
      <c r="Y479" s="17">
        <v>547.94000000000005</v>
      </c>
      <c r="Z479" s="18">
        <f t="shared" si="156"/>
        <v>2.2021916128882589E-3</v>
      </c>
      <c r="AA479" s="19">
        <v>0</v>
      </c>
      <c r="AB479" s="17">
        <f t="shared" si="164"/>
        <v>0</v>
      </c>
      <c r="AC479" s="17">
        <f>30%*U479</f>
        <v>153.006</v>
      </c>
      <c r="AD479" s="17">
        <f>15%*X479</f>
        <v>433.51949999999999</v>
      </c>
      <c r="AE479" s="17">
        <f t="shared" si="157"/>
        <v>586.52549999999997</v>
      </c>
      <c r="AF479" s="17">
        <f t="shared" si="151"/>
        <v>93.844079999999991</v>
      </c>
      <c r="AG479" s="17">
        <f t="shared" si="153"/>
        <v>680.36957999999993</v>
      </c>
      <c r="AH479" s="17">
        <f t="shared" si="150"/>
        <v>11.730509999999999</v>
      </c>
      <c r="AI479" s="17">
        <v>0</v>
      </c>
      <c r="AJ479" s="17">
        <f t="shared" si="158"/>
        <v>11.730509999999999</v>
      </c>
      <c r="AK479" s="20"/>
      <c r="AL479" s="17">
        <f t="shared" si="159"/>
        <v>574.79498999999998</v>
      </c>
      <c r="AM479" s="17" t="s">
        <v>80</v>
      </c>
      <c r="AN479" s="21">
        <v>0</v>
      </c>
      <c r="AO479" s="23">
        <f t="shared" si="160"/>
        <v>0</v>
      </c>
      <c r="AP479" s="17"/>
      <c r="AQ479" s="16"/>
      <c r="AR479" s="17">
        <f t="shared" si="145"/>
        <v>0</v>
      </c>
      <c r="AS479" s="17"/>
      <c r="AT479" s="17">
        <v>680.36957999999993</v>
      </c>
      <c r="AU479" s="17">
        <f t="shared" si="162"/>
        <v>680.36957999999993</v>
      </c>
      <c r="AV479" s="17">
        <f t="shared" si="161"/>
        <v>0</v>
      </c>
      <c r="AW479" s="17" t="str">
        <f t="shared" si="163"/>
        <v>SFA</v>
      </c>
      <c r="AX479" s="22">
        <v>44862</v>
      </c>
      <c r="AY479" s="22"/>
      <c r="AZ479" s="1" t="s">
        <v>145</v>
      </c>
      <c r="BA479" s="22" t="str">
        <f t="shared" si="154"/>
        <v>MARINE CARGO / GIT</v>
      </c>
      <c r="BB479" s="26"/>
      <c r="BC479" s="22"/>
      <c r="BD479" s="22"/>
    </row>
    <row r="480" spans="1:56" ht="14.25" customHeight="1" x14ac:dyDescent="0.2">
      <c r="A480" s="1" t="s">
        <v>439</v>
      </c>
      <c r="B480" s="1" t="s">
        <v>57</v>
      </c>
      <c r="C480" s="13">
        <v>44811</v>
      </c>
      <c r="D480" s="13">
        <v>44798</v>
      </c>
      <c r="E480" s="13">
        <v>44797</v>
      </c>
      <c r="F480" s="13">
        <v>44804</v>
      </c>
      <c r="G480" s="14" t="str">
        <f t="shared" si="155"/>
        <v>000-479/AIB RDC/2022</v>
      </c>
      <c r="H480" s="1">
        <v>0</v>
      </c>
      <c r="I480" s="1" t="s">
        <v>74</v>
      </c>
      <c r="J480" s="24" t="s">
        <v>778</v>
      </c>
      <c r="K480" s="1" t="s">
        <v>251</v>
      </c>
      <c r="L480" s="1"/>
      <c r="M480" s="1" t="s">
        <v>105</v>
      </c>
      <c r="N480" s="1" t="s">
        <v>106</v>
      </c>
      <c r="O480" s="1" t="s">
        <v>64</v>
      </c>
      <c r="P480" s="1" t="s">
        <v>65</v>
      </c>
      <c r="Q480" s="1" t="s">
        <v>130</v>
      </c>
      <c r="R480" s="1" t="s">
        <v>130</v>
      </c>
      <c r="S480" s="17">
        <v>418.21</v>
      </c>
      <c r="T480" s="17">
        <v>17.95</v>
      </c>
      <c r="U480" s="17">
        <v>0</v>
      </c>
      <c r="V480" s="17">
        <v>0</v>
      </c>
      <c r="W480" s="17">
        <v>0.22</v>
      </c>
      <c r="X480" s="17">
        <v>15</v>
      </c>
      <c r="Y480" s="17">
        <v>2.44</v>
      </c>
      <c r="Z480" s="18">
        <f t="shared" si="156"/>
        <v>4.2921020539920134E-2</v>
      </c>
      <c r="AA480" s="19">
        <v>0.15</v>
      </c>
      <c r="AB480" s="17">
        <f t="shared" si="164"/>
        <v>2.25</v>
      </c>
      <c r="AC480" s="17">
        <v>0</v>
      </c>
      <c r="AD480" s="17">
        <v>0</v>
      </c>
      <c r="AE480" s="17">
        <f t="shared" si="157"/>
        <v>2.25</v>
      </c>
      <c r="AF480" s="17">
        <f t="shared" si="151"/>
        <v>0.36</v>
      </c>
      <c r="AG480" s="17">
        <f t="shared" si="153"/>
        <v>2.61</v>
      </c>
      <c r="AH480" s="17">
        <f t="shared" ref="AH480:AH497" si="165">2%*AE480</f>
        <v>4.4999999999999998E-2</v>
      </c>
      <c r="AI480" s="17"/>
      <c r="AJ480" s="17">
        <f t="shared" si="158"/>
        <v>4.4999999999999998E-2</v>
      </c>
      <c r="AK480" s="20"/>
      <c r="AL480" s="17">
        <f t="shared" si="159"/>
        <v>2.2050000000000001</v>
      </c>
      <c r="AM480" s="17" t="s">
        <v>108</v>
      </c>
      <c r="AN480" s="21">
        <v>0.4</v>
      </c>
      <c r="AO480" s="17">
        <f t="shared" si="160"/>
        <v>0.88200000000000012</v>
      </c>
      <c r="AP480" s="17">
        <v>0.88200000000000012</v>
      </c>
      <c r="AQ480" s="16">
        <v>44867</v>
      </c>
      <c r="AR480" s="17">
        <f t="shared" si="145"/>
        <v>0</v>
      </c>
      <c r="AS480" s="17" t="s">
        <v>397</v>
      </c>
      <c r="AT480" s="17">
        <v>2.61</v>
      </c>
      <c r="AU480" s="17">
        <f t="shared" si="162"/>
        <v>2.61</v>
      </c>
      <c r="AV480" s="17">
        <f t="shared" si="161"/>
        <v>0</v>
      </c>
      <c r="AW480" s="17" t="str">
        <f t="shared" si="163"/>
        <v>SFA</v>
      </c>
      <c r="AX480" s="22">
        <v>44823</v>
      </c>
      <c r="AY480" s="22"/>
      <c r="AZ480" s="1" t="s">
        <v>110</v>
      </c>
      <c r="BA480" s="22" t="str">
        <f t="shared" si="154"/>
        <v>MARINE CARGO / GIT</v>
      </c>
      <c r="BB480" s="22"/>
      <c r="BC480" s="22"/>
      <c r="BD480" s="22"/>
    </row>
    <row r="481" spans="1:56" ht="14.25" customHeight="1" x14ac:dyDescent="0.2">
      <c r="A481" s="1" t="s">
        <v>439</v>
      </c>
      <c r="B481" s="1" t="s">
        <v>57</v>
      </c>
      <c r="C481" s="13">
        <v>44783</v>
      </c>
      <c r="D481" s="13">
        <v>44835</v>
      </c>
      <c r="E481" s="13">
        <v>44774</v>
      </c>
      <c r="F481" s="13">
        <v>45138</v>
      </c>
      <c r="G481" s="14" t="str">
        <f t="shared" si="155"/>
        <v>000-480/AIB RDC/2022</v>
      </c>
      <c r="H481" s="1">
        <v>2</v>
      </c>
      <c r="I481" s="1" t="s">
        <v>58</v>
      </c>
      <c r="J481" s="1" t="s">
        <v>779</v>
      </c>
      <c r="K481" s="1" t="s">
        <v>300</v>
      </c>
      <c r="L481" s="1" t="s">
        <v>214</v>
      </c>
      <c r="M481" s="16" t="s">
        <v>84</v>
      </c>
      <c r="N481" s="1" t="s">
        <v>85</v>
      </c>
      <c r="O481" s="1" t="s">
        <v>192</v>
      </c>
      <c r="P481" s="1" t="s">
        <v>98</v>
      </c>
      <c r="Q481" s="1" t="s">
        <v>107</v>
      </c>
      <c r="R481" s="1" t="s">
        <v>780</v>
      </c>
      <c r="S481" s="17">
        <v>0</v>
      </c>
      <c r="T481" s="17">
        <v>982509.65</v>
      </c>
      <c r="U481" s="17">
        <v>124895.29</v>
      </c>
      <c r="V481" s="17">
        <v>-58284.47</v>
      </c>
      <c r="W481" s="17">
        <v>0</v>
      </c>
      <c r="X481" s="17">
        <v>707740</v>
      </c>
      <c r="Y481" s="17">
        <v>133221.65</v>
      </c>
      <c r="Z481" s="18" t="e">
        <f t="shared" si="156"/>
        <v>#DIV/0!</v>
      </c>
      <c r="AA481" s="19">
        <v>0</v>
      </c>
      <c r="AB481" s="17">
        <f t="shared" si="164"/>
        <v>0</v>
      </c>
      <c r="AC481" s="17">
        <f>(U481+V481)*30%</f>
        <v>19983.245999999996</v>
      </c>
      <c r="AD481" s="17"/>
      <c r="AE481" s="17">
        <f t="shared" si="157"/>
        <v>19983.245999999996</v>
      </c>
      <c r="AF481" s="17">
        <f t="shared" ref="AF481:AF512" si="166">16%*AE481</f>
        <v>3197.3193599999995</v>
      </c>
      <c r="AG481" s="17">
        <f t="shared" si="153"/>
        <v>23180.565359999993</v>
      </c>
      <c r="AH481" s="17">
        <f t="shared" si="165"/>
        <v>399.66491999999994</v>
      </c>
      <c r="AI481" s="17"/>
      <c r="AJ481" s="17">
        <f t="shared" si="158"/>
        <v>399.66491999999994</v>
      </c>
      <c r="AK481" s="20"/>
      <c r="AL481" s="17">
        <f t="shared" si="159"/>
        <v>19583.581079999996</v>
      </c>
      <c r="AM481" s="17"/>
      <c r="AN481" s="21"/>
      <c r="AO481" s="17">
        <f t="shared" si="160"/>
        <v>0</v>
      </c>
      <c r="AP481" s="17"/>
      <c r="AQ481" s="16"/>
      <c r="AR481" s="17">
        <f t="shared" ref="AR481:AR544" si="167">AO481-AP481</f>
        <v>0</v>
      </c>
      <c r="AS481" s="17"/>
      <c r="AT481" s="17">
        <v>23180.565359999993</v>
      </c>
      <c r="AU481" s="17">
        <f t="shared" si="162"/>
        <v>23180.565359999993</v>
      </c>
      <c r="AV481" s="17">
        <f t="shared" si="161"/>
        <v>0</v>
      </c>
      <c r="AW481" s="17" t="str">
        <f t="shared" si="163"/>
        <v>RAWSUR</v>
      </c>
      <c r="AX481" s="22">
        <v>44901</v>
      </c>
      <c r="AY481" s="22"/>
      <c r="AZ481" s="1"/>
      <c r="BA481" s="22" t="str">
        <f t="shared" si="154"/>
        <v>GPA</v>
      </c>
      <c r="BB481" s="22"/>
      <c r="BC481" s="22"/>
      <c r="BD481" s="22"/>
    </row>
    <row r="482" spans="1:56" ht="14.25" customHeight="1" x14ac:dyDescent="0.2">
      <c r="A482" s="1" t="s">
        <v>439</v>
      </c>
      <c r="B482" s="1" t="s">
        <v>57</v>
      </c>
      <c r="C482" s="13">
        <v>44783</v>
      </c>
      <c r="D482" s="13">
        <v>44842</v>
      </c>
      <c r="E482" s="13">
        <v>44774</v>
      </c>
      <c r="F482" s="13">
        <v>45138</v>
      </c>
      <c r="G482" s="14" t="str">
        <f t="shared" si="155"/>
        <v>000-481/AIB RDC/2022</v>
      </c>
      <c r="H482" s="1">
        <v>2</v>
      </c>
      <c r="I482" s="1" t="s">
        <v>58</v>
      </c>
      <c r="J482" s="1" t="s">
        <v>779</v>
      </c>
      <c r="K482" s="16" t="s">
        <v>355</v>
      </c>
      <c r="L482" s="16" t="s">
        <v>137</v>
      </c>
      <c r="M482" s="16" t="s">
        <v>84</v>
      </c>
      <c r="N482" s="1" t="s">
        <v>85</v>
      </c>
      <c r="O482" s="1" t="s">
        <v>192</v>
      </c>
      <c r="P482" s="1" t="s">
        <v>98</v>
      </c>
      <c r="Q482" s="1" t="s">
        <v>107</v>
      </c>
      <c r="R482" s="1" t="s">
        <v>780</v>
      </c>
      <c r="S482" s="17">
        <v>0</v>
      </c>
      <c r="T482" s="17">
        <v>266241.32</v>
      </c>
      <c r="U482" s="17">
        <v>33844.239999999998</v>
      </c>
      <c r="V482" s="17">
        <v>-15793.98</v>
      </c>
      <c r="W482" s="17">
        <v>0</v>
      </c>
      <c r="X482" s="17">
        <v>191784</v>
      </c>
      <c r="Y482" s="17">
        <v>36100.519999999997</v>
      </c>
      <c r="Z482" s="18" t="e">
        <f t="shared" si="156"/>
        <v>#DIV/0!</v>
      </c>
      <c r="AA482" s="19">
        <v>0</v>
      </c>
      <c r="AB482" s="17">
        <f t="shared" si="164"/>
        <v>0</v>
      </c>
      <c r="AC482" s="17">
        <f>(U482+V482)*30%</f>
        <v>5415.0779999999995</v>
      </c>
      <c r="AD482" s="17"/>
      <c r="AE482" s="17">
        <f t="shared" si="157"/>
        <v>5415.0779999999995</v>
      </c>
      <c r="AF482" s="17">
        <f t="shared" si="166"/>
        <v>866.41247999999996</v>
      </c>
      <c r="AG482" s="17">
        <f t="shared" si="153"/>
        <v>6281.4904799999995</v>
      </c>
      <c r="AH482" s="17">
        <f t="shared" si="165"/>
        <v>108.30155999999999</v>
      </c>
      <c r="AI482" s="17">
        <v>0</v>
      </c>
      <c r="AJ482" s="17">
        <f t="shared" si="158"/>
        <v>108.30155999999999</v>
      </c>
      <c r="AK482" s="20"/>
      <c r="AL482" s="17">
        <f t="shared" si="159"/>
        <v>5306.7764399999996</v>
      </c>
      <c r="AM482" s="17"/>
      <c r="AN482" s="21"/>
      <c r="AO482" s="17">
        <f t="shared" si="160"/>
        <v>0</v>
      </c>
      <c r="AP482" s="17"/>
      <c r="AQ482" s="16"/>
      <c r="AR482" s="17">
        <f t="shared" si="167"/>
        <v>0</v>
      </c>
      <c r="AS482" s="17"/>
      <c r="AT482" s="17">
        <v>6281.4904799999995</v>
      </c>
      <c r="AU482" s="17">
        <f t="shared" si="162"/>
        <v>6281.4904799999995</v>
      </c>
      <c r="AV482" s="17">
        <f t="shared" si="161"/>
        <v>0</v>
      </c>
      <c r="AW482" s="17" t="str">
        <f t="shared" si="163"/>
        <v>RAWSUR</v>
      </c>
      <c r="AX482" s="22">
        <v>44901</v>
      </c>
      <c r="AY482" s="22"/>
      <c r="AZ482" s="1"/>
      <c r="BA482" s="22" t="str">
        <f t="shared" si="154"/>
        <v>GPA</v>
      </c>
      <c r="BB482" s="22"/>
      <c r="BC482" s="22"/>
      <c r="BD482" s="22"/>
    </row>
    <row r="483" spans="1:56" ht="14.25" customHeight="1" x14ac:dyDescent="0.2">
      <c r="A483" s="1" t="s">
        <v>439</v>
      </c>
      <c r="B483" s="1" t="s">
        <v>273</v>
      </c>
      <c r="C483" s="13">
        <v>44783</v>
      </c>
      <c r="D483" s="13"/>
      <c r="E483" s="13">
        <v>44774</v>
      </c>
      <c r="F483" s="13">
        <v>45138</v>
      </c>
      <c r="G483" s="14" t="str">
        <f t="shared" si="155"/>
        <v>000-482/AIB RDC/2022</v>
      </c>
      <c r="H483" s="1">
        <v>0</v>
      </c>
      <c r="I483" s="1" t="s">
        <v>58</v>
      </c>
      <c r="J483" s="1" t="s">
        <v>781</v>
      </c>
      <c r="K483" s="1" t="s">
        <v>455</v>
      </c>
      <c r="L483" s="16" t="s">
        <v>137</v>
      </c>
      <c r="M483" s="16" t="s">
        <v>84</v>
      </c>
      <c r="N483" s="1" t="s">
        <v>85</v>
      </c>
      <c r="O483" s="1" t="s">
        <v>192</v>
      </c>
      <c r="P483" s="1" t="s">
        <v>98</v>
      </c>
      <c r="Q483" s="1" t="s">
        <v>107</v>
      </c>
      <c r="R483" s="1" t="s">
        <v>780</v>
      </c>
      <c r="S483" s="17">
        <v>0</v>
      </c>
      <c r="T483" s="17">
        <v>25705.95</v>
      </c>
      <c r="U483" s="17">
        <v>3267.71</v>
      </c>
      <c r="V483" s="17">
        <v>-1524.93</v>
      </c>
      <c r="W483" s="17">
        <v>0</v>
      </c>
      <c r="X483" s="17">
        <v>18517</v>
      </c>
      <c r="Y483" s="17">
        <v>3485.55</v>
      </c>
      <c r="Z483" s="18" t="e">
        <f t="shared" si="156"/>
        <v>#DIV/0!</v>
      </c>
      <c r="AA483" s="19">
        <v>0</v>
      </c>
      <c r="AB483" s="17">
        <f t="shared" si="164"/>
        <v>0</v>
      </c>
      <c r="AC483" s="17">
        <f>(U483+V483)*30%</f>
        <v>522.83399999999995</v>
      </c>
      <c r="AD483" s="17"/>
      <c r="AE483" s="17">
        <f t="shared" si="157"/>
        <v>522.83399999999995</v>
      </c>
      <c r="AF483" s="17">
        <f t="shared" si="166"/>
        <v>83.653439999999989</v>
      </c>
      <c r="AG483" s="17">
        <f t="shared" si="153"/>
        <v>606.48743999999988</v>
      </c>
      <c r="AH483" s="17">
        <f t="shared" si="165"/>
        <v>10.456679999999999</v>
      </c>
      <c r="AI483" s="17"/>
      <c r="AJ483" s="17">
        <f t="shared" si="158"/>
        <v>10.456679999999999</v>
      </c>
      <c r="AK483" s="20"/>
      <c r="AL483" s="17">
        <f t="shared" si="159"/>
        <v>512.37731999999994</v>
      </c>
      <c r="AM483" s="17"/>
      <c r="AN483" s="21"/>
      <c r="AO483" s="17">
        <f t="shared" si="160"/>
        <v>0</v>
      </c>
      <c r="AP483" s="17"/>
      <c r="AQ483" s="16"/>
      <c r="AR483" s="17">
        <f t="shared" si="167"/>
        <v>0</v>
      </c>
      <c r="AS483" s="17"/>
      <c r="AT483" s="17">
        <v>606.48743999999988</v>
      </c>
      <c r="AU483" s="17">
        <f t="shared" si="162"/>
        <v>606.48743999999988</v>
      </c>
      <c r="AV483" s="17">
        <f t="shared" si="161"/>
        <v>0</v>
      </c>
      <c r="AW483" s="17" t="str">
        <f t="shared" si="163"/>
        <v>RAWSUR</v>
      </c>
      <c r="AX483" s="22">
        <v>45244</v>
      </c>
      <c r="AY483" s="22"/>
      <c r="AZ483" s="1"/>
      <c r="BA483" s="22" t="str">
        <f t="shared" si="154"/>
        <v>GPA</v>
      </c>
      <c r="BB483" s="22"/>
      <c r="BC483" s="22"/>
      <c r="BD483" s="1" t="s">
        <v>390</v>
      </c>
    </row>
    <row r="484" spans="1:56" ht="14.25" customHeight="1" x14ac:dyDescent="0.2">
      <c r="A484" s="1" t="s">
        <v>439</v>
      </c>
      <c r="B484" s="1" t="s">
        <v>57</v>
      </c>
      <c r="C484" s="13">
        <v>44783</v>
      </c>
      <c r="D484" s="13">
        <v>44896</v>
      </c>
      <c r="E484" s="13">
        <v>44774</v>
      </c>
      <c r="F484" s="13">
        <v>45138</v>
      </c>
      <c r="G484" s="14" t="str">
        <f t="shared" si="155"/>
        <v>000-483/AIB RDC/2022</v>
      </c>
      <c r="H484" s="1">
        <v>1</v>
      </c>
      <c r="I484" s="1" t="s">
        <v>58</v>
      </c>
      <c r="J484" s="1" t="s">
        <v>782</v>
      </c>
      <c r="K484" s="1" t="s">
        <v>783</v>
      </c>
      <c r="L484" s="1" t="s">
        <v>214</v>
      </c>
      <c r="M484" s="16" t="s">
        <v>84</v>
      </c>
      <c r="N484" s="1" t="s">
        <v>85</v>
      </c>
      <c r="O484" s="1" t="s">
        <v>192</v>
      </c>
      <c r="P484" s="1" t="s">
        <v>98</v>
      </c>
      <c r="Q484" s="1" t="s">
        <v>107</v>
      </c>
      <c r="R484" s="1" t="s">
        <v>780</v>
      </c>
      <c r="S484" s="17">
        <v>0</v>
      </c>
      <c r="T484" s="17">
        <v>21038.71</v>
      </c>
      <c r="U484" s="17">
        <v>2674.41</v>
      </c>
      <c r="V484" s="17">
        <v>-1248.06</v>
      </c>
      <c r="W484" s="17">
        <v>0</v>
      </c>
      <c r="X484" s="17">
        <v>15155</v>
      </c>
      <c r="Y484" s="17">
        <v>2852.71</v>
      </c>
      <c r="Z484" s="18" t="e">
        <f t="shared" si="156"/>
        <v>#DIV/0!</v>
      </c>
      <c r="AA484" s="19">
        <v>0</v>
      </c>
      <c r="AB484" s="17">
        <f t="shared" si="164"/>
        <v>0</v>
      </c>
      <c r="AC484" s="17">
        <f>(U484+V484)*30%</f>
        <v>427.90499999999997</v>
      </c>
      <c r="AD484" s="17">
        <v>0</v>
      </c>
      <c r="AE484" s="17">
        <f t="shared" si="157"/>
        <v>427.90499999999997</v>
      </c>
      <c r="AF484" s="17">
        <f t="shared" si="166"/>
        <v>68.464799999999997</v>
      </c>
      <c r="AG484" s="17">
        <f t="shared" si="153"/>
        <v>496.36979999999994</v>
      </c>
      <c r="AH484" s="17">
        <f t="shared" si="165"/>
        <v>8.5580999999999996</v>
      </c>
      <c r="AI484" s="17"/>
      <c r="AJ484" s="17">
        <f t="shared" si="158"/>
        <v>8.5580999999999996</v>
      </c>
      <c r="AK484" s="20"/>
      <c r="AL484" s="17">
        <f t="shared" si="159"/>
        <v>419.34689999999995</v>
      </c>
      <c r="AM484" s="17"/>
      <c r="AN484" s="21"/>
      <c r="AO484" s="17">
        <f t="shared" si="160"/>
        <v>0</v>
      </c>
      <c r="AP484" s="17"/>
      <c r="AQ484" s="16"/>
      <c r="AR484" s="17">
        <f t="shared" si="167"/>
        <v>0</v>
      </c>
      <c r="AS484" s="17"/>
      <c r="AT484" s="17">
        <v>496.36979999999994</v>
      </c>
      <c r="AU484" s="17">
        <f t="shared" si="162"/>
        <v>496.36979999999994</v>
      </c>
      <c r="AV484" s="17">
        <f t="shared" si="161"/>
        <v>0</v>
      </c>
      <c r="AW484" s="17" t="str">
        <f t="shared" si="163"/>
        <v>RAWSUR</v>
      </c>
      <c r="AX484" s="22">
        <v>44946</v>
      </c>
      <c r="AY484" s="22"/>
      <c r="AZ484" s="1"/>
      <c r="BA484" s="22" t="str">
        <f t="shared" si="154"/>
        <v>GPA</v>
      </c>
      <c r="BB484" s="22"/>
      <c r="BC484" s="22"/>
      <c r="BD484" s="22"/>
    </row>
    <row r="485" spans="1:56" ht="14.25" customHeight="1" x14ac:dyDescent="0.2">
      <c r="A485" s="1" t="s">
        <v>324</v>
      </c>
      <c r="B485" s="1" t="s">
        <v>57</v>
      </c>
      <c r="C485" s="13">
        <v>44677</v>
      </c>
      <c r="D485" s="13">
        <v>44677</v>
      </c>
      <c r="E485" s="13">
        <v>44651</v>
      </c>
      <c r="F485" s="13">
        <v>45015</v>
      </c>
      <c r="G485" s="14" t="str">
        <f t="shared" si="155"/>
        <v>000-484/AIB RDC/2022</v>
      </c>
      <c r="H485" s="1">
        <v>0</v>
      </c>
      <c r="I485" s="1" t="s">
        <v>74</v>
      </c>
      <c r="J485" s="1" t="s">
        <v>784</v>
      </c>
      <c r="K485" s="1" t="s">
        <v>117</v>
      </c>
      <c r="L485" s="1" t="s">
        <v>118</v>
      </c>
      <c r="M485" s="1" t="s">
        <v>706</v>
      </c>
      <c r="N485" s="1" t="s">
        <v>209</v>
      </c>
      <c r="O485" s="1" t="s">
        <v>64</v>
      </c>
      <c r="P485" s="1" t="s">
        <v>65</v>
      </c>
      <c r="Q485" s="1" t="s">
        <v>130</v>
      </c>
      <c r="R485" s="1" t="s">
        <v>130</v>
      </c>
      <c r="S485" s="17">
        <v>300000</v>
      </c>
      <c r="T485" s="17">
        <v>12456.08</v>
      </c>
      <c r="U485" s="17">
        <v>0</v>
      </c>
      <c r="V485" s="17">
        <v>0</v>
      </c>
      <c r="W485" s="17">
        <v>156</v>
      </c>
      <c r="X485" s="17">
        <v>10400</v>
      </c>
      <c r="Y485" s="17">
        <v>1688.96</v>
      </c>
      <c r="Z485" s="18">
        <f t="shared" si="156"/>
        <v>4.1520266666666666E-2</v>
      </c>
      <c r="AA485" s="19">
        <v>0.15</v>
      </c>
      <c r="AB485" s="17">
        <f t="shared" si="164"/>
        <v>1560</v>
      </c>
      <c r="AC485" s="17">
        <v>0</v>
      </c>
      <c r="AD485" s="17">
        <v>0</v>
      </c>
      <c r="AE485" s="17">
        <f t="shared" si="157"/>
        <v>1560</v>
      </c>
      <c r="AF485" s="17">
        <f t="shared" si="166"/>
        <v>249.6</v>
      </c>
      <c r="AG485" s="17">
        <f t="shared" si="153"/>
        <v>1809.6</v>
      </c>
      <c r="AH485" s="17">
        <f t="shared" si="165"/>
        <v>31.2</v>
      </c>
      <c r="AI485" s="17"/>
      <c r="AJ485" s="17">
        <f t="shared" si="158"/>
        <v>31.2</v>
      </c>
      <c r="AK485" s="20"/>
      <c r="AL485" s="17">
        <f t="shared" si="159"/>
        <v>1528.8</v>
      </c>
      <c r="AM485" s="17"/>
      <c r="AN485" s="21"/>
      <c r="AO485" s="17">
        <f t="shared" si="160"/>
        <v>0</v>
      </c>
      <c r="AP485" s="17"/>
      <c r="AQ485" s="16"/>
      <c r="AR485" s="17">
        <f t="shared" si="167"/>
        <v>0</v>
      </c>
      <c r="AS485" s="17"/>
      <c r="AT485" s="17">
        <v>1809.6</v>
      </c>
      <c r="AU485" s="17">
        <f t="shared" si="162"/>
        <v>1809.6</v>
      </c>
      <c r="AV485" s="17">
        <f t="shared" si="161"/>
        <v>0</v>
      </c>
      <c r="AW485" s="17" t="str">
        <f t="shared" si="163"/>
        <v>SFA</v>
      </c>
      <c r="AX485" s="22">
        <v>44984</v>
      </c>
      <c r="AY485" s="22"/>
      <c r="AZ485" s="1"/>
      <c r="BA485" s="22" t="str">
        <f t="shared" si="154"/>
        <v>MARINE CARGO / GIT</v>
      </c>
      <c r="BB485" s="22"/>
      <c r="BC485" s="22"/>
      <c r="BD485" s="22"/>
    </row>
    <row r="486" spans="1:56" ht="14.25" customHeight="1" x14ac:dyDescent="0.2">
      <c r="A486" s="1" t="s">
        <v>773</v>
      </c>
      <c r="B486" s="1" t="s">
        <v>57</v>
      </c>
      <c r="C486" s="13">
        <v>44790</v>
      </c>
      <c r="D486" s="13">
        <v>44832</v>
      </c>
      <c r="E486" s="13">
        <v>44831</v>
      </c>
      <c r="F486" s="13">
        <v>45195</v>
      </c>
      <c r="G486" s="14" t="str">
        <f t="shared" si="155"/>
        <v>000-485/AIB RDC/2022</v>
      </c>
      <c r="H486" s="1">
        <v>0</v>
      </c>
      <c r="I486" s="1" t="s">
        <v>74</v>
      </c>
      <c r="J486" s="1" t="s">
        <v>785</v>
      </c>
      <c r="K486" s="1" t="s">
        <v>543</v>
      </c>
      <c r="L486" s="1"/>
      <c r="M486" s="1" t="s">
        <v>706</v>
      </c>
      <c r="N486" s="1" t="s">
        <v>209</v>
      </c>
      <c r="O486" s="1" t="s">
        <v>233</v>
      </c>
      <c r="P486" s="1" t="s">
        <v>234</v>
      </c>
      <c r="Q486" s="1" t="s">
        <v>79</v>
      </c>
      <c r="R486" s="1" t="s">
        <v>79</v>
      </c>
      <c r="S486" s="17">
        <v>19981577</v>
      </c>
      <c r="T486" s="17">
        <v>28484.01</v>
      </c>
      <c r="U486" s="17">
        <v>3620.85</v>
      </c>
      <c r="V486" s="17">
        <v>0</v>
      </c>
      <c r="W486" s="17">
        <v>0</v>
      </c>
      <c r="X486" s="17">
        <v>24138.99</v>
      </c>
      <c r="Y486" s="17">
        <v>3862.24</v>
      </c>
      <c r="Z486" s="18">
        <f t="shared" si="156"/>
        <v>1.4255136118635681E-3</v>
      </c>
      <c r="AA486" s="19">
        <v>0</v>
      </c>
      <c r="AB486" s="17">
        <f t="shared" si="164"/>
        <v>0</v>
      </c>
      <c r="AC486" s="17">
        <f>30%*U486</f>
        <v>1086.2549999999999</v>
      </c>
      <c r="AD486" s="17">
        <v>2144.9499999999998</v>
      </c>
      <c r="AE486" s="17">
        <f t="shared" si="157"/>
        <v>3231.2049999999999</v>
      </c>
      <c r="AF486" s="17">
        <f t="shared" si="166"/>
        <v>516.99279999999999</v>
      </c>
      <c r="AG486" s="17">
        <f t="shared" si="153"/>
        <v>3748.1977999999999</v>
      </c>
      <c r="AH486" s="17">
        <f t="shared" si="165"/>
        <v>64.624099999999999</v>
      </c>
      <c r="AI486" s="17"/>
      <c r="AJ486" s="17">
        <f t="shared" si="158"/>
        <v>64.624099999999999</v>
      </c>
      <c r="AK486" s="20"/>
      <c r="AL486" s="17">
        <f t="shared" si="159"/>
        <v>3166.5808999999999</v>
      </c>
      <c r="AM486" s="17"/>
      <c r="AN486" s="21"/>
      <c r="AO486" s="17">
        <f t="shared" si="160"/>
        <v>0</v>
      </c>
      <c r="AP486" s="17"/>
      <c r="AQ486" s="16"/>
      <c r="AR486" s="17">
        <f t="shared" si="167"/>
        <v>0</v>
      </c>
      <c r="AS486" s="17"/>
      <c r="AT486" s="17">
        <v>3748.1977999999999</v>
      </c>
      <c r="AU486" s="17">
        <f t="shared" si="162"/>
        <v>3748.1977999999999</v>
      </c>
      <c r="AV486" s="17">
        <f t="shared" si="161"/>
        <v>0</v>
      </c>
      <c r="AW486" s="17" t="str">
        <f t="shared" si="163"/>
        <v>MAYFAIR</v>
      </c>
      <c r="AX486" s="22">
        <v>44875</v>
      </c>
      <c r="AY486" s="22"/>
      <c r="AZ486" s="1"/>
      <c r="BA486" s="22" t="str">
        <f t="shared" si="154"/>
        <v>PVT</v>
      </c>
      <c r="BB486" s="22"/>
      <c r="BC486" s="22"/>
      <c r="BD486" s="22"/>
    </row>
    <row r="487" spans="1:56" ht="14.25" customHeight="1" x14ac:dyDescent="0.2">
      <c r="A487" s="1" t="s">
        <v>773</v>
      </c>
      <c r="B487" s="1" t="s">
        <v>57</v>
      </c>
      <c r="C487" s="13">
        <v>44730</v>
      </c>
      <c r="D487" s="13">
        <v>44811</v>
      </c>
      <c r="E487" s="13">
        <v>44809</v>
      </c>
      <c r="F487" s="13">
        <v>45173</v>
      </c>
      <c r="G487" s="14" t="str">
        <f t="shared" si="155"/>
        <v>000-486/AIB RDC/2022</v>
      </c>
      <c r="H487" s="1">
        <v>0</v>
      </c>
      <c r="I487" s="1" t="s">
        <v>74</v>
      </c>
      <c r="J487" s="24" t="s">
        <v>786</v>
      </c>
      <c r="K487" s="1" t="s">
        <v>787</v>
      </c>
      <c r="L487" s="1"/>
      <c r="M487" s="1" t="s">
        <v>706</v>
      </c>
      <c r="N487" s="1" t="s">
        <v>209</v>
      </c>
      <c r="O487" s="1" t="s">
        <v>132</v>
      </c>
      <c r="P487" s="1" t="s">
        <v>90</v>
      </c>
      <c r="Q487" s="1" t="s">
        <v>130</v>
      </c>
      <c r="R487" s="1" t="s">
        <v>130</v>
      </c>
      <c r="S487" s="17">
        <v>0</v>
      </c>
      <c r="T487" s="17">
        <v>6796.61</v>
      </c>
      <c r="U487" s="17">
        <v>429.25</v>
      </c>
      <c r="V487" s="17">
        <v>0</v>
      </c>
      <c r="W487" s="17">
        <v>36.47</v>
      </c>
      <c r="X487" s="17">
        <v>5294.12</v>
      </c>
      <c r="Y487" s="17">
        <v>921.57</v>
      </c>
      <c r="Z487" s="18" t="e">
        <f t="shared" si="156"/>
        <v>#DIV/0!</v>
      </c>
      <c r="AA487" s="19">
        <v>0.1</v>
      </c>
      <c r="AB487" s="17">
        <f t="shared" si="164"/>
        <v>529.41200000000003</v>
      </c>
      <c r="AC487" s="17">
        <v>0</v>
      </c>
      <c r="AD487" s="17">
        <v>0</v>
      </c>
      <c r="AE487" s="17">
        <f t="shared" si="157"/>
        <v>529.41200000000003</v>
      </c>
      <c r="AF487" s="17">
        <f t="shared" si="166"/>
        <v>84.705920000000006</v>
      </c>
      <c r="AG487" s="17">
        <f t="shared" si="153"/>
        <v>614.11792000000003</v>
      </c>
      <c r="AH487" s="17">
        <f t="shared" si="165"/>
        <v>10.588240000000001</v>
      </c>
      <c r="AI487" s="17"/>
      <c r="AJ487" s="17">
        <f t="shared" si="158"/>
        <v>10.588240000000001</v>
      </c>
      <c r="AK487" s="20"/>
      <c r="AL487" s="17">
        <f t="shared" si="159"/>
        <v>518.82375999999999</v>
      </c>
      <c r="AM487" s="17"/>
      <c r="AN487" s="21"/>
      <c r="AO487" s="17">
        <f t="shared" si="160"/>
        <v>0</v>
      </c>
      <c r="AP487" s="17"/>
      <c r="AQ487" s="16"/>
      <c r="AR487" s="17">
        <f t="shared" si="167"/>
        <v>0</v>
      </c>
      <c r="AS487" s="17"/>
      <c r="AT487" s="17">
        <v>614.11792000000003</v>
      </c>
      <c r="AU487" s="17">
        <f t="shared" si="162"/>
        <v>614.11792000000003</v>
      </c>
      <c r="AV487" s="17">
        <f t="shared" si="161"/>
        <v>0</v>
      </c>
      <c r="AW487" s="17" t="str">
        <f t="shared" si="163"/>
        <v>SFA</v>
      </c>
      <c r="AX487" s="22">
        <v>44862</v>
      </c>
      <c r="AY487" s="22"/>
      <c r="AZ487" s="1"/>
      <c r="BA487" s="22" t="str">
        <f t="shared" si="154"/>
        <v>PI</v>
      </c>
      <c r="BB487" s="22"/>
      <c r="BC487" s="22"/>
      <c r="BD487" s="22"/>
    </row>
    <row r="488" spans="1:56" ht="14.25" customHeight="1" x14ac:dyDescent="0.2">
      <c r="A488" s="1" t="s">
        <v>439</v>
      </c>
      <c r="B488" s="1" t="s">
        <v>57</v>
      </c>
      <c r="C488" s="13">
        <v>44777</v>
      </c>
      <c r="D488" s="13">
        <v>44777</v>
      </c>
      <c r="E488" s="13">
        <v>44785</v>
      </c>
      <c r="F488" s="13">
        <v>45007</v>
      </c>
      <c r="G488" s="14" t="str">
        <f t="shared" si="155"/>
        <v>000-487/AIB RDC/2022</v>
      </c>
      <c r="H488" s="1">
        <v>2</v>
      </c>
      <c r="I488" s="1" t="s">
        <v>91</v>
      </c>
      <c r="J488" s="24" t="s">
        <v>435</v>
      </c>
      <c r="K488" s="1" t="s">
        <v>436</v>
      </c>
      <c r="L488" s="1" t="s">
        <v>77</v>
      </c>
      <c r="M488" s="1" t="s">
        <v>706</v>
      </c>
      <c r="N488" s="1" t="s">
        <v>209</v>
      </c>
      <c r="O488" s="1" t="s">
        <v>73</v>
      </c>
      <c r="P488" s="1" t="s">
        <v>73</v>
      </c>
      <c r="Q488" s="16" t="s">
        <v>130</v>
      </c>
      <c r="R488" s="16" t="s">
        <v>130</v>
      </c>
      <c r="S488" s="17">
        <v>0</v>
      </c>
      <c r="T488" s="17">
        <v>374.52</v>
      </c>
      <c r="U488" s="17">
        <v>0</v>
      </c>
      <c r="V488" s="17">
        <v>0</v>
      </c>
      <c r="W488" s="17">
        <v>4.68</v>
      </c>
      <c r="X488" s="17">
        <v>312.72000000000003</v>
      </c>
      <c r="Y488" s="17">
        <v>50.78</v>
      </c>
      <c r="Z488" s="18" t="e">
        <f t="shared" si="156"/>
        <v>#DIV/0!</v>
      </c>
      <c r="AA488" s="19">
        <v>0.1</v>
      </c>
      <c r="AB488" s="17">
        <f t="shared" si="164"/>
        <v>31.272000000000006</v>
      </c>
      <c r="AC488" s="17">
        <v>0</v>
      </c>
      <c r="AD488" s="17">
        <v>0</v>
      </c>
      <c r="AE488" s="17">
        <f t="shared" si="157"/>
        <v>31.272000000000006</v>
      </c>
      <c r="AF488" s="17">
        <f t="shared" si="166"/>
        <v>5.0035200000000009</v>
      </c>
      <c r="AG488" s="17">
        <f t="shared" si="153"/>
        <v>36.275520000000007</v>
      </c>
      <c r="AH488" s="17">
        <f t="shared" si="165"/>
        <v>0.62544000000000011</v>
      </c>
      <c r="AI488" s="17"/>
      <c r="AJ488" s="17">
        <f t="shared" si="158"/>
        <v>0.62544000000000011</v>
      </c>
      <c r="AK488" s="20"/>
      <c r="AL488" s="17">
        <f t="shared" si="159"/>
        <v>30.646560000000004</v>
      </c>
      <c r="AM488" s="17"/>
      <c r="AN488" s="21"/>
      <c r="AO488" s="17">
        <f t="shared" si="160"/>
        <v>0</v>
      </c>
      <c r="AP488" s="17"/>
      <c r="AQ488" s="16"/>
      <c r="AR488" s="17">
        <f t="shared" si="167"/>
        <v>0</v>
      </c>
      <c r="AS488" s="17"/>
      <c r="AT488" s="17">
        <v>36.275520000000007</v>
      </c>
      <c r="AU488" s="17">
        <f t="shared" si="162"/>
        <v>36.275520000000007</v>
      </c>
      <c r="AV488" s="17">
        <f t="shared" si="161"/>
        <v>0</v>
      </c>
      <c r="AW488" s="17" t="str">
        <f t="shared" si="163"/>
        <v>SFA</v>
      </c>
      <c r="AX488" s="22">
        <v>44823</v>
      </c>
      <c r="AY488" s="22"/>
      <c r="AZ488" s="1" t="s">
        <v>68</v>
      </c>
      <c r="BA488" s="22" t="str">
        <f t="shared" si="154"/>
        <v>MOTOR TPL</v>
      </c>
      <c r="BB488" s="22"/>
      <c r="BC488" s="22"/>
      <c r="BD488" s="22"/>
    </row>
    <row r="489" spans="1:56" ht="14.25" customHeight="1" x14ac:dyDescent="0.2">
      <c r="A489" s="1" t="s">
        <v>439</v>
      </c>
      <c r="B489" s="1" t="s">
        <v>57</v>
      </c>
      <c r="C489" s="13">
        <v>44782</v>
      </c>
      <c r="D489" s="13">
        <v>44788</v>
      </c>
      <c r="E489" s="13">
        <v>44787</v>
      </c>
      <c r="F489" s="13">
        <v>45151</v>
      </c>
      <c r="G489" s="14" t="str">
        <f t="shared" si="155"/>
        <v>000-488/AIB RDC/2022</v>
      </c>
      <c r="H489" s="1">
        <v>4</v>
      </c>
      <c r="I489" s="1" t="s">
        <v>58</v>
      </c>
      <c r="J489" s="1" t="s">
        <v>788</v>
      </c>
      <c r="K489" s="1" t="s">
        <v>543</v>
      </c>
      <c r="L489" s="1"/>
      <c r="M489" s="1" t="s">
        <v>706</v>
      </c>
      <c r="N489" s="1" t="s">
        <v>209</v>
      </c>
      <c r="O489" s="1" t="s">
        <v>73</v>
      </c>
      <c r="P489" s="1" t="s">
        <v>73</v>
      </c>
      <c r="Q489" s="1" t="s">
        <v>79</v>
      </c>
      <c r="R489" s="1" t="s">
        <v>79</v>
      </c>
      <c r="S489" s="17">
        <v>0</v>
      </c>
      <c r="T489" s="17">
        <v>15200.62</v>
      </c>
      <c r="U489" s="17">
        <v>0</v>
      </c>
      <c r="V489" s="17">
        <v>0</v>
      </c>
      <c r="W489" s="17">
        <v>220</v>
      </c>
      <c r="X489" s="17">
        <v>12662.03</v>
      </c>
      <c r="Y489" s="17">
        <v>2061.12</v>
      </c>
      <c r="Z489" s="18" t="e">
        <f t="shared" si="156"/>
        <v>#DIV/0!</v>
      </c>
      <c r="AA489" s="19">
        <v>0.125</v>
      </c>
      <c r="AB489" s="17">
        <f t="shared" si="164"/>
        <v>1582.7537500000001</v>
      </c>
      <c r="AC489" s="17">
        <v>0</v>
      </c>
      <c r="AD489" s="17">
        <v>0</v>
      </c>
      <c r="AE489" s="17">
        <f t="shared" si="157"/>
        <v>1582.7537500000001</v>
      </c>
      <c r="AF489" s="17">
        <f t="shared" si="166"/>
        <v>253.24060000000003</v>
      </c>
      <c r="AG489" s="17">
        <f t="shared" ref="AG489:AG520" si="168">AF489+AE489</f>
        <v>1835.9943500000002</v>
      </c>
      <c r="AH489" s="17">
        <f t="shared" si="165"/>
        <v>31.655075000000004</v>
      </c>
      <c r="AI489" s="17"/>
      <c r="AJ489" s="17">
        <f t="shared" si="158"/>
        <v>31.655075000000004</v>
      </c>
      <c r="AK489" s="20"/>
      <c r="AL489" s="17">
        <f t="shared" si="159"/>
        <v>1551.0986750000002</v>
      </c>
      <c r="AM489" s="17"/>
      <c r="AN489" s="21"/>
      <c r="AO489" s="17">
        <f t="shared" si="160"/>
        <v>0</v>
      </c>
      <c r="AP489" s="17"/>
      <c r="AQ489" s="16"/>
      <c r="AR489" s="17">
        <f t="shared" si="167"/>
        <v>0</v>
      </c>
      <c r="AS489" s="17"/>
      <c r="AT489" s="17">
        <v>1835.9943500000002</v>
      </c>
      <c r="AU489" s="17">
        <f t="shared" si="162"/>
        <v>1835.9943500000002</v>
      </c>
      <c r="AV489" s="17">
        <f t="shared" si="161"/>
        <v>0</v>
      </c>
      <c r="AW489" s="17" t="str">
        <f t="shared" si="163"/>
        <v>MAYFAIR</v>
      </c>
      <c r="AX489" s="22">
        <v>44834</v>
      </c>
      <c r="AY489" s="22"/>
      <c r="AZ489" s="1"/>
      <c r="BA489" s="22" t="str">
        <f t="shared" ref="BA489:BA520" si="169">O489</f>
        <v>MOTOR TPL</v>
      </c>
      <c r="BB489" s="22"/>
      <c r="BC489" s="22"/>
      <c r="BD489" s="22"/>
    </row>
    <row r="490" spans="1:56" ht="14.25" customHeight="1" x14ac:dyDescent="0.2">
      <c r="A490" s="1" t="s">
        <v>439</v>
      </c>
      <c r="B490" s="1" t="s">
        <v>57</v>
      </c>
      <c r="C490" s="13">
        <v>44795</v>
      </c>
      <c r="D490" s="13">
        <v>44795</v>
      </c>
      <c r="E490" s="13">
        <v>44795</v>
      </c>
      <c r="F490" s="13">
        <v>45151</v>
      </c>
      <c r="G490" s="14" t="str">
        <f t="shared" si="155"/>
        <v>000-489/AIB RDC/2022</v>
      </c>
      <c r="H490" s="1">
        <v>5</v>
      </c>
      <c r="I490" s="1" t="s">
        <v>91</v>
      </c>
      <c r="J490" s="1" t="s">
        <v>788</v>
      </c>
      <c r="K490" s="1" t="s">
        <v>543</v>
      </c>
      <c r="L490" s="1"/>
      <c r="M490" s="1" t="s">
        <v>706</v>
      </c>
      <c r="N490" s="1" t="s">
        <v>209</v>
      </c>
      <c r="O490" s="1" t="s">
        <v>73</v>
      </c>
      <c r="P490" s="1" t="s">
        <v>73</v>
      </c>
      <c r="Q490" s="1" t="s">
        <v>79</v>
      </c>
      <c r="R490" s="1" t="s">
        <v>79</v>
      </c>
      <c r="S490" s="17">
        <v>0</v>
      </c>
      <c r="T490" s="17">
        <v>358.55</v>
      </c>
      <c r="U490" s="17">
        <v>0</v>
      </c>
      <c r="V490" s="17">
        <v>0</v>
      </c>
      <c r="W490" s="17">
        <v>10</v>
      </c>
      <c r="X490" s="17">
        <v>293.85000000000002</v>
      </c>
      <c r="Y490" s="17">
        <v>48.62</v>
      </c>
      <c r="Z490" s="18" t="e">
        <f t="shared" si="156"/>
        <v>#DIV/0!</v>
      </c>
      <c r="AA490" s="19">
        <v>0.125</v>
      </c>
      <c r="AB490" s="17">
        <f t="shared" si="164"/>
        <v>36.731250000000003</v>
      </c>
      <c r="AC490" s="17">
        <v>0</v>
      </c>
      <c r="AD490" s="17">
        <v>0</v>
      </c>
      <c r="AE490" s="17">
        <f t="shared" si="157"/>
        <v>36.731250000000003</v>
      </c>
      <c r="AF490" s="17">
        <f t="shared" si="166"/>
        <v>5.8770000000000007</v>
      </c>
      <c r="AG490" s="17">
        <f t="shared" si="168"/>
        <v>42.608250000000005</v>
      </c>
      <c r="AH490" s="17">
        <f t="shared" si="165"/>
        <v>0.73462500000000008</v>
      </c>
      <c r="AI490" s="17"/>
      <c r="AJ490" s="17">
        <f t="shared" si="158"/>
        <v>0.73462500000000008</v>
      </c>
      <c r="AK490" s="20"/>
      <c r="AL490" s="17">
        <f t="shared" si="159"/>
        <v>35.996625000000002</v>
      </c>
      <c r="AM490" s="17"/>
      <c r="AN490" s="21"/>
      <c r="AO490" s="17">
        <f t="shared" si="160"/>
        <v>0</v>
      </c>
      <c r="AP490" s="17"/>
      <c r="AQ490" s="16"/>
      <c r="AR490" s="17">
        <f t="shared" si="167"/>
        <v>0</v>
      </c>
      <c r="AS490" s="17"/>
      <c r="AT490" s="17">
        <v>42.608250000000005</v>
      </c>
      <c r="AU490" s="17">
        <f t="shared" si="162"/>
        <v>42.608250000000005</v>
      </c>
      <c r="AV490" s="17">
        <f t="shared" si="161"/>
        <v>0</v>
      </c>
      <c r="AW490" s="17" t="str">
        <f t="shared" si="163"/>
        <v>MAYFAIR</v>
      </c>
      <c r="AX490" s="22">
        <v>44834</v>
      </c>
      <c r="AY490" s="22"/>
      <c r="AZ490" s="1"/>
      <c r="BA490" s="22" t="str">
        <f t="shared" si="169"/>
        <v>MOTOR TPL</v>
      </c>
      <c r="BB490" s="22"/>
      <c r="BC490" s="22"/>
      <c r="BD490" s="22"/>
    </row>
    <row r="491" spans="1:56" ht="14.25" customHeight="1" x14ac:dyDescent="0.2">
      <c r="A491" s="1" t="s">
        <v>654</v>
      </c>
      <c r="B491" s="1" t="s">
        <v>57</v>
      </c>
      <c r="C491" s="13">
        <v>44734</v>
      </c>
      <c r="D491" s="13">
        <v>44856</v>
      </c>
      <c r="E491" s="13">
        <v>44766</v>
      </c>
      <c r="F491" s="13">
        <v>45091</v>
      </c>
      <c r="G491" s="14" t="str">
        <f t="shared" si="155"/>
        <v>000-490/AIB RDC/2022</v>
      </c>
      <c r="H491" s="1">
        <v>1</v>
      </c>
      <c r="I491" s="1" t="s">
        <v>58</v>
      </c>
      <c r="J491" s="1" t="s">
        <v>789</v>
      </c>
      <c r="K491" s="1" t="s">
        <v>546</v>
      </c>
      <c r="L491" s="1" t="s">
        <v>160</v>
      </c>
      <c r="M491" s="1" t="s">
        <v>706</v>
      </c>
      <c r="N491" s="1" t="s">
        <v>209</v>
      </c>
      <c r="O491" s="1" t="s">
        <v>70</v>
      </c>
      <c r="P491" s="1" t="s">
        <v>71</v>
      </c>
      <c r="Q491" s="1" t="s">
        <v>130</v>
      </c>
      <c r="R491" s="1" t="s">
        <v>130</v>
      </c>
      <c r="S491" s="17">
        <v>4927903.16</v>
      </c>
      <c r="T491" s="17">
        <v>5053.66</v>
      </c>
      <c r="U491" s="17">
        <v>0</v>
      </c>
      <c r="V491" s="17">
        <v>0</v>
      </c>
      <c r="W491" s="17">
        <v>31.26</v>
      </c>
      <c r="X491" s="17">
        <v>4251.5</v>
      </c>
      <c r="Y491" s="17">
        <v>685.24</v>
      </c>
      <c r="Z491" s="18">
        <f t="shared" si="156"/>
        <v>1.0255193407656168E-3</v>
      </c>
      <c r="AA491" s="19">
        <v>0.1</v>
      </c>
      <c r="AB491" s="17">
        <f t="shared" si="164"/>
        <v>425.15000000000003</v>
      </c>
      <c r="AC491" s="17">
        <v>0</v>
      </c>
      <c r="AD491" s="17">
        <v>0</v>
      </c>
      <c r="AE491" s="17">
        <f t="shared" si="157"/>
        <v>425.15000000000003</v>
      </c>
      <c r="AF491" s="17">
        <f t="shared" si="166"/>
        <v>68.024000000000001</v>
      </c>
      <c r="AG491" s="17">
        <f t="shared" si="168"/>
        <v>493.17400000000004</v>
      </c>
      <c r="AH491" s="17">
        <f t="shared" si="165"/>
        <v>8.5030000000000001</v>
      </c>
      <c r="AI491" s="17"/>
      <c r="AJ491" s="17">
        <f t="shared" si="158"/>
        <v>8.5030000000000001</v>
      </c>
      <c r="AK491" s="20"/>
      <c r="AL491" s="17">
        <f t="shared" si="159"/>
        <v>416.64700000000005</v>
      </c>
      <c r="AM491" s="17"/>
      <c r="AN491" s="21"/>
      <c r="AO491" s="17">
        <f t="shared" si="160"/>
        <v>0</v>
      </c>
      <c r="AP491" s="17"/>
      <c r="AQ491" s="16"/>
      <c r="AR491" s="17">
        <f t="shared" si="167"/>
        <v>0</v>
      </c>
      <c r="AS491" s="17"/>
      <c r="AT491" s="17">
        <v>493.17400000000004</v>
      </c>
      <c r="AU491" s="17">
        <f t="shared" si="162"/>
        <v>493.17400000000004</v>
      </c>
      <c r="AV491" s="17">
        <f t="shared" si="161"/>
        <v>0</v>
      </c>
      <c r="AW491" s="17" t="str">
        <f t="shared" si="163"/>
        <v>SFA</v>
      </c>
      <c r="AX491" s="22">
        <v>44949</v>
      </c>
      <c r="AY491" s="22"/>
      <c r="AZ491" s="1" t="s">
        <v>100</v>
      </c>
      <c r="BA491" s="22" t="str">
        <f t="shared" si="169"/>
        <v>FIRE</v>
      </c>
      <c r="BB491" s="22"/>
      <c r="BC491" s="22"/>
      <c r="BD491" s="22"/>
    </row>
    <row r="492" spans="1:56" ht="14.25" customHeight="1" x14ac:dyDescent="0.2">
      <c r="A492" s="1" t="s">
        <v>439</v>
      </c>
      <c r="B492" s="1" t="s">
        <v>57</v>
      </c>
      <c r="C492" s="13">
        <v>44775</v>
      </c>
      <c r="D492" s="13">
        <v>44855</v>
      </c>
      <c r="E492" s="13">
        <v>44798</v>
      </c>
      <c r="F492" s="13">
        <v>45091</v>
      </c>
      <c r="G492" s="14" t="str">
        <f t="shared" si="155"/>
        <v>000-491/AIB RDC/2022</v>
      </c>
      <c r="H492" s="1">
        <v>1</v>
      </c>
      <c r="I492" s="1" t="s">
        <v>58</v>
      </c>
      <c r="J492" s="1" t="s">
        <v>790</v>
      </c>
      <c r="K492" s="1" t="s">
        <v>546</v>
      </c>
      <c r="L492" s="1" t="s">
        <v>160</v>
      </c>
      <c r="M492" s="1" t="s">
        <v>706</v>
      </c>
      <c r="N492" s="1" t="s">
        <v>209</v>
      </c>
      <c r="O492" s="1" t="s">
        <v>132</v>
      </c>
      <c r="P492" s="1" t="s">
        <v>90</v>
      </c>
      <c r="Q492" s="1" t="s">
        <v>130</v>
      </c>
      <c r="R492" s="1" t="s">
        <v>130</v>
      </c>
      <c r="S492" s="17">
        <v>0</v>
      </c>
      <c r="T492" s="17">
        <v>4634.97</v>
      </c>
      <c r="U492" s="17">
        <v>585.20000000000005</v>
      </c>
      <c r="V492" s="17">
        <v>0</v>
      </c>
      <c r="W492" s="17">
        <v>26.58</v>
      </c>
      <c r="X492" s="17">
        <v>3316.16</v>
      </c>
      <c r="Y492" s="17">
        <v>628.47</v>
      </c>
      <c r="Z492" s="18" t="e">
        <f t="shared" si="156"/>
        <v>#DIV/0!</v>
      </c>
      <c r="AA492" s="19">
        <v>0</v>
      </c>
      <c r="AB492" s="17">
        <f t="shared" si="164"/>
        <v>0</v>
      </c>
      <c r="AC492" s="17">
        <f>30%*U492</f>
        <v>175.56</v>
      </c>
      <c r="AD492" s="17">
        <v>0</v>
      </c>
      <c r="AE492" s="17">
        <f t="shared" si="157"/>
        <v>175.56</v>
      </c>
      <c r="AF492" s="17">
        <f t="shared" si="166"/>
        <v>28.089600000000001</v>
      </c>
      <c r="AG492" s="17">
        <f t="shared" si="168"/>
        <v>203.64959999999999</v>
      </c>
      <c r="AH492" s="17">
        <f t="shared" si="165"/>
        <v>3.5112000000000001</v>
      </c>
      <c r="AI492" s="17"/>
      <c r="AJ492" s="17">
        <f t="shared" si="158"/>
        <v>3.5112000000000001</v>
      </c>
      <c r="AK492" s="20"/>
      <c r="AL492" s="17">
        <f t="shared" si="159"/>
        <v>172.0488</v>
      </c>
      <c r="AM492" s="17"/>
      <c r="AN492" s="21"/>
      <c r="AO492" s="17">
        <f t="shared" si="160"/>
        <v>0</v>
      </c>
      <c r="AP492" s="17"/>
      <c r="AQ492" s="16"/>
      <c r="AR492" s="17">
        <f t="shared" si="167"/>
        <v>0</v>
      </c>
      <c r="AS492" s="17"/>
      <c r="AT492" s="17">
        <v>203.64959999999999</v>
      </c>
      <c r="AU492" s="17">
        <f t="shared" si="162"/>
        <v>203.64959999999999</v>
      </c>
      <c r="AV492" s="17">
        <f t="shared" si="161"/>
        <v>0</v>
      </c>
      <c r="AW492" s="17" t="str">
        <f t="shared" si="163"/>
        <v>SFA</v>
      </c>
      <c r="AX492" s="22">
        <v>44984</v>
      </c>
      <c r="AY492" s="22"/>
      <c r="AZ492" s="1" t="s">
        <v>100</v>
      </c>
      <c r="BA492" s="22" t="str">
        <f t="shared" si="169"/>
        <v>PI</v>
      </c>
      <c r="BB492" s="22"/>
      <c r="BC492" s="22"/>
      <c r="BD492" s="22"/>
    </row>
    <row r="493" spans="1:56" ht="14.25" customHeight="1" x14ac:dyDescent="0.2">
      <c r="A493" s="1" t="s">
        <v>439</v>
      </c>
      <c r="B493" s="1" t="s">
        <v>57</v>
      </c>
      <c r="C493" s="13">
        <v>44798</v>
      </c>
      <c r="D493" s="13">
        <v>44856</v>
      </c>
      <c r="E493" s="13">
        <v>44798</v>
      </c>
      <c r="F493" s="13">
        <v>45091</v>
      </c>
      <c r="G493" s="14" t="str">
        <f t="shared" si="155"/>
        <v>000-492/AIB RDC/2022</v>
      </c>
      <c r="H493" s="1">
        <v>0</v>
      </c>
      <c r="I493" s="1" t="s">
        <v>74</v>
      </c>
      <c r="J493" s="1" t="s">
        <v>791</v>
      </c>
      <c r="K493" s="1" t="s">
        <v>546</v>
      </c>
      <c r="L493" s="1" t="s">
        <v>160</v>
      </c>
      <c r="M493" s="1" t="s">
        <v>706</v>
      </c>
      <c r="N493" s="1" t="s">
        <v>209</v>
      </c>
      <c r="O493" s="1" t="s">
        <v>747</v>
      </c>
      <c r="P493" s="1" t="s">
        <v>90</v>
      </c>
      <c r="Q493" s="1" t="s">
        <v>130</v>
      </c>
      <c r="R493" s="1" t="s">
        <v>130</v>
      </c>
      <c r="S493" s="17">
        <v>0</v>
      </c>
      <c r="T493" s="17">
        <v>2819.09</v>
      </c>
      <c r="U493" s="17">
        <v>355.36</v>
      </c>
      <c r="V493" s="17">
        <v>0</v>
      </c>
      <c r="W493" s="17">
        <v>22.5</v>
      </c>
      <c r="X493" s="17">
        <v>2013.7</v>
      </c>
      <c r="Y493" s="17">
        <v>382.25</v>
      </c>
      <c r="Z493" s="18" t="e">
        <f t="shared" si="156"/>
        <v>#DIV/0!</v>
      </c>
      <c r="AA493" s="19">
        <v>0</v>
      </c>
      <c r="AB493" s="17">
        <f t="shared" si="164"/>
        <v>0</v>
      </c>
      <c r="AC493" s="17">
        <f>30%*U493</f>
        <v>106.608</v>
      </c>
      <c r="AD493" s="17">
        <v>0</v>
      </c>
      <c r="AE493" s="17">
        <f t="shared" si="157"/>
        <v>106.608</v>
      </c>
      <c r="AF493" s="17">
        <f t="shared" si="166"/>
        <v>17.057280000000002</v>
      </c>
      <c r="AG493" s="17">
        <f t="shared" si="168"/>
        <v>123.66528000000001</v>
      </c>
      <c r="AH493" s="17">
        <f t="shared" si="165"/>
        <v>2.1321600000000003</v>
      </c>
      <c r="AI493" s="17"/>
      <c r="AJ493" s="17">
        <f t="shared" si="158"/>
        <v>2.1321600000000003</v>
      </c>
      <c r="AK493" s="20"/>
      <c r="AL493" s="17">
        <f t="shared" si="159"/>
        <v>104.47584000000001</v>
      </c>
      <c r="AM493" s="17"/>
      <c r="AN493" s="21"/>
      <c r="AO493" s="17">
        <f t="shared" si="160"/>
        <v>0</v>
      </c>
      <c r="AP493" s="17"/>
      <c r="AQ493" s="16"/>
      <c r="AR493" s="17">
        <f t="shared" si="167"/>
        <v>0</v>
      </c>
      <c r="AS493" s="17"/>
      <c r="AT493" s="17">
        <v>123.66528000000001</v>
      </c>
      <c r="AU493" s="17">
        <f t="shared" ref="AU493:AU504" si="170">AG493</f>
        <v>123.66528000000001</v>
      </c>
      <c r="AV493" s="17">
        <f t="shared" si="161"/>
        <v>0</v>
      </c>
      <c r="AW493" s="17" t="str">
        <f t="shared" si="163"/>
        <v>SFA</v>
      </c>
      <c r="AX493" s="22">
        <v>44949</v>
      </c>
      <c r="AY493" s="22"/>
      <c r="AZ493" s="1" t="s">
        <v>100</v>
      </c>
      <c r="BA493" s="22" t="str">
        <f t="shared" si="169"/>
        <v>FIDELITY GUARANTEE</v>
      </c>
      <c r="BB493" s="22"/>
      <c r="BC493" s="22"/>
      <c r="BD493" s="22"/>
    </row>
    <row r="494" spans="1:56" ht="14.25" customHeight="1" x14ac:dyDescent="0.2">
      <c r="A494" s="1" t="s">
        <v>439</v>
      </c>
      <c r="B494" s="1" t="s">
        <v>57</v>
      </c>
      <c r="C494" s="13">
        <v>44804</v>
      </c>
      <c r="D494" s="13">
        <v>44796</v>
      </c>
      <c r="E494" s="13">
        <v>44795</v>
      </c>
      <c r="F494" s="13">
        <v>45159</v>
      </c>
      <c r="G494" s="14" t="str">
        <f t="shared" si="155"/>
        <v>000-493/AIB RDC/2022</v>
      </c>
      <c r="H494" s="1">
        <v>0</v>
      </c>
      <c r="I494" s="1" t="s">
        <v>74</v>
      </c>
      <c r="J494" s="1" t="s">
        <v>792</v>
      </c>
      <c r="K494" s="1" t="s">
        <v>656</v>
      </c>
      <c r="L494" s="1" t="s">
        <v>169</v>
      </c>
      <c r="M494" s="1" t="s">
        <v>105</v>
      </c>
      <c r="N494" s="1" t="s">
        <v>184</v>
      </c>
      <c r="O494" s="1" t="s">
        <v>70</v>
      </c>
      <c r="P494" s="1" t="s">
        <v>71</v>
      </c>
      <c r="Q494" s="1" t="s">
        <v>130</v>
      </c>
      <c r="R494" s="1" t="s">
        <v>130</v>
      </c>
      <c r="S494" s="17">
        <v>0</v>
      </c>
      <c r="T494" s="17">
        <v>6876.22</v>
      </c>
      <c r="U494" s="17">
        <v>0</v>
      </c>
      <c r="V494" s="17">
        <v>0</v>
      </c>
      <c r="W494" s="17">
        <v>38.94</v>
      </c>
      <c r="X494" s="17">
        <v>5788.36</v>
      </c>
      <c r="Y494" s="17">
        <v>923.37</v>
      </c>
      <c r="Z494" s="18" t="e">
        <f t="shared" si="156"/>
        <v>#DIV/0!</v>
      </c>
      <c r="AA494" s="19">
        <v>0.1</v>
      </c>
      <c r="AB494" s="17">
        <f t="shared" si="164"/>
        <v>578.83600000000001</v>
      </c>
      <c r="AC494" s="17">
        <v>0</v>
      </c>
      <c r="AD494" s="17">
        <v>0</v>
      </c>
      <c r="AE494" s="17">
        <f t="shared" si="157"/>
        <v>578.83600000000001</v>
      </c>
      <c r="AF494" s="17">
        <f t="shared" si="166"/>
        <v>92.613759999999999</v>
      </c>
      <c r="AG494" s="17">
        <f t="shared" si="168"/>
        <v>671.44975999999997</v>
      </c>
      <c r="AH494" s="17">
        <f t="shared" si="165"/>
        <v>11.57672</v>
      </c>
      <c r="AI494" s="17"/>
      <c r="AJ494" s="17">
        <f t="shared" si="158"/>
        <v>11.57672</v>
      </c>
      <c r="AK494" s="20"/>
      <c r="AL494" s="17">
        <f t="shared" si="159"/>
        <v>567.25927999999999</v>
      </c>
      <c r="AM494" s="17"/>
      <c r="AN494" s="21"/>
      <c r="AO494" s="17">
        <f t="shared" si="160"/>
        <v>0</v>
      </c>
      <c r="AP494" s="17"/>
      <c r="AQ494" s="16"/>
      <c r="AR494" s="17">
        <f t="shared" si="167"/>
        <v>0</v>
      </c>
      <c r="AS494" s="17"/>
      <c r="AT494" s="17">
        <v>671.44975999999997</v>
      </c>
      <c r="AU494" s="17">
        <f t="shared" si="170"/>
        <v>671.44975999999997</v>
      </c>
      <c r="AV494" s="17">
        <f t="shared" si="161"/>
        <v>0</v>
      </c>
      <c r="AW494" s="17" t="str">
        <f t="shared" si="163"/>
        <v>SFA</v>
      </c>
      <c r="AX494" s="22">
        <v>44823</v>
      </c>
      <c r="AY494" s="22"/>
      <c r="AZ494" s="1"/>
      <c r="BA494" s="22" t="str">
        <f t="shared" si="169"/>
        <v>FIRE</v>
      </c>
      <c r="BB494" s="22"/>
      <c r="BC494" s="22"/>
      <c r="BD494" s="22"/>
    </row>
    <row r="495" spans="1:56" ht="14.25" customHeight="1" x14ac:dyDescent="0.2">
      <c r="A495" s="1" t="s">
        <v>439</v>
      </c>
      <c r="B495" s="1" t="s">
        <v>57</v>
      </c>
      <c r="C495" s="13">
        <v>44804</v>
      </c>
      <c r="D495" s="13">
        <v>44796</v>
      </c>
      <c r="E495" s="13">
        <v>44790</v>
      </c>
      <c r="F495" s="13">
        <v>45154</v>
      </c>
      <c r="G495" s="14" t="str">
        <f t="shared" si="155"/>
        <v>000-494/AIB RDC/2022</v>
      </c>
      <c r="H495" s="1">
        <v>0</v>
      </c>
      <c r="I495" s="1" t="s">
        <v>74</v>
      </c>
      <c r="J495" s="1" t="s">
        <v>793</v>
      </c>
      <c r="K495" s="1" t="s">
        <v>794</v>
      </c>
      <c r="L495" s="1" t="s">
        <v>94</v>
      </c>
      <c r="M495" s="1" t="s">
        <v>105</v>
      </c>
      <c r="N495" s="1" t="s">
        <v>184</v>
      </c>
      <c r="O495" s="1" t="s">
        <v>70</v>
      </c>
      <c r="P495" s="1" t="s">
        <v>71</v>
      </c>
      <c r="Q495" s="1" t="s">
        <v>130</v>
      </c>
      <c r="R495" s="1" t="s">
        <v>130</v>
      </c>
      <c r="S495" s="17">
        <v>0</v>
      </c>
      <c r="T495" s="17">
        <v>4307.38</v>
      </c>
      <c r="U495" s="17">
        <v>0</v>
      </c>
      <c r="V495" s="17">
        <v>0</v>
      </c>
      <c r="W495" s="17">
        <v>28.11</v>
      </c>
      <c r="X495" s="17">
        <v>3622.21</v>
      </c>
      <c r="Y495" s="17">
        <v>584.04999999999995</v>
      </c>
      <c r="Z495" s="18" t="e">
        <f t="shared" si="156"/>
        <v>#DIV/0!</v>
      </c>
      <c r="AA495" s="19">
        <v>0.1</v>
      </c>
      <c r="AB495" s="17">
        <f t="shared" si="164"/>
        <v>362.221</v>
      </c>
      <c r="AC495" s="17">
        <v>0</v>
      </c>
      <c r="AD495" s="17">
        <v>0</v>
      </c>
      <c r="AE495" s="17">
        <f t="shared" si="157"/>
        <v>362.221</v>
      </c>
      <c r="AF495" s="17">
        <f t="shared" si="166"/>
        <v>57.955359999999999</v>
      </c>
      <c r="AG495" s="17">
        <f t="shared" si="168"/>
        <v>420.17635999999999</v>
      </c>
      <c r="AH495" s="17">
        <f t="shared" si="165"/>
        <v>7.2444199999999999</v>
      </c>
      <c r="AI495" s="17"/>
      <c r="AJ495" s="17">
        <f t="shared" si="158"/>
        <v>7.2444199999999999</v>
      </c>
      <c r="AK495" s="20"/>
      <c r="AL495" s="17">
        <f t="shared" si="159"/>
        <v>354.97658000000001</v>
      </c>
      <c r="AM495" s="17"/>
      <c r="AN495" s="21"/>
      <c r="AO495" s="17">
        <f t="shared" si="160"/>
        <v>0</v>
      </c>
      <c r="AP495" s="17"/>
      <c r="AQ495" s="16"/>
      <c r="AR495" s="17">
        <f t="shared" si="167"/>
        <v>0</v>
      </c>
      <c r="AS495" s="17"/>
      <c r="AT495" s="17">
        <v>420.17635999999999</v>
      </c>
      <c r="AU495" s="17">
        <f t="shared" si="170"/>
        <v>420.17635999999999</v>
      </c>
      <c r="AV495" s="17">
        <f t="shared" si="161"/>
        <v>0</v>
      </c>
      <c r="AW495" s="17" t="str">
        <f t="shared" si="163"/>
        <v>SFA</v>
      </c>
      <c r="AX495" s="22">
        <v>44823</v>
      </c>
      <c r="AY495" s="22"/>
      <c r="AZ495" s="1"/>
      <c r="BA495" s="22" t="str">
        <f t="shared" si="169"/>
        <v>FIRE</v>
      </c>
      <c r="BB495" s="22"/>
      <c r="BC495" s="22"/>
      <c r="BD495" s="22"/>
    </row>
    <row r="496" spans="1:56" ht="14.25" customHeight="1" x14ac:dyDescent="0.2">
      <c r="A496" s="1" t="s">
        <v>439</v>
      </c>
      <c r="B496" s="1" t="s">
        <v>57</v>
      </c>
      <c r="C496" s="13">
        <v>44804</v>
      </c>
      <c r="D496" s="13">
        <v>44777</v>
      </c>
      <c r="E496" s="13">
        <v>44776</v>
      </c>
      <c r="F496" s="13">
        <v>44945</v>
      </c>
      <c r="G496" s="14" t="str">
        <f t="shared" si="155"/>
        <v>000-495/AIB RDC/2022</v>
      </c>
      <c r="H496" s="1">
        <v>17</v>
      </c>
      <c r="I496" s="1" t="s">
        <v>91</v>
      </c>
      <c r="J496" s="1" t="s">
        <v>221</v>
      </c>
      <c r="K496" s="1" t="s">
        <v>222</v>
      </c>
      <c r="L496" s="1" t="s">
        <v>160</v>
      </c>
      <c r="M496" s="1" t="s">
        <v>105</v>
      </c>
      <c r="N496" s="1" t="s">
        <v>184</v>
      </c>
      <c r="O496" s="1" t="s">
        <v>73</v>
      </c>
      <c r="P496" s="1" t="s">
        <v>73</v>
      </c>
      <c r="Q496" s="1" t="s">
        <v>130</v>
      </c>
      <c r="R496" s="1" t="s">
        <v>130</v>
      </c>
      <c r="S496" s="17">
        <v>0</v>
      </c>
      <c r="T496" s="17">
        <v>410.65</v>
      </c>
      <c r="U496" s="17">
        <v>0</v>
      </c>
      <c r="V496" s="17">
        <v>0</v>
      </c>
      <c r="W496" s="17">
        <v>5.15</v>
      </c>
      <c r="X496" s="17">
        <v>342.86</v>
      </c>
      <c r="Y496" s="17">
        <v>55.68</v>
      </c>
      <c r="Z496" s="18" t="e">
        <f t="shared" si="156"/>
        <v>#DIV/0!</v>
      </c>
      <c r="AA496" s="19">
        <v>0.1</v>
      </c>
      <c r="AB496" s="17">
        <f t="shared" si="164"/>
        <v>34.286000000000001</v>
      </c>
      <c r="AC496" s="17">
        <v>0</v>
      </c>
      <c r="AD496" s="17">
        <v>0</v>
      </c>
      <c r="AE496" s="17">
        <f t="shared" si="157"/>
        <v>34.286000000000001</v>
      </c>
      <c r="AF496" s="17">
        <f t="shared" si="166"/>
        <v>5.48576</v>
      </c>
      <c r="AG496" s="17">
        <f t="shared" si="168"/>
        <v>39.77176</v>
      </c>
      <c r="AH496" s="17">
        <f t="shared" si="165"/>
        <v>0.68572</v>
      </c>
      <c r="AI496" s="17">
        <v>0</v>
      </c>
      <c r="AJ496" s="17">
        <f t="shared" si="158"/>
        <v>0.68572</v>
      </c>
      <c r="AK496" s="20"/>
      <c r="AL496" s="17">
        <f t="shared" si="159"/>
        <v>33.600279999999998</v>
      </c>
      <c r="AM496" s="17"/>
      <c r="AN496" s="21"/>
      <c r="AO496" s="17">
        <f t="shared" si="160"/>
        <v>0</v>
      </c>
      <c r="AP496" s="17"/>
      <c r="AQ496" s="16"/>
      <c r="AR496" s="17">
        <f t="shared" si="167"/>
        <v>0</v>
      </c>
      <c r="AS496" s="17"/>
      <c r="AT496" s="17">
        <v>39.77176</v>
      </c>
      <c r="AU496" s="17">
        <f t="shared" si="170"/>
        <v>39.77176</v>
      </c>
      <c r="AV496" s="17">
        <f t="shared" si="161"/>
        <v>0</v>
      </c>
      <c r="AW496" s="17" t="str">
        <f t="shared" si="163"/>
        <v>SFA</v>
      </c>
      <c r="AX496" s="22">
        <v>44823</v>
      </c>
      <c r="AY496" s="22"/>
      <c r="AZ496" s="1" t="s">
        <v>68</v>
      </c>
      <c r="BA496" s="22" t="str">
        <f t="shared" si="169"/>
        <v>MOTOR TPL</v>
      </c>
      <c r="BB496" s="22"/>
      <c r="BC496" s="22"/>
      <c r="BD496" s="22"/>
    </row>
    <row r="497" spans="1:56" ht="14.25" customHeight="1" x14ac:dyDescent="0.2">
      <c r="A497" s="1" t="s">
        <v>439</v>
      </c>
      <c r="B497" s="1" t="s">
        <v>57</v>
      </c>
      <c r="C497" s="13">
        <v>44804</v>
      </c>
      <c r="D497" s="13">
        <v>44788</v>
      </c>
      <c r="E497" s="13">
        <v>44778</v>
      </c>
      <c r="F497" s="13">
        <v>44807</v>
      </c>
      <c r="G497" s="14" t="str">
        <f t="shared" si="155"/>
        <v>000-496/AIB RDC/2022</v>
      </c>
      <c r="H497" s="1">
        <v>0</v>
      </c>
      <c r="I497" s="1" t="s">
        <v>74</v>
      </c>
      <c r="J497" s="1" t="s">
        <v>795</v>
      </c>
      <c r="K497" s="1" t="s">
        <v>263</v>
      </c>
      <c r="L497" s="1"/>
      <c r="M497" s="1" t="s">
        <v>105</v>
      </c>
      <c r="N497" s="1" t="s">
        <v>106</v>
      </c>
      <c r="O497" s="1" t="s">
        <v>64</v>
      </c>
      <c r="P497" s="1" t="s">
        <v>65</v>
      </c>
      <c r="Q497" s="1" t="s">
        <v>130</v>
      </c>
      <c r="R497" s="1" t="s">
        <v>130</v>
      </c>
      <c r="S497" s="17">
        <v>138553.79</v>
      </c>
      <c r="T497" s="17">
        <v>459.15</v>
      </c>
      <c r="U497" s="17">
        <v>0</v>
      </c>
      <c r="V497" s="17">
        <v>0</v>
      </c>
      <c r="W497" s="17">
        <v>20</v>
      </c>
      <c r="X497" s="17">
        <v>369.11</v>
      </c>
      <c r="Y497" s="17">
        <v>62.26</v>
      </c>
      <c r="Z497" s="18">
        <f t="shared" si="156"/>
        <v>3.31387542700925E-3</v>
      </c>
      <c r="AA497" s="19">
        <v>0.15</v>
      </c>
      <c r="AB497" s="17">
        <f t="shared" si="164"/>
        <v>55.366500000000002</v>
      </c>
      <c r="AC497" s="17">
        <v>0</v>
      </c>
      <c r="AD497" s="17">
        <v>0</v>
      </c>
      <c r="AE497" s="17">
        <f t="shared" si="157"/>
        <v>55.366500000000002</v>
      </c>
      <c r="AF497" s="17">
        <f t="shared" si="166"/>
        <v>8.8586400000000012</v>
      </c>
      <c r="AG497" s="17">
        <f t="shared" si="168"/>
        <v>64.22514000000001</v>
      </c>
      <c r="AH497" s="17">
        <f t="shared" si="165"/>
        <v>1.1073300000000001</v>
      </c>
      <c r="AI497" s="17"/>
      <c r="AJ497" s="17">
        <f t="shared" si="158"/>
        <v>1.1073300000000001</v>
      </c>
      <c r="AK497" s="20"/>
      <c r="AL497" s="17">
        <f t="shared" si="159"/>
        <v>54.259170000000005</v>
      </c>
      <c r="AM497" s="17" t="s">
        <v>108</v>
      </c>
      <c r="AN497" s="21">
        <v>0.4</v>
      </c>
      <c r="AO497" s="17">
        <f t="shared" si="160"/>
        <v>21.703668000000004</v>
      </c>
      <c r="AP497" s="17">
        <v>21.703668000000004</v>
      </c>
      <c r="AQ497" s="16">
        <v>44867</v>
      </c>
      <c r="AR497" s="17">
        <f t="shared" si="167"/>
        <v>0</v>
      </c>
      <c r="AS497" s="17" t="s">
        <v>397</v>
      </c>
      <c r="AT497" s="17">
        <v>64.22514000000001</v>
      </c>
      <c r="AU497" s="17">
        <f t="shared" si="170"/>
        <v>64.22514000000001</v>
      </c>
      <c r="AV497" s="17">
        <f t="shared" si="161"/>
        <v>0</v>
      </c>
      <c r="AW497" s="17" t="str">
        <f t="shared" si="163"/>
        <v>SFA</v>
      </c>
      <c r="AX497" s="22">
        <v>44823</v>
      </c>
      <c r="AY497" s="22"/>
      <c r="AZ497" s="1" t="s">
        <v>110</v>
      </c>
      <c r="BA497" s="22" t="str">
        <f t="shared" si="169"/>
        <v>MARINE CARGO / GIT</v>
      </c>
      <c r="BB497" s="22"/>
      <c r="BC497" s="22"/>
      <c r="BD497" s="22"/>
    </row>
    <row r="498" spans="1:56" ht="14.25" customHeight="1" x14ac:dyDescent="0.2">
      <c r="A498" s="1" t="s">
        <v>654</v>
      </c>
      <c r="B498" s="1" t="s">
        <v>57</v>
      </c>
      <c r="C498" s="13">
        <v>44746</v>
      </c>
      <c r="D498" s="13">
        <v>44781</v>
      </c>
      <c r="E498" s="13">
        <v>44743</v>
      </c>
      <c r="F498" s="13">
        <v>45107</v>
      </c>
      <c r="G498" s="14" t="str">
        <f t="shared" si="155"/>
        <v>000-497/AIB RDC/2022</v>
      </c>
      <c r="H498" s="1">
        <v>0</v>
      </c>
      <c r="I498" s="1" t="s">
        <v>74</v>
      </c>
      <c r="J498" s="1">
        <v>2022990768</v>
      </c>
      <c r="K498" s="16" t="s">
        <v>76</v>
      </c>
      <c r="L498" s="1"/>
      <c r="M498" s="1" t="s">
        <v>95</v>
      </c>
      <c r="N498" s="1" t="s">
        <v>102</v>
      </c>
      <c r="O498" s="1" t="s">
        <v>113</v>
      </c>
      <c r="P498" s="1" t="s">
        <v>113</v>
      </c>
      <c r="Q498" s="1" t="s">
        <v>796</v>
      </c>
      <c r="R498" s="1" t="s">
        <v>796</v>
      </c>
      <c r="S498" s="17">
        <v>3476872.61</v>
      </c>
      <c r="T498" s="17">
        <v>31241.5</v>
      </c>
      <c r="U498" s="17">
        <v>0</v>
      </c>
      <c r="V498" s="17">
        <v>0</v>
      </c>
      <c r="W498" s="17">
        <v>70</v>
      </c>
      <c r="X498" s="17">
        <v>31171.5</v>
      </c>
      <c r="Y498" s="17">
        <v>0</v>
      </c>
      <c r="Z498" s="18">
        <f t="shared" si="156"/>
        <v>8.9855175913390751E-3</v>
      </c>
      <c r="AA498" s="19">
        <v>0.1</v>
      </c>
      <c r="AB498" s="17">
        <f t="shared" si="164"/>
        <v>3117.15</v>
      </c>
      <c r="AC498" s="17">
        <v>0</v>
      </c>
      <c r="AD498" s="17">
        <v>0</v>
      </c>
      <c r="AE498" s="17">
        <f t="shared" si="157"/>
        <v>3117.15</v>
      </c>
      <c r="AF498" s="17">
        <v>0</v>
      </c>
      <c r="AG498" s="17">
        <f t="shared" si="168"/>
        <v>3117.15</v>
      </c>
      <c r="AH498" s="17">
        <f>1%*AE498</f>
        <v>31.171500000000002</v>
      </c>
      <c r="AI498" s="17"/>
      <c r="AJ498" s="17">
        <f t="shared" si="158"/>
        <v>31.171500000000002</v>
      </c>
      <c r="AK498" s="20"/>
      <c r="AL498" s="17">
        <f t="shared" si="159"/>
        <v>3085.9785000000002</v>
      </c>
      <c r="AM498" s="17" t="s">
        <v>738</v>
      </c>
      <c r="AN498" s="21">
        <v>0.7</v>
      </c>
      <c r="AO498" s="17">
        <f t="shared" si="160"/>
        <v>2160.1849499999998</v>
      </c>
      <c r="AP498" s="17"/>
      <c r="AQ498" s="16"/>
      <c r="AR498" s="17">
        <f t="shared" si="167"/>
        <v>2160.1849499999998</v>
      </c>
      <c r="AS498" s="17"/>
      <c r="AT498" s="17">
        <v>3117.15</v>
      </c>
      <c r="AU498" s="17">
        <f t="shared" si="170"/>
        <v>3117.15</v>
      </c>
      <c r="AV498" s="17">
        <f t="shared" si="161"/>
        <v>0</v>
      </c>
      <c r="AW498" s="17" t="str">
        <f t="shared" si="163"/>
        <v>ACTIVA - LIFE</v>
      </c>
      <c r="AX498" s="22">
        <v>44845</v>
      </c>
      <c r="AY498" s="22"/>
      <c r="AZ498" s="1" t="s">
        <v>100</v>
      </c>
      <c r="BA498" s="22" t="str">
        <f t="shared" si="169"/>
        <v>LIFE</v>
      </c>
      <c r="BB498" s="22"/>
      <c r="BC498" s="22"/>
      <c r="BD498" s="22"/>
    </row>
    <row r="499" spans="1:56" ht="14.25" customHeight="1" x14ac:dyDescent="0.2">
      <c r="A499" s="1" t="s">
        <v>654</v>
      </c>
      <c r="B499" s="1" t="s">
        <v>57</v>
      </c>
      <c r="C499" s="13">
        <v>44777</v>
      </c>
      <c r="D499" s="13">
        <v>44798</v>
      </c>
      <c r="E499" s="13">
        <v>44743</v>
      </c>
      <c r="F499" s="50">
        <v>44926</v>
      </c>
      <c r="G499" s="14" t="str">
        <f t="shared" si="155"/>
        <v>000-498/AIB RDC/2022</v>
      </c>
      <c r="H499" s="1">
        <v>0</v>
      </c>
      <c r="I499" s="1" t="s">
        <v>74</v>
      </c>
      <c r="J499" s="1" t="s">
        <v>797</v>
      </c>
      <c r="K499" s="1" t="s">
        <v>798</v>
      </c>
      <c r="L499" s="1"/>
      <c r="M499" s="1" t="s">
        <v>95</v>
      </c>
      <c r="N499" s="1" t="s">
        <v>102</v>
      </c>
      <c r="O499" s="1" t="s">
        <v>113</v>
      </c>
      <c r="P499" s="1" t="s">
        <v>113</v>
      </c>
      <c r="Q499" s="1" t="s">
        <v>114</v>
      </c>
      <c r="R499" s="1" t="s">
        <v>114</v>
      </c>
      <c r="S499" s="17">
        <v>2874802</v>
      </c>
      <c r="T499" s="17">
        <v>6400</v>
      </c>
      <c r="U499" s="17">
        <v>0</v>
      </c>
      <c r="V499" s="17">
        <v>0</v>
      </c>
      <c r="W499" s="17">
        <v>63.37</v>
      </c>
      <c r="X499" s="17">
        <v>6336.63</v>
      </c>
      <c r="Y499" s="17">
        <v>0</v>
      </c>
      <c r="Z499" s="18">
        <f t="shared" si="156"/>
        <v>2.2262402767216664E-3</v>
      </c>
      <c r="AA499" s="19">
        <v>0.1</v>
      </c>
      <c r="AB499" s="17">
        <f t="shared" si="164"/>
        <v>633.66300000000001</v>
      </c>
      <c r="AC499" s="17">
        <v>0</v>
      </c>
      <c r="AD499" s="17">
        <v>0</v>
      </c>
      <c r="AE499" s="17">
        <f t="shared" si="157"/>
        <v>633.66300000000001</v>
      </c>
      <c r="AF499" s="17">
        <v>0</v>
      </c>
      <c r="AG499" s="17">
        <f t="shared" si="168"/>
        <v>633.66300000000001</v>
      </c>
      <c r="AH499" s="17">
        <f>1%*AE499</f>
        <v>6.3366300000000004</v>
      </c>
      <c r="AI499" s="17"/>
      <c r="AJ499" s="17">
        <f t="shared" si="158"/>
        <v>6.3366300000000004</v>
      </c>
      <c r="AK499" s="20"/>
      <c r="AL499" s="17">
        <f t="shared" si="159"/>
        <v>627.32637</v>
      </c>
      <c r="AM499" s="17" t="s">
        <v>738</v>
      </c>
      <c r="AN499" s="21">
        <v>0.7</v>
      </c>
      <c r="AO499" s="17">
        <f t="shared" si="160"/>
        <v>439.12845899999996</v>
      </c>
      <c r="AP499" s="17"/>
      <c r="AQ499" s="16"/>
      <c r="AR499" s="17">
        <f t="shared" si="167"/>
        <v>439.12845899999996</v>
      </c>
      <c r="AS499" s="17"/>
      <c r="AT499" s="17">
        <v>633.66300000000001</v>
      </c>
      <c r="AU499" s="17">
        <f t="shared" si="170"/>
        <v>633.66300000000001</v>
      </c>
      <c r="AV499" s="17">
        <f t="shared" si="161"/>
        <v>0</v>
      </c>
      <c r="AW499" s="17" t="str">
        <f t="shared" si="163"/>
        <v>RAWSUR - LIFE</v>
      </c>
      <c r="AX499" s="22">
        <v>44875</v>
      </c>
      <c r="AY499" s="22"/>
      <c r="AZ499" s="1" t="s">
        <v>68</v>
      </c>
      <c r="BA499" s="22" t="str">
        <f t="shared" si="169"/>
        <v>LIFE</v>
      </c>
      <c r="BB499" s="22"/>
      <c r="BC499" s="22"/>
      <c r="BD499" s="22"/>
    </row>
    <row r="500" spans="1:56" ht="14.25" customHeight="1" x14ac:dyDescent="0.2">
      <c r="A500" s="1" t="s">
        <v>439</v>
      </c>
      <c r="B500" s="1" t="s">
        <v>57</v>
      </c>
      <c r="C500" s="13">
        <v>44798</v>
      </c>
      <c r="D500" s="13">
        <v>44802</v>
      </c>
      <c r="E500" s="13">
        <v>44798</v>
      </c>
      <c r="F500" s="13">
        <v>45162</v>
      </c>
      <c r="G500" s="14" t="str">
        <f t="shared" si="155"/>
        <v>000-499/AIB RDC/2022</v>
      </c>
      <c r="H500" s="1">
        <v>0</v>
      </c>
      <c r="I500" s="1" t="s">
        <v>74</v>
      </c>
      <c r="J500" s="1" t="s">
        <v>799</v>
      </c>
      <c r="K500" s="1" t="s">
        <v>800</v>
      </c>
      <c r="L500" s="1"/>
      <c r="M500" s="1" t="s">
        <v>95</v>
      </c>
      <c r="N500" s="1" t="s">
        <v>102</v>
      </c>
      <c r="O500" s="1" t="s">
        <v>64</v>
      </c>
      <c r="P500" s="1" t="s">
        <v>65</v>
      </c>
      <c r="Q500" s="1" t="s">
        <v>79</v>
      </c>
      <c r="R500" s="1" t="s">
        <v>79</v>
      </c>
      <c r="S500" s="17">
        <v>15000000</v>
      </c>
      <c r="T500" s="17">
        <v>26078</v>
      </c>
      <c r="U500" s="17">
        <v>0</v>
      </c>
      <c r="V500" s="17">
        <v>0</v>
      </c>
      <c r="W500" s="17">
        <v>100</v>
      </c>
      <c r="X500" s="17">
        <v>22000</v>
      </c>
      <c r="Y500" s="17">
        <v>3536</v>
      </c>
      <c r="Z500" s="18">
        <f t="shared" si="156"/>
        <v>1.7385333333333334E-3</v>
      </c>
      <c r="AA500" s="19">
        <v>0.15</v>
      </c>
      <c r="AB500" s="17">
        <f t="shared" si="164"/>
        <v>3300</v>
      </c>
      <c r="AC500" s="17">
        <v>0</v>
      </c>
      <c r="AD500" s="17">
        <v>0</v>
      </c>
      <c r="AE500" s="17">
        <f t="shared" si="157"/>
        <v>3300</v>
      </c>
      <c r="AF500" s="17">
        <f t="shared" ref="AF500:AF509" si="171">16%*AE500</f>
        <v>528</v>
      </c>
      <c r="AG500" s="17">
        <f t="shared" si="168"/>
        <v>3828</v>
      </c>
      <c r="AH500" s="17">
        <f t="shared" ref="AH500:AH509" si="172">2%*AE500</f>
        <v>66</v>
      </c>
      <c r="AI500" s="17"/>
      <c r="AJ500" s="17">
        <f t="shared" si="158"/>
        <v>66</v>
      </c>
      <c r="AK500" s="20"/>
      <c r="AL500" s="17">
        <f t="shared" si="159"/>
        <v>3234</v>
      </c>
      <c r="AM500" s="17"/>
      <c r="AN500" s="21"/>
      <c r="AO500" s="17">
        <f t="shared" si="160"/>
        <v>0</v>
      </c>
      <c r="AP500" s="17"/>
      <c r="AQ500" s="16"/>
      <c r="AR500" s="17">
        <f t="shared" si="167"/>
        <v>0</v>
      </c>
      <c r="AS500" s="17"/>
      <c r="AT500" s="17">
        <v>3828</v>
      </c>
      <c r="AU500" s="17">
        <f t="shared" si="170"/>
        <v>3828</v>
      </c>
      <c r="AV500" s="17">
        <f t="shared" si="161"/>
        <v>0</v>
      </c>
      <c r="AW500" s="17" t="str">
        <f t="shared" si="163"/>
        <v>MAYFAIR</v>
      </c>
      <c r="AX500" s="22">
        <v>44834</v>
      </c>
      <c r="AY500" s="22"/>
      <c r="AZ500" s="1"/>
      <c r="BA500" s="22" t="str">
        <f t="shared" si="169"/>
        <v>MARINE CARGO / GIT</v>
      </c>
      <c r="BB500" s="22"/>
      <c r="BC500" s="22"/>
      <c r="BD500" s="22"/>
    </row>
    <row r="501" spans="1:56" ht="14.25" customHeight="1" x14ac:dyDescent="0.2">
      <c r="A501" s="1" t="s">
        <v>654</v>
      </c>
      <c r="B501" s="1" t="s">
        <v>57</v>
      </c>
      <c r="C501" s="13">
        <v>44811</v>
      </c>
      <c r="D501" s="13">
        <v>44762</v>
      </c>
      <c r="E501" s="13">
        <v>44762</v>
      </c>
      <c r="F501" s="13">
        <v>45126</v>
      </c>
      <c r="G501" s="14" t="str">
        <f t="shared" si="155"/>
        <v>000-500/AIB RDC/2022</v>
      </c>
      <c r="H501" s="1">
        <v>0</v>
      </c>
      <c r="I501" s="1" t="s">
        <v>74</v>
      </c>
      <c r="J501" s="1">
        <v>59000006</v>
      </c>
      <c r="K501" s="1" t="s">
        <v>801</v>
      </c>
      <c r="L501" s="1"/>
      <c r="M501" s="1" t="s">
        <v>95</v>
      </c>
      <c r="N501" s="1" t="s">
        <v>102</v>
      </c>
      <c r="O501" s="1" t="s">
        <v>233</v>
      </c>
      <c r="P501" s="1" t="s">
        <v>234</v>
      </c>
      <c r="Q501" s="1" t="s">
        <v>107</v>
      </c>
      <c r="R501" s="1" t="s">
        <v>107</v>
      </c>
      <c r="S501" s="17">
        <v>0</v>
      </c>
      <c r="T501" s="17">
        <v>78310.77</v>
      </c>
      <c r="U501" s="17">
        <v>11265.06</v>
      </c>
      <c r="V501" s="17">
        <v>0</v>
      </c>
      <c r="W501" s="17">
        <v>100</v>
      </c>
      <c r="X501" s="17">
        <v>55000</v>
      </c>
      <c r="Y501" s="17">
        <v>10618.41</v>
      </c>
      <c r="Z501" s="18" t="e">
        <f t="shared" si="156"/>
        <v>#DIV/0!</v>
      </c>
      <c r="AA501" s="19">
        <v>0</v>
      </c>
      <c r="AB501" s="17">
        <f t="shared" si="164"/>
        <v>0</v>
      </c>
      <c r="AC501" s="17">
        <f>30%*U501</f>
        <v>3379.5179999999996</v>
      </c>
      <c r="AD501" s="17"/>
      <c r="AE501" s="17">
        <f t="shared" si="157"/>
        <v>3379.5179999999996</v>
      </c>
      <c r="AF501" s="17">
        <f t="shared" si="171"/>
        <v>540.72287999999992</v>
      </c>
      <c r="AG501" s="17">
        <f t="shared" si="168"/>
        <v>3920.2408799999994</v>
      </c>
      <c r="AH501" s="17">
        <f t="shared" si="172"/>
        <v>67.59035999999999</v>
      </c>
      <c r="AI501" s="17"/>
      <c r="AJ501" s="17">
        <f t="shared" si="158"/>
        <v>67.59035999999999</v>
      </c>
      <c r="AK501" s="20"/>
      <c r="AL501" s="17">
        <f t="shared" si="159"/>
        <v>3311.9276399999994</v>
      </c>
      <c r="AM501" s="17"/>
      <c r="AN501" s="21"/>
      <c r="AO501" s="17">
        <f t="shared" si="160"/>
        <v>0</v>
      </c>
      <c r="AP501" s="17"/>
      <c r="AQ501" s="16"/>
      <c r="AR501" s="17">
        <f t="shared" si="167"/>
        <v>0</v>
      </c>
      <c r="AS501" s="17"/>
      <c r="AT501" s="17">
        <v>3920.2408799999994</v>
      </c>
      <c r="AU501" s="17">
        <f t="shared" si="170"/>
        <v>3920.2408799999994</v>
      </c>
      <c r="AV501" s="17">
        <f t="shared" si="161"/>
        <v>0</v>
      </c>
      <c r="AW501" s="17" t="str">
        <f t="shared" si="163"/>
        <v>RAWSUR</v>
      </c>
      <c r="AX501" s="22">
        <v>45012</v>
      </c>
      <c r="AY501" s="1"/>
      <c r="AZ501" s="1"/>
      <c r="BA501" s="22" t="str">
        <f t="shared" si="169"/>
        <v>PVT</v>
      </c>
      <c r="BB501" s="22"/>
      <c r="BC501" s="22"/>
      <c r="BD501" s="22"/>
    </row>
    <row r="502" spans="1:56" ht="14.25" customHeight="1" x14ac:dyDescent="0.2">
      <c r="A502" s="1" t="s">
        <v>654</v>
      </c>
      <c r="B502" s="1" t="s">
        <v>57</v>
      </c>
      <c r="C502" s="13">
        <v>44811</v>
      </c>
      <c r="D502" s="13">
        <v>44762</v>
      </c>
      <c r="E502" s="13">
        <v>44762</v>
      </c>
      <c r="F502" s="13">
        <v>45126</v>
      </c>
      <c r="G502" s="14" t="str">
        <f t="shared" si="155"/>
        <v>000-501/AIB RDC/2022</v>
      </c>
      <c r="H502" s="1">
        <v>0</v>
      </c>
      <c r="I502" s="1" t="s">
        <v>74</v>
      </c>
      <c r="J502" s="1" t="s">
        <v>802</v>
      </c>
      <c r="K502" s="1" t="s">
        <v>803</v>
      </c>
      <c r="L502" s="1"/>
      <c r="M502" s="1" t="s">
        <v>95</v>
      </c>
      <c r="N502" s="1" t="s">
        <v>102</v>
      </c>
      <c r="O502" s="1" t="s">
        <v>70</v>
      </c>
      <c r="P502" s="1" t="s">
        <v>71</v>
      </c>
      <c r="Q502" s="1" t="s">
        <v>107</v>
      </c>
      <c r="R502" s="1" t="s">
        <v>107</v>
      </c>
      <c r="S502" s="17">
        <v>0</v>
      </c>
      <c r="T502" s="17">
        <v>141872.59</v>
      </c>
      <c r="U502" s="17">
        <v>25721.48</v>
      </c>
      <c r="V502" s="17">
        <v>0</v>
      </c>
      <c r="W502" s="17">
        <v>0</v>
      </c>
      <c r="X502" s="17">
        <v>113268.78</v>
      </c>
      <c r="Y502" s="17">
        <v>0</v>
      </c>
      <c r="Z502" s="18" t="e">
        <f t="shared" si="156"/>
        <v>#DIV/0!</v>
      </c>
      <c r="AA502" s="19">
        <v>0</v>
      </c>
      <c r="AB502" s="17">
        <f t="shared" si="164"/>
        <v>0</v>
      </c>
      <c r="AC502" s="17">
        <f>30%*U502</f>
        <v>7716.4439999999995</v>
      </c>
      <c r="AD502" s="17"/>
      <c r="AE502" s="17">
        <f t="shared" si="157"/>
        <v>7716.4439999999995</v>
      </c>
      <c r="AF502" s="17">
        <f t="shared" si="171"/>
        <v>1234.63104</v>
      </c>
      <c r="AG502" s="17">
        <f t="shared" si="168"/>
        <v>8951.0750399999997</v>
      </c>
      <c r="AH502" s="17">
        <f t="shared" si="172"/>
        <v>154.32888</v>
      </c>
      <c r="AI502" s="17"/>
      <c r="AJ502" s="17">
        <f t="shared" si="158"/>
        <v>154.32888</v>
      </c>
      <c r="AK502" s="20"/>
      <c r="AL502" s="17">
        <f t="shared" si="159"/>
        <v>7562.1151199999995</v>
      </c>
      <c r="AM502" s="17"/>
      <c r="AN502" s="21"/>
      <c r="AO502" s="17">
        <f t="shared" si="160"/>
        <v>0</v>
      </c>
      <c r="AP502" s="17"/>
      <c r="AQ502" s="16"/>
      <c r="AR502" s="17">
        <f t="shared" si="167"/>
        <v>0</v>
      </c>
      <c r="AS502" s="17"/>
      <c r="AT502" s="17">
        <v>8951.0750399999997</v>
      </c>
      <c r="AU502" s="17">
        <f t="shared" si="170"/>
        <v>8951.0750399999997</v>
      </c>
      <c r="AV502" s="17">
        <f t="shared" si="161"/>
        <v>0</v>
      </c>
      <c r="AW502" s="17" t="str">
        <f t="shared" si="163"/>
        <v>RAWSUR</v>
      </c>
      <c r="AX502" s="22">
        <v>44994</v>
      </c>
      <c r="AY502" s="22"/>
      <c r="AZ502" s="1"/>
      <c r="BA502" s="22" t="str">
        <f t="shared" si="169"/>
        <v>FIRE</v>
      </c>
      <c r="BB502" s="22"/>
      <c r="BC502" s="22"/>
      <c r="BD502" s="22"/>
    </row>
    <row r="503" spans="1:56" ht="14.25" customHeight="1" x14ac:dyDescent="0.2">
      <c r="A503" s="1" t="s">
        <v>578</v>
      </c>
      <c r="B503" s="1" t="s">
        <v>57</v>
      </c>
      <c r="C503" s="13">
        <v>44811</v>
      </c>
      <c r="D503" s="13">
        <v>44818</v>
      </c>
      <c r="E503" s="13">
        <v>44713</v>
      </c>
      <c r="F503" s="13">
        <v>45077</v>
      </c>
      <c r="G503" s="14" t="str">
        <f t="shared" si="155"/>
        <v>000-502/AIB RDC/2022</v>
      </c>
      <c r="H503" s="1">
        <v>0</v>
      </c>
      <c r="I503" s="1" t="s">
        <v>74</v>
      </c>
      <c r="J503" s="1" t="s">
        <v>804</v>
      </c>
      <c r="K503" s="1" t="s">
        <v>805</v>
      </c>
      <c r="L503" s="1"/>
      <c r="M503" s="1" t="s">
        <v>95</v>
      </c>
      <c r="N503" s="1" t="s">
        <v>102</v>
      </c>
      <c r="O503" s="1" t="s">
        <v>281</v>
      </c>
      <c r="P503" s="1" t="s">
        <v>166</v>
      </c>
      <c r="Q503" s="1" t="s">
        <v>107</v>
      </c>
      <c r="R503" s="1" t="s">
        <v>107</v>
      </c>
      <c r="S503" s="17">
        <v>0</v>
      </c>
      <c r="T503" s="17">
        <v>151762.16</v>
      </c>
      <c r="U503" s="17">
        <v>0</v>
      </c>
      <c r="V503" s="17">
        <v>0</v>
      </c>
      <c r="W503" s="17"/>
      <c r="X503" s="17">
        <v>128602</v>
      </c>
      <c r="Y503" s="17"/>
      <c r="Z503" s="18" t="e">
        <f t="shared" si="156"/>
        <v>#DIV/0!</v>
      </c>
      <c r="AA503" s="19">
        <v>0.15</v>
      </c>
      <c r="AB503" s="17">
        <f t="shared" si="164"/>
        <v>19290.3</v>
      </c>
      <c r="AC503" s="17">
        <v>0</v>
      </c>
      <c r="AD503" s="17">
        <v>0</v>
      </c>
      <c r="AE503" s="17">
        <f t="shared" si="157"/>
        <v>19290.3</v>
      </c>
      <c r="AF503" s="17">
        <f t="shared" si="171"/>
        <v>3086.4479999999999</v>
      </c>
      <c r="AG503" s="17">
        <f t="shared" si="168"/>
        <v>22376.748</v>
      </c>
      <c r="AH503" s="17">
        <f t="shared" si="172"/>
        <v>385.80599999999998</v>
      </c>
      <c r="AI503" s="17"/>
      <c r="AJ503" s="17">
        <f t="shared" si="158"/>
        <v>385.80599999999998</v>
      </c>
      <c r="AK503" s="20"/>
      <c r="AL503" s="17">
        <f t="shared" si="159"/>
        <v>18904.493999999999</v>
      </c>
      <c r="AM503" s="17"/>
      <c r="AN503" s="21"/>
      <c r="AO503" s="17">
        <f t="shared" si="160"/>
        <v>0</v>
      </c>
      <c r="AP503" s="17"/>
      <c r="AQ503" s="16"/>
      <c r="AR503" s="17">
        <f t="shared" si="167"/>
        <v>0</v>
      </c>
      <c r="AS503" s="17"/>
      <c r="AT503" s="17">
        <v>22376.748</v>
      </c>
      <c r="AU503" s="17">
        <f t="shared" si="170"/>
        <v>22376.748</v>
      </c>
      <c r="AV503" s="17">
        <f t="shared" si="161"/>
        <v>0</v>
      </c>
      <c r="AW503" s="17" t="str">
        <f t="shared" si="163"/>
        <v>RAWSUR</v>
      </c>
      <c r="AX503" s="22">
        <v>44994</v>
      </c>
      <c r="AY503" s="22"/>
      <c r="AZ503" s="1"/>
      <c r="BA503" s="22" t="str">
        <f t="shared" si="169"/>
        <v>TRC</v>
      </c>
      <c r="BB503" s="22"/>
      <c r="BC503" s="22"/>
      <c r="BD503" s="1" t="s">
        <v>806</v>
      </c>
    </row>
    <row r="504" spans="1:56" ht="14.25" customHeight="1" x14ac:dyDescent="0.2">
      <c r="A504" s="1" t="s">
        <v>847</v>
      </c>
      <c r="B504" s="1" t="s">
        <v>273</v>
      </c>
      <c r="C504" s="48"/>
      <c r="D504" s="48"/>
      <c r="E504" s="13">
        <v>44895</v>
      </c>
      <c r="F504" s="13">
        <v>45261</v>
      </c>
      <c r="G504" s="14" t="str">
        <f t="shared" si="155"/>
        <v>000-503/AIB RDC/2022</v>
      </c>
      <c r="H504" s="1">
        <v>1</v>
      </c>
      <c r="I504" s="1" t="s">
        <v>115</v>
      </c>
      <c r="J504" s="15">
        <v>45000016</v>
      </c>
      <c r="K504" s="1" t="s">
        <v>355</v>
      </c>
      <c r="L504" s="1" t="s">
        <v>214</v>
      </c>
      <c r="M504" s="1" t="s">
        <v>84</v>
      </c>
      <c r="N504" s="1" t="s">
        <v>85</v>
      </c>
      <c r="O504" s="1" t="s">
        <v>466</v>
      </c>
      <c r="P504" s="1" t="s">
        <v>71</v>
      </c>
      <c r="Q504" s="1" t="s">
        <v>107</v>
      </c>
      <c r="R504" s="1" t="s">
        <v>780</v>
      </c>
      <c r="S504" s="17">
        <v>0</v>
      </c>
      <c r="T504" s="34">
        <v>-224760.42</v>
      </c>
      <c r="U504" s="34">
        <v>-24844.560000000001</v>
      </c>
      <c r="V504" s="34">
        <v>11594.13</v>
      </c>
      <c r="W504" s="34">
        <v>0</v>
      </c>
      <c r="X504" s="34">
        <v>-165630.38</v>
      </c>
      <c r="Y504" s="34">
        <v>-30475.99</v>
      </c>
      <c r="Z504" s="18" t="e">
        <f t="shared" si="156"/>
        <v>#DIV/0!</v>
      </c>
      <c r="AA504" s="19">
        <v>0</v>
      </c>
      <c r="AB504" s="17">
        <f t="shared" si="164"/>
        <v>0</v>
      </c>
      <c r="AC504" s="17">
        <f>30%*(U504+V504)</f>
        <v>-3975.1290000000004</v>
      </c>
      <c r="AD504" s="17">
        <v>0</v>
      </c>
      <c r="AE504" s="17">
        <f t="shared" si="157"/>
        <v>-3975.1290000000004</v>
      </c>
      <c r="AF504" s="17">
        <f t="shared" si="171"/>
        <v>-636.02064000000007</v>
      </c>
      <c r="AG504" s="17">
        <f t="shared" si="168"/>
        <v>-4611.1496400000005</v>
      </c>
      <c r="AH504" s="17">
        <f t="shared" si="172"/>
        <v>-79.502580000000009</v>
      </c>
      <c r="AI504" s="17">
        <v>0</v>
      </c>
      <c r="AJ504" s="17">
        <f t="shared" si="158"/>
        <v>-79.502580000000009</v>
      </c>
      <c r="AK504" s="20"/>
      <c r="AL504" s="17">
        <f t="shared" si="159"/>
        <v>-3895.6264200000005</v>
      </c>
      <c r="AM504" s="30"/>
      <c r="AN504" s="80"/>
      <c r="AO504" s="17">
        <f t="shared" si="160"/>
        <v>0</v>
      </c>
      <c r="AP504" s="30"/>
      <c r="AQ504" s="33"/>
      <c r="AR504" s="17">
        <f t="shared" si="167"/>
        <v>0</v>
      </c>
      <c r="AS504" s="30"/>
      <c r="AT504" s="30"/>
      <c r="AU504" s="17">
        <f t="shared" si="170"/>
        <v>-4611.1496400000005</v>
      </c>
      <c r="AV504" s="84">
        <f t="shared" si="161"/>
        <v>-4611.1496400000005</v>
      </c>
      <c r="AW504" s="17" t="str">
        <f t="shared" si="163"/>
        <v>RAWSUR</v>
      </c>
      <c r="AX504" s="81"/>
      <c r="AY504" s="81"/>
      <c r="AZ504" s="2"/>
      <c r="BA504" s="22" t="str">
        <f t="shared" si="169"/>
        <v>PROPERTY DAMAGE &amp; BI</v>
      </c>
      <c r="BB504" s="82"/>
      <c r="BC504" s="81"/>
      <c r="BD504" s="2"/>
    </row>
    <row r="505" spans="1:56" ht="14.25" customHeight="1" x14ac:dyDescent="0.2">
      <c r="A505" s="1" t="s">
        <v>439</v>
      </c>
      <c r="B505" s="1" t="s">
        <v>57</v>
      </c>
      <c r="C505" s="13">
        <v>44811</v>
      </c>
      <c r="D505" s="13">
        <v>44791</v>
      </c>
      <c r="E505" s="13">
        <v>44788</v>
      </c>
      <c r="F505" s="13">
        <v>45152</v>
      </c>
      <c r="G505" s="14" t="str">
        <f t="shared" si="155"/>
        <v>000-504/AIB RDC/2022</v>
      </c>
      <c r="H505" s="1">
        <v>0</v>
      </c>
      <c r="I505" s="1" t="s">
        <v>74</v>
      </c>
      <c r="J505" s="1">
        <v>60100013</v>
      </c>
      <c r="K505" s="1" t="s">
        <v>808</v>
      </c>
      <c r="L505" s="1"/>
      <c r="M505" s="1" t="s">
        <v>95</v>
      </c>
      <c r="N505" s="1" t="s">
        <v>102</v>
      </c>
      <c r="O505" s="1" t="s">
        <v>662</v>
      </c>
      <c r="P505" s="1" t="s">
        <v>90</v>
      </c>
      <c r="Q505" s="1" t="s">
        <v>107</v>
      </c>
      <c r="R505" s="1" t="s">
        <v>107</v>
      </c>
      <c r="S505" s="17">
        <v>0</v>
      </c>
      <c r="T505" s="17"/>
      <c r="U505" s="17">
        <v>42705.88</v>
      </c>
      <c r="V505" s="17">
        <v>0</v>
      </c>
      <c r="W505" s="17"/>
      <c r="X505" s="17">
        <v>242000</v>
      </c>
      <c r="Y505" s="17"/>
      <c r="Z505" s="18" t="e">
        <f t="shared" si="156"/>
        <v>#DIV/0!</v>
      </c>
      <c r="AA505" s="19">
        <v>0</v>
      </c>
      <c r="AB505" s="17">
        <f t="shared" si="164"/>
        <v>0</v>
      </c>
      <c r="AC505" s="17">
        <f>30%*U505</f>
        <v>12811.763999999999</v>
      </c>
      <c r="AD505" s="17">
        <v>0</v>
      </c>
      <c r="AE505" s="17">
        <f t="shared" si="157"/>
        <v>12811.763999999999</v>
      </c>
      <c r="AF505" s="17">
        <f t="shared" si="171"/>
        <v>2049.8822399999999</v>
      </c>
      <c r="AG505" s="17">
        <f t="shared" si="168"/>
        <v>14861.646239999998</v>
      </c>
      <c r="AH505" s="17">
        <f t="shared" si="172"/>
        <v>256.23527999999999</v>
      </c>
      <c r="AI505" s="17"/>
      <c r="AJ505" s="17">
        <f t="shared" si="158"/>
        <v>256.23527999999999</v>
      </c>
      <c r="AK505" s="20"/>
      <c r="AL505" s="17">
        <f t="shared" si="159"/>
        <v>12555.528719999998</v>
      </c>
      <c r="AM505" s="17"/>
      <c r="AN505" s="21"/>
      <c r="AO505" s="17">
        <f t="shared" si="160"/>
        <v>0</v>
      </c>
      <c r="AP505" s="17"/>
      <c r="AQ505" s="16"/>
      <c r="AR505" s="17">
        <f t="shared" si="167"/>
        <v>0</v>
      </c>
      <c r="AS505" s="17"/>
      <c r="AT505" s="17">
        <f>4955.87+4955.87+4949.91</f>
        <v>14861.65</v>
      </c>
      <c r="AU505" s="17">
        <v>14861.65</v>
      </c>
      <c r="AV505" s="17">
        <f t="shared" si="161"/>
        <v>0</v>
      </c>
      <c r="AW505" s="17" t="str">
        <f t="shared" si="163"/>
        <v>RAWSUR</v>
      </c>
      <c r="AX505" s="22">
        <v>45043</v>
      </c>
      <c r="AY505" s="22"/>
      <c r="AZ505" s="1"/>
      <c r="BA505" s="22" t="str">
        <f t="shared" si="169"/>
        <v>REFUELING LIABILITY</v>
      </c>
      <c r="BB505" s="22"/>
      <c r="BC505" s="22"/>
      <c r="BD505" s="1" t="s">
        <v>806</v>
      </c>
    </row>
    <row r="506" spans="1:56" ht="14.25" customHeight="1" x14ac:dyDescent="0.2">
      <c r="A506" s="1" t="s">
        <v>847</v>
      </c>
      <c r="B506" s="1" t="s">
        <v>273</v>
      </c>
      <c r="C506" s="48"/>
      <c r="D506" s="48"/>
      <c r="E506" s="13">
        <v>44895</v>
      </c>
      <c r="F506" s="13">
        <v>45261</v>
      </c>
      <c r="G506" s="14" t="str">
        <f t="shared" si="155"/>
        <v>000-505/AIB RDC/2022</v>
      </c>
      <c r="H506" s="1">
        <v>1</v>
      </c>
      <c r="I506" s="1" t="s">
        <v>115</v>
      </c>
      <c r="J506" s="15">
        <v>45000016</v>
      </c>
      <c r="K506" s="1" t="s">
        <v>355</v>
      </c>
      <c r="L506" s="1" t="s">
        <v>214</v>
      </c>
      <c r="M506" s="1" t="s">
        <v>84</v>
      </c>
      <c r="N506" s="1" t="s">
        <v>85</v>
      </c>
      <c r="O506" s="1" t="s">
        <v>466</v>
      </c>
      <c r="P506" s="1" t="s">
        <v>71</v>
      </c>
      <c r="Q506" s="1" t="s">
        <v>107</v>
      </c>
      <c r="R506" s="1" t="s">
        <v>780</v>
      </c>
      <c r="S506" s="17">
        <v>0</v>
      </c>
      <c r="T506" s="34">
        <v>-349627.32</v>
      </c>
      <c r="U506" s="34">
        <v>-38647.089999999997</v>
      </c>
      <c r="V506" s="34">
        <v>18035.310000000001</v>
      </c>
      <c r="W506" s="34">
        <v>0</v>
      </c>
      <c r="X506" s="34">
        <v>-257647.25</v>
      </c>
      <c r="Y506" s="34">
        <v>-47407.09</v>
      </c>
      <c r="Z506" s="18" t="e">
        <f t="shared" si="156"/>
        <v>#DIV/0!</v>
      </c>
      <c r="AA506" s="19">
        <v>0</v>
      </c>
      <c r="AB506" s="17">
        <f t="shared" si="164"/>
        <v>0</v>
      </c>
      <c r="AC506" s="17">
        <f>30%*(U506+V506)</f>
        <v>-6183.5339999999987</v>
      </c>
      <c r="AD506" s="17">
        <v>0</v>
      </c>
      <c r="AE506" s="17">
        <f t="shared" si="157"/>
        <v>-6183.5339999999987</v>
      </c>
      <c r="AF506" s="17">
        <f t="shared" si="171"/>
        <v>-989.36543999999981</v>
      </c>
      <c r="AG506" s="17">
        <f t="shared" si="168"/>
        <v>-7172.8994399999983</v>
      </c>
      <c r="AH506" s="17">
        <f t="shared" si="172"/>
        <v>-123.67067999999998</v>
      </c>
      <c r="AI506" s="17">
        <v>0</v>
      </c>
      <c r="AJ506" s="17">
        <f t="shared" si="158"/>
        <v>-123.67067999999998</v>
      </c>
      <c r="AK506" s="20"/>
      <c r="AL506" s="17">
        <f t="shared" si="159"/>
        <v>-6059.8633199999986</v>
      </c>
      <c r="AM506" s="30"/>
      <c r="AN506" s="80"/>
      <c r="AO506" s="17">
        <f t="shared" si="160"/>
        <v>0</v>
      </c>
      <c r="AP506" s="30"/>
      <c r="AQ506" s="33"/>
      <c r="AR506" s="17">
        <f t="shared" si="167"/>
        <v>0</v>
      </c>
      <c r="AS506" s="30"/>
      <c r="AT506" s="30"/>
      <c r="AU506" s="17">
        <f t="shared" ref="AU506:AU526" si="173">AG506</f>
        <v>-7172.8994399999983</v>
      </c>
      <c r="AV506" s="84">
        <f t="shared" si="161"/>
        <v>-7172.8994399999983</v>
      </c>
      <c r="AW506" s="17" t="str">
        <f t="shared" si="163"/>
        <v>RAWSUR</v>
      </c>
      <c r="AX506" s="81"/>
      <c r="AY506" s="81"/>
      <c r="AZ506" s="2"/>
      <c r="BA506" s="22" t="str">
        <f t="shared" si="169"/>
        <v>PROPERTY DAMAGE &amp; BI</v>
      </c>
      <c r="BB506" s="82"/>
      <c r="BC506" s="81"/>
      <c r="BD506" s="2"/>
    </row>
    <row r="507" spans="1:56" ht="14.25" customHeight="1" x14ac:dyDescent="0.2">
      <c r="A507" s="1" t="s">
        <v>654</v>
      </c>
      <c r="B507" s="1" t="s">
        <v>57</v>
      </c>
      <c r="C507" s="13">
        <v>44811</v>
      </c>
      <c r="D507" s="13">
        <v>44792</v>
      </c>
      <c r="E507" s="13">
        <v>44743</v>
      </c>
      <c r="F507" s="13">
        <v>45107</v>
      </c>
      <c r="G507" s="14" t="str">
        <f t="shared" si="155"/>
        <v>000-506/AIB RDC/2022</v>
      </c>
      <c r="H507" s="1">
        <v>0</v>
      </c>
      <c r="I507" s="1" t="s">
        <v>74</v>
      </c>
      <c r="J507" s="24" t="s">
        <v>809</v>
      </c>
      <c r="K507" s="1" t="s">
        <v>810</v>
      </c>
      <c r="L507" s="1" t="s">
        <v>214</v>
      </c>
      <c r="M507" s="16" t="s">
        <v>84</v>
      </c>
      <c r="N507" s="1" t="s">
        <v>85</v>
      </c>
      <c r="O507" s="1" t="s">
        <v>129</v>
      </c>
      <c r="P507" s="1" t="s">
        <v>90</v>
      </c>
      <c r="Q507" s="1" t="s">
        <v>130</v>
      </c>
      <c r="R507" s="1" t="s">
        <v>130</v>
      </c>
      <c r="S507" s="17">
        <v>0</v>
      </c>
      <c r="T507" s="17">
        <v>47500</v>
      </c>
      <c r="U507" s="17">
        <v>6011.09</v>
      </c>
      <c r="V507" s="17">
        <v>0</v>
      </c>
      <c r="W507" s="17">
        <v>180.32</v>
      </c>
      <c r="X507" s="17">
        <v>34062.83</v>
      </c>
      <c r="Y507" s="17">
        <v>6440.68</v>
      </c>
      <c r="Z507" s="18" t="e">
        <f t="shared" si="156"/>
        <v>#DIV/0!</v>
      </c>
      <c r="AA507" s="19">
        <v>5.2900000000000003E-2</v>
      </c>
      <c r="AB507" s="17">
        <v>1803.33</v>
      </c>
      <c r="AC507" s="17">
        <v>0</v>
      </c>
      <c r="AD507" s="17"/>
      <c r="AE507" s="17">
        <f t="shared" si="157"/>
        <v>1803.33</v>
      </c>
      <c r="AF507" s="17">
        <f t="shared" si="171"/>
        <v>288.53280000000001</v>
      </c>
      <c r="AG507" s="17">
        <f t="shared" si="168"/>
        <v>2091.8627999999999</v>
      </c>
      <c r="AH507" s="17">
        <f t="shared" si="172"/>
        <v>36.066600000000001</v>
      </c>
      <c r="AI507" s="17"/>
      <c r="AJ507" s="17">
        <f t="shared" si="158"/>
        <v>36.066600000000001</v>
      </c>
      <c r="AK507" s="20"/>
      <c r="AL507" s="17">
        <f t="shared" si="159"/>
        <v>1767.2633999999998</v>
      </c>
      <c r="AM507" s="17"/>
      <c r="AN507" s="21"/>
      <c r="AO507" s="17">
        <f t="shared" si="160"/>
        <v>0</v>
      </c>
      <c r="AP507" s="17"/>
      <c r="AQ507" s="16"/>
      <c r="AR507" s="17">
        <f t="shared" si="167"/>
        <v>0</v>
      </c>
      <c r="AS507" s="17"/>
      <c r="AT507" s="17">
        <v>2091.8627999999999</v>
      </c>
      <c r="AU507" s="17">
        <f t="shared" si="173"/>
        <v>2091.8627999999999</v>
      </c>
      <c r="AV507" s="17">
        <f t="shared" si="161"/>
        <v>0</v>
      </c>
      <c r="AW507" s="17" t="str">
        <f t="shared" si="163"/>
        <v>SFA</v>
      </c>
      <c r="AX507" s="22">
        <v>44823</v>
      </c>
      <c r="AY507" s="22"/>
      <c r="AZ507" s="1"/>
      <c r="BA507" s="22" t="str">
        <f t="shared" si="169"/>
        <v>D&amp;O</v>
      </c>
      <c r="BB507" s="22"/>
      <c r="BC507" s="22"/>
      <c r="BD507" s="22"/>
    </row>
    <row r="508" spans="1:56" ht="14.25" customHeight="1" x14ac:dyDescent="0.2">
      <c r="A508" s="1" t="s">
        <v>439</v>
      </c>
      <c r="B508" s="1" t="s">
        <v>57</v>
      </c>
      <c r="C508" s="13">
        <v>44843</v>
      </c>
      <c r="D508" s="13">
        <v>44792</v>
      </c>
      <c r="E508" s="13">
        <v>44792</v>
      </c>
      <c r="F508" s="13">
        <v>45038</v>
      </c>
      <c r="G508" s="14" t="str">
        <f t="shared" si="155"/>
        <v>000-507/AIB RDC/2022</v>
      </c>
      <c r="H508" s="1">
        <v>4</v>
      </c>
      <c r="I508" s="1" t="s">
        <v>91</v>
      </c>
      <c r="J508" s="44" t="s">
        <v>519</v>
      </c>
      <c r="K508" s="1" t="s">
        <v>345</v>
      </c>
      <c r="L508" s="1" t="s">
        <v>137</v>
      </c>
      <c r="M508" s="16" t="s">
        <v>84</v>
      </c>
      <c r="N508" s="1" t="s">
        <v>586</v>
      </c>
      <c r="O508" s="1" t="s">
        <v>73</v>
      </c>
      <c r="P508" s="1" t="s">
        <v>73</v>
      </c>
      <c r="Q508" s="1" t="s">
        <v>107</v>
      </c>
      <c r="R508" s="1" t="s">
        <v>107</v>
      </c>
      <c r="S508" s="17">
        <v>0</v>
      </c>
      <c r="T508" s="17">
        <v>512.48</v>
      </c>
      <c r="U508" s="17">
        <v>0</v>
      </c>
      <c r="V508" s="17">
        <v>0</v>
      </c>
      <c r="W508" s="17">
        <v>10</v>
      </c>
      <c r="X508" s="17">
        <v>424.3</v>
      </c>
      <c r="Y508" s="17">
        <v>69.489999999999995</v>
      </c>
      <c r="Z508" s="18" t="e">
        <f t="shared" si="156"/>
        <v>#DIV/0!</v>
      </c>
      <c r="AA508" s="19">
        <v>0.1</v>
      </c>
      <c r="AB508" s="17">
        <f t="shared" ref="AB508:AB525" si="174">(AA508*X508)</f>
        <v>42.430000000000007</v>
      </c>
      <c r="AC508" s="17">
        <v>0</v>
      </c>
      <c r="AD508" s="17">
        <v>0</v>
      </c>
      <c r="AE508" s="17">
        <f t="shared" si="157"/>
        <v>42.430000000000007</v>
      </c>
      <c r="AF508" s="17">
        <f t="shared" si="171"/>
        <v>6.7888000000000011</v>
      </c>
      <c r="AG508" s="17">
        <f t="shared" si="168"/>
        <v>49.218800000000009</v>
      </c>
      <c r="AH508" s="17">
        <f t="shared" si="172"/>
        <v>0.84860000000000013</v>
      </c>
      <c r="AI508" s="17">
        <v>0</v>
      </c>
      <c r="AJ508" s="17">
        <f t="shared" si="158"/>
        <v>0.84860000000000013</v>
      </c>
      <c r="AK508" s="20"/>
      <c r="AL508" s="17">
        <f t="shared" si="159"/>
        <v>41.581400000000009</v>
      </c>
      <c r="AM508" s="17"/>
      <c r="AN508" s="21"/>
      <c r="AO508" s="17">
        <f t="shared" si="160"/>
        <v>0</v>
      </c>
      <c r="AP508" s="17"/>
      <c r="AQ508" s="16"/>
      <c r="AR508" s="17">
        <f t="shared" si="167"/>
        <v>0</v>
      </c>
      <c r="AS508" s="17"/>
      <c r="AT508" s="17">
        <v>49.218800000000009</v>
      </c>
      <c r="AU508" s="17">
        <f t="shared" si="173"/>
        <v>49.218800000000009</v>
      </c>
      <c r="AV508" s="17">
        <f t="shared" si="161"/>
        <v>0</v>
      </c>
      <c r="AW508" s="17" t="str">
        <f t="shared" si="163"/>
        <v>RAWSUR</v>
      </c>
      <c r="AX508" s="22">
        <v>44832</v>
      </c>
      <c r="AY508" s="22"/>
      <c r="AZ508" s="1" t="s">
        <v>68</v>
      </c>
      <c r="BA508" s="22" t="str">
        <f t="shared" si="169"/>
        <v>MOTOR TPL</v>
      </c>
      <c r="BB508" s="22"/>
      <c r="BC508" s="22"/>
      <c r="BD508" s="22"/>
    </row>
    <row r="509" spans="1:56" ht="14.25" customHeight="1" x14ac:dyDescent="0.2">
      <c r="A509" s="1" t="s">
        <v>439</v>
      </c>
      <c r="B509" s="1" t="s">
        <v>57</v>
      </c>
      <c r="C509" s="13">
        <v>44810</v>
      </c>
      <c r="D509" s="13">
        <v>44819</v>
      </c>
      <c r="E509" s="13">
        <v>44799</v>
      </c>
      <c r="F509" s="13">
        <v>44848</v>
      </c>
      <c r="G509" s="14" t="str">
        <f t="shared" si="155"/>
        <v>000-508/AIB RDC/2022</v>
      </c>
      <c r="H509" s="1">
        <v>2</v>
      </c>
      <c r="I509" s="1" t="s">
        <v>91</v>
      </c>
      <c r="J509" s="1" t="s">
        <v>811</v>
      </c>
      <c r="K509" s="1" t="s">
        <v>637</v>
      </c>
      <c r="L509" s="1" t="s">
        <v>420</v>
      </c>
      <c r="M509" s="1" t="s">
        <v>706</v>
      </c>
      <c r="N509" s="1" t="s">
        <v>209</v>
      </c>
      <c r="O509" s="1" t="s">
        <v>233</v>
      </c>
      <c r="P509" s="1" t="s">
        <v>234</v>
      </c>
      <c r="Q509" s="1" t="s">
        <v>79</v>
      </c>
      <c r="R509" s="1" t="s">
        <v>79</v>
      </c>
      <c r="S509" s="17">
        <v>570000</v>
      </c>
      <c r="T509" s="17">
        <v>338.4</v>
      </c>
      <c r="U509" s="17">
        <v>0</v>
      </c>
      <c r="V509" s="17">
        <v>0</v>
      </c>
      <c r="W509" s="17">
        <v>100</v>
      </c>
      <c r="X509" s="17">
        <v>186.78</v>
      </c>
      <c r="Y509" s="17">
        <v>45.88</v>
      </c>
      <c r="Z509" s="18">
        <f t="shared" si="156"/>
        <v>5.936842105263157E-4</v>
      </c>
      <c r="AA509" s="19">
        <v>0.03</v>
      </c>
      <c r="AB509" s="17">
        <f t="shared" si="174"/>
        <v>5.6033999999999997</v>
      </c>
      <c r="AC509" s="17">
        <v>0</v>
      </c>
      <c r="AD509" s="17">
        <v>0</v>
      </c>
      <c r="AE509" s="17">
        <f t="shared" si="157"/>
        <v>5.6033999999999997</v>
      </c>
      <c r="AF509" s="17">
        <f t="shared" si="171"/>
        <v>0.89654400000000001</v>
      </c>
      <c r="AG509" s="17">
        <f t="shared" si="168"/>
        <v>6.4999439999999993</v>
      </c>
      <c r="AH509" s="17">
        <f t="shared" si="172"/>
        <v>0.112068</v>
      </c>
      <c r="AI509" s="17">
        <v>0</v>
      </c>
      <c r="AJ509" s="17">
        <f t="shared" si="158"/>
        <v>0.112068</v>
      </c>
      <c r="AK509" s="20"/>
      <c r="AL509" s="17">
        <f t="shared" si="159"/>
        <v>5.4913319999999999</v>
      </c>
      <c r="AM509" s="17"/>
      <c r="AN509" s="21"/>
      <c r="AO509" s="17">
        <f t="shared" si="160"/>
        <v>0</v>
      </c>
      <c r="AP509" s="17"/>
      <c r="AQ509" s="16"/>
      <c r="AR509" s="17">
        <f t="shared" si="167"/>
        <v>0</v>
      </c>
      <c r="AS509" s="17"/>
      <c r="AT509" s="17">
        <v>6.4999439999999993</v>
      </c>
      <c r="AU509" s="17">
        <f t="shared" si="173"/>
        <v>6.4999439999999993</v>
      </c>
      <c r="AV509" s="17">
        <f t="shared" si="161"/>
        <v>0</v>
      </c>
      <c r="AW509" s="17" t="str">
        <f t="shared" si="163"/>
        <v>MAYFAIR</v>
      </c>
      <c r="AX509" s="22">
        <v>44875</v>
      </c>
      <c r="AY509" s="22"/>
      <c r="AZ509" s="1" t="s">
        <v>100</v>
      </c>
      <c r="BA509" s="22" t="str">
        <f t="shared" si="169"/>
        <v>PVT</v>
      </c>
      <c r="BB509" s="22"/>
      <c r="BC509" s="22"/>
      <c r="BD509" s="22"/>
    </row>
    <row r="510" spans="1:56" ht="14.25" customHeight="1" x14ac:dyDescent="0.2">
      <c r="A510" s="1" t="s">
        <v>369</v>
      </c>
      <c r="B510" s="1" t="s">
        <v>273</v>
      </c>
      <c r="C510" s="13"/>
      <c r="D510" s="13"/>
      <c r="E510" s="13">
        <v>44652</v>
      </c>
      <c r="F510" s="13">
        <v>46449</v>
      </c>
      <c r="G510" s="14" t="str">
        <f t="shared" si="155"/>
        <v>000-509/AIB RDC/2022</v>
      </c>
      <c r="H510" s="1">
        <v>0</v>
      </c>
      <c r="I510" s="1" t="s">
        <v>74</v>
      </c>
      <c r="J510" s="1"/>
      <c r="K510" s="1" t="s">
        <v>812</v>
      </c>
      <c r="L510" s="1"/>
      <c r="M510" s="1" t="s">
        <v>95</v>
      </c>
      <c r="N510" s="1" t="s">
        <v>102</v>
      </c>
      <c r="O510" s="1" t="s">
        <v>113</v>
      </c>
      <c r="P510" s="1" t="s">
        <v>113</v>
      </c>
      <c r="Q510" s="1" t="s">
        <v>796</v>
      </c>
      <c r="R510" s="1" t="s">
        <v>796</v>
      </c>
      <c r="S510" s="17">
        <v>0</v>
      </c>
      <c r="T510" s="17">
        <f>6891390.5/2000</f>
        <v>3445.6952500000002</v>
      </c>
      <c r="U510" s="17">
        <v>0</v>
      </c>
      <c r="V510" s="27"/>
      <c r="W510" s="17">
        <f>270000/2000</f>
        <v>135</v>
      </c>
      <c r="X510" s="17">
        <f>6621390.5/2000</f>
        <v>3310.6952500000002</v>
      </c>
      <c r="Y510" s="17">
        <v>0</v>
      </c>
      <c r="Z510" s="18" t="e">
        <f t="shared" si="156"/>
        <v>#DIV/0!</v>
      </c>
      <c r="AA510" s="19">
        <v>0.1</v>
      </c>
      <c r="AB510" s="17">
        <f t="shared" si="174"/>
        <v>331.06952500000006</v>
      </c>
      <c r="AC510" s="17">
        <v>0</v>
      </c>
      <c r="AD510" s="17">
        <v>0</v>
      </c>
      <c r="AE510" s="17">
        <f t="shared" si="157"/>
        <v>331.06952500000006</v>
      </c>
      <c r="AF510" s="17">
        <v>0</v>
      </c>
      <c r="AG510" s="17">
        <f t="shared" si="168"/>
        <v>331.06952500000006</v>
      </c>
      <c r="AH510" s="17">
        <f>1%*AE510</f>
        <v>3.3106952500000006</v>
      </c>
      <c r="AI510" s="17">
        <v>0</v>
      </c>
      <c r="AJ510" s="17">
        <f t="shared" si="158"/>
        <v>3.3106952500000006</v>
      </c>
      <c r="AK510" s="20"/>
      <c r="AL510" s="17">
        <f t="shared" si="159"/>
        <v>327.75882975000007</v>
      </c>
      <c r="AM510" s="17"/>
      <c r="AN510" s="21"/>
      <c r="AO510" s="17">
        <f t="shared" si="160"/>
        <v>0</v>
      </c>
      <c r="AP510" s="27"/>
      <c r="AQ510" s="16"/>
      <c r="AR510" s="17">
        <f t="shared" si="167"/>
        <v>0</v>
      </c>
      <c r="AS510" s="17"/>
      <c r="AT510" s="17">
        <v>331.06952500000006</v>
      </c>
      <c r="AU510" s="17">
        <f t="shared" si="173"/>
        <v>331.06952500000006</v>
      </c>
      <c r="AV510" s="17">
        <f t="shared" si="161"/>
        <v>0</v>
      </c>
      <c r="AW510" s="17" t="str">
        <f t="shared" si="163"/>
        <v>ACTIVA - LIFE</v>
      </c>
      <c r="AX510" s="22">
        <v>44845</v>
      </c>
      <c r="AY510" s="22"/>
      <c r="AZ510" s="1"/>
      <c r="BA510" s="22" t="str">
        <f t="shared" si="169"/>
        <v>LIFE</v>
      </c>
      <c r="BB510" s="54"/>
      <c r="BC510" s="22"/>
      <c r="BD510" s="22"/>
    </row>
    <row r="511" spans="1:56" ht="14.25" customHeight="1" x14ac:dyDescent="0.2">
      <c r="A511" s="1" t="s">
        <v>578</v>
      </c>
      <c r="B511" s="1" t="s">
        <v>57</v>
      </c>
      <c r="C511" s="13">
        <v>44812</v>
      </c>
      <c r="D511" s="13">
        <v>44789</v>
      </c>
      <c r="E511" s="13">
        <v>44713</v>
      </c>
      <c r="F511" s="13">
        <v>44742</v>
      </c>
      <c r="G511" s="14" t="str">
        <f t="shared" si="155"/>
        <v>000-510/AIB RDC/2022</v>
      </c>
      <c r="H511" s="1">
        <v>0</v>
      </c>
      <c r="I511" s="1" t="s">
        <v>74</v>
      </c>
      <c r="J511" s="1">
        <v>60100007</v>
      </c>
      <c r="K511" s="1" t="s">
        <v>610</v>
      </c>
      <c r="L511" s="1"/>
      <c r="M511" s="1" t="s">
        <v>95</v>
      </c>
      <c r="N511" s="1" t="s">
        <v>102</v>
      </c>
      <c r="O511" s="1" t="s">
        <v>89</v>
      </c>
      <c r="P511" s="1" t="s">
        <v>90</v>
      </c>
      <c r="Q511" s="1" t="s">
        <v>107</v>
      </c>
      <c r="R511" s="1" t="s">
        <v>107</v>
      </c>
      <c r="S511" s="17">
        <v>0</v>
      </c>
      <c r="T511" s="17">
        <v>1903.8</v>
      </c>
      <c r="U511" s="17">
        <v>0</v>
      </c>
      <c r="V511" s="17">
        <v>0</v>
      </c>
      <c r="W511" s="17">
        <v>100</v>
      </c>
      <c r="X511" s="17">
        <v>1513.39</v>
      </c>
      <c r="Y511" s="17">
        <v>258.14</v>
      </c>
      <c r="Z511" s="18" t="e">
        <f t="shared" si="156"/>
        <v>#DIV/0!</v>
      </c>
      <c r="AA511" s="19">
        <v>0</v>
      </c>
      <c r="AB511" s="17">
        <f t="shared" si="174"/>
        <v>0</v>
      </c>
      <c r="AC511" s="17">
        <v>151</v>
      </c>
      <c r="AD511" s="27"/>
      <c r="AE511" s="17">
        <f t="shared" si="157"/>
        <v>151</v>
      </c>
      <c r="AF511" s="17">
        <f t="shared" ref="AF511:AF550" si="175">16%*AE511</f>
        <v>24.16</v>
      </c>
      <c r="AG511" s="17">
        <f t="shared" si="168"/>
        <v>175.16</v>
      </c>
      <c r="AH511" s="17">
        <f t="shared" ref="AH511:AH551" si="176">2%*AE511</f>
        <v>3.02</v>
      </c>
      <c r="AI511" s="27"/>
      <c r="AJ511" s="17">
        <f t="shared" si="158"/>
        <v>3.02</v>
      </c>
      <c r="AK511" s="20"/>
      <c r="AL511" s="17">
        <f t="shared" si="159"/>
        <v>147.97999999999999</v>
      </c>
      <c r="AM511" s="17"/>
      <c r="AN511" s="21"/>
      <c r="AO511" s="17">
        <f t="shared" si="160"/>
        <v>0</v>
      </c>
      <c r="AP511" s="27"/>
      <c r="AQ511" s="16"/>
      <c r="AR511" s="17">
        <f t="shared" si="167"/>
        <v>0</v>
      </c>
      <c r="AS511" s="17"/>
      <c r="AT511" s="17">
        <v>175.16</v>
      </c>
      <c r="AU511" s="17">
        <f t="shared" si="173"/>
        <v>175.16</v>
      </c>
      <c r="AV511" s="17">
        <f t="shared" si="161"/>
        <v>0</v>
      </c>
      <c r="AW511" s="17" t="str">
        <f t="shared" si="163"/>
        <v>RAWSUR</v>
      </c>
      <c r="AX511" s="22">
        <v>44832</v>
      </c>
      <c r="AY511" s="22"/>
      <c r="AZ511" s="1" t="s">
        <v>68</v>
      </c>
      <c r="BA511" s="22" t="str">
        <f t="shared" si="169"/>
        <v>GENERAL LIABILITY</v>
      </c>
      <c r="BB511" s="54"/>
      <c r="BC511" s="1" t="s">
        <v>107</v>
      </c>
      <c r="BD511" s="1"/>
    </row>
    <row r="512" spans="1:56" ht="14.25" customHeight="1" x14ac:dyDescent="0.2">
      <c r="A512" s="1" t="s">
        <v>654</v>
      </c>
      <c r="B512" s="1" t="s">
        <v>57</v>
      </c>
      <c r="C512" s="13">
        <v>44834</v>
      </c>
      <c r="D512" s="13">
        <v>44831</v>
      </c>
      <c r="E512" s="13">
        <v>44751</v>
      </c>
      <c r="F512" s="13">
        <v>45115</v>
      </c>
      <c r="G512" s="14" t="str">
        <f t="shared" si="155"/>
        <v>000-511/AIB RDC/2022</v>
      </c>
      <c r="H512" s="1">
        <v>0</v>
      </c>
      <c r="I512" s="1" t="s">
        <v>74</v>
      </c>
      <c r="J512" s="1" t="s">
        <v>813</v>
      </c>
      <c r="K512" s="1" t="s">
        <v>527</v>
      </c>
      <c r="L512" s="1"/>
      <c r="M512" s="1" t="s">
        <v>105</v>
      </c>
      <c r="N512" s="1" t="s">
        <v>184</v>
      </c>
      <c r="O512" s="1" t="s">
        <v>89</v>
      </c>
      <c r="P512" s="1" t="s">
        <v>90</v>
      </c>
      <c r="Q512" s="1" t="s">
        <v>130</v>
      </c>
      <c r="R512" s="1" t="s">
        <v>130</v>
      </c>
      <c r="S512" s="17">
        <v>0</v>
      </c>
      <c r="T512" s="17">
        <v>2912.86</v>
      </c>
      <c r="U512" s="17">
        <v>198.53</v>
      </c>
      <c r="V512" s="17">
        <v>0</v>
      </c>
      <c r="W512" s="17">
        <v>20</v>
      </c>
      <c r="X512" s="17">
        <v>2250</v>
      </c>
      <c r="Y512" s="17">
        <v>394.96</v>
      </c>
      <c r="Z512" s="18" t="e">
        <f t="shared" si="156"/>
        <v>#DIV/0!</v>
      </c>
      <c r="AA512" s="19">
        <v>0.15</v>
      </c>
      <c r="AB512" s="17">
        <f t="shared" si="174"/>
        <v>337.5</v>
      </c>
      <c r="AC512" s="17">
        <v>0</v>
      </c>
      <c r="AD512" s="17">
        <v>0</v>
      </c>
      <c r="AE512" s="17">
        <f t="shared" si="157"/>
        <v>337.5</v>
      </c>
      <c r="AF512" s="17">
        <f t="shared" si="175"/>
        <v>54</v>
      </c>
      <c r="AG512" s="17">
        <f t="shared" si="168"/>
        <v>391.5</v>
      </c>
      <c r="AH512" s="17">
        <f t="shared" si="176"/>
        <v>6.75</v>
      </c>
      <c r="AI512" s="27"/>
      <c r="AJ512" s="17">
        <f t="shared" si="158"/>
        <v>6.75</v>
      </c>
      <c r="AK512" s="20"/>
      <c r="AL512" s="17">
        <f t="shared" si="159"/>
        <v>330.75</v>
      </c>
      <c r="AM512" s="17"/>
      <c r="AN512" s="21"/>
      <c r="AO512" s="17">
        <f t="shared" si="160"/>
        <v>0</v>
      </c>
      <c r="AP512" s="27"/>
      <c r="AQ512" s="16"/>
      <c r="AR512" s="17">
        <f t="shared" si="167"/>
        <v>0</v>
      </c>
      <c r="AS512" s="17"/>
      <c r="AT512" s="17">
        <v>391.5</v>
      </c>
      <c r="AU512" s="17">
        <f t="shared" si="173"/>
        <v>391.5</v>
      </c>
      <c r="AV512" s="17">
        <f t="shared" si="161"/>
        <v>0</v>
      </c>
      <c r="AW512" s="17" t="str">
        <f t="shared" si="163"/>
        <v>SFA</v>
      </c>
      <c r="AX512" s="22">
        <v>44862</v>
      </c>
      <c r="AY512" s="22"/>
      <c r="AZ512" s="1" t="s">
        <v>100</v>
      </c>
      <c r="BA512" s="22" t="str">
        <f t="shared" si="169"/>
        <v>GENERAL LIABILITY</v>
      </c>
      <c r="BB512" s="54"/>
      <c r="BC512" s="22"/>
      <c r="BD512" s="22"/>
    </row>
    <row r="513" spans="1:56" ht="14.25" customHeight="1" x14ac:dyDescent="0.2">
      <c r="A513" s="1" t="s">
        <v>667</v>
      </c>
      <c r="B513" s="1" t="s">
        <v>57</v>
      </c>
      <c r="C513" s="13">
        <v>44834</v>
      </c>
      <c r="D513" s="13">
        <v>44839</v>
      </c>
      <c r="E513" s="13">
        <v>44839</v>
      </c>
      <c r="F513" s="13">
        <v>44930</v>
      </c>
      <c r="G513" s="14" t="str">
        <f t="shared" si="155"/>
        <v>000-512/AIB RDC/2022</v>
      </c>
      <c r="H513" s="1">
        <v>0</v>
      </c>
      <c r="I513" s="1" t="s">
        <v>74</v>
      </c>
      <c r="J513" s="1" t="s">
        <v>814</v>
      </c>
      <c r="K513" s="1" t="s">
        <v>181</v>
      </c>
      <c r="L513" s="1"/>
      <c r="M513" s="1" t="s">
        <v>105</v>
      </c>
      <c r="N513" s="1" t="s">
        <v>106</v>
      </c>
      <c r="O513" s="1" t="s">
        <v>64</v>
      </c>
      <c r="P513" s="1" t="s">
        <v>65</v>
      </c>
      <c r="Q513" s="1" t="s">
        <v>107</v>
      </c>
      <c r="R513" s="1" t="s">
        <v>107</v>
      </c>
      <c r="S513" s="17">
        <v>483</v>
      </c>
      <c r="T513" s="17">
        <v>70.8</v>
      </c>
      <c r="U513" s="17">
        <v>0</v>
      </c>
      <c r="V513" s="17">
        <v>0</v>
      </c>
      <c r="W513" s="17">
        <v>10</v>
      </c>
      <c r="X513" s="17">
        <v>50</v>
      </c>
      <c r="Y513" s="17">
        <v>9.6</v>
      </c>
      <c r="Z513" s="18">
        <f t="shared" si="156"/>
        <v>0.146583850931677</v>
      </c>
      <c r="AA513" s="19">
        <v>0.15</v>
      </c>
      <c r="AB513" s="17">
        <f t="shared" si="174"/>
        <v>7.5</v>
      </c>
      <c r="AC513" s="17">
        <v>0</v>
      </c>
      <c r="AD513" s="17">
        <v>0</v>
      </c>
      <c r="AE513" s="17">
        <f t="shared" si="157"/>
        <v>7.5</v>
      </c>
      <c r="AF513" s="17">
        <f t="shared" si="175"/>
        <v>1.2</v>
      </c>
      <c r="AG513" s="17">
        <f t="shared" si="168"/>
        <v>8.6999999999999993</v>
      </c>
      <c r="AH513" s="17">
        <f t="shared" si="176"/>
        <v>0.15</v>
      </c>
      <c r="AI513" s="27"/>
      <c r="AJ513" s="17">
        <f t="shared" si="158"/>
        <v>0.15</v>
      </c>
      <c r="AK513" s="20"/>
      <c r="AL513" s="17">
        <f t="shared" si="159"/>
        <v>7.35</v>
      </c>
      <c r="AM513" s="17" t="s">
        <v>108</v>
      </c>
      <c r="AN513" s="21">
        <v>0.4</v>
      </c>
      <c r="AO513" s="17">
        <f t="shared" si="160"/>
        <v>2.94</v>
      </c>
      <c r="AP513" s="30">
        <v>2.94</v>
      </c>
      <c r="AQ513" s="29">
        <v>45229</v>
      </c>
      <c r="AR513" s="17">
        <f t="shared" si="167"/>
        <v>0</v>
      </c>
      <c r="AS513" s="17"/>
      <c r="AT513" s="17">
        <v>8.6999999999999993</v>
      </c>
      <c r="AU513" s="17">
        <f t="shared" si="173"/>
        <v>8.6999999999999993</v>
      </c>
      <c r="AV513" s="17">
        <f t="shared" si="161"/>
        <v>0</v>
      </c>
      <c r="AW513" s="17" t="str">
        <f t="shared" si="163"/>
        <v>RAWSUR</v>
      </c>
      <c r="AX513" s="22">
        <v>44901</v>
      </c>
      <c r="AY513" s="22"/>
      <c r="AZ513" s="1" t="s">
        <v>110</v>
      </c>
      <c r="BA513" s="22" t="str">
        <f t="shared" si="169"/>
        <v>MARINE CARGO / GIT</v>
      </c>
      <c r="BB513" s="54"/>
      <c r="BC513" s="22"/>
      <c r="BD513" s="22"/>
    </row>
    <row r="514" spans="1:56" ht="14.25" customHeight="1" x14ac:dyDescent="0.2">
      <c r="A514" s="1" t="s">
        <v>773</v>
      </c>
      <c r="B514" s="1" t="s">
        <v>57</v>
      </c>
      <c r="C514" s="13">
        <v>44834</v>
      </c>
      <c r="D514" s="13">
        <v>44835</v>
      </c>
      <c r="E514" s="13">
        <v>44809</v>
      </c>
      <c r="F514" s="13">
        <v>44899</v>
      </c>
      <c r="G514" s="14" t="str">
        <f t="shared" si="155"/>
        <v>000-513/AIB RDC/2022</v>
      </c>
      <c r="H514" s="1">
        <v>0</v>
      </c>
      <c r="I514" s="1" t="s">
        <v>74</v>
      </c>
      <c r="J514" s="1" t="s">
        <v>815</v>
      </c>
      <c r="K514" s="1" t="s">
        <v>181</v>
      </c>
      <c r="L514" s="1"/>
      <c r="M514" s="1" t="s">
        <v>105</v>
      </c>
      <c r="N514" s="1" t="s">
        <v>106</v>
      </c>
      <c r="O514" s="1" t="s">
        <v>64</v>
      </c>
      <c r="P514" s="1" t="s">
        <v>65</v>
      </c>
      <c r="Q514" s="1" t="s">
        <v>107</v>
      </c>
      <c r="R514" s="1" t="s">
        <v>107</v>
      </c>
      <c r="S514" s="17">
        <v>31939.5</v>
      </c>
      <c r="T514" s="17">
        <v>162.56</v>
      </c>
      <c r="U514" s="17">
        <v>0</v>
      </c>
      <c r="V514" s="17">
        <v>0</v>
      </c>
      <c r="W514" s="17">
        <v>10</v>
      </c>
      <c r="X514" s="17">
        <v>127.72</v>
      </c>
      <c r="Y514" s="17">
        <v>22.04</v>
      </c>
      <c r="Z514" s="18">
        <f t="shared" si="156"/>
        <v>5.0896225676669953E-3</v>
      </c>
      <c r="AA514" s="19">
        <v>0.15</v>
      </c>
      <c r="AB514" s="17">
        <f t="shared" si="174"/>
        <v>19.157999999999998</v>
      </c>
      <c r="AC514" s="17">
        <v>0</v>
      </c>
      <c r="AD514" s="17">
        <v>0</v>
      </c>
      <c r="AE514" s="17">
        <f t="shared" si="157"/>
        <v>19.157999999999998</v>
      </c>
      <c r="AF514" s="17">
        <f t="shared" si="175"/>
        <v>3.0652799999999996</v>
      </c>
      <c r="AG514" s="17">
        <f t="shared" si="168"/>
        <v>22.223279999999995</v>
      </c>
      <c r="AH514" s="17">
        <f t="shared" si="176"/>
        <v>0.38315999999999995</v>
      </c>
      <c r="AI514" s="27"/>
      <c r="AJ514" s="17">
        <f t="shared" si="158"/>
        <v>0.38315999999999995</v>
      </c>
      <c r="AK514" s="20"/>
      <c r="AL514" s="17">
        <f t="shared" si="159"/>
        <v>18.774839999999998</v>
      </c>
      <c r="AM514" s="17" t="s">
        <v>108</v>
      </c>
      <c r="AN514" s="21">
        <v>0.4</v>
      </c>
      <c r="AO514" s="17">
        <f t="shared" si="160"/>
        <v>7.5099359999999997</v>
      </c>
      <c r="AP514" s="30">
        <v>7.5099359999999997</v>
      </c>
      <c r="AQ514" s="29">
        <v>45229</v>
      </c>
      <c r="AR514" s="17">
        <f t="shared" si="167"/>
        <v>0</v>
      </c>
      <c r="AS514" s="17"/>
      <c r="AT514" s="17">
        <v>22.223279999999995</v>
      </c>
      <c r="AU514" s="17">
        <f t="shared" si="173"/>
        <v>22.223279999999995</v>
      </c>
      <c r="AV514" s="17">
        <f t="shared" si="161"/>
        <v>0</v>
      </c>
      <c r="AW514" s="17" t="str">
        <f t="shared" si="163"/>
        <v>RAWSUR</v>
      </c>
      <c r="AX514" s="22">
        <v>44901</v>
      </c>
      <c r="AY514" s="22"/>
      <c r="AZ514" s="1" t="s">
        <v>110</v>
      </c>
      <c r="BA514" s="22" t="str">
        <f t="shared" si="169"/>
        <v>MARINE CARGO / GIT</v>
      </c>
      <c r="BB514" s="54"/>
      <c r="BC514" s="22"/>
      <c r="BD514" s="22"/>
    </row>
    <row r="515" spans="1:56" ht="14.25" customHeight="1" x14ac:dyDescent="0.2">
      <c r="A515" s="1" t="s">
        <v>773</v>
      </c>
      <c r="B515" s="1" t="s">
        <v>57</v>
      </c>
      <c r="C515" s="13">
        <v>44834</v>
      </c>
      <c r="D515" s="13">
        <v>44813</v>
      </c>
      <c r="E515" s="13">
        <v>44813</v>
      </c>
      <c r="F515" s="13">
        <v>45177</v>
      </c>
      <c r="G515" s="14" t="str">
        <f t="shared" si="155"/>
        <v>000-514/AIB RDC/2022</v>
      </c>
      <c r="H515" s="1">
        <v>0</v>
      </c>
      <c r="I515" s="1" t="s">
        <v>74</v>
      </c>
      <c r="J515" s="1" t="s">
        <v>816</v>
      </c>
      <c r="K515" s="1" t="s">
        <v>817</v>
      </c>
      <c r="L515" s="1" t="s">
        <v>366</v>
      </c>
      <c r="M515" s="1" t="s">
        <v>105</v>
      </c>
      <c r="N515" s="1" t="s">
        <v>184</v>
      </c>
      <c r="O515" s="1" t="s">
        <v>73</v>
      </c>
      <c r="P515" s="1" t="s">
        <v>73</v>
      </c>
      <c r="Q515" s="1" t="s">
        <v>130</v>
      </c>
      <c r="R515" s="1" t="s">
        <v>130</v>
      </c>
      <c r="S515" s="17">
        <v>0</v>
      </c>
      <c r="T515" s="17">
        <v>4911.78</v>
      </c>
      <c r="U515" s="17">
        <v>0</v>
      </c>
      <c r="V515" s="17">
        <v>0</v>
      </c>
      <c r="W515" s="17">
        <v>61.53</v>
      </c>
      <c r="X515" s="17">
        <v>4101</v>
      </c>
      <c r="Y515" s="17">
        <v>666</v>
      </c>
      <c r="Z515" s="18" t="e">
        <f t="shared" si="156"/>
        <v>#DIV/0!</v>
      </c>
      <c r="AA515" s="19">
        <v>0.1</v>
      </c>
      <c r="AB515" s="17">
        <f t="shared" si="174"/>
        <v>410.1</v>
      </c>
      <c r="AC515" s="17">
        <v>0</v>
      </c>
      <c r="AD515" s="17">
        <v>0</v>
      </c>
      <c r="AE515" s="17">
        <f t="shared" si="157"/>
        <v>410.1</v>
      </c>
      <c r="AF515" s="17">
        <f t="shared" si="175"/>
        <v>65.616</v>
      </c>
      <c r="AG515" s="17">
        <f t="shared" si="168"/>
        <v>475.71600000000001</v>
      </c>
      <c r="AH515" s="17">
        <f t="shared" si="176"/>
        <v>8.202</v>
      </c>
      <c r="AI515" s="27"/>
      <c r="AJ515" s="17">
        <f t="shared" si="158"/>
        <v>8.202</v>
      </c>
      <c r="AK515" s="20"/>
      <c r="AL515" s="17">
        <f t="shared" si="159"/>
        <v>401.89800000000002</v>
      </c>
      <c r="AM515" s="17"/>
      <c r="AN515" s="21"/>
      <c r="AO515" s="17">
        <f t="shared" si="160"/>
        <v>0</v>
      </c>
      <c r="AP515" s="27"/>
      <c r="AQ515" s="16"/>
      <c r="AR515" s="17">
        <f t="shared" si="167"/>
        <v>0</v>
      </c>
      <c r="AS515" s="17"/>
      <c r="AT515" s="17">
        <v>475.71600000000001</v>
      </c>
      <c r="AU515" s="17">
        <f t="shared" si="173"/>
        <v>475.71600000000001</v>
      </c>
      <c r="AV515" s="17">
        <f t="shared" si="161"/>
        <v>0</v>
      </c>
      <c r="AW515" s="17" t="str">
        <f t="shared" si="163"/>
        <v>SFA</v>
      </c>
      <c r="AX515" s="22">
        <v>44862</v>
      </c>
      <c r="AY515" s="22"/>
      <c r="AZ515" s="1"/>
      <c r="BA515" s="22" t="str">
        <f t="shared" si="169"/>
        <v>MOTOR TPL</v>
      </c>
      <c r="BB515" s="54"/>
      <c r="BC515" s="22"/>
      <c r="BD515" s="22"/>
    </row>
    <row r="516" spans="1:56" ht="14.25" customHeight="1" x14ac:dyDescent="0.2">
      <c r="A516" s="1" t="s">
        <v>773</v>
      </c>
      <c r="B516" s="1" t="s">
        <v>57</v>
      </c>
      <c r="C516" s="13">
        <v>44834</v>
      </c>
      <c r="D516" s="13">
        <v>44825</v>
      </c>
      <c r="E516" s="13">
        <v>44829</v>
      </c>
      <c r="F516" s="13">
        <v>45193</v>
      </c>
      <c r="G516" s="14" t="str">
        <f t="shared" si="155"/>
        <v>000-515/AIB RDC/2022</v>
      </c>
      <c r="H516" s="1">
        <v>3</v>
      </c>
      <c r="I516" s="1" t="s">
        <v>58</v>
      </c>
      <c r="J516" s="1" t="s">
        <v>631</v>
      </c>
      <c r="K516" s="1" t="s">
        <v>632</v>
      </c>
      <c r="L516" s="1"/>
      <c r="M516" s="1" t="s">
        <v>105</v>
      </c>
      <c r="N516" s="1" t="s">
        <v>184</v>
      </c>
      <c r="O516" s="1" t="s">
        <v>73</v>
      </c>
      <c r="P516" s="1" t="s">
        <v>73</v>
      </c>
      <c r="Q516" s="1" t="s">
        <v>107</v>
      </c>
      <c r="R516" s="1" t="s">
        <v>107</v>
      </c>
      <c r="S516" s="17">
        <v>0</v>
      </c>
      <c r="T516" s="17">
        <v>69550.8</v>
      </c>
      <c r="U516" s="17">
        <v>0</v>
      </c>
      <c r="V516" s="17">
        <v>0</v>
      </c>
      <c r="W516" s="17">
        <v>1410</v>
      </c>
      <c r="X516" s="17">
        <v>57531.17</v>
      </c>
      <c r="Y516" s="17">
        <v>9430.7099999999991</v>
      </c>
      <c r="Z516" s="18" t="e">
        <f t="shared" si="156"/>
        <v>#DIV/0!</v>
      </c>
      <c r="AA516" s="19">
        <v>0.1</v>
      </c>
      <c r="AB516" s="17">
        <f t="shared" si="174"/>
        <v>5753.1170000000002</v>
      </c>
      <c r="AC516" s="17">
        <v>0</v>
      </c>
      <c r="AD516" s="17">
        <v>0</v>
      </c>
      <c r="AE516" s="17">
        <f t="shared" si="157"/>
        <v>5753.1170000000002</v>
      </c>
      <c r="AF516" s="17">
        <f t="shared" si="175"/>
        <v>920.49872000000005</v>
      </c>
      <c r="AG516" s="17">
        <f t="shared" si="168"/>
        <v>6673.6157199999998</v>
      </c>
      <c r="AH516" s="17">
        <f t="shared" si="176"/>
        <v>115.06234000000001</v>
      </c>
      <c r="AI516" s="27"/>
      <c r="AJ516" s="17">
        <f t="shared" si="158"/>
        <v>115.06234000000001</v>
      </c>
      <c r="AK516" s="20"/>
      <c r="AL516" s="17">
        <f t="shared" si="159"/>
        <v>5638.0546599999998</v>
      </c>
      <c r="AM516" s="17"/>
      <c r="AN516" s="21"/>
      <c r="AO516" s="17">
        <f t="shared" si="160"/>
        <v>0</v>
      </c>
      <c r="AP516" s="27"/>
      <c r="AQ516" s="16"/>
      <c r="AR516" s="17">
        <f t="shared" si="167"/>
        <v>0</v>
      </c>
      <c r="AS516" s="17"/>
      <c r="AT516" s="17">
        <v>6673.6157199999998</v>
      </c>
      <c r="AU516" s="17">
        <f t="shared" si="173"/>
        <v>6673.6157199999998</v>
      </c>
      <c r="AV516" s="17">
        <f t="shared" si="161"/>
        <v>0</v>
      </c>
      <c r="AW516" s="17" t="str">
        <f t="shared" si="163"/>
        <v>RAWSUR</v>
      </c>
      <c r="AX516" s="22">
        <v>44869</v>
      </c>
      <c r="AY516" s="22"/>
      <c r="AZ516" s="1"/>
      <c r="BA516" s="22" t="str">
        <f t="shared" si="169"/>
        <v>MOTOR TPL</v>
      </c>
      <c r="BB516" s="54"/>
      <c r="BC516" s="22"/>
      <c r="BD516" s="22"/>
    </row>
    <row r="517" spans="1:56" ht="14.25" customHeight="1" x14ac:dyDescent="0.2">
      <c r="A517" s="1" t="s">
        <v>773</v>
      </c>
      <c r="B517" s="1" t="s">
        <v>57</v>
      </c>
      <c r="C517" s="13">
        <v>44834</v>
      </c>
      <c r="D517" s="13">
        <v>44817</v>
      </c>
      <c r="E517" s="13">
        <v>44824</v>
      </c>
      <c r="F517" s="13">
        <v>45188</v>
      </c>
      <c r="G517" s="14" t="str">
        <f t="shared" si="155"/>
        <v>000-516/AIB RDC/2022</v>
      </c>
      <c r="H517" s="1">
        <v>1</v>
      </c>
      <c r="I517" s="1" t="s">
        <v>58</v>
      </c>
      <c r="J517" s="1" t="s">
        <v>818</v>
      </c>
      <c r="K517" s="1" t="s">
        <v>632</v>
      </c>
      <c r="L517" s="1"/>
      <c r="M517" s="1" t="s">
        <v>105</v>
      </c>
      <c r="N517" s="1" t="s">
        <v>184</v>
      </c>
      <c r="O517" s="1" t="s">
        <v>64</v>
      </c>
      <c r="P517" s="1" t="s">
        <v>65</v>
      </c>
      <c r="Q517" s="1" t="s">
        <v>107</v>
      </c>
      <c r="R517" s="1" t="s">
        <v>107</v>
      </c>
      <c r="S517" s="17">
        <v>0</v>
      </c>
      <c r="T517" s="17">
        <v>95000</v>
      </c>
      <c r="U517" s="17">
        <v>0</v>
      </c>
      <c r="V517" s="17">
        <v>0</v>
      </c>
      <c r="W517" s="17">
        <v>100</v>
      </c>
      <c r="X517" s="17">
        <v>80408.47</v>
      </c>
      <c r="Y517" s="17">
        <v>12881.36</v>
      </c>
      <c r="Z517" s="18" t="e">
        <f t="shared" si="156"/>
        <v>#DIV/0!</v>
      </c>
      <c r="AA517" s="19">
        <v>0.15</v>
      </c>
      <c r="AB517" s="17">
        <f t="shared" si="174"/>
        <v>12061.270500000001</v>
      </c>
      <c r="AC517" s="17">
        <v>0</v>
      </c>
      <c r="AD517" s="17">
        <v>0</v>
      </c>
      <c r="AE517" s="17">
        <f t="shared" si="157"/>
        <v>12061.270500000001</v>
      </c>
      <c r="AF517" s="17">
        <f t="shared" si="175"/>
        <v>1929.8032800000001</v>
      </c>
      <c r="AG517" s="17">
        <f t="shared" si="168"/>
        <v>13991.073780000001</v>
      </c>
      <c r="AH517" s="17">
        <f t="shared" si="176"/>
        <v>241.22541000000001</v>
      </c>
      <c r="AI517" s="27"/>
      <c r="AJ517" s="17">
        <f t="shared" si="158"/>
        <v>241.22541000000001</v>
      </c>
      <c r="AK517" s="20"/>
      <c r="AL517" s="17">
        <f t="shared" si="159"/>
        <v>11820.04509</v>
      </c>
      <c r="AM517" s="17"/>
      <c r="AN517" s="21"/>
      <c r="AO517" s="17">
        <f t="shared" si="160"/>
        <v>0</v>
      </c>
      <c r="AP517" s="27"/>
      <c r="AQ517" s="16"/>
      <c r="AR517" s="17">
        <f t="shared" si="167"/>
        <v>0</v>
      </c>
      <c r="AS517" s="17"/>
      <c r="AT517" s="17">
        <v>13991.073780000001</v>
      </c>
      <c r="AU517" s="17">
        <f t="shared" si="173"/>
        <v>13991.073780000001</v>
      </c>
      <c r="AV517" s="17">
        <f t="shared" si="161"/>
        <v>0</v>
      </c>
      <c r="AW517" s="17" t="str">
        <f t="shared" si="163"/>
        <v>RAWSUR</v>
      </c>
      <c r="AX517" s="22">
        <v>44869</v>
      </c>
      <c r="AY517" s="22"/>
      <c r="AZ517" s="1"/>
      <c r="BA517" s="22" t="str">
        <f t="shared" si="169"/>
        <v>MARINE CARGO / GIT</v>
      </c>
      <c r="BB517" s="54"/>
      <c r="BC517" s="22"/>
      <c r="BD517" s="22"/>
    </row>
    <row r="518" spans="1:56" ht="14.25" customHeight="1" x14ac:dyDescent="0.2">
      <c r="A518" s="1" t="s">
        <v>773</v>
      </c>
      <c r="B518" s="1" t="s">
        <v>57</v>
      </c>
      <c r="C518" s="13">
        <v>44834</v>
      </c>
      <c r="D518" s="13">
        <v>44817</v>
      </c>
      <c r="E518" s="13">
        <v>44807</v>
      </c>
      <c r="F518" s="13">
        <v>44809</v>
      </c>
      <c r="G518" s="14" t="str">
        <f t="shared" si="155"/>
        <v>000-517/AIB RDC/2022</v>
      </c>
      <c r="H518" s="1">
        <v>0</v>
      </c>
      <c r="I518" s="1" t="s">
        <v>74</v>
      </c>
      <c r="J518" s="1" t="s">
        <v>819</v>
      </c>
      <c r="K518" s="1" t="s">
        <v>820</v>
      </c>
      <c r="L518" s="1"/>
      <c r="M518" s="1" t="s">
        <v>105</v>
      </c>
      <c r="N518" s="1" t="s">
        <v>106</v>
      </c>
      <c r="O518" s="1" t="s">
        <v>64</v>
      </c>
      <c r="P518" s="1" t="s">
        <v>65</v>
      </c>
      <c r="Q518" s="1" t="s">
        <v>130</v>
      </c>
      <c r="R518" s="1" t="s">
        <v>130</v>
      </c>
      <c r="S518" s="17">
        <v>9776.99</v>
      </c>
      <c r="T518" s="17">
        <v>94.4</v>
      </c>
      <c r="U518" s="17">
        <v>0</v>
      </c>
      <c r="V518" s="17">
        <v>0</v>
      </c>
      <c r="W518" s="17">
        <v>20</v>
      </c>
      <c r="X518" s="17">
        <v>60</v>
      </c>
      <c r="Y518" s="17">
        <v>12.8</v>
      </c>
      <c r="Z518" s="18">
        <f t="shared" si="156"/>
        <v>9.655323366393952E-3</v>
      </c>
      <c r="AA518" s="19">
        <v>0.15</v>
      </c>
      <c r="AB518" s="17">
        <f t="shared" si="174"/>
        <v>9</v>
      </c>
      <c r="AC518" s="17">
        <v>0</v>
      </c>
      <c r="AD518" s="17">
        <v>0</v>
      </c>
      <c r="AE518" s="17">
        <f t="shared" si="157"/>
        <v>9</v>
      </c>
      <c r="AF518" s="17">
        <f t="shared" si="175"/>
        <v>1.44</v>
      </c>
      <c r="AG518" s="17">
        <f t="shared" si="168"/>
        <v>10.44</v>
      </c>
      <c r="AH518" s="17">
        <f t="shared" si="176"/>
        <v>0.18</v>
      </c>
      <c r="AI518" s="27"/>
      <c r="AJ518" s="17">
        <f t="shared" si="158"/>
        <v>0.18</v>
      </c>
      <c r="AK518" s="20"/>
      <c r="AL518" s="17">
        <f t="shared" si="159"/>
        <v>8.82</v>
      </c>
      <c r="AM518" s="17" t="s">
        <v>108</v>
      </c>
      <c r="AN518" s="21">
        <v>0.4</v>
      </c>
      <c r="AO518" s="17">
        <f t="shared" si="160"/>
        <v>3.5280000000000005</v>
      </c>
      <c r="AP518" s="30">
        <v>3.5280000000000005</v>
      </c>
      <c r="AQ518" s="29">
        <v>45229</v>
      </c>
      <c r="AR518" s="17">
        <f t="shared" si="167"/>
        <v>0</v>
      </c>
      <c r="AS518" s="17"/>
      <c r="AT518" s="17">
        <v>10.44</v>
      </c>
      <c r="AU518" s="17">
        <f t="shared" si="173"/>
        <v>10.44</v>
      </c>
      <c r="AV518" s="17">
        <f t="shared" si="161"/>
        <v>0</v>
      </c>
      <c r="AW518" s="17" t="str">
        <f t="shared" si="163"/>
        <v>SFA</v>
      </c>
      <c r="AX518" s="22">
        <v>44862</v>
      </c>
      <c r="AY518" s="22"/>
      <c r="AZ518" s="1" t="s">
        <v>110</v>
      </c>
      <c r="BA518" s="22" t="str">
        <f t="shared" si="169"/>
        <v>MARINE CARGO / GIT</v>
      </c>
      <c r="BB518" s="54"/>
      <c r="BC518" s="22"/>
      <c r="BD518" s="22"/>
    </row>
    <row r="519" spans="1:56" ht="14.25" customHeight="1" x14ac:dyDescent="0.2">
      <c r="A519" s="1" t="s">
        <v>773</v>
      </c>
      <c r="B519" s="1" t="s">
        <v>57</v>
      </c>
      <c r="C519" s="13">
        <v>44837</v>
      </c>
      <c r="D519" s="13">
        <v>44835</v>
      </c>
      <c r="E519" s="13">
        <v>44827</v>
      </c>
      <c r="F519" s="13">
        <v>44917</v>
      </c>
      <c r="G519" s="14" t="str">
        <f t="shared" si="155"/>
        <v>000-518/AIB RDC/2022</v>
      </c>
      <c r="H519" s="1">
        <v>0</v>
      </c>
      <c r="I519" s="1" t="s">
        <v>74</v>
      </c>
      <c r="J519" s="1" t="s">
        <v>821</v>
      </c>
      <c r="K519" s="1" t="s">
        <v>181</v>
      </c>
      <c r="L519" s="1"/>
      <c r="M519" s="1" t="s">
        <v>105</v>
      </c>
      <c r="N519" s="1" t="s">
        <v>106</v>
      </c>
      <c r="O519" s="1" t="s">
        <v>64</v>
      </c>
      <c r="P519" s="1" t="s">
        <v>65</v>
      </c>
      <c r="Q519" s="1" t="s">
        <v>107</v>
      </c>
      <c r="R519" s="1" t="s">
        <v>107</v>
      </c>
      <c r="S519" s="17">
        <v>1621</v>
      </c>
      <c r="T519" s="17">
        <v>129.80000000000001</v>
      </c>
      <c r="U519" s="17">
        <v>0</v>
      </c>
      <c r="V519" s="17">
        <v>0</v>
      </c>
      <c r="W519" s="17">
        <v>10</v>
      </c>
      <c r="X519" s="17">
        <v>100</v>
      </c>
      <c r="Y519" s="17">
        <v>17.600000000000001</v>
      </c>
      <c r="Z519" s="18">
        <f t="shared" si="156"/>
        <v>8.0074028377544737E-2</v>
      </c>
      <c r="AA519" s="19">
        <v>0.15</v>
      </c>
      <c r="AB519" s="17">
        <f t="shared" si="174"/>
        <v>15</v>
      </c>
      <c r="AC519" s="17">
        <v>0</v>
      </c>
      <c r="AD519" s="17">
        <v>0</v>
      </c>
      <c r="AE519" s="17">
        <f t="shared" si="157"/>
        <v>15</v>
      </c>
      <c r="AF519" s="17">
        <f t="shared" si="175"/>
        <v>2.4</v>
      </c>
      <c r="AG519" s="17">
        <f t="shared" si="168"/>
        <v>17.399999999999999</v>
      </c>
      <c r="AH519" s="17">
        <f t="shared" si="176"/>
        <v>0.3</v>
      </c>
      <c r="AI519" s="27"/>
      <c r="AJ519" s="17">
        <f t="shared" si="158"/>
        <v>0.3</v>
      </c>
      <c r="AK519" s="20"/>
      <c r="AL519" s="17">
        <f t="shared" si="159"/>
        <v>14.7</v>
      </c>
      <c r="AM519" s="17" t="s">
        <v>108</v>
      </c>
      <c r="AN519" s="21">
        <v>0.4</v>
      </c>
      <c r="AO519" s="17">
        <f t="shared" si="160"/>
        <v>5.88</v>
      </c>
      <c r="AP519" s="30">
        <v>5.88</v>
      </c>
      <c r="AQ519" s="29">
        <v>45229</v>
      </c>
      <c r="AR519" s="17">
        <f t="shared" si="167"/>
        <v>0</v>
      </c>
      <c r="AS519" s="17"/>
      <c r="AT519" s="17">
        <v>17.399999999999999</v>
      </c>
      <c r="AU519" s="17">
        <f t="shared" si="173"/>
        <v>17.399999999999999</v>
      </c>
      <c r="AV519" s="17">
        <f t="shared" si="161"/>
        <v>0</v>
      </c>
      <c r="AW519" s="17" t="str">
        <f t="shared" si="163"/>
        <v>RAWSUR</v>
      </c>
      <c r="AX519" s="22">
        <v>44901</v>
      </c>
      <c r="AY519" s="22"/>
      <c r="AZ519" s="1" t="s">
        <v>110</v>
      </c>
      <c r="BA519" s="22" t="str">
        <f t="shared" si="169"/>
        <v>MARINE CARGO / GIT</v>
      </c>
      <c r="BB519" s="54"/>
      <c r="BC519" s="22"/>
      <c r="BD519" s="22"/>
    </row>
    <row r="520" spans="1:56" ht="14.25" customHeight="1" x14ac:dyDescent="0.2">
      <c r="A520" s="1" t="s">
        <v>773</v>
      </c>
      <c r="B520" s="1" t="s">
        <v>57</v>
      </c>
      <c r="C520" s="13">
        <v>44837</v>
      </c>
      <c r="D520" s="13">
        <v>44835</v>
      </c>
      <c r="E520" s="13">
        <v>44827</v>
      </c>
      <c r="F520" s="13">
        <v>44917</v>
      </c>
      <c r="G520" s="14" t="str">
        <f t="shared" si="155"/>
        <v>000-519/AIB RDC/2022</v>
      </c>
      <c r="H520" s="1">
        <v>0</v>
      </c>
      <c r="I520" s="1" t="s">
        <v>74</v>
      </c>
      <c r="J520" s="1" t="s">
        <v>822</v>
      </c>
      <c r="K520" s="1" t="s">
        <v>181</v>
      </c>
      <c r="L520" s="1"/>
      <c r="M520" s="1" t="s">
        <v>105</v>
      </c>
      <c r="N520" s="1" t="s">
        <v>106</v>
      </c>
      <c r="O520" s="1" t="s">
        <v>64</v>
      </c>
      <c r="P520" s="1" t="s">
        <v>65</v>
      </c>
      <c r="Q520" s="1" t="s">
        <v>107</v>
      </c>
      <c r="R520" s="1" t="s">
        <v>107</v>
      </c>
      <c r="S520" s="17">
        <v>208</v>
      </c>
      <c r="T520" s="17">
        <v>70.8</v>
      </c>
      <c r="U520" s="17">
        <v>0</v>
      </c>
      <c r="V520" s="17">
        <v>0</v>
      </c>
      <c r="W520" s="17">
        <v>10</v>
      </c>
      <c r="X520" s="17">
        <v>50</v>
      </c>
      <c r="Y520" s="17">
        <v>9.6</v>
      </c>
      <c r="Z520" s="18">
        <f t="shared" si="156"/>
        <v>0.3403846153846154</v>
      </c>
      <c r="AA520" s="19">
        <v>0.15</v>
      </c>
      <c r="AB520" s="17">
        <f t="shared" si="174"/>
        <v>7.5</v>
      </c>
      <c r="AC520" s="17">
        <v>0</v>
      </c>
      <c r="AD520" s="17">
        <v>0</v>
      </c>
      <c r="AE520" s="17">
        <f t="shared" si="157"/>
        <v>7.5</v>
      </c>
      <c r="AF520" s="17">
        <f t="shared" si="175"/>
        <v>1.2</v>
      </c>
      <c r="AG520" s="17">
        <f t="shared" si="168"/>
        <v>8.6999999999999993</v>
      </c>
      <c r="AH520" s="17">
        <f t="shared" si="176"/>
        <v>0.15</v>
      </c>
      <c r="AI520" s="27"/>
      <c r="AJ520" s="17">
        <f t="shared" si="158"/>
        <v>0.15</v>
      </c>
      <c r="AK520" s="20"/>
      <c r="AL520" s="17">
        <f t="shared" si="159"/>
        <v>7.35</v>
      </c>
      <c r="AM520" s="17" t="s">
        <v>108</v>
      </c>
      <c r="AN520" s="21">
        <v>0.4</v>
      </c>
      <c r="AO520" s="17">
        <f t="shared" si="160"/>
        <v>2.94</v>
      </c>
      <c r="AP520" s="30">
        <v>2.94</v>
      </c>
      <c r="AQ520" s="29">
        <v>45229</v>
      </c>
      <c r="AR520" s="17">
        <f t="shared" si="167"/>
        <v>0</v>
      </c>
      <c r="AS520" s="17"/>
      <c r="AT520" s="17">
        <v>8.6999999999999993</v>
      </c>
      <c r="AU520" s="17">
        <f t="shared" si="173"/>
        <v>8.6999999999999993</v>
      </c>
      <c r="AV520" s="17">
        <f t="shared" si="161"/>
        <v>0</v>
      </c>
      <c r="AW520" s="17" t="str">
        <f t="shared" si="163"/>
        <v>RAWSUR</v>
      </c>
      <c r="AX520" s="22">
        <v>44901</v>
      </c>
      <c r="AY520" s="22"/>
      <c r="AZ520" s="1" t="s">
        <v>110</v>
      </c>
      <c r="BA520" s="22" t="str">
        <f t="shared" si="169"/>
        <v>MARINE CARGO / GIT</v>
      </c>
      <c r="BB520" s="54"/>
      <c r="BC520" s="22"/>
      <c r="BD520" s="22"/>
    </row>
    <row r="521" spans="1:56" ht="14.25" customHeight="1" x14ac:dyDescent="0.2">
      <c r="A521" s="1" t="s">
        <v>773</v>
      </c>
      <c r="B521" s="1" t="s">
        <v>57</v>
      </c>
      <c r="C521" s="13">
        <v>44837</v>
      </c>
      <c r="D521" s="13">
        <v>44835</v>
      </c>
      <c r="E521" s="13">
        <v>44827</v>
      </c>
      <c r="F521" s="13">
        <v>44917</v>
      </c>
      <c r="G521" s="14" t="str">
        <f t="shared" si="155"/>
        <v>000-520/AIB RDC/2022</v>
      </c>
      <c r="H521" s="1">
        <v>0</v>
      </c>
      <c r="I521" s="1" t="s">
        <v>74</v>
      </c>
      <c r="J521" s="1" t="s">
        <v>823</v>
      </c>
      <c r="K521" s="1" t="s">
        <v>181</v>
      </c>
      <c r="L521" s="1"/>
      <c r="M521" s="1" t="s">
        <v>105</v>
      </c>
      <c r="N521" s="1" t="s">
        <v>106</v>
      </c>
      <c r="O521" s="1" t="s">
        <v>64</v>
      </c>
      <c r="P521" s="1" t="s">
        <v>65</v>
      </c>
      <c r="Q521" s="1" t="s">
        <v>107</v>
      </c>
      <c r="R521" s="1" t="s">
        <v>107</v>
      </c>
      <c r="S521" s="17">
        <v>1353</v>
      </c>
      <c r="T521" s="17">
        <v>129.80000000000001</v>
      </c>
      <c r="U521" s="17">
        <v>0</v>
      </c>
      <c r="V521" s="17">
        <v>0</v>
      </c>
      <c r="W521" s="17">
        <v>10</v>
      </c>
      <c r="X521" s="17">
        <v>100</v>
      </c>
      <c r="Y521" s="17">
        <v>17.600000000000001</v>
      </c>
      <c r="Z521" s="18">
        <f t="shared" si="156"/>
        <v>9.5934959349593507E-2</v>
      </c>
      <c r="AA521" s="19">
        <v>0.15</v>
      </c>
      <c r="AB521" s="17">
        <f t="shared" si="174"/>
        <v>15</v>
      </c>
      <c r="AC521" s="17">
        <v>0</v>
      </c>
      <c r="AD521" s="17">
        <v>0</v>
      </c>
      <c r="AE521" s="17">
        <f t="shared" si="157"/>
        <v>15</v>
      </c>
      <c r="AF521" s="17">
        <f t="shared" si="175"/>
        <v>2.4</v>
      </c>
      <c r="AG521" s="17">
        <f t="shared" ref="AG521:AG552" si="177">AF521+AE521</f>
        <v>17.399999999999999</v>
      </c>
      <c r="AH521" s="17">
        <f t="shared" si="176"/>
        <v>0.3</v>
      </c>
      <c r="AI521" s="27"/>
      <c r="AJ521" s="17">
        <f t="shared" si="158"/>
        <v>0.3</v>
      </c>
      <c r="AK521" s="20"/>
      <c r="AL521" s="17">
        <f t="shared" si="159"/>
        <v>14.7</v>
      </c>
      <c r="AM521" s="17" t="s">
        <v>108</v>
      </c>
      <c r="AN521" s="21">
        <v>0.4</v>
      </c>
      <c r="AO521" s="17">
        <f t="shared" si="160"/>
        <v>5.88</v>
      </c>
      <c r="AP521" s="30">
        <v>5.88</v>
      </c>
      <c r="AQ521" s="29">
        <v>45229</v>
      </c>
      <c r="AR521" s="17">
        <f t="shared" si="167"/>
        <v>0</v>
      </c>
      <c r="AS521" s="17"/>
      <c r="AT521" s="17">
        <v>17.399999999999999</v>
      </c>
      <c r="AU521" s="17">
        <f t="shared" si="173"/>
        <v>17.399999999999999</v>
      </c>
      <c r="AV521" s="17">
        <f t="shared" si="161"/>
        <v>0</v>
      </c>
      <c r="AW521" s="17" t="str">
        <f t="shared" si="163"/>
        <v>RAWSUR</v>
      </c>
      <c r="AX521" s="22">
        <v>44901</v>
      </c>
      <c r="AY521" s="22"/>
      <c r="AZ521" s="1" t="s">
        <v>110</v>
      </c>
      <c r="BA521" s="22" t="str">
        <f t="shared" ref="BA521:BA532" si="178">O521</f>
        <v>MARINE CARGO / GIT</v>
      </c>
      <c r="BB521" s="54"/>
      <c r="BC521" s="22"/>
      <c r="BD521" s="22"/>
    </row>
    <row r="522" spans="1:56" ht="14.25" customHeight="1" x14ac:dyDescent="0.2">
      <c r="A522" s="1" t="s">
        <v>773</v>
      </c>
      <c r="B522" s="1" t="s">
        <v>57</v>
      </c>
      <c r="C522" s="13">
        <v>44837</v>
      </c>
      <c r="D522" s="13">
        <v>44827</v>
      </c>
      <c r="E522" s="13">
        <v>44825</v>
      </c>
      <c r="F522" s="13">
        <v>45189</v>
      </c>
      <c r="G522" s="14" t="str">
        <f t="shared" si="155"/>
        <v>000-521/AIB RDC/2022</v>
      </c>
      <c r="H522" s="1">
        <v>0</v>
      </c>
      <c r="I522" s="1" t="s">
        <v>74</v>
      </c>
      <c r="J522" s="1" t="s">
        <v>824</v>
      </c>
      <c r="K522" s="1" t="s">
        <v>263</v>
      </c>
      <c r="L522" s="1"/>
      <c r="M522" s="1" t="s">
        <v>105</v>
      </c>
      <c r="N522" s="1" t="s">
        <v>106</v>
      </c>
      <c r="O522" s="1" t="s">
        <v>64</v>
      </c>
      <c r="P522" s="1" t="s">
        <v>65</v>
      </c>
      <c r="Q522" s="1" t="s">
        <v>130</v>
      </c>
      <c r="R522" s="1" t="s">
        <v>130</v>
      </c>
      <c r="S522" s="17">
        <v>32116</v>
      </c>
      <c r="T522" s="17">
        <v>73.62</v>
      </c>
      <c r="U522" s="17">
        <v>0</v>
      </c>
      <c r="V522" s="17">
        <v>0</v>
      </c>
      <c r="W522" s="17">
        <v>20</v>
      </c>
      <c r="X522" s="17">
        <v>42.39</v>
      </c>
      <c r="Y522" s="17">
        <v>9.98</v>
      </c>
      <c r="Z522" s="18">
        <f t="shared" si="156"/>
        <v>2.2923153568314859E-3</v>
      </c>
      <c r="AA522" s="19">
        <v>0.15</v>
      </c>
      <c r="AB522" s="17">
        <f t="shared" si="174"/>
        <v>6.3585000000000003</v>
      </c>
      <c r="AC522" s="17">
        <v>0</v>
      </c>
      <c r="AD522" s="17">
        <v>0</v>
      </c>
      <c r="AE522" s="17">
        <f t="shared" si="157"/>
        <v>6.3585000000000003</v>
      </c>
      <c r="AF522" s="17">
        <f t="shared" si="175"/>
        <v>1.01736</v>
      </c>
      <c r="AG522" s="17">
        <f t="shared" si="177"/>
        <v>7.3758600000000003</v>
      </c>
      <c r="AH522" s="17">
        <f t="shared" si="176"/>
        <v>0.12717000000000001</v>
      </c>
      <c r="AI522" s="27"/>
      <c r="AJ522" s="17">
        <f t="shared" si="158"/>
        <v>0.12717000000000001</v>
      </c>
      <c r="AK522" s="20"/>
      <c r="AL522" s="17">
        <f t="shared" si="159"/>
        <v>6.2313299999999998</v>
      </c>
      <c r="AM522" s="17" t="s">
        <v>108</v>
      </c>
      <c r="AN522" s="21">
        <v>0.4</v>
      </c>
      <c r="AO522" s="17">
        <f t="shared" si="160"/>
        <v>2.4925320000000002</v>
      </c>
      <c r="AP522" s="30">
        <v>2.4925320000000002</v>
      </c>
      <c r="AQ522" s="29">
        <v>45229</v>
      </c>
      <c r="AR522" s="17">
        <f t="shared" si="167"/>
        <v>0</v>
      </c>
      <c r="AS522" s="17"/>
      <c r="AT522" s="17">
        <v>7.3758600000000003</v>
      </c>
      <c r="AU522" s="17">
        <f t="shared" si="173"/>
        <v>7.3758600000000003</v>
      </c>
      <c r="AV522" s="17">
        <f t="shared" si="161"/>
        <v>0</v>
      </c>
      <c r="AW522" s="17" t="str">
        <f t="shared" si="163"/>
        <v>SFA</v>
      </c>
      <c r="AX522" s="22">
        <v>45076</v>
      </c>
      <c r="AY522" s="22"/>
      <c r="AZ522" s="1" t="s">
        <v>110</v>
      </c>
      <c r="BA522" s="22" t="str">
        <f t="shared" si="178"/>
        <v>MARINE CARGO / GIT</v>
      </c>
      <c r="BB522" s="54"/>
      <c r="BC522" s="22"/>
      <c r="BD522" s="1" t="s">
        <v>226</v>
      </c>
    </row>
    <row r="523" spans="1:56" ht="14.25" customHeight="1" x14ac:dyDescent="0.2">
      <c r="A523" s="1" t="s">
        <v>773</v>
      </c>
      <c r="B523" s="1" t="s">
        <v>57</v>
      </c>
      <c r="C523" s="13">
        <v>44837</v>
      </c>
      <c r="D523" s="13">
        <v>44827</v>
      </c>
      <c r="E523" s="13">
        <v>44825</v>
      </c>
      <c r="F523" s="13">
        <v>45189</v>
      </c>
      <c r="G523" s="14" t="str">
        <f t="shared" si="155"/>
        <v>000-522/AIB RDC/2022</v>
      </c>
      <c r="H523" s="1">
        <v>0</v>
      </c>
      <c r="I523" s="1" t="s">
        <v>74</v>
      </c>
      <c r="J523" s="1" t="s">
        <v>825</v>
      </c>
      <c r="K523" s="1" t="s">
        <v>263</v>
      </c>
      <c r="L523" s="1"/>
      <c r="M523" s="1" t="s">
        <v>105</v>
      </c>
      <c r="N523" s="1" t="s">
        <v>106</v>
      </c>
      <c r="O523" s="1" t="s">
        <v>64</v>
      </c>
      <c r="P523" s="1" t="s">
        <v>65</v>
      </c>
      <c r="Q523" s="1" t="s">
        <v>130</v>
      </c>
      <c r="R523" s="1" t="s">
        <v>130</v>
      </c>
      <c r="S523" s="17">
        <v>7389.29</v>
      </c>
      <c r="T523" s="17">
        <v>50.15</v>
      </c>
      <c r="U523" s="17">
        <v>0</v>
      </c>
      <c r="V523" s="17">
        <v>0</v>
      </c>
      <c r="W523" s="17">
        <v>20</v>
      </c>
      <c r="X523" s="17">
        <v>22.5</v>
      </c>
      <c r="Y523" s="17">
        <v>6.8</v>
      </c>
      <c r="Z523" s="18">
        <f t="shared" si="156"/>
        <v>6.78684961613362E-3</v>
      </c>
      <c r="AA523" s="19">
        <v>0.15</v>
      </c>
      <c r="AB523" s="17">
        <f t="shared" si="174"/>
        <v>3.375</v>
      </c>
      <c r="AC523" s="17">
        <v>0</v>
      </c>
      <c r="AD523" s="17">
        <v>0</v>
      </c>
      <c r="AE523" s="17">
        <f t="shared" si="157"/>
        <v>3.375</v>
      </c>
      <c r="AF523" s="17">
        <f t="shared" si="175"/>
        <v>0.54</v>
      </c>
      <c r="AG523" s="17">
        <f t="shared" si="177"/>
        <v>3.915</v>
      </c>
      <c r="AH523" s="17">
        <f t="shared" si="176"/>
        <v>6.7500000000000004E-2</v>
      </c>
      <c r="AI523" s="27"/>
      <c r="AJ523" s="17">
        <f t="shared" si="158"/>
        <v>6.7500000000000004E-2</v>
      </c>
      <c r="AK523" s="20"/>
      <c r="AL523" s="17">
        <f t="shared" si="159"/>
        <v>3.3075000000000001</v>
      </c>
      <c r="AM523" s="17" t="s">
        <v>108</v>
      </c>
      <c r="AN523" s="21">
        <v>0.4</v>
      </c>
      <c r="AO523" s="17">
        <f t="shared" si="160"/>
        <v>1.3230000000000002</v>
      </c>
      <c r="AP523" s="30">
        <v>1.3230000000000002</v>
      </c>
      <c r="AQ523" s="29">
        <v>45229</v>
      </c>
      <c r="AR523" s="17">
        <f t="shared" si="167"/>
        <v>0</v>
      </c>
      <c r="AS523" s="17"/>
      <c r="AT523" s="17">
        <v>3.915</v>
      </c>
      <c r="AU523" s="17">
        <f t="shared" si="173"/>
        <v>3.915</v>
      </c>
      <c r="AV523" s="17">
        <f t="shared" si="161"/>
        <v>0</v>
      </c>
      <c r="AW523" s="17" t="str">
        <f t="shared" si="163"/>
        <v>SFA</v>
      </c>
      <c r="AX523" s="22">
        <v>45070</v>
      </c>
      <c r="AY523" s="22"/>
      <c r="AZ523" s="1" t="s">
        <v>110</v>
      </c>
      <c r="BA523" s="22" t="str">
        <f t="shared" si="178"/>
        <v>MARINE CARGO / GIT</v>
      </c>
      <c r="BB523" s="54"/>
      <c r="BC523" s="22"/>
      <c r="BD523" s="1" t="s">
        <v>275</v>
      </c>
    </row>
    <row r="524" spans="1:56" ht="14.25" customHeight="1" x14ac:dyDescent="0.2">
      <c r="A524" s="1" t="s">
        <v>773</v>
      </c>
      <c r="B524" s="1" t="s">
        <v>57</v>
      </c>
      <c r="C524" s="13">
        <v>44837</v>
      </c>
      <c r="D524" s="13">
        <v>44827</v>
      </c>
      <c r="E524" s="13">
        <v>44825</v>
      </c>
      <c r="F524" s="13">
        <v>45189</v>
      </c>
      <c r="G524" s="14" t="str">
        <f t="shared" ref="G524:G587" si="179">TEXT(ROW(G524)-1,"000-000") &amp; "/AIB RDC/2022"</f>
        <v>000-523/AIB RDC/2022</v>
      </c>
      <c r="H524" s="1">
        <v>0</v>
      </c>
      <c r="I524" s="1" t="s">
        <v>74</v>
      </c>
      <c r="J524" s="1" t="s">
        <v>826</v>
      </c>
      <c r="K524" s="1" t="s">
        <v>263</v>
      </c>
      <c r="L524" s="1"/>
      <c r="M524" s="1" t="s">
        <v>105</v>
      </c>
      <c r="N524" s="1" t="s">
        <v>106</v>
      </c>
      <c r="O524" s="1" t="s">
        <v>64</v>
      </c>
      <c r="P524" s="1" t="s">
        <v>65</v>
      </c>
      <c r="Q524" s="1" t="s">
        <v>130</v>
      </c>
      <c r="R524" s="1" t="s">
        <v>130</v>
      </c>
      <c r="S524" s="17">
        <v>21175</v>
      </c>
      <c r="T524" s="17">
        <v>80.180000000000007</v>
      </c>
      <c r="U524" s="17">
        <v>0</v>
      </c>
      <c r="V524" s="17">
        <v>0</v>
      </c>
      <c r="W524" s="17">
        <v>40</v>
      </c>
      <c r="X524" s="17">
        <v>27.95</v>
      </c>
      <c r="Y524" s="17">
        <v>10.87</v>
      </c>
      <c r="Z524" s="18">
        <f t="shared" ref="Z524:Z587" si="180">T524/S524</f>
        <v>3.7865407319952779E-3</v>
      </c>
      <c r="AA524" s="19">
        <v>0.15</v>
      </c>
      <c r="AB524" s="17">
        <f t="shared" si="174"/>
        <v>4.1924999999999999</v>
      </c>
      <c r="AC524" s="17">
        <v>0</v>
      </c>
      <c r="AD524" s="17">
        <v>0</v>
      </c>
      <c r="AE524" s="17">
        <f t="shared" ref="AE524:AE587" si="181">SUM(AB524:AD524)</f>
        <v>4.1924999999999999</v>
      </c>
      <c r="AF524" s="17">
        <f t="shared" si="175"/>
        <v>0.67079999999999995</v>
      </c>
      <c r="AG524" s="17">
        <f t="shared" si="177"/>
        <v>4.8632999999999997</v>
      </c>
      <c r="AH524" s="17">
        <f t="shared" si="176"/>
        <v>8.3849999999999994E-2</v>
      </c>
      <c r="AI524" s="27"/>
      <c r="AJ524" s="17">
        <f t="shared" ref="AJ524:AJ587" si="182">AH524-AI524</f>
        <v>8.3849999999999994E-2</v>
      </c>
      <c r="AK524" s="20"/>
      <c r="AL524" s="17">
        <f t="shared" ref="AL524:AL587" si="183">AE524-AH524</f>
        <v>4.1086499999999999</v>
      </c>
      <c r="AM524" s="17" t="s">
        <v>108</v>
      </c>
      <c r="AN524" s="21">
        <v>0.4</v>
      </c>
      <c r="AO524" s="17">
        <f t="shared" ref="AO524:AO587" si="184">AL524*AN524</f>
        <v>1.6434600000000001</v>
      </c>
      <c r="AP524" s="30">
        <v>1.6434600000000001</v>
      </c>
      <c r="AQ524" s="29">
        <v>45229</v>
      </c>
      <c r="AR524" s="17">
        <f t="shared" si="167"/>
        <v>0</v>
      </c>
      <c r="AS524" s="17"/>
      <c r="AT524" s="17">
        <v>4.8632999999999997</v>
      </c>
      <c r="AU524" s="17">
        <f t="shared" si="173"/>
        <v>4.8632999999999997</v>
      </c>
      <c r="AV524" s="17">
        <f t="shared" ref="AV524:AV587" si="185">AU524-AT524</f>
        <v>0</v>
      </c>
      <c r="AW524" s="17" t="str">
        <f t="shared" si="163"/>
        <v>SFA</v>
      </c>
      <c r="AX524" s="22">
        <v>45070</v>
      </c>
      <c r="AY524" s="22"/>
      <c r="AZ524" s="1" t="s">
        <v>110</v>
      </c>
      <c r="BA524" s="22" t="str">
        <f t="shared" si="178"/>
        <v>MARINE CARGO / GIT</v>
      </c>
      <c r="BB524" s="54"/>
      <c r="BC524" s="22"/>
      <c r="BD524" s="1" t="s">
        <v>275</v>
      </c>
    </row>
    <row r="525" spans="1:56" ht="14.25" customHeight="1" x14ac:dyDescent="0.2">
      <c r="A525" s="28" t="s">
        <v>773</v>
      </c>
      <c r="B525" s="28" t="s">
        <v>57</v>
      </c>
      <c r="C525" s="36">
        <v>44837</v>
      </c>
      <c r="D525" s="36">
        <v>44827</v>
      </c>
      <c r="E525" s="36">
        <v>44825</v>
      </c>
      <c r="F525" s="36">
        <v>45189</v>
      </c>
      <c r="G525" s="37" t="str">
        <f t="shared" si="179"/>
        <v>000-524/AIB RDC/2022</v>
      </c>
      <c r="H525" s="28">
        <v>0</v>
      </c>
      <c r="I525" s="28" t="s">
        <v>74</v>
      </c>
      <c r="J525" s="28" t="s">
        <v>827</v>
      </c>
      <c r="K525" s="28" t="s">
        <v>263</v>
      </c>
      <c r="L525" s="28"/>
      <c r="M525" s="28" t="s">
        <v>105</v>
      </c>
      <c r="N525" s="28" t="s">
        <v>106</v>
      </c>
      <c r="O525" s="28" t="s">
        <v>64</v>
      </c>
      <c r="P525" s="28" t="s">
        <v>65</v>
      </c>
      <c r="Q525" s="28" t="s">
        <v>130</v>
      </c>
      <c r="R525" s="28" t="s">
        <v>130</v>
      </c>
      <c r="S525" s="23">
        <v>29816.27</v>
      </c>
      <c r="T525" s="23">
        <v>70.05</v>
      </c>
      <c r="U525" s="23">
        <v>0</v>
      </c>
      <c r="V525" s="23">
        <v>0</v>
      </c>
      <c r="W525" s="23">
        <v>20</v>
      </c>
      <c r="X525" s="23">
        <v>39.36</v>
      </c>
      <c r="Y525" s="23">
        <v>9.5</v>
      </c>
      <c r="Z525" s="38">
        <f t="shared" si="180"/>
        <v>2.3493884379233217E-3</v>
      </c>
      <c r="AA525" s="39">
        <v>0.15</v>
      </c>
      <c r="AB525" s="23">
        <f t="shared" si="174"/>
        <v>5.9039999999999999</v>
      </c>
      <c r="AC525" s="23">
        <v>0</v>
      </c>
      <c r="AD525" s="23">
        <v>0</v>
      </c>
      <c r="AE525" s="23">
        <f t="shared" si="181"/>
        <v>5.9039999999999999</v>
      </c>
      <c r="AF525" s="23">
        <f t="shared" si="175"/>
        <v>0.94464000000000004</v>
      </c>
      <c r="AG525" s="23">
        <f t="shared" si="177"/>
        <v>6.8486399999999996</v>
      </c>
      <c r="AH525" s="23">
        <f t="shared" si="176"/>
        <v>0.11808</v>
      </c>
      <c r="AI525" s="55"/>
      <c r="AJ525" s="23">
        <f t="shared" si="182"/>
        <v>0.11808</v>
      </c>
      <c r="AK525" s="40"/>
      <c r="AL525" s="23">
        <f t="shared" si="183"/>
        <v>5.78592</v>
      </c>
      <c r="AM525" s="23" t="s">
        <v>108</v>
      </c>
      <c r="AN525" s="41">
        <v>0.4</v>
      </c>
      <c r="AO525" s="23">
        <f t="shared" si="184"/>
        <v>2.314368</v>
      </c>
      <c r="AP525" s="30">
        <v>2.314368</v>
      </c>
      <c r="AQ525" s="29">
        <v>45229</v>
      </c>
      <c r="AR525" s="23">
        <f t="shared" si="167"/>
        <v>0</v>
      </c>
      <c r="AS525" s="23"/>
      <c r="AT525" s="23">
        <v>6.8486399999999996</v>
      </c>
      <c r="AU525" s="23">
        <f t="shared" si="173"/>
        <v>6.8486399999999996</v>
      </c>
      <c r="AV525" s="23">
        <f t="shared" si="185"/>
        <v>0</v>
      </c>
      <c r="AW525" s="23" t="str">
        <f t="shared" si="163"/>
        <v>SFA</v>
      </c>
      <c r="AX525" s="42">
        <v>44984</v>
      </c>
      <c r="AY525" s="42"/>
      <c r="AZ525" s="28" t="s">
        <v>110</v>
      </c>
      <c r="BA525" s="42" t="str">
        <f t="shared" si="178"/>
        <v>MARINE CARGO / GIT</v>
      </c>
      <c r="BB525" s="56"/>
      <c r="BC525" s="42"/>
      <c r="BD525" s="28" t="s">
        <v>275</v>
      </c>
    </row>
    <row r="526" spans="1:56" ht="14.25" customHeight="1" x14ac:dyDescent="0.2">
      <c r="A526" s="1" t="s">
        <v>773</v>
      </c>
      <c r="B526" s="1" t="s">
        <v>57</v>
      </c>
      <c r="C526" s="13">
        <v>44837</v>
      </c>
      <c r="D526" s="13">
        <v>44833</v>
      </c>
      <c r="E526" s="13">
        <v>44829</v>
      </c>
      <c r="F526" s="13">
        <v>45193</v>
      </c>
      <c r="G526" s="14" t="str">
        <f t="shared" si="179"/>
        <v>000-525/AIB RDC/2022</v>
      </c>
      <c r="H526" s="1">
        <v>2</v>
      </c>
      <c r="I526" s="1" t="s">
        <v>58</v>
      </c>
      <c r="J526" s="1" t="s">
        <v>828</v>
      </c>
      <c r="K526" s="1" t="s">
        <v>632</v>
      </c>
      <c r="L526" s="1"/>
      <c r="M526" s="1" t="s">
        <v>105</v>
      </c>
      <c r="N526" s="1" t="s">
        <v>184</v>
      </c>
      <c r="O526" s="1" t="s">
        <v>172</v>
      </c>
      <c r="P526" s="1" t="s">
        <v>90</v>
      </c>
      <c r="Q526" s="1" t="s">
        <v>130</v>
      </c>
      <c r="R526" s="1" t="s">
        <v>130</v>
      </c>
      <c r="S526" s="17">
        <v>0</v>
      </c>
      <c r="T526" s="17">
        <v>83630.38</v>
      </c>
      <c r="U526" s="17">
        <v>10584.5</v>
      </c>
      <c r="V526" s="17">
        <v>0</v>
      </c>
      <c r="W526" s="17">
        <v>309.89</v>
      </c>
      <c r="X526" s="17">
        <v>59978.82</v>
      </c>
      <c r="Y526" s="17">
        <v>11339.71</v>
      </c>
      <c r="Z526" s="18" t="e">
        <f t="shared" si="180"/>
        <v>#DIV/0!</v>
      </c>
      <c r="AA526" s="19">
        <v>0.16189198120269799</v>
      </c>
      <c r="AB526" s="17">
        <v>0</v>
      </c>
      <c r="AC526" s="17">
        <f>30%*U526</f>
        <v>3175.35</v>
      </c>
      <c r="AD526" s="17">
        <f>AA526*X526</f>
        <v>9710.0900000000056</v>
      </c>
      <c r="AE526" s="17">
        <f t="shared" si="181"/>
        <v>12885.440000000006</v>
      </c>
      <c r="AF526" s="17">
        <f t="shared" si="175"/>
        <v>2061.6704000000009</v>
      </c>
      <c r="AG526" s="17">
        <f t="shared" si="177"/>
        <v>14947.110400000007</v>
      </c>
      <c r="AH526" s="17">
        <f t="shared" si="176"/>
        <v>257.70880000000011</v>
      </c>
      <c r="AI526" s="27"/>
      <c r="AJ526" s="17">
        <f t="shared" si="182"/>
        <v>257.70880000000011</v>
      </c>
      <c r="AK526" s="20"/>
      <c r="AL526" s="17">
        <f t="shared" si="183"/>
        <v>12627.731200000006</v>
      </c>
      <c r="AM526" s="17"/>
      <c r="AN526" s="21"/>
      <c r="AO526" s="17">
        <f t="shared" si="184"/>
        <v>0</v>
      </c>
      <c r="AP526" s="27"/>
      <c r="AQ526" s="16"/>
      <c r="AR526" s="17">
        <f t="shared" si="167"/>
        <v>0</v>
      </c>
      <c r="AS526" s="17"/>
      <c r="AT526" s="17">
        <v>14947.110400000007</v>
      </c>
      <c r="AU526" s="17">
        <f t="shared" si="173"/>
        <v>14947.110400000007</v>
      </c>
      <c r="AV526" s="17">
        <f t="shared" si="185"/>
        <v>0</v>
      </c>
      <c r="AW526" s="17" t="str">
        <f t="shared" si="163"/>
        <v>SFA</v>
      </c>
      <c r="AX526" s="22">
        <v>44862</v>
      </c>
      <c r="AY526" s="22"/>
      <c r="AZ526" s="1"/>
      <c r="BA526" s="22" t="str">
        <f t="shared" si="178"/>
        <v>PUBLIC LIABILITY</v>
      </c>
      <c r="BB526" s="54"/>
      <c r="BC526" s="22"/>
      <c r="BD526" s="22"/>
    </row>
    <row r="527" spans="1:56" ht="14.25" customHeight="1" x14ac:dyDescent="0.2">
      <c r="A527" s="28" t="s">
        <v>773</v>
      </c>
      <c r="B527" s="28" t="s">
        <v>57</v>
      </c>
      <c r="C527" s="36">
        <v>44837</v>
      </c>
      <c r="D527" s="36">
        <v>44834</v>
      </c>
      <c r="E527" s="36">
        <v>44829</v>
      </c>
      <c r="F527" s="36">
        <v>45193</v>
      </c>
      <c r="G527" s="37" t="str">
        <f t="shared" si="179"/>
        <v>000-526/AIB RDC/2022</v>
      </c>
      <c r="H527" s="28">
        <v>2</v>
      </c>
      <c r="I527" s="28" t="s">
        <v>58</v>
      </c>
      <c r="J527" s="28" t="s">
        <v>829</v>
      </c>
      <c r="K527" s="28" t="s">
        <v>632</v>
      </c>
      <c r="L527" s="28"/>
      <c r="M527" s="28" t="s">
        <v>105</v>
      </c>
      <c r="N527" s="28" t="s">
        <v>184</v>
      </c>
      <c r="O527" s="28" t="s">
        <v>466</v>
      </c>
      <c r="P527" s="28" t="s">
        <v>71</v>
      </c>
      <c r="Q527" s="28" t="s">
        <v>130</v>
      </c>
      <c r="R527" s="28" t="s">
        <v>130</v>
      </c>
      <c r="S527" s="23">
        <v>0</v>
      </c>
      <c r="T527" s="23">
        <v>240862.62</v>
      </c>
      <c r="U527" s="23">
        <v>30487.06</v>
      </c>
      <c r="V527" s="23">
        <v>0</v>
      </c>
      <c r="W527" s="23">
        <v>873.8</v>
      </c>
      <c r="X527" s="23">
        <v>172760</v>
      </c>
      <c r="Y527" s="23">
        <v>32659.34</v>
      </c>
      <c r="Z527" s="38" t="e">
        <f t="shared" si="180"/>
        <v>#DIV/0!</v>
      </c>
      <c r="AA527" s="39">
        <v>0.16189187311877701</v>
      </c>
      <c r="AB527" s="23">
        <v>0</v>
      </c>
      <c r="AC527" s="23">
        <f>30%*U527</f>
        <v>9146.1180000000004</v>
      </c>
      <c r="AD527" s="23">
        <f>AA527*X527</f>
        <v>27968.439999999915</v>
      </c>
      <c r="AE527" s="23">
        <f t="shared" si="181"/>
        <v>37114.557999999917</v>
      </c>
      <c r="AF527" s="23">
        <f t="shared" si="175"/>
        <v>5938.3292799999872</v>
      </c>
      <c r="AG527" s="23">
        <f t="shared" si="177"/>
        <v>43052.887279999908</v>
      </c>
      <c r="AH527" s="23">
        <f t="shared" si="176"/>
        <v>742.2911599999984</v>
      </c>
      <c r="AI527" s="55"/>
      <c r="AJ527" s="23">
        <f t="shared" si="182"/>
        <v>742.2911599999984</v>
      </c>
      <c r="AK527" s="40"/>
      <c r="AL527" s="23">
        <f t="shared" si="183"/>
        <v>36372.266839999917</v>
      </c>
      <c r="AM527" s="23"/>
      <c r="AN527" s="41"/>
      <c r="AO527" s="23">
        <f t="shared" si="184"/>
        <v>0</v>
      </c>
      <c r="AP527" s="55"/>
      <c r="AQ527" s="29"/>
      <c r="AR527" s="23">
        <f t="shared" si="167"/>
        <v>0</v>
      </c>
      <c r="AS527" s="23"/>
      <c r="AT527" s="23">
        <f>10763.22+10763.22+21526.45</f>
        <v>43052.89</v>
      </c>
      <c r="AU527" s="23">
        <v>43052.89</v>
      </c>
      <c r="AV527" s="23">
        <f t="shared" si="185"/>
        <v>0</v>
      </c>
      <c r="AW527" s="23" t="str">
        <f t="shared" si="163"/>
        <v>SFA</v>
      </c>
      <c r="AX527" s="42">
        <v>45100</v>
      </c>
      <c r="AY527" s="42"/>
      <c r="AZ527" s="28"/>
      <c r="BA527" s="42" t="str">
        <f t="shared" si="178"/>
        <v>PROPERTY DAMAGE &amp; BI</v>
      </c>
      <c r="BB527" s="56"/>
      <c r="BC527" s="42"/>
      <c r="BD527" s="28" t="s">
        <v>549</v>
      </c>
    </row>
    <row r="528" spans="1:56" ht="14.25" customHeight="1" x14ac:dyDescent="0.2">
      <c r="A528" s="1" t="s">
        <v>773</v>
      </c>
      <c r="B528" s="1" t="s">
        <v>57</v>
      </c>
      <c r="C528" s="13">
        <v>44834</v>
      </c>
      <c r="D528" s="50">
        <v>44862</v>
      </c>
      <c r="E528" s="13">
        <v>44832</v>
      </c>
      <c r="F528" s="13">
        <v>45012</v>
      </c>
      <c r="G528" s="14" t="str">
        <f t="shared" si="179"/>
        <v>000-527/AIB RDC/2022</v>
      </c>
      <c r="H528" s="1">
        <v>0</v>
      </c>
      <c r="I528" s="1" t="s">
        <v>74</v>
      </c>
      <c r="J528" s="1" t="s">
        <v>830</v>
      </c>
      <c r="K528" s="1" t="s">
        <v>817</v>
      </c>
      <c r="L528" s="1" t="s">
        <v>366</v>
      </c>
      <c r="M528" s="1" t="s">
        <v>105</v>
      </c>
      <c r="N528" s="1" t="s">
        <v>191</v>
      </c>
      <c r="O528" s="1" t="s">
        <v>281</v>
      </c>
      <c r="P528" s="1" t="s">
        <v>166</v>
      </c>
      <c r="Q528" s="1" t="s">
        <v>130</v>
      </c>
      <c r="R528" s="1" t="s">
        <v>130</v>
      </c>
      <c r="S528" s="17">
        <v>0</v>
      </c>
      <c r="T528" s="17">
        <v>2000.26</v>
      </c>
      <c r="U528" s="17">
        <v>0</v>
      </c>
      <c r="V528" s="17">
        <v>0</v>
      </c>
      <c r="W528" s="17">
        <v>18.38</v>
      </c>
      <c r="X528" s="17">
        <v>1676.75</v>
      </c>
      <c r="Y528" s="17">
        <v>271.22000000000003</v>
      </c>
      <c r="Z528" s="18" t="e">
        <f t="shared" si="180"/>
        <v>#DIV/0!</v>
      </c>
      <c r="AA528" s="19">
        <v>0.15</v>
      </c>
      <c r="AB528" s="17">
        <f t="shared" ref="AB528:AB565" si="186">(AA528*X528)</f>
        <v>251.51249999999999</v>
      </c>
      <c r="AC528" s="34">
        <v>0</v>
      </c>
      <c r="AD528" s="34">
        <v>0</v>
      </c>
      <c r="AE528" s="17">
        <f t="shared" si="181"/>
        <v>251.51249999999999</v>
      </c>
      <c r="AF528" s="17">
        <f t="shared" si="175"/>
        <v>40.241999999999997</v>
      </c>
      <c r="AG528" s="17">
        <f t="shared" si="177"/>
        <v>291.75450000000001</v>
      </c>
      <c r="AH528" s="17">
        <f t="shared" si="176"/>
        <v>5.0302499999999997</v>
      </c>
      <c r="AI528" s="27"/>
      <c r="AJ528" s="17">
        <f t="shared" si="182"/>
        <v>5.0302499999999997</v>
      </c>
      <c r="AK528" s="20"/>
      <c r="AL528" s="17">
        <f t="shared" si="183"/>
        <v>246.48224999999999</v>
      </c>
      <c r="AM528" s="17"/>
      <c r="AN528" s="21"/>
      <c r="AO528" s="17">
        <f t="shared" si="184"/>
        <v>0</v>
      </c>
      <c r="AP528" s="27"/>
      <c r="AQ528" s="16"/>
      <c r="AR528" s="17">
        <f t="shared" si="167"/>
        <v>0</v>
      </c>
      <c r="AS528" s="17"/>
      <c r="AT528" s="17">
        <v>291.75450000000001</v>
      </c>
      <c r="AU528" s="17">
        <f t="shared" ref="AU528:AU559" si="187">AG528</f>
        <v>291.75450000000001</v>
      </c>
      <c r="AV528" s="17">
        <f t="shared" si="185"/>
        <v>0</v>
      </c>
      <c r="AW528" s="17" t="str">
        <f t="shared" si="163"/>
        <v>SFA</v>
      </c>
      <c r="AX528" s="22">
        <v>44887</v>
      </c>
      <c r="AY528" s="22"/>
      <c r="AZ528" s="1" t="s">
        <v>110</v>
      </c>
      <c r="BA528" s="22" t="str">
        <f t="shared" si="178"/>
        <v>TRC</v>
      </c>
      <c r="BB528" s="54"/>
      <c r="BC528" s="22"/>
      <c r="BD528" s="22"/>
    </row>
    <row r="529" spans="1:56" ht="14.25" customHeight="1" x14ac:dyDescent="0.2">
      <c r="A529" s="1" t="s">
        <v>847</v>
      </c>
      <c r="B529" s="1" t="s">
        <v>273</v>
      </c>
      <c r="C529" s="48"/>
      <c r="D529" s="48"/>
      <c r="E529" s="13">
        <v>44895</v>
      </c>
      <c r="F529" s="13">
        <v>45261</v>
      </c>
      <c r="G529" s="14" t="str">
        <f t="shared" si="179"/>
        <v>000-528/AIB RDC/2022</v>
      </c>
      <c r="H529" s="1">
        <v>1</v>
      </c>
      <c r="I529" s="1" t="s">
        <v>115</v>
      </c>
      <c r="J529" s="53" t="s">
        <v>1094</v>
      </c>
      <c r="K529" s="1" t="s">
        <v>355</v>
      </c>
      <c r="L529" s="1" t="s">
        <v>214</v>
      </c>
      <c r="M529" s="1" t="s">
        <v>84</v>
      </c>
      <c r="N529" s="1" t="s">
        <v>85</v>
      </c>
      <c r="O529" s="1" t="s">
        <v>466</v>
      </c>
      <c r="P529" s="1" t="s">
        <v>71</v>
      </c>
      <c r="Q529" s="1" t="s">
        <v>130</v>
      </c>
      <c r="R529" s="1" t="s">
        <v>780</v>
      </c>
      <c r="S529" s="17">
        <v>0</v>
      </c>
      <c r="T529" s="34">
        <v>-416794.85</v>
      </c>
      <c r="U529" s="34">
        <v>-40358.6</v>
      </c>
      <c r="V529" s="34">
        <v>18834.009999999998</v>
      </c>
      <c r="W529" s="34">
        <v>0</v>
      </c>
      <c r="X529" s="34">
        <v>-312857.38</v>
      </c>
      <c r="Y529" s="34">
        <v>-56514.559999999998</v>
      </c>
      <c r="Z529" s="18" t="e">
        <f t="shared" si="180"/>
        <v>#DIV/0!</v>
      </c>
      <c r="AA529" s="19">
        <v>1.3650000000000001E-2</v>
      </c>
      <c r="AB529" s="17">
        <f t="shared" si="186"/>
        <v>-4270.5032369999999</v>
      </c>
      <c r="AC529" s="17">
        <f>30%*(U529+V529)</f>
        <v>-6457.3769999999995</v>
      </c>
      <c r="AD529" s="17">
        <v>0</v>
      </c>
      <c r="AE529" s="17">
        <f t="shared" si="181"/>
        <v>-10727.880236999999</v>
      </c>
      <c r="AF529" s="17">
        <f t="shared" si="175"/>
        <v>-1716.4608379199999</v>
      </c>
      <c r="AG529" s="17">
        <f t="shared" si="177"/>
        <v>-12444.341074919999</v>
      </c>
      <c r="AH529" s="17">
        <f t="shared" si="176"/>
        <v>-214.55760473999999</v>
      </c>
      <c r="AI529" s="17">
        <v>0</v>
      </c>
      <c r="AJ529" s="17">
        <f t="shared" si="182"/>
        <v>-214.55760473999999</v>
      </c>
      <c r="AK529" s="20"/>
      <c r="AL529" s="17">
        <f t="shared" si="183"/>
        <v>-10513.322632259998</v>
      </c>
      <c r="AM529" s="30"/>
      <c r="AN529" s="80"/>
      <c r="AO529" s="17">
        <f t="shared" si="184"/>
        <v>0</v>
      </c>
      <c r="AP529" s="30"/>
      <c r="AQ529" s="33"/>
      <c r="AR529" s="17">
        <f t="shared" si="167"/>
        <v>0</v>
      </c>
      <c r="AS529" s="30"/>
      <c r="AT529" s="30"/>
      <c r="AU529" s="17">
        <f t="shared" si="187"/>
        <v>-12444.341074919999</v>
      </c>
      <c r="AV529" s="84">
        <f t="shared" si="185"/>
        <v>-12444.341074919999</v>
      </c>
      <c r="AW529" s="17" t="str">
        <f t="shared" si="163"/>
        <v>SFA</v>
      </c>
      <c r="AX529" s="81"/>
      <c r="AY529" s="81"/>
      <c r="AZ529" s="2"/>
      <c r="BA529" s="22" t="str">
        <f t="shared" si="178"/>
        <v>PROPERTY DAMAGE &amp; BI</v>
      </c>
      <c r="BB529" s="82"/>
      <c r="BC529" s="81"/>
      <c r="BD529" s="2"/>
    </row>
    <row r="530" spans="1:56" ht="14.25" customHeight="1" x14ac:dyDescent="0.2">
      <c r="A530" s="1" t="s">
        <v>667</v>
      </c>
      <c r="B530" s="1" t="s">
        <v>57</v>
      </c>
      <c r="C530" s="13">
        <v>44837</v>
      </c>
      <c r="D530" s="13">
        <v>44838</v>
      </c>
      <c r="E530" s="13">
        <v>44838</v>
      </c>
      <c r="F530" s="13">
        <v>44929</v>
      </c>
      <c r="G530" s="14" t="str">
        <f t="shared" si="179"/>
        <v>000-529/AIB RDC/2022</v>
      </c>
      <c r="H530" s="1">
        <v>0</v>
      </c>
      <c r="I530" s="1" t="s">
        <v>74</v>
      </c>
      <c r="J530" s="1" t="s">
        <v>833</v>
      </c>
      <c r="K530" s="1" t="s">
        <v>834</v>
      </c>
      <c r="L530" s="1"/>
      <c r="M530" s="1" t="s">
        <v>105</v>
      </c>
      <c r="N530" s="1" t="s">
        <v>106</v>
      </c>
      <c r="O530" s="1" t="s">
        <v>64</v>
      </c>
      <c r="P530" s="1" t="s">
        <v>65</v>
      </c>
      <c r="Q530" s="1" t="s">
        <v>107</v>
      </c>
      <c r="R530" s="1" t="s">
        <v>107</v>
      </c>
      <c r="S530" s="17">
        <v>90</v>
      </c>
      <c r="T530" s="17">
        <v>29.5</v>
      </c>
      <c r="U530" s="17">
        <v>0</v>
      </c>
      <c r="V530" s="17">
        <v>0</v>
      </c>
      <c r="W530" s="17">
        <v>10</v>
      </c>
      <c r="X530" s="17">
        <v>15</v>
      </c>
      <c r="Y530" s="17">
        <v>4</v>
      </c>
      <c r="Z530" s="18">
        <f t="shared" si="180"/>
        <v>0.32777777777777778</v>
      </c>
      <c r="AA530" s="19">
        <v>0.15</v>
      </c>
      <c r="AB530" s="17">
        <f t="shared" si="186"/>
        <v>2.25</v>
      </c>
      <c r="AC530" s="34">
        <v>0</v>
      </c>
      <c r="AD530" s="34">
        <v>0</v>
      </c>
      <c r="AE530" s="17">
        <f t="shared" si="181"/>
        <v>2.25</v>
      </c>
      <c r="AF530" s="17">
        <f t="shared" si="175"/>
        <v>0.36</v>
      </c>
      <c r="AG530" s="17">
        <f t="shared" si="177"/>
        <v>2.61</v>
      </c>
      <c r="AH530" s="17">
        <f t="shared" si="176"/>
        <v>4.4999999999999998E-2</v>
      </c>
      <c r="AI530" s="27"/>
      <c r="AJ530" s="17">
        <f t="shared" si="182"/>
        <v>4.4999999999999998E-2</v>
      </c>
      <c r="AK530" s="20"/>
      <c r="AL530" s="17">
        <f t="shared" si="183"/>
        <v>2.2050000000000001</v>
      </c>
      <c r="AM530" s="17" t="s">
        <v>108</v>
      </c>
      <c r="AN530" s="21">
        <v>0.4</v>
      </c>
      <c r="AO530" s="17">
        <f t="shared" si="184"/>
        <v>0.88200000000000012</v>
      </c>
      <c r="AP530" s="17">
        <v>0.88200000000000012</v>
      </c>
      <c r="AQ530" s="29">
        <v>45229</v>
      </c>
      <c r="AR530" s="17">
        <f t="shared" si="167"/>
        <v>0</v>
      </c>
      <c r="AS530" s="17"/>
      <c r="AT530" s="17">
        <v>2.61</v>
      </c>
      <c r="AU530" s="17">
        <f t="shared" si="187"/>
        <v>2.61</v>
      </c>
      <c r="AV530" s="17">
        <f t="shared" si="185"/>
        <v>0</v>
      </c>
      <c r="AW530" s="17" t="str">
        <f t="shared" si="163"/>
        <v>RAWSUR</v>
      </c>
      <c r="AX530" s="22">
        <v>44901</v>
      </c>
      <c r="AY530" s="22"/>
      <c r="AZ530" s="1" t="s">
        <v>110</v>
      </c>
      <c r="BA530" s="22" t="str">
        <f t="shared" si="178"/>
        <v>MARINE CARGO / GIT</v>
      </c>
      <c r="BB530" s="54"/>
      <c r="BC530" s="22"/>
      <c r="BD530" s="22"/>
    </row>
    <row r="531" spans="1:56" ht="14.25" customHeight="1" x14ac:dyDescent="0.2">
      <c r="A531" s="1" t="s">
        <v>773</v>
      </c>
      <c r="B531" s="1" t="s">
        <v>57</v>
      </c>
      <c r="C531" s="13">
        <v>44837</v>
      </c>
      <c r="D531" s="13">
        <v>44838</v>
      </c>
      <c r="E531" s="13">
        <v>44817</v>
      </c>
      <c r="F531" s="50">
        <v>44846</v>
      </c>
      <c r="G531" s="14" t="str">
        <f t="shared" si="179"/>
        <v>000-530/AIB RDC/2022</v>
      </c>
      <c r="H531" s="1">
        <v>0</v>
      </c>
      <c r="I531" s="1" t="s">
        <v>74</v>
      </c>
      <c r="J531" s="1" t="s">
        <v>835</v>
      </c>
      <c r="K531" s="1" t="s">
        <v>263</v>
      </c>
      <c r="L531" s="1"/>
      <c r="M531" s="1" t="s">
        <v>105</v>
      </c>
      <c r="N531" s="1" t="s">
        <v>106</v>
      </c>
      <c r="O531" s="1" t="s">
        <v>64</v>
      </c>
      <c r="P531" s="1" t="s">
        <v>65</v>
      </c>
      <c r="Q531" s="1" t="s">
        <v>130</v>
      </c>
      <c r="R531" s="1" t="s">
        <v>130</v>
      </c>
      <c r="S531" s="17">
        <v>251098.36</v>
      </c>
      <c r="T531" s="17">
        <v>578.26</v>
      </c>
      <c r="U531" s="17">
        <v>0</v>
      </c>
      <c r="V531" s="17">
        <v>0</v>
      </c>
      <c r="W531" s="17">
        <v>20</v>
      </c>
      <c r="X531" s="17">
        <v>470.05</v>
      </c>
      <c r="Y531" s="17">
        <v>78.41</v>
      </c>
      <c r="Z531" s="18">
        <f t="shared" si="180"/>
        <v>2.3029222492731535E-3</v>
      </c>
      <c r="AA531" s="19">
        <v>0.15</v>
      </c>
      <c r="AB531" s="17">
        <f t="shared" si="186"/>
        <v>70.507499999999993</v>
      </c>
      <c r="AC531" s="34">
        <v>0</v>
      </c>
      <c r="AD531" s="34">
        <v>0</v>
      </c>
      <c r="AE531" s="17">
        <f t="shared" si="181"/>
        <v>70.507499999999993</v>
      </c>
      <c r="AF531" s="17">
        <f t="shared" si="175"/>
        <v>11.281199999999998</v>
      </c>
      <c r="AG531" s="17">
        <f t="shared" si="177"/>
        <v>81.788699999999992</v>
      </c>
      <c r="AH531" s="17">
        <f t="shared" si="176"/>
        <v>1.4101499999999998</v>
      </c>
      <c r="AI531" s="27"/>
      <c r="AJ531" s="17">
        <f t="shared" si="182"/>
        <v>1.4101499999999998</v>
      </c>
      <c r="AK531" s="20"/>
      <c r="AL531" s="17">
        <f t="shared" si="183"/>
        <v>69.097349999999992</v>
      </c>
      <c r="AM531" s="17" t="s">
        <v>108</v>
      </c>
      <c r="AN531" s="21">
        <v>0.4</v>
      </c>
      <c r="AO531" s="17">
        <f t="shared" si="184"/>
        <v>27.638939999999998</v>
      </c>
      <c r="AP531" s="30">
        <v>27.638939999999998</v>
      </c>
      <c r="AQ531" s="29">
        <v>45229</v>
      </c>
      <c r="AR531" s="17">
        <f t="shared" si="167"/>
        <v>0</v>
      </c>
      <c r="AS531" s="17"/>
      <c r="AT531" s="17">
        <v>81.788699999999992</v>
      </c>
      <c r="AU531" s="17">
        <f t="shared" si="187"/>
        <v>81.788699999999992</v>
      </c>
      <c r="AV531" s="17">
        <f t="shared" si="185"/>
        <v>0</v>
      </c>
      <c r="AW531" s="17" t="str">
        <f t="shared" si="163"/>
        <v>SFA</v>
      </c>
      <c r="AX531" s="22">
        <v>44887</v>
      </c>
      <c r="AY531" s="22"/>
      <c r="AZ531" s="1" t="s">
        <v>110</v>
      </c>
      <c r="BA531" s="22" t="str">
        <f t="shared" si="178"/>
        <v>MARINE CARGO / GIT</v>
      </c>
      <c r="BB531" s="54"/>
      <c r="BC531" s="22"/>
      <c r="BD531" s="22"/>
    </row>
    <row r="532" spans="1:56" ht="14.25" customHeight="1" x14ac:dyDescent="0.2">
      <c r="A532" s="1" t="s">
        <v>773</v>
      </c>
      <c r="B532" s="1" t="s">
        <v>57</v>
      </c>
      <c r="C532" s="13">
        <v>44834</v>
      </c>
      <c r="D532" s="13">
        <v>44867</v>
      </c>
      <c r="E532" s="13">
        <v>44805</v>
      </c>
      <c r="F532" s="13">
        <v>44807</v>
      </c>
      <c r="G532" s="14" t="str">
        <f t="shared" si="179"/>
        <v>000-531/AIB RDC/2022</v>
      </c>
      <c r="H532" s="1">
        <v>0</v>
      </c>
      <c r="I532" s="1" t="s">
        <v>74</v>
      </c>
      <c r="J532" s="1" t="s">
        <v>836</v>
      </c>
      <c r="K532" s="1" t="s">
        <v>228</v>
      </c>
      <c r="L532" s="1"/>
      <c r="M532" s="1" t="s">
        <v>105</v>
      </c>
      <c r="N532" s="1" t="s">
        <v>106</v>
      </c>
      <c r="O532" s="1" t="s">
        <v>64</v>
      </c>
      <c r="P532" s="1" t="s">
        <v>65</v>
      </c>
      <c r="Q532" s="1" t="s">
        <v>130</v>
      </c>
      <c r="R532" s="1" t="s">
        <v>130</v>
      </c>
      <c r="S532" s="17">
        <v>51754.46</v>
      </c>
      <c r="T532" s="17">
        <v>247.8</v>
      </c>
      <c r="U532" s="17">
        <v>0</v>
      </c>
      <c r="V532" s="17">
        <v>0</v>
      </c>
      <c r="W532" s="17">
        <v>20</v>
      </c>
      <c r="X532" s="17">
        <v>190</v>
      </c>
      <c r="Y532" s="17">
        <v>33.6</v>
      </c>
      <c r="Z532" s="18">
        <f t="shared" si="180"/>
        <v>4.787993150735222E-3</v>
      </c>
      <c r="AA532" s="19">
        <v>0.15</v>
      </c>
      <c r="AB532" s="17">
        <f t="shared" si="186"/>
        <v>28.5</v>
      </c>
      <c r="AC532" s="34">
        <v>0</v>
      </c>
      <c r="AD532" s="34">
        <v>0</v>
      </c>
      <c r="AE532" s="17">
        <f t="shared" si="181"/>
        <v>28.5</v>
      </c>
      <c r="AF532" s="17">
        <f t="shared" si="175"/>
        <v>4.5600000000000005</v>
      </c>
      <c r="AG532" s="17">
        <f t="shared" si="177"/>
        <v>33.06</v>
      </c>
      <c r="AH532" s="17">
        <f t="shared" si="176"/>
        <v>0.57000000000000006</v>
      </c>
      <c r="AI532" s="27"/>
      <c r="AJ532" s="17">
        <f t="shared" si="182"/>
        <v>0.57000000000000006</v>
      </c>
      <c r="AK532" s="20"/>
      <c r="AL532" s="17">
        <f t="shared" si="183"/>
        <v>27.93</v>
      </c>
      <c r="AM532" s="17" t="s">
        <v>108</v>
      </c>
      <c r="AN532" s="21">
        <v>0.4</v>
      </c>
      <c r="AO532" s="17">
        <f t="shared" si="184"/>
        <v>11.172000000000001</v>
      </c>
      <c r="AP532" s="30">
        <v>11.172000000000001</v>
      </c>
      <c r="AQ532" s="29">
        <v>45229</v>
      </c>
      <c r="AR532" s="17">
        <f t="shared" si="167"/>
        <v>0</v>
      </c>
      <c r="AS532" s="17"/>
      <c r="AT532" s="17">
        <v>33.06</v>
      </c>
      <c r="AU532" s="17">
        <f t="shared" si="187"/>
        <v>33.06</v>
      </c>
      <c r="AV532" s="17">
        <f t="shared" si="185"/>
        <v>0</v>
      </c>
      <c r="AW532" s="17" t="str">
        <f t="shared" si="163"/>
        <v>SFA</v>
      </c>
      <c r="AX532" s="22">
        <v>44949</v>
      </c>
      <c r="AY532" s="22"/>
      <c r="AZ532" s="1" t="s">
        <v>110</v>
      </c>
      <c r="BA532" s="22" t="str">
        <f t="shared" si="178"/>
        <v>MARINE CARGO / GIT</v>
      </c>
      <c r="BB532" s="54"/>
      <c r="BC532" s="22"/>
      <c r="BD532" s="1"/>
    </row>
    <row r="533" spans="1:56" ht="14.25" customHeight="1" x14ac:dyDescent="0.2">
      <c r="A533" s="2" t="s">
        <v>667</v>
      </c>
      <c r="B533" s="28" t="s">
        <v>273</v>
      </c>
      <c r="C533" s="48">
        <v>45113</v>
      </c>
      <c r="D533" s="48">
        <v>44859</v>
      </c>
      <c r="E533" s="48">
        <v>44855</v>
      </c>
      <c r="F533" s="13">
        <v>45219</v>
      </c>
      <c r="G533" s="14" t="str">
        <f t="shared" si="179"/>
        <v>000-532/AIB RDC/2022</v>
      </c>
      <c r="H533" s="1">
        <v>0</v>
      </c>
      <c r="I533" s="1" t="s">
        <v>74</v>
      </c>
      <c r="J533" s="2" t="s">
        <v>1119</v>
      </c>
      <c r="K533" s="1" t="s">
        <v>1120</v>
      </c>
      <c r="L533" s="1" t="s">
        <v>214</v>
      </c>
      <c r="M533" s="1" t="s">
        <v>84</v>
      </c>
      <c r="N533" s="1" t="s">
        <v>85</v>
      </c>
      <c r="O533" s="1" t="s">
        <v>70</v>
      </c>
      <c r="P533" s="1" t="s">
        <v>71</v>
      </c>
      <c r="Q533" s="1" t="s">
        <v>130</v>
      </c>
      <c r="R533" s="16" t="s">
        <v>130</v>
      </c>
      <c r="S533" s="34">
        <v>2420000</v>
      </c>
      <c r="T533" s="34">
        <v>2881.68</v>
      </c>
      <c r="U533" s="34">
        <v>0</v>
      </c>
      <c r="V533" s="34">
        <v>0</v>
      </c>
      <c r="W533" s="34">
        <v>22.1</v>
      </c>
      <c r="X533" s="34">
        <v>2420</v>
      </c>
      <c r="Y533" s="34">
        <v>390.74</v>
      </c>
      <c r="Z533" s="18">
        <f t="shared" si="180"/>
        <v>1.1907768595041321E-3</v>
      </c>
      <c r="AA533" s="19">
        <v>0.1</v>
      </c>
      <c r="AB533" s="23">
        <f t="shared" si="186"/>
        <v>242</v>
      </c>
      <c r="AC533" s="17">
        <v>0</v>
      </c>
      <c r="AD533" s="17">
        <v>0</v>
      </c>
      <c r="AE533" s="17">
        <f t="shared" si="181"/>
        <v>242</v>
      </c>
      <c r="AF533" s="17">
        <f t="shared" si="175"/>
        <v>38.72</v>
      </c>
      <c r="AG533" s="17">
        <f>AE533+AF533</f>
        <v>280.72000000000003</v>
      </c>
      <c r="AH533" s="17">
        <f t="shared" si="176"/>
        <v>4.84</v>
      </c>
      <c r="AI533" s="17">
        <v>0</v>
      </c>
      <c r="AJ533" s="17">
        <f t="shared" si="182"/>
        <v>4.84</v>
      </c>
      <c r="AK533" s="20"/>
      <c r="AL533" s="17">
        <f t="shared" si="183"/>
        <v>237.16</v>
      </c>
      <c r="AM533" s="30" t="s">
        <v>198</v>
      </c>
      <c r="AN533" s="80"/>
      <c r="AO533" s="23">
        <f t="shared" si="184"/>
        <v>0</v>
      </c>
      <c r="AP533" s="30"/>
      <c r="AQ533" s="33"/>
      <c r="AR533" s="17">
        <f t="shared" si="167"/>
        <v>0</v>
      </c>
      <c r="AS533" s="30"/>
      <c r="AT533" s="30"/>
      <c r="AU533" s="17">
        <f t="shared" si="187"/>
        <v>280.72000000000003</v>
      </c>
      <c r="AV533" s="84">
        <f t="shared" si="185"/>
        <v>280.72000000000003</v>
      </c>
      <c r="AW533" s="17" t="str">
        <f t="shared" si="163"/>
        <v>SFA</v>
      </c>
      <c r="AX533" s="81"/>
      <c r="AY533" s="81"/>
      <c r="AZ533" s="2"/>
      <c r="BA533" s="1"/>
      <c r="BB533" s="82"/>
      <c r="BC533" s="81"/>
      <c r="BD533" s="2"/>
    </row>
    <row r="534" spans="1:56" ht="14.25" customHeight="1" x14ac:dyDescent="0.2">
      <c r="A534" s="1" t="s">
        <v>773</v>
      </c>
      <c r="B534" s="1" t="s">
        <v>57</v>
      </c>
      <c r="C534" s="13">
        <v>44837</v>
      </c>
      <c r="D534" s="13">
        <v>44817</v>
      </c>
      <c r="E534" s="13">
        <v>44813</v>
      </c>
      <c r="F534" s="13">
        <v>44815</v>
      </c>
      <c r="G534" s="14" t="str">
        <f t="shared" si="179"/>
        <v>000-533/AIB RDC/2022</v>
      </c>
      <c r="H534" s="1">
        <v>0</v>
      </c>
      <c r="I534" s="1" t="s">
        <v>74</v>
      </c>
      <c r="J534" s="1" t="s">
        <v>840</v>
      </c>
      <c r="K534" s="1" t="s">
        <v>181</v>
      </c>
      <c r="L534" s="1"/>
      <c r="M534" s="1" t="s">
        <v>105</v>
      </c>
      <c r="N534" s="1" t="s">
        <v>106</v>
      </c>
      <c r="O534" s="1" t="s">
        <v>64</v>
      </c>
      <c r="P534" s="1" t="s">
        <v>65</v>
      </c>
      <c r="Q534" s="1" t="s">
        <v>130</v>
      </c>
      <c r="R534" s="1" t="s">
        <v>130</v>
      </c>
      <c r="S534" s="17">
        <v>1389.51</v>
      </c>
      <c r="T534" s="17">
        <v>94.4</v>
      </c>
      <c r="U534" s="17">
        <v>0</v>
      </c>
      <c r="V534" s="17">
        <v>0</v>
      </c>
      <c r="W534" s="17">
        <v>20</v>
      </c>
      <c r="X534" s="17">
        <v>60</v>
      </c>
      <c r="Y534" s="17">
        <v>12.8</v>
      </c>
      <c r="Z534" s="18">
        <f t="shared" si="180"/>
        <v>6.7937618297097546E-2</v>
      </c>
      <c r="AA534" s="19">
        <v>0.15</v>
      </c>
      <c r="AB534" s="17">
        <f t="shared" si="186"/>
        <v>9</v>
      </c>
      <c r="AC534" s="34">
        <v>0</v>
      </c>
      <c r="AD534" s="34">
        <v>0</v>
      </c>
      <c r="AE534" s="17">
        <f t="shared" si="181"/>
        <v>9</v>
      </c>
      <c r="AF534" s="17">
        <f t="shared" si="175"/>
        <v>1.44</v>
      </c>
      <c r="AG534" s="17">
        <f t="shared" ref="AG534:AG597" si="188">AF534+AE534</f>
        <v>10.44</v>
      </c>
      <c r="AH534" s="17">
        <f t="shared" si="176"/>
        <v>0.18</v>
      </c>
      <c r="AI534" s="27"/>
      <c r="AJ534" s="17">
        <f t="shared" si="182"/>
        <v>0.18</v>
      </c>
      <c r="AK534" s="20"/>
      <c r="AL534" s="17">
        <f t="shared" si="183"/>
        <v>8.82</v>
      </c>
      <c r="AM534" s="17" t="s">
        <v>108</v>
      </c>
      <c r="AN534" s="21">
        <v>0.4</v>
      </c>
      <c r="AO534" s="17">
        <f t="shared" si="184"/>
        <v>3.5280000000000005</v>
      </c>
      <c r="AP534" s="30">
        <v>3.5280000000000005</v>
      </c>
      <c r="AQ534" s="29">
        <v>45229</v>
      </c>
      <c r="AR534" s="17">
        <f t="shared" si="167"/>
        <v>0</v>
      </c>
      <c r="AS534" s="17"/>
      <c r="AT534" s="17">
        <v>10.44</v>
      </c>
      <c r="AU534" s="17">
        <f t="shared" si="187"/>
        <v>10.44</v>
      </c>
      <c r="AV534" s="17">
        <f t="shared" si="185"/>
        <v>0</v>
      </c>
      <c r="AW534" s="17" t="str">
        <f t="shared" si="163"/>
        <v>SFA</v>
      </c>
      <c r="AX534" s="22">
        <v>44862</v>
      </c>
      <c r="AY534" s="22"/>
      <c r="AZ534" s="1" t="s">
        <v>110</v>
      </c>
      <c r="BA534" s="22" t="str">
        <f t="shared" ref="BA534:BA575" si="189">O534</f>
        <v>MARINE CARGO / GIT</v>
      </c>
      <c r="BB534" s="54"/>
      <c r="BC534" s="22"/>
      <c r="BD534" s="22"/>
    </row>
    <row r="535" spans="1:56" ht="14.25" customHeight="1" x14ac:dyDescent="0.2">
      <c r="A535" s="1" t="s">
        <v>773</v>
      </c>
      <c r="B535" s="1" t="s">
        <v>57</v>
      </c>
      <c r="C535" s="13">
        <v>44837</v>
      </c>
      <c r="D535" s="13">
        <v>44817</v>
      </c>
      <c r="E535" s="13">
        <v>44813</v>
      </c>
      <c r="F535" s="13">
        <v>44815</v>
      </c>
      <c r="G535" s="14" t="str">
        <f t="shared" si="179"/>
        <v>000-534/AIB RDC/2022</v>
      </c>
      <c r="H535" s="1">
        <v>0</v>
      </c>
      <c r="I535" s="1" t="s">
        <v>74</v>
      </c>
      <c r="J535" s="1" t="s">
        <v>841</v>
      </c>
      <c r="K535" s="1" t="s">
        <v>181</v>
      </c>
      <c r="L535" s="1"/>
      <c r="M535" s="1" t="s">
        <v>105</v>
      </c>
      <c r="N535" s="1" t="s">
        <v>106</v>
      </c>
      <c r="O535" s="1" t="s">
        <v>64</v>
      </c>
      <c r="P535" s="1" t="s">
        <v>65</v>
      </c>
      <c r="Q535" s="1" t="s">
        <v>130</v>
      </c>
      <c r="R535" s="1" t="s">
        <v>130</v>
      </c>
      <c r="S535" s="17">
        <v>2262.31</v>
      </c>
      <c r="T535" s="17">
        <v>94.4</v>
      </c>
      <c r="U535" s="17">
        <v>0</v>
      </c>
      <c r="V535" s="17">
        <v>0</v>
      </c>
      <c r="W535" s="17">
        <v>20</v>
      </c>
      <c r="X535" s="17">
        <v>60</v>
      </c>
      <c r="Y535" s="17">
        <v>12.8</v>
      </c>
      <c r="Z535" s="18">
        <f t="shared" si="180"/>
        <v>4.1727261073858136E-2</v>
      </c>
      <c r="AA535" s="19">
        <v>0.15</v>
      </c>
      <c r="AB535" s="17">
        <f t="shared" si="186"/>
        <v>9</v>
      </c>
      <c r="AC535" s="34">
        <v>0</v>
      </c>
      <c r="AD535" s="34">
        <v>0</v>
      </c>
      <c r="AE535" s="17">
        <f t="shared" si="181"/>
        <v>9</v>
      </c>
      <c r="AF535" s="17">
        <f t="shared" si="175"/>
        <v>1.44</v>
      </c>
      <c r="AG535" s="17">
        <f t="shared" si="188"/>
        <v>10.44</v>
      </c>
      <c r="AH535" s="17">
        <f t="shared" si="176"/>
        <v>0.18</v>
      </c>
      <c r="AI535" s="27"/>
      <c r="AJ535" s="17">
        <f t="shared" si="182"/>
        <v>0.18</v>
      </c>
      <c r="AK535" s="20"/>
      <c r="AL535" s="17">
        <f t="shared" si="183"/>
        <v>8.82</v>
      </c>
      <c r="AM535" s="17" t="s">
        <v>108</v>
      </c>
      <c r="AN535" s="21">
        <v>0.4</v>
      </c>
      <c r="AO535" s="17">
        <f t="shared" si="184"/>
        <v>3.5280000000000005</v>
      </c>
      <c r="AP535" s="30">
        <v>3.5280000000000005</v>
      </c>
      <c r="AQ535" s="29">
        <v>45229</v>
      </c>
      <c r="AR535" s="17">
        <f t="shared" si="167"/>
        <v>0</v>
      </c>
      <c r="AS535" s="17"/>
      <c r="AT535" s="17">
        <v>10.44</v>
      </c>
      <c r="AU535" s="17">
        <f t="shared" si="187"/>
        <v>10.44</v>
      </c>
      <c r="AV535" s="17">
        <f t="shared" si="185"/>
        <v>0</v>
      </c>
      <c r="AW535" s="17" t="str">
        <f t="shared" si="163"/>
        <v>SFA</v>
      </c>
      <c r="AX535" s="22">
        <v>44862</v>
      </c>
      <c r="AY535" s="22"/>
      <c r="AZ535" s="1" t="s">
        <v>110</v>
      </c>
      <c r="BA535" s="22" t="str">
        <f t="shared" si="189"/>
        <v>MARINE CARGO / GIT</v>
      </c>
      <c r="BB535" s="54"/>
      <c r="BC535" s="22"/>
      <c r="BD535" s="22"/>
    </row>
    <row r="536" spans="1:56" ht="14.25" customHeight="1" x14ac:dyDescent="0.2">
      <c r="A536" s="1" t="s">
        <v>773</v>
      </c>
      <c r="B536" s="1" t="s">
        <v>57</v>
      </c>
      <c r="C536" s="13">
        <v>44837</v>
      </c>
      <c r="D536" s="13">
        <v>44825</v>
      </c>
      <c r="E536" s="13">
        <v>44825</v>
      </c>
      <c r="F536" s="13">
        <v>44827</v>
      </c>
      <c r="G536" s="14" t="str">
        <f t="shared" si="179"/>
        <v>000-535/AIB RDC/2022</v>
      </c>
      <c r="H536" s="1">
        <v>0</v>
      </c>
      <c r="I536" s="1" t="s">
        <v>74</v>
      </c>
      <c r="J536" s="1" t="s">
        <v>842</v>
      </c>
      <c r="K536" s="1" t="s">
        <v>181</v>
      </c>
      <c r="L536" s="1"/>
      <c r="M536" s="1" t="s">
        <v>105</v>
      </c>
      <c r="N536" s="1" t="s">
        <v>106</v>
      </c>
      <c r="O536" s="1" t="s">
        <v>64</v>
      </c>
      <c r="P536" s="1" t="s">
        <v>65</v>
      </c>
      <c r="Q536" s="1" t="s">
        <v>130</v>
      </c>
      <c r="R536" s="1" t="s">
        <v>130</v>
      </c>
      <c r="S536" s="17">
        <v>2780</v>
      </c>
      <c r="T536" s="17">
        <v>50.15</v>
      </c>
      <c r="U536" s="17">
        <v>0</v>
      </c>
      <c r="V536" s="17">
        <v>0</v>
      </c>
      <c r="W536" s="17">
        <v>20</v>
      </c>
      <c r="X536" s="17">
        <v>22.5</v>
      </c>
      <c r="Y536" s="17">
        <v>6.8</v>
      </c>
      <c r="Z536" s="18">
        <f t="shared" si="180"/>
        <v>1.8039568345323741E-2</v>
      </c>
      <c r="AA536" s="19">
        <v>0.15</v>
      </c>
      <c r="AB536" s="17">
        <f t="shared" si="186"/>
        <v>3.375</v>
      </c>
      <c r="AC536" s="34">
        <v>0</v>
      </c>
      <c r="AD536" s="34">
        <v>0</v>
      </c>
      <c r="AE536" s="17">
        <f t="shared" si="181"/>
        <v>3.375</v>
      </c>
      <c r="AF536" s="17">
        <f t="shared" si="175"/>
        <v>0.54</v>
      </c>
      <c r="AG536" s="17">
        <f t="shared" si="188"/>
        <v>3.915</v>
      </c>
      <c r="AH536" s="17">
        <f t="shared" si="176"/>
        <v>6.7500000000000004E-2</v>
      </c>
      <c r="AI536" s="27"/>
      <c r="AJ536" s="17">
        <f t="shared" si="182"/>
        <v>6.7500000000000004E-2</v>
      </c>
      <c r="AK536" s="20"/>
      <c r="AL536" s="17">
        <f t="shared" si="183"/>
        <v>3.3075000000000001</v>
      </c>
      <c r="AM536" s="17" t="s">
        <v>108</v>
      </c>
      <c r="AN536" s="21">
        <v>0.4</v>
      </c>
      <c r="AO536" s="17">
        <f t="shared" si="184"/>
        <v>1.3230000000000002</v>
      </c>
      <c r="AP536" s="30">
        <v>1.3230000000000002</v>
      </c>
      <c r="AQ536" s="29">
        <v>45229</v>
      </c>
      <c r="AR536" s="17">
        <f t="shared" si="167"/>
        <v>0</v>
      </c>
      <c r="AS536" s="17"/>
      <c r="AT536" s="17">
        <v>3.915</v>
      </c>
      <c r="AU536" s="17">
        <f t="shared" si="187"/>
        <v>3.915</v>
      </c>
      <c r="AV536" s="17">
        <f t="shared" si="185"/>
        <v>0</v>
      </c>
      <c r="AW536" s="17" t="str">
        <f t="shared" si="163"/>
        <v>SFA</v>
      </c>
      <c r="AX536" s="22">
        <v>44887</v>
      </c>
      <c r="AY536" s="22"/>
      <c r="AZ536" s="1" t="s">
        <v>110</v>
      </c>
      <c r="BA536" s="22" t="str">
        <f t="shared" si="189"/>
        <v>MARINE CARGO / GIT</v>
      </c>
      <c r="BB536" s="54"/>
      <c r="BC536" s="22"/>
      <c r="BD536" s="22"/>
    </row>
    <row r="537" spans="1:56" ht="14.25" customHeight="1" x14ac:dyDescent="0.2">
      <c r="A537" s="28" t="s">
        <v>773</v>
      </c>
      <c r="B537" s="28" t="s">
        <v>57</v>
      </c>
      <c r="C537" s="36">
        <v>44837</v>
      </c>
      <c r="D537" s="36">
        <v>44832</v>
      </c>
      <c r="E537" s="36">
        <v>44832</v>
      </c>
      <c r="F537" s="36">
        <v>44835</v>
      </c>
      <c r="G537" s="37" t="str">
        <f t="shared" si="179"/>
        <v>000-536/AIB RDC/2022</v>
      </c>
      <c r="H537" s="28">
        <v>0</v>
      </c>
      <c r="I537" s="28" t="s">
        <v>74</v>
      </c>
      <c r="J537" s="28" t="s">
        <v>843</v>
      </c>
      <c r="K537" s="28" t="s">
        <v>181</v>
      </c>
      <c r="L537" s="28"/>
      <c r="M537" s="28" t="s">
        <v>105</v>
      </c>
      <c r="N537" s="28" t="s">
        <v>106</v>
      </c>
      <c r="O537" s="28" t="s">
        <v>64</v>
      </c>
      <c r="P537" s="28" t="s">
        <v>65</v>
      </c>
      <c r="Q537" s="28" t="s">
        <v>130</v>
      </c>
      <c r="R537" s="28" t="s">
        <v>130</v>
      </c>
      <c r="S537" s="23">
        <v>1528.18</v>
      </c>
      <c r="T537" s="23">
        <v>94.4</v>
      </c>
      <c r="U537" s="23">
        <v>0</v>
      </c>
      <c r="V537" s="23">
        <v>0</v>
      </c>
      <c r="W537" s="23">
        <v>20</v>
      </c>
      <c r="X537" s="23">
        <v>60</v>
      </c>
      <c r="Y537" s="23">
        <v>12.8</v>
      </c>
      <c r="Z537" s="38">
        <f t="shared" si="180"/>
        <v>6.1772827808242482E-2</v>
      </c>
      <c r="AA537" s="39">
        <v>0.15</v>
      </c>
      <c r="AB537" s="23">
        <f t="shared" si="186"/>
        <v>9</v>
      </c>
      <c r="AC537" s="57">
        <v>0</v>
      </c>
      <c r="AD537" s="57">
        <v>0</v>
      </c>
      <c r="AE537" s="23">
        <f t="shared" si="181"/>
        <v>9</v>
      </c>
      <c r="AF537" s="23">
        <f t="shared" si="175"/>
        <v>1.44</v>
      </c>
      <c r="AG537" s="23">
        <f t="shared" si="188"/>
        <v>10.44</v>
      </c>
      <c r="AH537" s="23">
        <f t="shared" si="176"/>
        <v>0.18</v>
      </c>
      <c r="AI537" s="55"/>
      <c r="AJ537" s="23">
        <f t="shared" si="182"/>
        <v>0.18</v>
      </c>
      <c r="AK537" s="40"/>
      <c r="AL537" s="23">
        <f t="shared" si="183"/>
        <v>8.82</v>
      </c>
      <c r="AM537" s="23" t="s">
        <v>108</v>
      </c>
      <c r="AN537" s="41">
        <v>0.4</v>
      </c>
      <c r="AO537" s="23">
        <f t="shared" si="184"/>
        <v>3.5280000000000005</v>
      </c>
      <c r="AP537" s="30">
        <v>3.5280000000000005</v>
      </c>
      <c r="AQ537" s="29">
        <v>45229</v>
      </c>
      <c r="AR537" s="23">
        <f t="shared" si="167"/>
        <v>0</v>
      </c>
      <c r="AS537" s="23"/>
      <c r="AT537" s="23">
        <v>10.44</v>
      </c>
      <c r="AU537" s="23">
        <f t="shared" si="187"/>
        <v>10.44</v>
      </c>
      <c r="AV537" s="23">
        <f t="shared" si="185"/>
        <v>0</v>
      </c>
      <c r="AW537" s="23" t="str">
        <f t="shared" ref="AW537:AW550" si="190">Q537</f>
        <v>SFA</v>
      </c>
      <c r="AX537" s="42">
        <v>44984</v>
      </c>
      <c r="AY537" s="42"/>
      <c r="AZ537" s="28" t="s">
        <v>110</v>
      </c>
      <c r="BA537" s="42" t="str">
        <f t="shared" si="189"/>
        <v>MARINE CARGO / GIT</v>
      </c>
      <c r="BB537" s="56"/>
      <c r="BC537" s="42"/>
      <c r="BD537" s="28" t="s">
        <v>226</v>
      </c>
    </row>
    <row r="538" spans="1:56" ht="14.25" customHeight="1" x14ac:dyDescent="0.2">
      <c r="A538" s="1" t="s">
        <v>773</v>
      </c>
      <c r="B538" s="1" t="s">
        <v>57</v>
      </c>
      <c r="C538" s="13">
        <v>44837</v>
      </c>
      <c r="D538" s="13">
        <v>44838</v>
      </c>
      <c r="E538" s="13">
        <v>44808</v>
      </c>
      <c r="F538" s="13">
        <v>44811</v>
      </c>
      <c r="G538" s="14" t="str">
        <f t="shared" si="179"/>
        <v>000-537/AIB RDC/2022</v>
      </c>
      <c r="H538" s="1">
        <v>0</v>
      </c>
      <c r="I538" s="1" t="s">
        <v>74</v>
      </c>
      <c r="J538" s="1" t="s">
        <v>844</v>
      </c>
      <c r="K538" s="1" t="s">
        <v>228</v>
      </c>
      <c r="L538" s="1"/>
      <c r="M538" s="1" t="s">
        <v>105</v>
      </c>
      <c r="N538" s="1" t="s">
        <v>106</v>
      </c>
      <c r="O538" s="1" t="s">
        <v>64</v>
      </c>
      <c r="P538" s="1" t="s">
        <v>65</v>
      </c>
      <c r="Q538" s="1" t="s">
        <v>130</v>
      </c>
      <c r="R538" s="1" t="s">
        <v>130</v>
      </c>
      <c r="S538" s="17">
        <v>89867.12</v>
      </c>
      <c r="T538" s="17">
        <v>163.57</v>
      </c>
      <c r="U538" s="17">
        <v>0</v>
      </c>
      <c r="V538" s="17">
        <v>0</v>
      </c>
      <c r="W538" s="17">
        <v>20</v>
      </c>
      <c r="X538" s="17">
        <v>118.62</v>
      </c>
      <c r="Y538" s="17">
        <v>22.18</v>
      </c>
      <c r="Z538" s="18">
        <f t="shared" si="180"/>
        <v>1.8201317678812896E-3</v>
      </c>
      <c r="AA538" s="19">
        <v>0.15</v>
      </c>
      <c r="AB538" s="17">
        <f t="shared" si="186"/>
        <v>17.792999999999999</v>
      </c>
      <c r="AC538" s="34">
        <v>0</v>
      </c>
      <c r="AD538" s="34">
        <v>0</v>
      </c>
      <c r="AE538" s="17">
        <f t="shared" si="181"/>
        <v>17.792999999999999</v>
      </c>
      <c r="AF538" s="17">
        <f t="shared" si="175"/>
        <v>2.8468800000000001</v>
      </c>
      <c r="AG538" s="17">
        <f t="shared" si="188"/>
        <v>20.639879999999998</v>
      </c>
      <c r="AH538" s="17">
        <f t="shared" si="176"/>
        <v>0.35586000000000001</v>
      </c>
      <c r="AI538" s="27"/>
      <c r="AJ538" s="17">
        <f t="shared" si="182"/>
        <v>0.35586000000000001</v>
      </c>
      <c r="AK538" s="20"/>
      <c r="AL538" s="17">
        <f t="shared" si="183"/>
        <v>17.437139999999999</v>
      </c>
      <c r="AM538" s="17" t="s">
        <v>108</v>
      </c>
      <c r="AN538" s="21">
        <v>0.4</v>
      </c>
      <c r="AO538" s="17">
        <f t="shared" si="184"/>
        <v>6.9748559999999999</v>
      </c>
      <c r="AP538" s="30">
        <v>6.9748559999999999</v>
      </c>
      <c r="AQ538" s="29">
        <v>45229</v>
      </c>
      <c r="AR538" s="17">
        <f t="shared" si="167"/>
        <v>0</v>
      </c>
      <c r="AS538" s="17"/>
      <c r="AT538" s="17">
        <v>20.639879999999998</v>
      </c>
      <c r="AU538" s="17">
        <f t="shared" si="187"/>
        <v>20.639879999999998</v>
      </c>
      <c r="AV538" s="17">
        <f t="shared" si="185"/>
        <v>0</v>
      </c>
      <c r="AW538" s="17" t="str">
        <f t="shared" si="190"/>
        <v>SFA</v>
      </c>
      <c r="AX538" s="22">
        <v>44887</v>
      </c>
      <c r="AY538" s="22"/>
      <c r="AZ538" s="1" t="s">
        <v>110</v>
      </c>
      <c r="BA538" s="22" t="str">
        <f t="shared" si="189"/>
        <v>MARINE CARGO / GIT</v>
      </c>
      <c r="BB538" s="54"/>
      <c r="BC538" s="22"/>
      <c r="BD538" s="22"/>
    </row>
    <row r="539" spans="1:56" ht="14.25" customHeight="1" x14ac:dyDescent="0.2">
      <c r="A539" s="1" t="s">
        <v>773</v>
      </c>
      <c r="B539" s="1" t="s">
        <v>57</v>
      </c>
      <c r="C539" s="13">
        <v>44824</v>
      </c>
      <c r="D539" s="13">
        <v>44824</v>
      </c>
      <c r="E539" s="13">
        <v>44820</v>
      </c>
      <c r="F539" s="13">
        <v>45007</v>
      </c>
      <c r="G539" s="14" t="str">
        <f t="shared" si="179"/>
        <v>000-538/AIB RDC/2022</v>
      </c>
      <c r="H539" s="1">
        <v>5</v>
      </c>
      <c r="I539" s="1" t="s">
        <v>91</v>
      </c>
      <c r="J539" s="24" t="s">
        <v>434</v>
      </c>
      <c r="K539" s="1" t="s">
        <v>197</v>
      </c>
      <c r="L539" s="1" t="s">
        <v>77</v>
      </c>
      <c r="M539" s="1" t="s">
        <v>706</v>
      </c>
      <c r="N539" s="1" t="s">
        <v>209</v>
      </c>
      <c r="O539" s="1" t="s">
        <v>73</v>
      </c>
      <c r="P539" s="1" t="s">
        <v>73</v>
      </c>
      <c r="Q539" s="1" t="s">
        <v>130</v>
      </c>
      <c r="R539" s="1" t="s">
        <v>130</v>
      </c>
      <c r="S539" s="17">
        <v>0</v>
      </c>
      <c r="T539" s="17">
        <v>236.24</v>
      </c>
      <c r="U539" s="17">
        <v>0</v>
      </c>
      <c r="V539" s="17">
        <v>0</v>
      </c>
      <c r="W539" s="17">
        <v>2.96</v>
      </c>
      <c r="X539" s="17">
        <v>197.25</v>
      </c>
      <c r="Y539" s="17">
        <v>32.03</v>
      </c>
      <c r="Z539" s="18" t="e">
        <f t="shared" si="180"/>
        <v>#DIV/0!</v>
      </c>
      <c r="AA539" s="19">
        <v>0.1</v>
      </c>
      <c r="AB539" s="17">
        <f t="shared" si="186"/>
        <v>19.725000000000001</v>
      </c>
      <c r="AC539" s="17">
        <v>0</v>
      </c>
      <c r="AD539" s="17">
        <v>0</v>
      </c>
      <c r="AE539" s="17">
        <f t="shared" si="181"/>
        <v>19.725000000000001</v>
      </c>
      <c r="AF539" s="17">
        <f t="shared" si="175"/>
        <v>3.1560000000000001</v>
      </c>
      <c r="AG539" s="17">
        <f t="shared" si="188"/>
        <v>22.881</v>
      </c>
      <c r="AH539" s="17">
        <f t="shared" si="176"/>
        <v>0.39450000000000002</v>
      </c>
      <c r="AI539" s="17">
        <v>0</v>
      </c>
      <c r="AJ539" s="17">
        <f t="shared" si="182"/>
        <v>0.39450000000000002</v>
      </c>
      <c r="AK539" s="20"/>
      <c r="AL539" s="17">
        <f t="shared" si="183"/>
        <v>19.330500000000001</v>
      </c>
      <c r="AM539" s="17"/>
      <c r="AN539" s="21"/>
      <c r="AO539" s="17">
        <f t="shared" si="184"/>
        <v>0</v>
      </c>
      <c r="AP539" s="27"/>
      <c r="AQ539" s="16"/>
      <c r="AR539" s="17">
        <f t="shared" si="167"/>
        <v>0</v>
      </c>
      <c r="AS539" s="17"/>
      <c r="AT539" s="17">
        <v>22.881</v>
      </c>
      <c r="AU539" s="17">
        <f t="shared" si="187"/>
        <v>22.881</v>
      </c>
      <c r="AV539" s="17">
        <f t="shared" si="185"/>
        <v>0</v>
      </c>
      <c r="AW539" s="17" t="str">
        <f t="shared" si="190"/>
        <v>SFA</v>
      </c>
      <c r="AX539" s="22">
        <v>44862</v>
      </c>
      <c r="AY539" s="22"/>
      <c r="AZ539" s="1" t="s">
        <v>68</v>
      </c>
      <c r="BA539" s="22" t="str">
        <f t="shared" si="189"/>
        <v>MOTOR TPL</v>
      </c>
      <c r="BB539" s="54"/>
      <c r="BC539" s="22"/>
      <c r="BD539" s="22"/>
    </row>
    <row r="540" spans="1:56" ht="14.25" customHeight="1" x14ac:dyDescent="0.2">
      <c r="A540" s="1" t="s">
        <v>773</v>
      </c>
      <c r="B540" s="1" t="s">
        <v>57</v>
      </c>
      <c r="C540" s="13">
        <v>44825</v>
      </c>
      <c r="D540" s="13">
        <v>44832</v>
      </c>
      <c r="E540" s="13">
        <v>44831</v>
      </c>
      <c r="F540" s="13">
        <v>45195</v>
      </c>
      <c r="G540" s="14" t="str">
        <f t="shared" si="179"/>
        <v>000-539/AIB RDC/2022</v>
      </c>
      <c r="H540" s="1">
        <v>0</v>
      </c>
      <c r="I540" s="1" t="s">
        <v>74</v>
      </c>
      <c r="J540" s="1" t="s">
        <v>845</v>
      </c>
      <c r="K540" s="1" t="s">
        <v>543</v>
      </c>
      <c r="L540" s="1"/>
      <c r="M540" s="1" t="s">
        <v>706</v>
      </c>
      <c r="N540" s="1" t="s">
        <v>209</v>
      </c>
      <c r="O540" s="1" t="s">
        <v>192</v>
      </c>
      <c r="P540" s="1" t="s">
        <v>98</v>
      </c>
      <c r="Q540" s="1" t="s">
        <v>79</v>
      </c>
      <c r="R540" s="1" t="s">
        <v>79</v>
      </c>
      <c r="S540" s="17">
        <v>0</v>
      </c>
      <c r="T540" s="17">
        <v>7584</v>
      </c>
      <c r="U540" s="17">
        <v>0</v>
      </c>
      <c r="V540" s="17">
        <v>0</v>
      </c>
      <c r="W540" s="17">
        <v>50</v>
      </c>
      <c r="X540" s="17">
        <v>6378</v>
      </c>
      <c r="Y540" s="17">
        <v>1027</v>
      </c>
      <c r="Z540" s="18" t="e">
        <f t="shared" si="180"/>
        <v>#DIV/0!</v>
      </c>
      <c r="AA540" s="19">
        <v>0.1</v>
      </c>
      <c r="AB540" s="17">
        <f t="shared" si="186"/>
        <v>637.80000000000007</v>
      </c>
      <c r="AC540" s="17"/>
      <c r="AD540" s="27"/>
      <c r="AE540" s="17">
        <f t="shared" si="181"/>
        <v>637.80000000000007</v>
      </c>
      <c r="AF540" s="17">
        <f t="shared" si="175"/>
        <v>102.04800000000002</v>
      </c>
      <c r="AG540" s="17">
        <f t="shared" si="188"/>
        <v>739.84800000000007</v>
      </c>
      <c r="AH540" s="17">
        <f t="shared" si="176"/>
        <v>12.756000000000002</v>
      </c>
      <c r="AI540" s="27"/>
      <c r="AJ540" s="17">
        <f t="shared" si="182"/>
        <v>12.756000000000002</v>
      </c>
      <c r="AK540" s="20"/>
      <c r="AL540" s="17">
        <f t="shared" si="183"/>
        <v>625.0440000000001</v>
      </c>
      <c r="AM540" s="17"/>
      <c r="AN540" s="21"/>
      <c r="AO540" s="17">
        <f t="shared" si="184"/>
        <v>0</v>
      </c>
      <c r="AP540" s="27"/>
      <c r="AQ540" s="16"/>
      <c r="AR540" s="17">
        <f t="shared" si="167"/>
        <v>0</v>
      </c>
      <c r="AS540" s="17"/>
      <c r="AT540" s="17">
        <v>739.84800000000007</v>
      </c>
      <c r="AU540" s="17">
        <f t="shared" si="187"/>
        <v>739.84800000000007</v>
      </c>
      <c r="AV540" s="17">
        <f t="shared" si="185"/>
        <v>0</v>
      </c>
      <c r="AW540" s="17" t="str">
        <f t="shared" si="190"/>
        <v>MAYFAIR</v>
      </c>
      <c r="AX540" s="22">
        <v>44875</v>
      </c>
      <c r="AY540" s="22"/>
      <c r="AZ540" s="1"/>
      <c r="BA540" s="22" t="str">
        <f t="shared" si="189"/>
        <v>GPA</v>
      </c>
      <c r="BB540" s="54"/>
      <c r="BC540" s="22"/>
      <c r="BD540" s="22"/>
    </row>
    <row r="541" spans="1:56" ht="16.5" customHeight="1" x14ac:dyDescent="0.2">
      <c r="A541" s="1" t="s">
        <v>773</v>
      </c>
      <c r="B541" s="1" t="s">
        <v>57</v>
      </c>
      <c r="C541" s="13">
        <v>44825</v>
      </c>
      <c r="D541" s="13">
        <v>44832</v>
      </c>
      <c r="E541" s="13">
        <v>44831</v>
      </c>
      <c r="F541" s="13">
        <v>45195</v>
      </c>
      <c r="G541" s="14" t="str">
        <f t="shared" si="179"/>
        <v>000-540/AIB RDC/2022</v>
      </c>
      <c r="H541" s="1">
        <v>0</v>
      </c>
      <c r="I541" s="1" t="s">
        <v>74</v>
      </c>
      <c r="J541" s="1" t="s">
        <v>846</v>
      </c>
      <c r="K541" s="1" t="s">
        <v>543</v>
      </c>
      <c r="L541" s="1"/>
      <c r="M541" s="1" t="s">
        <v>706</v>
      </c>
      <c r="N541" s="1" t="s">
        <v>209</v>
      </c>
      <c r="O541" s="1" t="s">
        <v>192</v>
      </c>
      <c r="P541" s="1" t="s">
        <v>98</v>
      </c>
      <c r="Q541" s="1" t="s">
        <v>79</v>
      </c>
      <c r="R541" s="1" t="s">
        <v>79</v>
      </c>
      <c r="S541" s="17">
        <v>0</v>
      </c>
      <c r="T541" s="17">
        <v>6171</v>
      </c>
      <c r="U541" s="17">
        <v>0</v>
      </c>
      <c r="V541" s="17">
        <v>0</v>
      </c>
      <c r="W541" s="17">
        <v>50</v>
      </c>
      <c r="X541" s="17">
        <v>5180</v>
      </c>
      <c r="Y541" s="17">
        <v>837</v>
      </c>
      <c r="Z541" s="18" t="e">
        <f t="shared" si="180"/>
        <v>#DIV/0!</v>
      </c>
      <c r="AA541" s="19">
        <v>0.1</v>
      </c>
      <c r="AB541" s="17">
        <f t="shared" si="186"/>
        <v>518</v>
      </c>
      <c r="AC541" s="17"/>
      <c r="AD541" s="27"/>
      <c r="AE541" s="17">
        <f t="shared" si="181"/>
        <v>518</v>
      </c>
      <c r="AF541" s="17">
        <f t="shared" si="175"/>
        <v>82.88</v>
      </c>
      <c r="AG541" s="17">
        <f t="shared" si="188"/>
        <v>600.88</v>
      </c>
      <c r="AH541" s="17">
        <f t="shared" si="176"/>
        <v>10.36</v>
      </c>
      <c r="AI541" s="27"/>
      <c r="AJ541" s="17">
        <f t="shared" si="182"/>
        <v>10.36</v>
      </c>
      <c r="AK541" s="20"/>
      <c r="AL541" s="17">
        <f t="shared" si="183"/>
        <v>507.64</v>
      </c>
      <c r="AM541" s="17"/>
      <c r="AN541" s="21"/>
      <c r="AO541" s="17">
        <f t="shared" si="184"/>
        <v>0</v>
      </c>
      <c r="AP541" s="27"/>
      <c r="AQ541" s="16"/>
      <c r="AR541" s="17">
        <f t="shared" si="167"/>
        <v>0</v>
      </c>
      <c r="AS541" s="17"/>
      <c r="AT541" s="17">
        <v>600.88</v>
      </c>
      <c r="AU541" s="17">
        <f t="shared" si="187"/>
        <v>600.88</v>
      </c>
      <c r="AV541" s="17">
        <f t="shared" si="185"/>
        <v>0</v>
      </c>
      <c r="AW541" s="17" t="str">
        <f t="shared" si="190"/>
        <v>MAYFAIR</v>
      </c>
      <c r="AX541" s="22">
        <v>44875</v>
      </c>
      <c r="AY541" s="22"/>
      <c r="AZ541" s="1"/>
      <c r="BA541" s="22" t="str">
        <f t="shared" si="189"/>
        <v>GPA</v>
      </c>
      <c r="BB541" s="54"/>
      <c r="BC541" s="22"/>
      <c r="BD541" s="22"/>
    </row>
    <row r="542" spans="1:56" ht="14.25" customHeight="1" x14ac:dyDescent="0.2">
      <c r="A542" s="1" t="s">
        <v>847</v>
      </c>
      <c r="B542" s="1" t="s">
        <v>57</v>
      </c>
      <c r="C542" s="13">
        <v>44827</v>
      </c>
      <c r="D542" s="13">
        <v>44874</v>
      </c>
      <c r="E542" s="13">
        <v>44875</v>
      </c>
      <c r="F542" s="13">
        <v>45138</v>
      </c>
      <c r="G542" s="14" t="str">
        <f t="shared" si="179"/>
        <v>000-541/AIB RDC/2022</v>
      </c>
      <c r="H542" s="1">
        <v>1</v>
      </c>
      <c r="I542" s="1" t="s">
        <v>91</v>
      </c>
      <c r="J542" s="1" t="s">
        <v>728</v>
      </c>
      <c r="K542" s="1" t="s">
        <v>726</v>
      </c>
      <c r="L542" s="1"/>
      <c r="M542" s="1" t="s">
        <v>706</v>
      </c>
      <c r="N542" s="1" t="s">
        <v>209</v>
      </c>
      <c r="O542" s="1" t="s">
        <v>152</v>
      </c>
      <c r="P542" s="1" t="s">
        <v>153</v>
      </c>
      <c r="Q542" s="1" t="s">
        <v>130</v>
      </c>
      <c r="R542" s="1" t="s">
        <v>130</v>
      </c>
      <c r="S542" s="17">
        <v>0</v>
      </c>
      <c r="T542" s="17">
        <v>3485.58</v>
      </c>
      <c r="U542" s="17">
        <v>0</v>
      </c>
      <c r="V542" s="17">
        <v>0</v>
      </c>
      <c r="W542" s="17">
        <v>127.4</v>
      </c>
      <c r="X542" s="17">
        <v>2826.48</v>
      </c>
      <c r="Y542" s="17">
        <v>427.62</v>
      </c>
      <c r="Z542" s="18" t="e">
        <f t="shared" si="180"/>
        <v>#DIV/0!</v>
      </c>
      <c r="AA542" s="19">
        <v>0.15</v>
      </c>
      <c r="AB542" s="17">
        <f t="shared" si="186"/>
        <v>423.97199999999998</v>
      </c>
      <c r="AC542" s="17"/>
      <c r="AD542" s="27"/>
      <c r="AE542" s="17">
        <f t="shared" si="181"/>
        <v>423.97199999999998</v>
      </c>
      <c r="AF542" s="17">
        <f t="shared" si="175"/>
        <v>67.835520000000002</v>
      </c>
      <c r="AG542" s="17">
        <f t="shared" si="188"/>
        <v>491.80751999999995</v>
      </c>
      <c r="AH542" s="17">
        <f t="shared" si="176"/>
        <v>8.4794400000000003</v>
      </c>
      <c r="AI542" s="27"/>
      <c r="AJ542" s="17">
        <f t="shared" si="182"/>
        <v>8.4794400000000003</v>
      </c>
      <c r="AK542" s="20"/>
      <c r="AL542" s="17">
        <f t="shared" si="183"/>
        <v>415.49255999999997</v>
      </c>
      <c r="AM542" s="17"/>
      <c r="AN542" s="21"/>
      <c r="AO542" s="17">
        <f t="shared" si="184"/>
        <v>0</v>
      </c>
      <c r="AP542" s="27"/>
      <c r="AQ542" s="16"/>
      <c r="AR542" s="17">
        <f t="shared" si="167"/>
        <v>0</v>
      </c>
      <c r="AS542" s="17"/>
      <c r="AT542" s="17">
        <v>491.80751999999995</v>
      </c>
      <c r="AU542" s="17">
        <f t="shared" si="187"/>
        <v>491.80751999999995</v>
      </c>
      <c r="AV542" s="17">
        <f t="shared" si="185"/>
        <v>0</v>
      </c>
      <c r="AW542" s="17" t="str">
        <f t="shared" si="190"/>
        <v>SFA</v>
      </c>
      <c r="AX542" s="22">
        <v>44911</v>
      </c>
      <c r="AY542" s="22"/>
      <c r="AZ542" s="1" t="s">
        <v>100</v>
      </c>
      <c r="BA542" s="22" t="str">
        <f t="shared" si="189"/>
        <v>COMP MOTOR</v>
      </c>
      <c r="BB542" s="54"/>
      <c r="BC542" s="22"/>
      <c r="BD542" s="22"/>
    </row>
    <row r="543" spans="1:56" ht="14.25" customHeight="1" x14ac:dyDescent="0.2">
      <c r="A543" s="1" t="s">
        <v>773</v>
      </c>
      <c r="B543" s="1" t="s">
        <v>57</v>
      </c>
      <c r="C543" s="13">
        <v>44832</v>
      </c>
      <c r="D543" s="13">
        <v>44835</v>
      </c>
      <c r="E543" s="13">
        <v>44832</v>
      </c>
      <c r="F543" s="13">
        <v>45196</v>
      </c>
      <c r="G543" s="14" t="str">
        <f t="shared" si="179"/>
        <v>000-542/AIB RDC/2022</v>
      </c>
      <c r="H543" s="1">
        <v>0</v>
      </c>
      <c r="I543" s="1" t="s">
        <v>74</v>
      </c>
      <c r="J543" s="1" t="s">
        <v>848</v>
      </c>
      <c r="K543" s="1" t="s">
        <v>626</v>
      </c>
      <c r="L543" s="1"/>
      <c r="M543" s="1" t="s">
        <v>706</v>
      </c>
      <c r="N543" s="1" t="s">
        <v>209</v>
      </c>
      <c r="O543" s="1" t="s">
        <v>64</v>
      </c>
      <c r="P543" s="1" t="s">
        <v>65</v>
      </c>
      <c r="Q543" s="1" t="s">
        <v>79</v>
      </c>
      <c r="R543" s="1" t="s">
        <v>79</v>
      </c>
      <c r="S543" s="17">
        <v>0</v>
      </c>
      <c r="T543" s="17">
        <v>8701</v>
      </c>
      <c r="U543" s="17">
        <v>0</v>
      </c>
      <c r="V543" s="17">
        <v>0</v>
      </c>
      <c r="W543" s="17">
        <v>100</v>
      </c>
      <c r="X543" s="17">
        <v>7273</v>
      </c>
      <c r="Y543" s="17">
        <v>1180</v>
      </c>
      <c r="Z543" s="18" t="e">
        <f t="shared" si="180"/>
        <v>#DIV/0!</v>
      </c>
      <c r="AA543" s="19">
        <v>0.15</v>
      </c>
      <c r="AB543" s="17">
        <f t="shared" si="186"/>
        <v>1090.95</v>
      </c>
      <c r="AC543" s="17"/>
      <c r="AD543" s="27"/>
      <c r="AE543" s="17">
        <f t="shared" si="181"/>
        <v>1090.95</v>
      </c>
      <c r="AF543" s="17">
        <f t="shared" si="175"/>
        <v>174.55200000000002</v>
      </c>
      <c r="AG543" s="17">
        <f t="shared" si="188"/>
        <v>1265.502</v>
      </c>
      <c r="AH543" s="17">
        <f t="shared" si="176"/>
        <v>21.819000000000003</v>
      </c>
      <c r="AI543" s="27"/>
      <c r="AJ543" s="17">
        <f t="shared" si="182"/>
        <v>21.819000000000003</v>
      </c>
      <c r="AK543" s="20"/>
      <c r="AL543" s="17">
        <f t="shared" si="183"/>
        <v>1069.1310000000001</v>
      </c>
      <c r="AM543" s="17"/>
      <c r="AN543" s="21"/>
      <c r="AO543" s="17">
        <f t="shared" si="184"/>
        <v>0</v>
      </c>
      <c r="AP543" s="27"/>
      <c r="AQ543" s="16"/>
      <c r="AR543" s="17">
        <f t="shared" si="167"/>
        <v>0</v>
      </c>
      <c r="AS543" s="17"/>
      <c r="AT543" s="17">
        <v>1265.502</v>
      </c>
      <c r="AU543" s="17">
        <f t="shared" si="187"/>
        <v>1265.502</v>
      </c>
      <c r="AV543" s="17">
        <f t="shared" si="185"/>
        <v>0</v>
      </c>
      <c r="AW543" s="17" t="str">
        <f t="shared" si="190"/>
        <v>MAYFAIR</v>
      </c>
      <c r="AX543" s="22">
        <v>44875</v>
      </c>
      <c r="AY543" s="22"/>
      <c r="AZ543" s="1"/>
      <c r="BA543" s="22" t="str">
        <f t="shared" si="189"/>
        <v>MARINE CARGO / GIT</v>
      </c>
      <c r="BB543" s="54"/>
      <c r="BC543" s="22"/>
      <c r="BD543" s="22"/>
    </row>
    <row r="544" spans="1:56" ht="14.25" customHeight="1" x14ac:dyDescent="0.2">
      <c r="A544" s="1" t="s">
        <v>773</v>
      </c>
      <c r="B544" s="1" t="s">
        <v>57</v>
      </c>
      <c r="C544" s="13">
        <v>44831</v>
      </c>
      <c r="D544" s="13">
        <v>44770</v>
      </c>
      <c r="E544" s="13">
        <v>44831</v>
      </c>
      <c r="F544" s="13">
        <v>45195</v>
      </c>
      <c r="G544" s="14" t="str">
        <f t="shared" si="179"/>
        <v>000-543/AIB RDC/2022</v>
      </c>
      <c r="H544" s="1">
        <v>0</v>
      </c>
      <c r="I544" s="1" t="s">
        <v>74</v>
      </c>
      <c r="J544" s="1" t="s">
        <v>849</v>
      </c>
      <c r="K544" s="1" t="s">
        <v>850</v>
      </c>
      <c r="L544" s="1"/>
      <c r="M544" s="1" t="s">
        <v>706</v>
      </c>
      <c r="N544" s="1" t="s">
        <v>209</v>
      </c>
      <c r="O544" s="1" t="s">
        <v>152</v>
      </c>
      <c r="P544" s="1" t="s">
        <v>153</v>
      </c>
      <c r="Q544" s="1" t="s">
        <v>79</v>
      </c>
      <c r="R544" s="1" t="s">
        <v>79</v>
      </c>
      <c r="S544" s="17">
        <v>23500</v>
      </c>
      <c r="T544" s="17">
        <v>1424.03</v>
      </c>
      <c r="U544" s="17">
        <v>0</v>
      </c>
      <c r="V544" s="17">
        <v>0</v>
      </c>
      <c r="W544" s="17">
        <v>10</v>
      </c>
      <c r="X544" s="17">
        <v>1196.8</v>
      </c>
      <c r="Y544" s="17">
        <v>193.09</v>
      </c>
      <c r="Z544" s="18">
        <f t="shared" si="180"/>
        <v>6.059702127659574E-2</v>
      </c>
      <c r="AA544" s="19">
        <v>0.15</v>
      </c>
      <c r="AB544" s="17">
        <f t="shared" si="186"/>
        <v>179.51999999999998</v>
      </c>
      <c r="AC544" s="17"/>
      <c r="AD544" s="27"/>
      <c r="AE544" s="17">
        <f t="shared" si="181"/>
        <v>179.51999999999998</v>
      </c>
      <c r="AF544" s="17">
        <f t="shared" si="175"/>
        <v>28.723199999999999</v>
      </c>
      <c r="AG544" s="17">
        <f t="shared" si="188"/>
        <v>208.24319999999997</v>
      </c>
      <c r="AH544" s="17">
        <f t="shared" si="176"/>
        <v>3.5903999999999998</v>
      </c>
      <c r="AI544" s="27"/>
      <c r="AJ544" s="17">
        <f t="shared" si="182"/>
        <v>3.5903999999999998</v>
      </c>
      <c r="AK544" s="20"/>
      <c r="AL544" s="17">
        <f t="shared" si="183"/>
        <v>175.92959999999999</v>
      </c>
      <c r="AM544" s="17"/>
      <c r="AN544" s="21"/>
      <c r="AO544" s="17">
        <f t="shared" si="184"/>
        <v>0</v>
      </c>
      <c r="AP544" s="27"/>
      <c r="AQ544" s="16"/>
      <c r="AR544" s="17">
        <f t="shared" si="167"/>
        <v>0</v>
      </c>
      <c r="AS544" s="17"/>
      <c r="AT544" s="17">
        <v>208.24319999999997</v>
      </c>
      <c r="AU544" s="17">
        <f t="shared" si="187"/>
        <v>208.24319999999997</v>
      </c>
      <c r="AV544" s="17">
        <f t="shared" si="185"/>
        <v>0</v>
      </c>
      <c r="AW544" s="17" t="str">
        <f t="shared" si="190"/>
        <v>MAYFAIR</v>
      </c>
      <c r="AX544" s="22">
        <v>44875</v>
      </c>
      <c r="AY544" s="22"/>
      <c r="AZ544" s="1"/>
      <c r="BA544" s="22" t="str">
        <f t="shared" si="189"/>
        <v>COMP MOTOR</v>
      </c>
      <c r="BB544" s="54"/>
      <c r="BC544" s="22"/>
      <c r="BD544" s="22"/>
    </row>
    <row r="545" spans="1:56" ht="15" customHeight="1" x14ac:dyDescent="0.2">
      <c r="A545" s="1" t="s">
        <v>667</v>
      </c>
      <c r="B545" s="1" t="s">
        <v>57</v>
      </c>
      <c r="C545" s="13">
        <v>44834</v>
      </c>
      <c r="D545" s="13">
        <v>44889</v>
      </c>
      <c r="E545" s="13">
        <v>44847</v>
      </c>
      <c r="F545" s="13">
        <v>45211</v>
      </c>
      <c r="G545" s="14" t="str">
        <f t="shared" si="179"/>
        <v>000-544/AIB RDC/2022</v>
      </c>
      <c r="H545" s="1">
        <v>0</v>
      </c>
      <c r="I545" s="1" t="s">
        <v>74</v>
      </c>
      <c r="J545" s="1" t="s">
        <v>851</v>
      </c>
      <c r="K545" s="1" t="s">
        <v>852</v>
      </c>
      <c r="L545" s="1"/>
      <c r="M545" s="1" t="s">
        <v>706</v>
      </c>
      <c r="N545" s="1" t="s">
        <v>209</v>
      </c>
      <c r="O545" s="1" t="s">
        <v>129</v>
      </c>
      <c r="P545" s="1" t="s">
        <v>90</v>
      </c>
      <c r="Q545" s="1" t="s">
        <v>86</v>
      </c>
      <c r="R545" s="1" t="s">
        <v>86</v>
      </c>
      <c r="S545" s="17">
        <v>0</v>
      </c>
      <c r="T545" s="17">
        <v>11130.2</v>
      </c>
      <c r="U545" s="17">
        <v>0</v>
      </c>
      <c r="V545" s="17">
        <v>0</v>
      </c>
      <c r="W545" s="17">
        <v>95</v>
      </c>
      <c r="X545" s="17">
        <v>9500</v>
      </c>
      <c r="Y545" s="17">
        <v>1535.2</v>
      </c>
      <c r="Z545" s="18" t="e">
        <f t="shared" si="180"/>
        <v>#DIV/0!</v>
      </c>
      <c r="AA545" s="19">
        <v>0.15</v>
      </c>
      <c r="AB545" s="17">
        <f t="shared" si="186"/>
        <v>1425</v>
      </c>
      <c r="AC545" s="17">
        <v>0</v>
      </c>
      <c r="AD545" s="17">
        <v>0</v>
      </c>
      <c r="AE545" s="17">
        <f t="shared" si="181"/>
        <v>1425</v>
      </c>
      <c r="AF545" s="17">
        <f t="shared" si="175"/>
        <v>228</v>
      </c>
      <c r="AG545" s="17">
        <f t="shared" si="188"/>
        <v>1653</v>
      </c>
      <c r="AH545" s="17">
        <f t="shared" si="176"/>
        <v>28.5</v>
      </c>
      <c r="AI545" s="27"/>
      <c r="AJ545" s="17">
        <f t="shared" si="182"/>
        <v>28.5</v>
      </c>
      <c r="AK545" s="20"/>
      <c r="AL545" s="17">
        <f t="shared" si="183"/>
        <v>1396.5</v>
      </c>
      <c r="AM545" s="17" t="s">
        <v>853</v>
      </c>
      <c r="AN545" s="21">
        <v>0.5</v>
      </c>
      <c r="AO545" s="17">
        <f t="shared" si="184"/>
        <v>698.25</v>
      </c>
      <c r="AP545" s="17">
        <v>698.25</v>
      </c>
      <c r="AQ545" s="16">
        <v>45086</v>
      </c>
      <c r="AR545" s="17">
        <f t="shared" ref="AR545:AR608" si="191">AO545-AP545</f>
        <v>0</v>
      </c>
      <c r="AS545" s="17" t="s">
        <v>854</v>
      </c>
      <c r="AT545" s="17">
        <v>1653</v>
      </c>
      <c r="AU545" s="17">
        <f t="shared" si="187"/>
        <v>1653</v>
      </c>
      <c r="AV545" s="17">
        <f t="shared" si="185"/>
        <v>0</v>
      </c>
      <c r="AW545" s="17" t="str">
        <f t="shared" si="190"/>
        <v>SUNU</v>
      </c>
      <c r="AX545" s="22">
        <v>44918</v>
      </c>
      <c r="AY545" s="22"/>
      <c r="AZ545" s="1"/>
      <c r="BA545" s="22" t="str">
        <f t="shared" si="189"/>
        <v>D&amp;O</v>
      </c>
      <c r="BB545" s="54"/>
      <c r="BC545" s="22"/>
      <c r="BD545" s="22"/>
    </row>
    <row r="546" spans="1:56" ht="15.75" customHeight="1" x14ac:dyDescent="0.2">
      <c r="A546" s="1" t="s">
        <v>667</v>
      </c>
      <c r="B546" s="1" t="s">
        <v>57</v>
      </c>
      <c r="C546" s="13">
        <v>44834</v>
      </c>
      <c r="D546" s="13">
        <v>44889</v>
      </c>
      <c r="E546" s="13">
        <v>44847</v>
      </c>
      <c r="F546" s="13">
        <v>45211</v>
      </c>
      <c r="G546" s="14" t="str">
        <f t="shared" si="179"/>
        <v>000-545/AIB RDC/2022</v>
      </c>
      <c r="H546" s="1">
        <v>0</v>
      </c>
      <c r="I546" s="1" t="s">
        <v>74</v>
      </c>
      <c r="J546" s="1" t="s">
        <v>855</v>
      </c>
      <c r="K546" s="1" t="s">
        <v>852</v>
      </c>
      <c r="L546" s="1"/>
      <c r="M546" s="1" t="s">
        <v>706</v>
      </c>
      <c r="N546" s="1" t="s">
        <v>209</v>
      </c>
      <c r="O546" s="1" t="s">
        <v>89</v>
      </c>
      <c r="P546" s="1" t="s">
        <v>90</v>
      </c>
      <c r="Q546" s="1" t="s">
        <v>86</v>
      </c>
      <c r="R546" s="1" t="s">
        <v>86</v>
      </c>
      <c r="S546" s="17">
        <v>0</v>
      </c>
      <c r="T546" s="17">
        <v>16988.2</v>
      </c>
      <c r="U546" s="17">
        <v>0</v>
      </c>
      <c r="V546" s="17">
        <v>0</v>
      </c>
      <c r="W546" s="17">
        <v>145</v>
      </c>
      <c r="X546" s="17">
        <v>14500</v>
      </c>
      <c r="Y546" s="17">
        <v>2343.1999999999998</v>
      </c>
      <c r="Z546" s="18" t="e">
        <f t="shared" si="180"/>
        <v>#DIV/0!</v>
      </c>
      <c r="AA546" s="19">
        <v>0.1</v>
      </c>
      <c r="AB546" s="17">
        <f t="shared" si="186"/>
        <v>1450</v>
      </c>
      <c r="AC546" s="17">
        <v>0</v>
      </c>
      <c r="AD546" s="17">
        <v>0</v>
      </c>
      <c r="AE546" s="17">
        <f t="shared" si="181"/>
        <v>1450</v>
      </c>
      <c r="AF546" s="17">
        <f t="shared" si="175"/>
        <v>232</v>
      </c>
      <c r="AG546" s="17">
        <f t="shared" si="188"/>
        <v>1682</v>
      </c>
      <c r="AH546" s="17">
        <f t="shared" si="176"/>
        <v>29</v>
      </c>
      <c r="AI546" s="27"/>
      <c r="AJ546" s="17">
        <f t="shared" si="182"/>
        <v>29</v>
      </c>
      <c r="AK546" s="20"/>
      <c r="AL546" s="17">
        <f t="shared" si="183"/>
        <v>1421</v>
      </c>
      <c r="AM546" s="17" t="s">
        <v>853</v>
      </c>
      <c r="AN546" s="21">
        <v>0.5</v>
      </c>
      <c r="AO546" s="17">
        <f t="shared" si="184"/>
        <v>710.5</v>
      </c>
      <c r="AP546" s="17">
        <v>710.5</v>
      </c>
      <c r="AQ546" s="16">
        <v>45086</v>
      </c>
      <c r="AR546" s="17">
        <f t="shared" si="191"/>
        <v>0</v>
      </c>
      <c r="AS546" s="17" t="s">
        <v>854</v>
      </c>
      <c r="AT546" s="17">
        <v>1682</v>
      </c>
      <c r="AU546" s="17">
        <f t="shared" si="187"/>
        <v>1682</v>
      </c>
      <c r="AV546" s="17">
        <f t="shared" si="185"/>
        <v>0</v>
      </c>
      <c r="AW546" s="17" t="str">
        <f t="shared" si="190"/>
        <v>SUNU</v>
      </c>
      <c r="AX546" s="22">
        <v>44918</v>
      </c>
      <c r="AY546" s="22"/>
      <c r="AZ546" s="1"/>
      <c r="BA546" s="22" t="str">
        <f t="shared" si="189"/>
        <v>GENERAL LIABILITY</v>
      </c>
      <c r="BB546" s="54"/>
      <c r="BC546" s="22"/>
      <c r="BD546" s="22"/>
    </row>
    <row r="547" spans="1:56" ht="14.25" customHeight="1" x14ac:dyDescent="0.2">
      <c r="A547" s="1" t="s">
        <v>667</v>
      </c>
      <c r="B547" s="1" t="s">
        <v>57</v>
      </c>
      <c r="C547" s="13">
        <v>44834</v>
      </c>
      <c r="D547" s="13">
        <v>44850</v>
      </c>
      <c r="E547" s="13">
        <v>44847</v>
      </c>
      <c r="F547" s="13">
        <v>45211</v>
      </c>
      <c r="G547" s="14" t="str">
        <f t="shared" si="179"/>
        <v>000-546/AIB RDC/2022</v>
      </c>
      <c r="H547" s="1">
        <v>0</v>
      </c>
      <c r="I547" s="1" t="s">
        <v>74</v>
      </c>
      <c r="J547" s="1" t="s">
        <v>856</v>
      </c>
      <c r="K547" s="1" t="s">
        <v>852</v>
      </c>
      <c r="L547" s="1"/>
      <c r="M547" s="1" t="s">
        <v>706</v>
      </c>
      <c r="N547" s="1" t="s">
        <v>209</v>
      </c>
      <c r="O547" s="1" t="s">
        <v>89</v>
      </c>
      <c r="P547" s="1" t="s">
        <v>90</v>
      </c>
      <c r="Q547" s="1" t="s">
        <v>86</v>
      </c>
      <c r="R547" s="1" t="s">
        <v>86</v>
      </c>
      <c r="S547" s="17">
        <v>0</v>
      </c>
      <c r="T547" s="17">
        <v>9372.7999999999993</v>
      </c>
      <c r="U547" s="17">
        <v>0</v>
      </c>
      <c r="V547" s="17">
        <v>0</v>
      </c>
      <c r="W547" s="17">
        <v>80</v>
      </c>
      <c r="X547" s="17">
        <v>8000</v>
      </c>
      <c r="Y547" s="17">
        <v>1292.8</v>
      </c>
      <c r="Z547" s="18" t="e">
        <f t="shared" si="180"/>
        <v>#DIV/0!</v>
      </c>
      <c r="AA547" s="19">
        <v>0.1</v>
      </c>
      <c r="AB547" s="17">
        <f t="shared" si="186"/>
        <v>800</v>
      </c>
      <c r="AC547" s="17">
        <v>0</v>
      </c>
      <c r="AD547" s="17">
        <v>0</v>
      </c>
      <c r="AE547" s="17">
        <f t="shared" si="181"/>
        <v>800</v>
      </c>
      <c r="AF547" s="17">
        <f t="shared" si="175"/>
        <v>128</v>
      </c>
      <c r="AG547" s="17">
        <f t="shared" si="188"/>
        <v>928</v>
      </c>
      <c r="AH547" s="17">
        <f t="shared" si="176"/>
        <v>16</v>
      </c>
      <c r="AI547" s="27"/>
      <c r="AJ547" s="17">
        <f t="shared" si="182"/>
        <v>16</v>
      </c>
      <c r="AK547" s="20"/>
      <c r="AL547" s="17">
        <f t="shared" si="183"/>
        <v>784</v>
      </c>
      <c r="AM547" s="17" t="s">
        <v>853</v>
      </c>
      <c r="AN547" s="21">
        <v>0.5</v>
      </c>
      <c r="AO547" s="17">
        <f t="shared" si="184"/>
        <v>392</v>
      </c>
      <c r="AP547" s="17">
        <v>392</v>
      </c>
      <c r="AQ547" s="16">
        <v>44938</v>
      </c>
      <c r="AR547" s="17">
        <f t="shared" si="191"/>
        <v>0</v>
      </c>
      <c r="AS547" s="17" t="s">
        <v>857</v>
      </c>
      <c r="AT547" s="17">
        <v>928</v>
      </c>
      <c r="AU547" s="17">
        <f t="shared" si="187"/>
        <v>928</v>
      </c>
      <c r="AV547" s="17">
        <f t="shared" si="185"/>
        <v>0</v>
      </c>
      <c r="AW547" s="17" t="str">
        <f t="shared" si="190"/>
        <v>SUNU</v>
      </c>
      <c r="AX547" s="22">
        <v>44888</v>
      </c>
      <c r="AY547" s="22"/>
      <c r="AZ547" s="1"/>
      <c r="BA547" s="22" t="str">
        <f t="shared" si="189"/>
        <v>GENERAL LIABILITY</v>
      </c>
      <c r="BB547" s="54"/>
      <c r="BC547" s="22"/>
      <c r="BD547" s="22"/>
    </row>
    <row r="548" spans="1:56" ht="14.25" customHeight="1" x14ac:dyDescent="0.2">
      <c r="A548" s="1" t="s">
        <v>773</v>
      </c>
      <c r="B548" s="1" t="s">
        <v>57</v>
      </c>
      <c r="C548" s="13">
        <v>44831</v>
      </c>
      <c r="D548" s="13">
        <v>44839</v>
      </c>
      <c r="E548" s="13">
        <v>44832</v>
      </c>
      <c r="F548" s="13">
        <v>45196</v>
      </c>
      <c r="G548" s="14" t="str">
        <f t="shared" si="179"/>
        <v>000-547/AIB RDC/2022</v>
      </c>
      <c r="H548" s="1">
        <v>1</v>
      </c>
      <c r="I548" s="1" t="s">
        <v>58</v>
      </c>
      <c r="J548" s="1" t="s">
        <v>858</v>
      </c>
      <c r="K548" s="1" t="s">
        <v>722</v>
      </c>
      <c r="L548" s="1" t="s">
        <v>388</v>
      </c>
      <c r="M548" s="1" t="s">
        <v>706</v>
      </c>
      <c r="N548" s="1" t="s">
        <v>209</v>
      </c>
      <c r="O548" s="1" t="s">
        <v>132</v>
      </c>
      <c r="P548" s="1" t="s">
        <v>90</v>
      </c>
      <c r="Q548" s="1" t="s">
        <v>107</v>
      </c>
      <c r="R548" s="1" t="s">
        <v>107</v>
      </c>
      <c r="S548" s="17">
        <v>0</v>
      </c>
      <c r="T548" s="17">
        <v>29791.56</v>
      </c>
      <c r="U548" s="17">
        <v>3772.06</v>
      </c>
      <c r="V548" s="17">
        <v>0</v>
      </c>
      <c r="W548" s="17">
        <v>100</v>
      </c>
      <c r="X548" s="17">
        <v>21375</v>
      </c>
      <c r="Y548" s="17">
        <v>4039.53</v>
      </c>
      <c r="Z548" s="18" t="e">
        <f t="shared" si="180"/>
        <v>#DIV/0!</v>
      </c>
      <c r="AA548" s="19">
        <v>0</v>
      </c>
      <c r="AB548" s="17">
        <f t="shared" si="186"/>
        <v>0</v>
      </c>
      <c r="AC548" s="17">
        <f>30%*U548</f>
        <v>1131.6179999999999</v>
      </c>
      <c r="AD548" s="17">
        <v>2211.21</v>
      </c>
      <c r="AE548" s="17">
        <f t="shared" si="181"/>
        <v>3342.828</v>
      </c>
      <c r="AF548" s="17">
        <f t="shared" si="175"/>
        <v>534.85248000000001</v>
      </c>
      <c r="AG548" s="17">
        <f t="shared" si="188"/>
        <v>3877.68048</v>
      </c>
      <c r="AH548" s="17">
        <f t="shared" si="176"/>
        <v>66.856560000000002</v>
      </c>
      <c r="AI548" s="27"/>
      <c r="AJ548" s="17">
        <f t="shared" si="182"/>
        <v>66.856560000000002</v>
      </c>
      <c r="AK548" s="20"/>
      <c r="AL548" s="17">
        <f t="shared" si="183"/>
        <v>3275.9714399999998</v>
      </c>
      <c r="AM548" s="17"/>
      <c r="AN548" s="21"/>
      <c r="AO548" s="17">
        <f t="shared" si="184"/>
        <v>0</v>
      </c>
      <c r="AP548" s="27"/>
      <c r="AQ548" s="16"/>
      <c r="AR548" s="17">
        <f t="shared" si="191"/>
        <v>0</v>
      </c>
      <c r="AS548" s="17"/>
      <c r="AT548" s="17">
        <v>3877.68048</v>
      </c>
      <c r="AU548" s="17">
        <f t="shared" si="187"/>
        <v>3877.68048</v>
      </c>
      <c r="AV548" s="17">
        <f t="shared" si="185"/>
        <v>0</v>
      </c>
      <c r="AW548" s="17" t="str">
        <f t="shared" si="190"/>
        <v>RAWSUR</v>
      </c>
      <c r="AX548" s="22">
        <v>44901</v>
      </c>
      <c r="AY548" s="22"/>
      <c r="AZ548" s="1"/>
      <c r="BA548" s="22" t="str">
        <f t="shared" si="189"/>
        <v>PI</v>
      </c>
      <c r="BB548" s="54"/>
      <c r="BC548" s="22"/>
      <c r="BD548" s="22"/>
    </row>
    <row r="549" spans="1:56" ht="14.25" customHeight="1" x14ac:dyDescent="0.2">
      <c r="A549" s="1" t="s">
        <v>667</v>
      </c>
      <c r="B549" s="1" t="s">
        <v>57</v>
      </c>
      <c r="C549" s="13">
        <v>44837</v>
      </c>
      <c r="D549" s="13">
        <v>44840</v>
      </c>
      <c r="E549" s="13">
        <v>44840</v>
      </c>
      <c r="F549" s="13">
        <v>45204</v>
      </c>
      <c r="G549" s="14" t="str">
        <f t="shared" si="179"/>
        <v>000-548/AIB RDC/2022</v>
      </c>
      <c r="H549" s="1">
        <v>0</v>
      </c>
      <c r="I549" s="1" t="s">
        <v>74</v>
      </c>
      <c r="J549" s="1" t="s">
        <v>859</v>
      </c>
      <c r="K549" s="1" t="s">
        <v>852</v>
      </c>
      <c r="L549" s="1"/>
      <c r="M549" s="1" t="s">
        <v>706</v>
      </c>
      <c r="N549" s="1" t="s">
        <v>209</v>
      </c>
      <c r="O549" s="1" t="s">
        <v>132</v>
      </c>
      <c r="P549" s="1" t="s">
        <v>90</v>
      </c>
      <c r="Q549" s="1" t="s">
        <v>86</v>
      </c>
      <c r="R549" s="1" t="s">
        <v>86</v>
      </c>
      <c r="S549" s="17">
        <v>0</v>
      </c>
      <c r="T549" s="17">
        <v>22260.400000000001</v>
      </c>
      <c r="U549" s="17">
        <v>0</v>
      </c>
      <c r="V549" s="17">
        <v>0</v>
      </c>
      <c r="W549" s="17">
        <v>190</v>
      </c>
      <c r="X549" s="17">
        <v>19000</v>
      </c>
      <c r="Y549" s="17">
        <v>3070.4</v>
      </c>
      <c r="Z549" s="18" t="e">
        <f t="shared" si="180"/>
        <v>#DIV/0!</v>
      </c>
      <c r="AA549" s="19">
        <v>0.1</v>
      </c>
      <c r="AB549" s="17">
        <f t="shared" si="186"/>
        <v>1900</v>
      </c>
      <c r="AC549" s="17">
        <v>0</v>
      </c>
      <c r="AD549" s="17">
        <v>0</v>
      </c>
      <c r="AE549" s="17">
        <f t="shared" si="181"/>
        <v>1900</v>
      </c>
      <c r="AF549" s="17">
        <f t="shared" si="175"/>
        <v>304</v>
      </c>
      <c r="AG549" s="17">
        <f t="shared" si="188"/>
        <v>2204</v>
      </c>
      <c r="AH549" s="17">
        <f t="shared" si="176"/>
        <v>38</v>
      </c>
      <c r="AI549" s="27"/>
      <c r="AJ549" s="17">
        <f t="shared" si="182"/>
        <v>38</v>
      </c>
      <c r="AK549" s="20"/>
      <c r="AL549" s="17">
        <f t="shared" si="183"/>
        <v>1862</v>
      </c>
      <c r="AM549" s="17" t="s">
        <v>853</v>
      </c>
      <c r="AN549" s="21">
        <v>0.5</v>
      </c>
      <c r="AO549" s="17">
        <f t="shared" si="184"/>
        <v>931</v>
      </c>
      <c r="AP549" s="17">
        <v>931</v>
      </c>
      <c r="AQ549" s="16">
        <v>44938</v>
      </c>
      <c r="AR549" s="17">
        <f t="shared" si="191"/>
        <v>0</v>
      </c>
      <c r="AS549" s="17" t="s">
        <v>857</v>
      </c>
      <c r="AT549" s="17">
        <v>2204</v>
      </c>
      <c r="AU549" s="17">
        <f t="shared" si="187"/>
        <v>2204</v>
      </c>
      <c r="AV549" s="17">
        <f t="shared" si="185"/>
        <v>0</v>
      </c>
      <c r="AW549" s="17" t="str">
        <f t="shared" si="190"/>
        <v>SUNU</v>
      </c>
      <c r="AX549" s="22">
        <v>44888</v>
      </c>
      <c r="AY549" s="22"/>
      <c r="AZ549" s="1"/>
      <c r="BA549" s="22" t="str">
        <f t="shared" si="189"/>
        <v>PI</v>
      </c>
      <c r="BB549" s="54"/>
      <c r="BC549" s="22"/>
      <c r="BD549" s="22"/>
    </row>
    <row r="550" spans="1:56" ht="14.25" customHeight="1" x14ac:dyDescent="0.2">
      <c r="A550" s="1" t="s">
        <v>667</v>
      </c>
      <c r="B550" s="1" t="s">
        <v>57</v>
      </c>
      <c r="C550" s="13">
        <v>44837</v>
      </c>
      <c r="D550" s="13">
        <v>44847</v>
      </c>
      <c r="E550" s="13">
        <v>44847</v>
      </c>
      <c r="F550" s="13">
        <v>45211</v>
      </c>
      <c r="G550" s="14" t="str">
        <f t="shared" si="179"/>
        <v>000-549/AIB RDC/2022</v>
      </c>
      <c r="H550" s="1">
        <v>0</v>
      </c>
      <c r="I550" s="1" t="s">
        <v>74</v>
      </c>
      <c r="J550" s="1" t="s">
        <v>860</v>
      </c>
      <c r="K550" s="1" t="s">
        <v>852</v>
      </c>
      <c r="L550" s="1"/>
      <c r="M550" s="1" t="s">
        <v>706</v>
      </c>
      <c r="N550" s="1" t="s">
        <v>209</v>
      </c>
      <c r="O550" s="1" t="s">
        <v>152</v>
      </c>
      <c r="P550" s="1" t="s">
        <v>153</v>
      </c>
      <c r="Q550" s="1" t="s">
        <v>86</v>
      </c>
      <c r="R550" s="1" t="s">
        <v>86</v>
      </c>
      <c r="S550" s="17">
        <v>0</v>
      </c>
      <c r="T550" s="17">
        <v>988.32</v>
      </c>
      <c r="U550" s="17">
        <v>0</v>
      </c>
      <c r="V550" s="17">
        <v>0</v>
      </c>
      <c r="W550" s="17">
        <v>10</v>
      </c>
      <c r="X550" s="17">
        <v>842</v>
      </c>
      <c r="Y550" s="17">
        <v>136.32</v>
      </c>
      <c r="Z550" s="18" t="e">
        <f t="shared" si="180"/>
        <v>#DIV/0!</v>
      </c>
      <c r="AA550" s="19">
        <v>0.15</v>
      </c>
      <c r="AB550" s="17">
        <f t="shared" si="186"/>
        <v>126.3</v>
      </c>
      <c r="AC550" s="17">
        <v>0</v>
      </c>
      <c r="AD550" s="17">
        <v>0</v>
      </c>
      <c r="AE550" s="17">
        <f t="shared" si="181"/>
        <v>126.3</v>
      </c>
      <c r="AF550" s="17">
        <f t="shared" si="175"/>
        <v>20.207999999999998</v>
      </c>
      <c r="AG550" s="17">
        <f t="shared" si="188"/>
        <v>146.50799999999998</v>
      </c>
      <c r="AH550" s="17">
        <f t="shared" si="176"/>
        <v>2.5259999999999998</v>
      </c>
      <c r="AI550" s="27"/>
      <c r="AJ550" s="17">
        <f t="shared" si="182"/>
        <v>2.5259999999999998</v>
      </c>
      <c r="AK550" s="20"/>
      <c r="AL550" s="17">
        <f t="shared" si="183"/>
        <v>123.774</v>
      </c>
      <c r="AM550" s="17" t="s">
        <v>853</v>
      </c>
      <c r="AN550" s="21">
        <v>0.5</v>
      </c>
      <c r="AO550" s="17">
        <f t="shared" si="184"/>
        <v>61.887</v>
      </c>
      <c r="AP550" s="17">
        <v>61.887</v>
      </c>
      <c r="AQ550" s="16">
        <v>44938</v>
      </c>
      <c r="AR550" s="17">
        <f t="shared" si="191"/>
        <v>0</v>
      </c>
      <c r="AS550" s="17" t="s">
        <v>857</v>
      </c>
      <c r="AT550" s="17">
        <v>146.50799999999998</v>
      </c>
      <c r="AU550" s="17">
        <f t="shared" si="187"/>
        <v>146.50799999999998</v>
      </c>
      <c r="AV550" s="17">
        <f t="shared" si="185"/>
        <v>0</v>
      </c>
      <c r="AW550" s="17" t="str">
        <f t="shared" si="190"/>
        <v>SUNU</v>
      </c>
      <c r="AX550" s="22">
        <v>44888</v>
      </c>
      <c r="AY550" s="22"/>
      <c r="AZ550" s="1"/>
      <c r="BA550" s="22" t="str">
        <f t="shared" si="189"/>
        <v>COMP MOTOR</v>
      </c>
      <c r="BB550" s="54"/>
      <c r="BC550" s="22"/>
      <c r="BD550" s="22"/>
    </row>
    <row r="551" spans="1:56" ht="14.25" customHeight="1" x14ac:dyDescent="0.2">
      <c r="A551" s="1" t="s">
        <v>439</v>
      </c>
      <c r="B551" s="1" t="s">
        <v>273</v>
      </c>
      <c r="C551" s="13">
        <v>44838</v>
      </c>
      <c r="D551" s="13">
        <v>44764</v>
      </c>
      <c r="E551" s="13">
        <v>44782</v>
      </c>
      <c r="F551" s="13">
        <v>45146</v>
      </c>
      <c r="G551" s="14" t="str">
        <f t="shared" si="179"/>
        <v>000-550/AIB RDC/2022</v>
      </c>
      <c r="H551" s="1">
        <v>0</v>
      </c>
      <c r="I551" s="1" t="s">
        <v>74</v>
      </c>
      <c r="J551" s="1" t="s">
        <v>861</v>
      </c>
      <c r="K551" s="1" t="s">
        <v>862</v>
      </c>
      <c r="L551" s="1"/>
      <c r="M551" s="1" t="s">
        <v>95</v>
      </c>
      <c r="N551" s="1" t="s">
        <v>102</v>
      </c>
      <c r="O551" s="1" t="s">
        <v>97</v>
      </c>
      <c r="P551" s="1" t="s">
        <v>98</v>
      </c>
      <c r="Q551" s="1" t="s">
        <v>79</v>
      </c>
      <c r="R551" s="1" t="s">
        <v>79</v>
      </c>
      <c r="S551" s="17">
        <v>0</v>
      </c>
      <c r="T551" s="17">
        <v>5536</v>
      </c>
      <c r="U551" s="17">
        <v>0</v>
      </c>
      <c r="V551" s="17">
        <v>0</v>
      </c>
      <c r="W551" s="17">
        <v>0</v>
      </c>
      <c r="X551" s="17">
        <v>5442.16</v>
      </c>
      <c r="Y551" s="17">
        <v>0</v>
      </c>
      <c r="Z551" s="18" t="e">
        <f t="shared" si="180"/>
        <v>#DIV/0!</v>
      </c>
      <c r="AA551" s="19">
        <v>0.1</v>
      </c>
      <c r="AB551" s="17">
        <f t="shared" si="186"/>
        <v>544.21600000000001</v>
      </c>
      <c r="AC551" s="17"/>
      <c r="AD551" s="27"/>
      <c r="AE551" s="17">
        <f t="shared" si="181"/>
        <v>544.21600000000001</v>
      </c>
      <c r="AF551" s="17">
        <v>0</v>
      </c>
      <c r="AG551" s="17">
        <f t="shared" si="188"/>
        <v>544.21600000000001</v>
      </c>
      <c r="AH551" s="17">
        <f t="shared" si="176"/>
        <v>10.884320000000001</v>
      </c>
      <c r="AI551" s="27"/>
      <c r="AJ551" s="17">
        <f t="shared" si="182"/>
        <v>10.884320000000001</v>
      </c>
      <c r="AK551" s="20"/>
      <c r="AL551" s="17">
        <f t="shared" si="183"/>
        <v>533.33168000000001</v>
      </c>
      <c r="AM551" s="17"/>
      <c r="AN551" s="21"/>
      <c r="AO551" s="17">
        <f t="shared" si="184"/>
        <v>0</v>
      </c>
      <c r="AP551" s="27"/>
      <c r="AQ551" s="16"/>
      <c r="AR551" s="17">
        <f t="shared" si="191"/>
        <v>0</v>
      </c>
      <c r="AS551" s="17"/>
      <c r="AT551" s="17">
        <v>544.21600000000001</v>
      </c>
      <c r="AU551" s="17">
        <f t="shared" si="187"/>
        <v>544.21600000000001</v>
      </c>
      <c r="AV551" s="17">
        <f t="shared" si="185"/>
        <v>0</v>
      </c>
      <c r="AW551" s="17" t="s">
        <v>863</v>
      </c>
      <c r="AX551" s="22">
        <v>44992</v>
      </c>
      <c r="AY551" s="22"/>
      <c r="AZ551" s="1" t="s">
        <v>100</v>
      </c>
      <c r="BA551" s="22" t="str">
        <f t="shared" si="189"/>
        <v>MEDICAL</v>
      </c>
      <c r="BB551" s="54"/>
      <c r="BC551" s="22"/>
      <c r="BD551" s="22"/>
    </row>
    <row r="552" spans="1:56" ht="14.25" customHeight="1" x14ac:dyDescent="0.2">
      <c r="A552" s="1" t="s">
        <v>773</v>
      </c>
      <c r="B552" s="1" t="s">
        <v>273</v>
      </c>
      <c r="C552" s="13">
        <v>44838</v>
      </c>
      <c r="D552" s="13">
        <v>44811</v>
      </c>
      <c r="E552" s="13">
        <v>44805</v>
      </c>
      <c r="F552" s="13">
        <v>45169</v>
      </c>
      <c r="G552" s="14" t="str">
        <f t="shared" si="179"/>
        <v>000-551/AIB RDC/2022</v>
      </c>
      <c r="H552" s="1">
        <v>0</v>
      </c>
      <c r="I552" s="1" t="s">
        <v>74</v>
      </c>
      <c r="J552" s="1" t="s">
        <v>864</v>
      </c>
      <c r="K552" s="1" t="s">
        <v>865</v>
      </c>
      <c r="L552" s="1"/>
      <c r="M552" s="1" t="s">
        <v>95</v>
      </c>
      <c r="N552" s="1" t="s">
        <v>102</v>
      </c>
      <c r="O552" s="1" t="s">
        <v>113</v>
      </c>
      <c r="P552" s="1" t="s">
        <v>113</v>
      </c>
      <c r="Q552" s="1" t="s">
        <v>114</v>
      </c>
      <c r="R552" s="1" t="s">
        <v>737</v>
      </c>
      <c r="S552" s="17">
        <v>0</v>
      </c>
      <c r="T552" s="17">
        <v>23455.040000000001</v>
      </c>
      <c r="U552" s="17">
        <v>0</v>
      </c>
      <c r="V552" s="17">
        <v>0</v>
      </c>
      <c r="W552" s="17">
        <v>232.23</v>
      </c>
      <c r="X552" s="17">
        <v>23222.81</v>
      </c>
      <c r="Y552" s="17">
        <v>0</v>
      </c>
      <c r="Z552" s="18" t="e">
        <f t="shared" si="180"/>
        <v>#DIV/0!</v>
      </c>
      <c r="AA552" s="19">
        <v>0</v>
      </c>
      <c r="AB552" s="17">
        <f t="shared" si="186"/>
        <v>0</v>
      </c>
      <c r="AC552" s="17">
        <v>0</v>
      </c>
      <c r="AD552" s="17">
        <v>0</v>
      </c>
      <c r="AE552" s="17">
        <f t="shared" si="181"/>
        <v>0</v>
      </c>
      <c r="AF552" s="17">
        <v>0</v>
      </c>
      <c r="AG552" s="17">
        <f t="shared" si="188"/>
        <v>0</v>
      </c>
      <c r="AH552" s="17">
        <f>1%*AE552</f>
        <v>0</v>
      </c>
      <c r="AI552" s="27"/>
      <c r="AJ552" s="17">
        <f t="shared" si="182"/>
        <v>0</v>
      </c>
      <c r="AK552" s="20"/>
      <c r="AL552" s="17">
        <f t="shared" si="183"/>
        <v>0</v>
      </c>
      <c r="AM552" s="17" t="s">
        <v>738</v>
      </c>
      <c r="AN552" s="21">
        <v>0</v>
      </c>
      <c r="AO552" s="17">
        <f t="shared" si="184"/>
        <v>0</v>
      </c>
      <c r="AP552" s="27"/>
      <c r="AQ552" s="16"/>
      <c r="AR552" s="17">
        <f t="shared" si="191"/>
        <v>0</v>
      </c>
      <c r="AS552" s="17"/>
      <c r="AT552" s="17"/>
      <c r="AU552" s="17">
        <f t="shared" si="187"/>
        <v>0</v>
      </c>
      <c r="AV552" s="17">
        <f t="shared" si="185"/>
        <v>0</v>
      </c>
      <c r="AW552" s="17" t="str">
        <f t="shared" ref="AW552:AW615" si="192">Q552</f>
        <v>RAWSUR - LIFE</v>
      </c>
      <c r="AX552" s="22"/>
      <c r="AY552" s="22"/>
      <c r="AZ552" s="1"/>
      <c r="BA552" s="22" t="str">
        <f t="shared" si="189"/>
        <v>LIFE</v>
      </c>
      <c r="BB552" s="54"/>
      <c r="BC552" s="22"/>
      <c r="BD552" s="1" t="s">
        <v>866</v>
      </c>
    </row>
    <row r="553" spans="1:56" ht="14.25" customHeight="1" x14ac:dyDescent="0.2">
      <c r="A553" s="1" t="s">
        <v>773</v>
      </c>
      <c r="B553" s="1" t="s">
        <v>57</v>
      </c>
      <c r="C553" s="13">
        <v>44838</v>
      </c>
      <c r="D553" s="13">
        <v>44811</v>
      </c>
      <c r="E553" s="13">
        <v>44805</v>
      </c>
      <c r="F553" s="13">
        <v>44895</v>
      </c>
      <c r="G553" s="14" t="str">
        <f t="shared" si="179"/>
        <v>000-552/AIB RDC/2022</v>
      </c>
      <c r="H553" s="1">
        <v>0</v>
      </c>
      <c r="I553" s="1" t="s">
        <v>74</v>
      </c>
      <c r="J553" s="1" t="s">
        <v>867</v>
      </c>
      <c r="K553" s="1" t="s">
        <v>865</v>
      </c>
      <c r="L553" s="1"/>
      <c r="M553" s="1" t="s">
        <v>95</v>
      </c>
      <c r="N553" s="1" t="s">
        <v>102</v>
      </c>
      <c r="O553" s="1" t="s">
        <v>97</v>
      </c>
      <c r="P553" s="1" t="s">
        <v>98</v>
      </c>
      <c r="Q553" s="1" t="s">
        <v>107</v>
      </c>
      <c r="R553" s="1" t="s">
        <v>737</v>
      </c>
      <c r="S553" s="17">
        <v>0</v>
      </c>
      <c r="T553" s="17">
        <v>186332.21</v>
      </c>
      <c r="U553" s="17">
        <v>0</v>
      </c>
      <c r="V553" s="17">
        <v>0</v>
      </c>
      <c r="W553" s="17">
        <v>0</v>
      </c>
      <c r="X553" s="17">
        <v>182678.64</v>
      </c>
      <c r="Y553" s="17">
        <v>0</v>
      </c>
      <c r="Z553" s="18" t="e">
        <f t="shared" si="180"/>
        <v>#DIV/0!</v>
      </c>
      <c r="AA553" s="19">
        <v>0.1</v>
      </c>
      <c r="AB553" s="17">
        <f t="shared" si="186"/>
        <v>18267.864000000001</v>
      </c>
      <c r="AC553" s="17">
        <v>0</v>
      </c>
      <c r="AD553" s="17">
        <v>0</v>
      </c>
      <c r="AE553" s="17">
        <f t="shared" si="181"/>
        <v>18267.864000000001</v>
      </c>
      <c r="AF553" s="17">
        <v>0</v>
      </c>
      <c r="AG553" s="17">
        <f t="shared" si="188"/>
        <v>18267.864000000001</v>
      </c>
      <c r="AH553" s="17">
        <f t="shared" ref="AH553:AH616" si="193">2%*AE553</f>
        <v>365.35728000000006</v>
      </c>
      <c r="AI553" s="27"/>
      <c r="AJ553" s="17">
        <f t="shared" si="182"/>
        <v>365.35728000000006</v>
      </c>
      <c r="AK553" s="20"/>
      <c r="AL553" s="17">
        <f t="shared" si="183"/>
        <v>17902.506720000001</v>
      </c>
      <c r="AM553" s="17" t="s">
        <v>738</v>
      </c>
      <c r="AN553" s="21">
        <v>0.7</v>
      </c>
      <c r="AO553" s="17">
        <f t="shared" si="184"/>
        <v>12531.754704000001</v>
      </c>
      <c r="AP553" s="27"/>
      <c r="AQ553" s="16"/>
      <c r="AR553" s="17">
        <f t="shared" si="191"/>
        <v>12531.754704000001</v>
      </c>
      <c r="AS553" s="17"/>
      <c r="AT553" s="17">
        <v>18267.864000000001</v>
      </c>
      <c r="AU553" s="17">
        <f t="shared" si="187"/>
        <v>18267.864000000001</v>
      </c>
      <c r="AV553" s="17">
        <f t="shared" si="185"/>
        <v>0</v>
      </c>
      <c r="AW553" s="17" t="str">
        <f t="shared" si="192"/>
        <v>RAWSUR</v>
      </c>
      <c r="AX553" s="22">
        <v>45014</v>
      </c>
      <c r="AY553" s="1" t="s">
        <v>868</v>
      </c>
      <c r="AZ553" s="1"/>
      <c r="BA553" s="22" t="str">
        <f t="shared" si="189"/>
        <v>MEDICAL</v>
      </c>
      <c r="BB553" s="54"/>
      <c r="BC553" s="22"/>
      <c r="BD553" s="1" t="s">
        <v>869</v>
      </c>
    </row>
    <row r="554" spans="1:56" ht="14.25" customHeight="1" x14ac:dyDescent="0.2">
      <c r="A554" s="1" t="s">
        <v>773</v>
      </c>
      <c r="B554" s="1" t="s">
        <v>57</v>
      </c>
      <c r="C554" s="13">
        <v>44838</v>
      </c>
      <c r="D554" s="13">
        <v>44833</v>
      </c>
      <c r="E554" s="13">
        <v>44805</v>
      </c>
      <c r="F554" s="13">
        <v>45075</v>
      </c>
      <c r="G554" s="14" t="str">
        <f t="shared" si="179"/>
        <v>000-553/AIB RDC/2022</v>
      </c>
      <c r="H554" s="1">
        <v>2</v>
      </c>
      <c r="I554" s="1" t="s">
        <v>91</v>
      </c>
      <c r="J554" s="1" t="s">
        <v>599</v>
      </c>
      <c r="K554" s="1" t="s">
        <v>246</v>
      </c>
      <c r="L554" s="1"/>
      <c r="M554" s="1" t="s">
        <v>95</v>
      </c>
      <c r="N554" s="1" t="s">
        <v>102</v>
      </c>
      <c r="O554" s="1" t="s">
        <v>152</v>
      </c>
      <c r="P554" s="1" t="s">
        <v>153</v>
      </c>
      <c r="Q554" s="1" t="s">
        <v>66</v>
      </c>
      <c r="R554" s="1" t="s">
        <v>66</v>
      </c>
      <c r="S554" s="17">
        <v>0</v>
      </c>
      <c r="T554" s="17">
        <v>1732.07</v>
      </c>
      <c r="U554" s="17">
        <v>0</v>
      </c>
      <c r="V554" s="17">
        <v>0</v>
      </c>
      <c r="W554" s="17">
        <v>14.78</v>
      </c>
      <c r="X554" s="17">
        <v>1478.38</v>
      </c>
      <c r="Y554" s="17">
        <v>238.91</v>
      </c>
      <c r="Z554" s="18" t="e">
        <f t="shared" si="180"/>
        <v>#DIV/0!</v>
      </c>
      <c r="AA554" s="19">
        <v>0.148366105913946</v>
      </c>
      <c r="AB554" s="17">
        <f t="shared" si="186"/>
        <v>219.3414836610595</v>
      </c>
      <c r="AC554" s="17">
        <v>0</v>
      </c>
      <c r="AD554" s="17">
        <v>0</v>
      </c>
      <c r="AE554" s="17">
        <f t="shared" si="181"/>
        <v>219.3414836610595</v>
      </c>
      <c r="AF554" s="17">
        <f t="shared" ref="AF554:AF585" si="194">16%*AE554</f>
        <v>35.094637385769524</v>
      </c>
      <c r="AG554" s="17">
        <f t="shared" si="188"/>
        <v>254.43612104682902</v>
      </c>
      <c r="AH554" s="17">
        <f t="shared" si="193"/>
        <v>4.3868296732211904</v>
      </c>
      <c r="AI554" s="17">
        <v>0</v>
      </c>
      <c r="AJ554" s="17">
        <f t="shared" si="182"/>
        <v>4.3868296732211904</v>
      </c>
      <c r="AK554" s="20"/>
      <c r="AL554" s="17">
        <f t="shared" si="183"/>
        <v>214.9546539878383</v>
      </c>
      <c r="AM554" s="17"/>
      <c r="AN554" s="21"/>
      <c r="AO554" s="17">
        <f t="shared" si="184"/>
        <v>0</v>
      </c>
      <c r="AP554" s="27"/>
      <c r="AQ554" s="16"/>
      <c r="AR554" s="17">
        <f t="shared" si="191"/>
        <v>0</v>
      </c>
      <c r="AS554" s="17"/>
      <c r="AT554" s="17">
        <v>254.43612104682902</v>
      </c>
      <c r="AU554" s="17">
        <f t="shared" si="187"/>
        <v>254.43612104682902</v>
      </c>
      <c r="AV554" s="17">
        <f t="shared" si="185"/>
        <v>0</v>
      </c>
      <c r="AW554" s="17" t="str">
        <f t="shared" si="192"/>
        <v>ACTIVA</v>
      </c>
      <c r="AX554" s="22">
        <v>44894</v>
      </c>
      <c r="AY554" s="22"/>
      <c r="AZ554" s="1" t="s">
        <v>68</v>
      </c>
      <c r="BA554" s="22" t="str">
        <f t="shared" si="189"/>
        <v>COMP MOTOR</v>
      </c>
      <c r="BB554" s="54"/>
      <c r="BC554" s="22"/>
      <c r="BD554" s="22"/>
    </row>
    <row r="555" spans="1:56" ht="14.25" customHeight="1" x14ac:dyDescent="0.2">
      <c r="A555" s="1" t="s">
        <v>773</v>
      </c>
      <c r="B555" s="1" t="s">
        <v>57</v>
      </c>
      <c r="C555" s="13">
        <v>44838</v>
      </c>
      <c r="D555" s="13">
        <v>44829</v>
      </c>
      <c r="E555" s="13">
        <v>44833</v>
      </c>
      <c r="F555" s="13">
        <v>44922</v>
      </c>
      <c r="G555" s="14" t="str">
        <f t="shared" si="179"/>
        <v>000-554/AIB RDC/2022</v>
      </c>
      <c r="H555" s="1">
        <v>0</v>
      </c>
      <c r="I555" s="1" t="s">
        <v>74</v>
      </c>
      <c r="J555" s="1" t="s">
        <v>870</v>
      </c>
      <c r="K555" s="1" t="s">
        <v>871</v>
      </c>
      <c r="L555" s="1" t="s">
        <v>608</v>
      </c>
      <c r="M555" s="1" t="s">
        <v>95</v>
      </c>
      <c r="N555" s="1" t="s">
        <v>102</v>
      </c>
      <c r="O555" s="1" t="s">
        <v>240</v>
      </c>
      <c r="P555" s="1" t="s">
        <v>98</v>
      </c>
      <c r="Q555" s="1" t="s">
        <v>86</v>
      </c>
      <c r="R555" s="1" t="s">
        <v>86</v>
      </c>
      <c r="S555" s="17">
        <v>0</v>
      </c>
      <c r="T555" s="17">
        <v>60.85</v>
      </c>
      <c r="U555" s="17">
        <v>0</v>
      </c>
      <c r="V555" s="17">
        <v>0</v>
      </c>
      <c r="W555" s="17">
        <v>1.03</v>
      </c>
      <c r="X555" s="17">
        <v>51.43</v>
      </c>
      <c r="Y555" s="17">
        <v>8.39</v>
      </c>
      <c r="Z555" s="18" t="e">
        <f t="shared" si="180"/>
        <v>#DIV/0!</v>
      </c>
      <c r="AA555" s="19">
        <v>0.2</v>
      </c>
      <c r="AB555" s="17">
        <f t="shared" si="186"/>
        <v>10.286000000000001</v>
      </c>
      <c r="AC555" s="17">
        <v>0</v>
      </c>
      <c r="AD555" s="17">
        <v>0</v>
      </c>
      <c r="AE555" s="17">
        <f t="shared" si="181"/>
        <v>10.286000000000001</v>
      </c>
      <c r="AF555" s="17">
        <f t="shared" si="194"/>
        <v>1.6457600000000003</v>
      </c>
      <c r="AG555" s="17">
        <f t="shared" si="188"/>
        <v>11.931760000000002</v>
      </c>
      <c r="AH555" s="17">
        <f t="shared" si="193"/>
        <v>0.20572000000000004</v>
      </c>
      <c r="AI555" s="27"/>
      <c r="AJ555" s="17">
        <f t="shared" si="182"/>
        <v>0.20572000000000004</v>
      </c>
      <c r="AK555" s="20"/>
      <c r="AL555" s="17">
        <f t="shared" si="183"/>
        <v>10.080280000000002</v>
      </c>
      <c r="AM555" s="17"/>
      <c r="AN555" s="21"/>
      <c r="AO555" s="17">
        <f t="shared" si="184"/>
        <v>0</v>
      </c>
      <c r="AP555" s="27"/>
      <c r="AQ555" s="16"/>
      <c r="AR555" s="17">
        <f t="shared" si="191"/>
        <v>0</v>
      </c>
      <c r="AS555" s="17"/>
      <c r="AT555" s="17">
        <v>11.931760000000002</v>
      </c>
      <c r="AU555" s="17">
        <f t="shared" si="187"/>
        <v>11.931760000000002</v>
      </c>
      <c r="AV555" s="17">
        <f t="shared" si="185"/>
        <v>0</v>
      </c>
      <c r="AW555" s="17" t="str">
        <f t="shared" si="192"/>
        <v>SUNU</v>
      </c>
      <c r="AX555" s="22">
        <v>44858</v>
      </c>
      <c r="AY555" s="22"/>
      <c r="AZ555" s="1" t="s">
        <v>110</v>
      </c>
      <c r="BA555" s="22" t="str">
        <f t="shared" si="189"/>
        <v>TRAVEL</v>
      </c>
      <c r="BB555" s="54"/>
      <c r="BC555" s="22"/>
      <c r="BD555" s="22"/>
    </row>
    <row r="556" spans="1:56" ht="14.25" customHeight="1" x14ac:dyDescent="0.2">
      <c r="A556" s="1" t="s">
        <v>773</v>
      </c>
      <c r="B556" s="1" t="s">
        <v>57</v>
      </c>
      <c r="C556" s="13">
        <v>44838</v>
      </c>
      <c r="D556" s="13">
        <v>44826</v>
      </c>
      <c r="E556" s="13">
        <v>44832</v>
      </c>
      <c r="F556" s="13">
        <v>44861</v>
      </c>
      <c r="G556" s="14" t="str">
        <f t="shared" si="179"/>
        <v>000-555/AIB RDC/2022</v>
      </c>
      <c r="H556" s="1">
        <v>0</v>
      </c>
      <c r="I556" s="1" t="s">
        <v>74</v>
      </c>
      <c r="J556" s="1" t="s">
        <v>872</v>
      </c>
      <c r="K556" s="1" t="s">
        <v>873</v>
      </c>
      <c r="L556" s="1"/>
      <c r="M556" s="1" t="s">
        <v>95</v>
      </c>
      <c r="N556" s="1" t="s">
        <v>102</v>
      </c>
      <c r="O556" s="1" t="s">
        <v>240</v>
      </c>
      <c r="P556" s="1" t="s">
        <v>98</v>
      </c>
      <c r="Q556" s="1" t="s">
        <v>107</v>
      </c>
      <c r="R556" s="1" t="s">
        <v>107</v>
      </c>
      <c r="S556" s="17">
        <v>30000</v>
      </c>
      <c r="T556" s="17">
        <v>111.77</v>
      </c>
      <c r="U556" s="17">
        <v>0</v>
      </c>
      <c r="V556" s="17">
        <v>0</v>
      </c>
      <c r="W556" s="17">
        <v>2</v>
      </c>
      <c r="X556" s="17">
        <v>92.47</v>
      </c>
      <c r="Y556" s="17">
        <v>15.11</v>
      </c>
      <c r="Z556" s="18">
        <f t="shared" si="180"/>
        <v>3.7256666666666666E-3</v>
      </c>
      <c r="AA556" s="19">
        <v>0.2</v>
      </c>
      <c r="AB556" s="17">
        <f t="shared" si="186"/>
        <v>18.494</v>
      </c>
      <c r="AC556" s="17">
        <v>0</v>
      </c>
      <c r="AD556" s="17">
        <v>0</v>
      </c>
      <c r="AE556" s="17">
        <f t="shared" si="181"/>
        <v>18.494</v>
      </c>
      <c r="AF556" s="17">
        <f t="shared" si="194"/>
        <v>2.9590399999999999</v>
      </c>
      <c r="AG556" s="17">
        <f t="shared" si="188"/>
        <v>21.453040000000001</v>
      </c>
      <c r="AH556" s="17">
        <f t="shared" si="193"/>
        <v>0.36987999999999999</v>
      </c>
      <c r="AI556" s="27"/>
      <c r="AJ556" s="17">
        <f t="shared" si="182"/>
        <v>0.36987999999999999</v>
      </c>
      <c r="AK556" s="20"/>
      <c r="AL556" s="17">
        <f t="shared" si="183"/>
        <v>18.124120000000001</v>
      </c>
      <c r="AM556" s="17"/>
      <c r="AN556" s="21"/>
      <c r="AO556" s="17">
        <f t="shared" si="184"/>
        <v>0</v>
      </c>
      <c r="AP556" s="27"/>
      <c r="AQ556" s="16"/>
      <c r="AR556" s="17">
        <f t="shared" si="191"/>
        <v>0</v>
      </c>
      <c r="AS556" s="17"/>
      <c r="AT556" s="17">
        <v>21.453040000000001</v>
      </c>
      <c r="AU556" s="17">
        <f t="shared" si="187"/>
        <v>21.453040000000001</v>
      </c>
      <c r="AV556" s="17">
        <f t="shared" si="185"/>
        <v>0</v>
      </c>
      <c r="AW556" s="17" t="str">
        <f t="shared" si="192"/>
        <v>RAWSUR</v>
      </c>
      <c r="AX556" s="22">
        <v>44869</v>
      </c>
      <c r="AY556" s="22"/>
      <c r="AZ556" s="1" t="s">
        <v>110</v>
      </c>
      <c r="BA556" s="22" t="str">
        <f t="shared" si="189"/>
        <v>TRAVEL</v>
      </c>
      <c r="BB556" s="54"/>
      <c r="BC556" s="22"/>
      <c r="BD556" s="22"/>
    </row>
    <row r="557" spans="1:56" ht="14.25" customHeight="1" x14ac:dyDescent="0.2">
      <c r="A557" s="1" t="s">
        <v>773</v>
      </c>
      <c r="B557" s="1" t="s">
        <v>57</v>
      </c>
      <c r="C557" s="13">
        <v>44838</v>
      </c>
      <c r="D557" s="13">
        <v>44804</v>
      </c>
      <c r="E557" s="13">
        <v>44805</v>
      </c>
      <c r="F557" s="13">
        <v>44926</v>
      </c>
      <c r="G557" s="14" t="str">
        <f t="shared" si="179"/>
        <v>000-556/AIB RDC/2022</v>
      </c>
      <c r="H557" s="1">
        <v>0</v>
      </c>
      <c r="I557" s="1" t="s">
        <v>74</v>
      </c>
      <c r="J557" s="1" t="s">
        <v>874</v>
      </c>
      <c r="K557" s="1" t="s">
        <v>875</v>
      </c>
      <c r="L557" s="1"/>
      <c r="M557" s="1" t="s">
        <v>95</v>
      </c>
      <c r="N557" s="1" t="s">
        <v>102</v>
      </c>
      <c r="O557" s="1" t="s">
        <v>97</v>
      </c>
      <c r="P557" s="1" t="s">
        <v>98</v>
      </c>
      <c r="Q557" s="1" t="s">
        <v>66</v>
      </c>
      <c r="R557" s="1" t="s">
        <v>66</v>
      </c>
      <c r="S557" s="17">
        <v>0</v>
      </c>
      <c r="T557" s="17">
        <v>7283.52</v>
      </c>
      <c r="U557" s="17">
        <v>0</v>
      </c>
      <c r="V557" s="17">
        <v>0</v>
      </c>
      <c r="W557" s="17">
        <v>72</v>
      </c>
      <c r="X557" s="17">
        <v>7200</v>
      </c>
      <c r="Y557" s="17">
        <v>11.52</v>
      </c>
      <c r="Z557" s="18" t="e">
        <f t="shared" si="180"/>
        <v>#DIV/0!</v>
      </c>
      <c r="AA557" s="19">
        <v>0.1</v>
      </c>
      <c r="AB557" s="17">
        <f t="shared" si="186"/>
        <v>720</v>
      </c>
      <c r="AC557" s="17"/>
      <c r="AD557" s="27"/>
      <c r="AE557" s="17">
        <f t="shared" si="181"/>
        <v>720</v>
      </c>
      <c r="AF557" s="17">
        <f t="shared" si="194"/>
        <v>115.2</v>
      </c>
      <c r="AG557" s="17">
        <f t="shared" si="188"/>
        <v>835.2</v>
      </c>
      <c r="AH557" s="17">
        <f t="shared" si="193"/>
        <v>14.4</v>
      </c>
      <c r="AI557" s="27"/>
      <c r="AJ557" s="17">
        <f t="shared" si="182"/>
        <v>14.4</v>
      </c>
      <c r="AK557" s="20"/>
      <c r="AL557" s="17">
        <f t="shared" si="183"/>
        <v>705.6</v>
      </c>
      <c r="AM557" s="17"/>
      <c r="AN557" s="21"/>
      <c r="AO557" s="17">
        <f t="shared" si="184"/>
        <v>0</v>
      </c>
      <c r="AP557" s="27"/>
      <c r="AQ557" s="16"/>
      <c r="AR557" s="17">
        <f t="shared" si="191"/>
        <v>0</v>
      </c>
      <c r="AS557" s="17"/>
      <c r="AT557" s="17">
        <v>835.2</v>
      </c>
      <c r="AU557" s="17">
        <f t="shared" si="187"/>
        <v>835.2</v>
      </c>
      <c r="AV557" s="17">
        <f t="shared" si="185"/>
        <v>0</v>
      </c>
      <c r="AW557" s="17" t="str">
        <f t="shared" si="192"/>
        <v>ACTIVA</v>
      </c>
      <c r="AX557" s="22">
        <v>44894</v>
      </c>
      <c r="AY557" s="22"/>
      <c r="AZ557" s="1" t="s">
        <v>68</v>
      </c>
      <c r="BA557" s="22" t="str">
        <f t="shared" si="189"/>
        <v>MEDICAL</v>
      </c>
      <c r="BB557" s="54"/>
      <c r="BC557" s="22"/>
      <c r="BD557" s="22"/>
    </row>
    <row r="558" spans="1:56" ht="14.25" customHeight="1" x14ac:dyDescent="0.2">
      <c r="A558" s="1" t="s">
        <v>667</v>
      </c>
      <c r="B558" s="1" t="s">
        <v>57</v>
      </c>
      <c r="C558" s="13">
        <v>44831</v>
      </c>
      <c r="D558" s="13">
        <v>44839</v>
      </c>
      <c r="E558" s="13">
        <v>44838</v>
      </c>
      <c r="F558" s="13">
        <v>45093</v>
      </c>
      <c r="G558" s="14" t="str">
        <f t="shared" si="179"/>
        <v>000-557/AIB RDC/2022</v>
      </c>
      <c r="H558" s="1">
        <v>3</v>
      </c>
      <c r="I558" s="1" t="s">
        <v>91</v>
      </c>
      <c r="J558" s="1" t="s">
        <v>638</v>
      </c>
      <c r="K558" s="1" t="s">
        <v>527</v>
      </c>
      <c r="L558" s="1"/>
      <c r="M558" s="1" t="s">
        <v>105</v>
      </c>
      <c r="N558" s="1" t="s">
        <v>184</v>
      </c>
      <c r="O558" s="1" t="s">
        <v>152</v>
      </c>
      <c r="P558" s="1" t="s">
        <v>153</v>
      </c>
      <c r="Q558" s="1" t="s">
        <v>130</v>
      </c>
      <c r="R558" s="1" t="s">
        <v>130</v>
      </c>
      <c r="S558" s="17">
        <v>48000</v>
      </c>
      <c r="T558" s="17">
        <v>2055.42</v>
      </c>
      <c r="U558" s="17">
        <v>0</v>
      </c>
      <c r="V558" s="17">
        <v>0</v>
      </c>
      <c r="W558" s="17">
        <v>25.74</v>
      </c>
      <c r="X558" s="17">
        <v>1716.15</v>
      </c>
      <c r="Y558" s="17">
        <v>278.7</v>
      </c>
      <c r="Z558" s="18">
        <f t="shared" si="180"/>
        <v>4.2821249999999998E-2</v>
      </c>
      <c r="AA558" s="19">
        <v>0.15</v>
      </c>
      <c r="AB558" s="17">
        <f t="shared" si="186"/>
        <v>257.42250000000001</v>
      </c>
      <c r="AC558" s="17">
        <v>0</v>
      </c>
      <c r="AD558" s="17">
        <v>0</v>
      </c>
      <c r="AE558" s="17">
        <f t="shared" si="181"/>
        <v>257.42250000000001</v>
      </c>
      <c r="AF558" s="17">
        <f t="shared" si="194"/>
        <v>41.187600000000003</v>
      </c>
      <c r="AG558" s="17">
        <f t="shared" si="188"/>
        <v>298.61009999999999</v>
      </c>
      <c r="AH558" s="17">
        <f t="shared" si="193"/>
        <v>5.1484500000000004</v>
      </c>
      <c r="AI558" s="27"/>
      <c r="AJ558" s="17">
        <f t="shared" si="182"/>
        <v>5.1484500000000004</v>
      </c>
      <c r="AK558" s="20"/>
      <c r="AL558" s="17">
        <f t="shared" si="183"/>
        <v>252.27405000000002</v>
      </c>
      <c r="AM558" s="17"/>
      <c r="AN558" s="21"/>
      <c r="AO558" s="17">
        <f t="shared" si="184"/>
        <v>0</v>
      </c>
      <c r="AP558" s="27"/>
      <c r="AQ558" s="16"/>
      <c r="AR558" s="17">
        <f t="shared" si="191"/>
        <v>0</v>
      </c>
      <c r="AS558" s="17"/>
      <c r="AT558" s="17">
        <v>298.61009999999999</v>
      </c>
      <c r="AU558" s="17">
        <f t="shared" si="187"/>
        <v>298.61009999999999</v>
      </c>
      <c r="AV558" s="17">
        <f t="shared" si="185"/>
        <v>0</v>
      </c>
      <c r="AW558" s="17" t="str">
        <f t="shared" si="192"/>
        <v>SFA</v>
      </c>
      <c r="AX558" s="22">
        <v>44887</v>
      </c>
      <c r="AY558" s="22"/>
      <c r="AZ558" s="1" t="s">
        <v>68</v>
      </c>
      <c r="BA558" s="22" t="str">
        <f t="shared" si="189"/>
        <v>COMP MOTOR</v>
      </c>
      <c r="BB558" s="54"/>
      <c r="BC558" s="22"/>
      <c r="BD558" s="22"/>
    </row>
    <row r="559" spans="1:56" ht="14.25" customHeight="1" x14ac:dyDescent="0.2">
      <c r="A559" s="1" t="s">
        <v>496</v>
      </c>
      <c r="B559" s="1" t="s">
        <v>57</v>
      </c>
      <c r="C559" s="13">
        <v>44805</v>
      </c>
      <c r="D559" s="13">
        <v>44805</v>
      </c>
      <c r="E559" s="13">
        <v>44687</v>
      </c>
      <c r="F559" s="13">
        <v>45051</v>
      </c>
      <c r="G559" s="14" t="str">
        <f t="shared" si="179"/>
        <v>000-558/AIB RDC/2022</v>
      </c>
      <c r="H559" s="1">
        <v>1</v>
      </c>
      <c r="I559" s="1" t="s">
        <v>58</v>
      </c>
      <c r="J559" s="1" t="s">
        <v>876</v>
      </c>
      <c r="K559" s="1" t="s">
        <v>877</v>
      </c>
      <c r="L559" s="1" t="s">
        <v>878</v>
      </c>
      <c r="M559" s="1" t="s">
        <v>105</v>
      </c>
      <c r="N559" s="1" t="s">
        <v>541</v>
      </c>
      <c r="O559" s="1" t="s">
        <v>70</v>
      </c>
      <c r="P559" s="1" t="s">
        <v>71</v>
      </c>
      <c r="Q559" s="1" t="s">
        <v>107</v>
      </c>
      <c r="R559" s="1" t="s">
        <v>107</v>
      </c>
      <c r="S559" s="17">
        <v>0</v>
      </c>
      <c r="T559" s="17">
        <v>1594.89</v>
      </c>
      <c r="U559" s="17">
        <v>0</v>
      </c>
      <c r="V559" s="17">
        <v>0</v>
      </c>
      <c r="W559" s="17">
        <v>50</v>
      </c>
      <c r="X559" s="17">
        <v>1301.6099999999999</v>
      </c>
      <c r="Y559" s="17">
        <v>216.25</v>
      </c>
      <c r="Z559" s="18" t="e">
        <f t="shared" si="180"/>
        <v>#DIV/0!</v>
      </c>
      <c r="AA559" s="19">
        <v>0.15</v>
      </c>
      <c r="AB559" s="17">
        <f t="shared" si="186"/>
        <v>195.24149999999997</v>
      </c>
      <c r="AC559" s="34">
        <v>0</v>
      </c>
      <c r="AD559" s="34">
        <v>0</v>
      </c>
      <c r="AE559" s="17">
        <f t="shared" si="181"/>
        <v>195.24149999999997</v>
      </c>
      <c r="AF559" s="17">
        <f t="shared" si="194"/>
        <v>31.238639999999997</v>
      </c>
      <c r="AG559" s="17">
        <f t="shared" si="188"/>
        <v>226.48013999999998</v>
      </c>
      <c r="AH559" s="17">
        <f t="shared" si="193"/>
        <v>3.9048299999999996</v>
      </c>
      <c r="AI559" s="27"/>
      <c r="AJ559" s="17">
        <f t="shared" si="182"/>
        <v>3.9048299999999996</v>
      </c>
      <c r="AK559" s="20"/>
      <c r="AL559" s="17">
        <f t="shared" si="183"/>
        <v>191.33666999999997</v>
      </c>
      <c r="AM559" s="17"/>
      <c r="AN559" s="21"/>
      <c r="AO559" s="17">
        <f t="shared" si="184"/>
        <v>0</v>
      </c>
      <c r="AP559" s="27"/>
      <c r="AQ559" s="16"/>
      <c r="AR559" s="17">
        <f t="shared" si="191"/>
        <v>0</v>
      </c>
      <c r="AS559" s="17"/>
      <c r="AT559" s="17">
        <v>226.48013999999998</v>
      </c>
      <c r="AU559" s="17">
        <f t="shared" si="187"/>
        <v>226.48013999999998</v>
      </c>
      <c r="AV559" s="17">
        <f t="shared" si="185"/>
        <v>0</v>
      </c>
      <c r="AW559" s="17" t="str">
        <f t="shared" si="192"/>
        <v>RAWSUR</v>
      </c>
      <c r="AX559" s="22">
        <v>44869</v>
      </c>
      <c r="AY559" s="22"/>
      <c r="AZ559" s="1" t="s">
        <v>68</v>
      </c>
      <c r="BA559" s="22" t="str">
        <f t="shared" si="189"/>
        <v>FIRE</v>
      </c>
      <c r="BB559" s="54"/>
      <c r="BC559" s="22"/>
      <c r="BD559" s="22"/>
    </row>
    <row r="560" spans="1:56" ht="14.25" customHeight="1" x14ac:dyDescent="0.2">
      <c r="A560" s="1" t="s">
        <v>773</v>
      </c>
      <c r="B560" s="1" t="s">
        <v>57</v>
      </c>
      <c r="C560" s="13">
        <v>44824</v>
      </c>
      <c r="D560" s="13">
        <v>44824</v>
      </c>
      <c r="E560" s="13">
        <v>44824</v>
      </c>
      <c r="F560" s="13">
        <v>44914</v>
      </c>
      <c r="G560" s="14" t="str">
        <f t="shared" si="179"/>
        <v>000-559/AIB RDC/2022</v>
      </c>
      <c r="H560" s="1">
        <v>0</v>
      </c>
      <c r="I560" s="1" t="s">
        <v>74</v>
      </c>
      <c r="J560" s="1" t="s">
        <v>879</v>
      </c>
      <c r="K560" s="1" t="s">
        <v>880</v>
      </c>
      <c r="L560" s="1" t="s">
        <v>881</v>
      </c>
      <c r="M560" s="1" t="s">
        <v>706</v>
      </c>
      <c r="N560" s="1" t="s">
        <v>209</v>
      </c>
      <c r="O560" s="1" t="s">
        <v>73</v>
      </c>
      <c r="P560" s="1" t="s">
        <v>73</v>
      </c>
      <c r="Q560" s="1" t="s">
        <v>86</v>
      </c>
      <c r="R560" s="1" t="s">
        <v>86</v>
      </c>
      <c r="S560" s="17">
        <v>0</v>
      </c>
      <c r="T560" s="17">
        <v>83.22</v>
      </c>
      <c r="U560" s="17">
        <v>0</v>
      </c>
      <c r="V560" s="17">
        <v>0</v>
      </c>
      <c r="W560" s="17">
        <v>10</v>
      </c>
      <c r="X560" s="17">
        <v>61.74</v>
      </c>
      <c r="Y560" s="17">
        <v>11.48</v>
      </c>
      <c r="Z560" s="18" t="e">
        <f t="shared" si="180"/>
        <v>#DIV/0!</v>
      </c>
      <c r="AA560" s="19">
        <v>0.1</v>
      </c>
      <c r="AB560" s="17">
        <f t="shared" si="186"/>
        <v>6.1740000000000004</v>
      </c>
      <c r="AC560" s="34">
        <v>0</v>
      </c>
      <c r="AD560" s="34">
        <v>0</v>
      </c>
      <c r="AE560" s="17">
        <f t="shared" si="181"/>
        <v>6.1740000000000004</v>
      </c>
      <c r="AF560" s="17">
        <f t="shared" si="194"/>
        <v>0.98784000000000005</v>
      </c>
      <c r="AG560" s="17">
        <f t="shared" si="188"/>
        <v>7.1618400000000007</v>
      </c>
      <c r="AH560" s="17">
        <f t="shared" si="193"/>
        <v>0.12348000000000001</v>
      </c>
      <c r="AI560" s="27"/>
      <c r="AJ560" s="17">
        <f t="shared" si="182"/>
        <v>0.12348000000000001</v>
      </c>
      <c r="AK560" s="20"/>
      <c r="AL560" s="17">
        <f t="shared" si="183"/>
        <v>6.0505200000000006</v>
      </c>
      <c r="AM560" s="17"/>
      <c r="AN560" s="21"/>
      <c r="AO560" s="17">
        <f t="shared" si="184"/>
        <v>0</v>
      </c>
      <c r="AP560" s="27"/>
      <c r="AQ560" s="16"/>
      <c r="AR560" s="17">
        <f t="shared" si="191"/>
        <v>0</v>
      </c>
      <c r="AS560" s="17"/>
      <c r="AT560" s="17">
        <v>7.1618400000000007</v>
      </c>
      <c r="AU560" s="17">
        <f t="shared" ref="AU560:AU591" si="195">AG560</f>
        <v>7.1618400000000007</v>
      </c>
      <c r="AV560" s="17">
        <f t="shared" si="185"/>
        <v>0</v>
      </c>
      <c r="AW560" s="17" t="str">
        <f t="shared" si="192"/>
        <v>SUNU</v>
      </c>
      <c r="AX560" s="22">
        <v>44858</v>
      </c>
      <c r="AY560" s="22"/>
      <c r="AZ560" s="1" t="s">
        <v>68</v>
      </c>
      <c r="BA560" s="22" t="str">
        <f t="shared" si="189"/>
        <v>MOTOR TPL</v>
      </c>
      <c r="BB560" s="54"/>
      <c r="BC560" s="22"/>
      <c r="BD560" s="22"/>
    </row>
    <row r="561" spans="1:56" ht="14.25" customHeight="1" x14ac:dyDescent="0.2">
      <c r="A561" s="1" t="s">
        <v>496</v>
      </c>
      <c r="B561" s="1" t="s">
        <v>57</v>
      </c>
      <c r="C561" s="13">
        <v>44826</v>
      </c>
      <c r="D561" s="13">
        <v>44663</v>
      </c>
      <c r="E561" s="13">
        <v>44687</v>
      </c>
      <c r="F561" s="13">
        <v>44933</v>
      </c>
      <c r="G561" s="14" t="str">
        <f t="shared" si="179"/>
        <v>000-560/AIB RDC/2022</v>
      </c>
      <c r="H561" s="1">
        <v>3</v>
      </c>
      <c r="I561" s="1" t="s">
        <v>91</v>
      </c>
      <c r="J561" s="1" t="s">
        <v>199</v>
      </c>
      <c r="K561" s="16" t="s">
        <v>200</v>
      </c>
      <c r="L561" s="16" t="s">
        <v>169</v>
      </c>
      <c r="M561" s="16" t="s">
        <v>84</v>
      </c>
      <c r="N561" s="16" t="s">
        <v>85</v>
      </c>
      <c r="O561" s="16" t="s">
        <v>185</v>
      </c>
      <c r="P561" s="16" t="s">
        <v>186</v>
      </c>
      <c r="Q561" s="16" t="s">
        <v>130</v>
      </c>
      <c r="R561" s="16" t="s">
        <v>201</v>
      </c>
      <c r="S561" s="17">
        <v>0</v>
      </c>
      <c r="T561" s="17">
        <v>427397.62</v>
      </c>
      <c r="U561" s="17">
        <v>54315.21</v>
      </c>
      <c r="V561" s="17">
        <v>-40915.86</v>
      </c>
      <c r="W561" s="17">
        <v>100</v>
      </c>
      <c r="X561" s="17">
        <v>307786.15999999997</v>
      </c>
      <c r="Y561" s="17">
        <v>57952.22</v>
      </c>
      <c r="Z561" s="18" t="e">
        <f t="shared" si="180"/>
        <v>#DIV/0!</v>
      </c>
      <c r="AA561" s="19">
        <v>0</v>
      </c>
      <c r="AB561" s="17">
        <f t="shared" si="186"/>
        <v>0</v>
      </c>
      <c r="AC561" s="17">
        <f>30%*(U561+V561)</f>
        <v>4019.8049999999994</v>
      </c>
      <c r="AD561" s="34">
        <v>0</v>
      </c>
      <c r="AE561" s="17">
        <f t="shared" si="181"/>
        <v>4019.8049999999994</v>
      </c>
      <c r="AF561" s="17">
        <f t="shared" si="194"/>
        <v>643.16879999999992</v>
      </c>
      <c r="AG561" s="17">
        <f t="shared" si="188"/>
        <v>4662.9737999999998</v>
      </c>
      <c r="AH561" s="17">
        <f t="shared" si="193"/>
        <v>80.39609999999999</v>
      </c>
      <c r="AI561" s="17">
        <v>0</v>
      </c>
      <c r="AJ561" s="17">
        <f t="shared" si="182"/>
        <v>80.39609999999999</v>
      </c>
      <c r="AK561" s="20"/>
      <c r="AL561" s="17">
        <f t="shared" si="183"/>
        <v>3939.4088999999994</v>
      </c>
      <c r="AM561" s="17" t="s">
        <v>198</v>
      </c>
      <c r="AN561" s="21"/>
      <c r="AO561" s="17">
        <f t="shared" si="184"/>
        <v>0</v>
      </c>
      <c r="AP561" s="27"/>
      <c r="AQ561" s="16"/>
      <c r="AR561" s="17">
        <f t="shared" si="191"/>
        <v>0</v>
      </c>
      <c r="AS561" s="17"/>
      <c r="AT561" s="17">
        <v>4662.9737999999998</v>
      </c>
      <c r="AU561" s="17">
        <f t="shared" si="195"/>
        <v>4662.9737999999998</v>
      </c>
      <c r="AV561" s="17">
        <f t="shared" si="185"/>
        <v>0</v>
      </c>
      <c r="AW561" s="17" t="str">
        <f t="shared" si="192"/>
        <v>SFA</v>
      </c>
      <c r="AX561" s="22">
        <v>45076</v>
      </c>
      <c r="AY561" s="22"/>
      <c r="AZ561" s="1" t="s">
        <v>68</v>
      </c>
      <c r="BA561" s="22" t="str">
        <f t="shared" si="189"/>
        <v>AVIATION HULL ALL RISK</v>
      </c>
      <c r="BB561" s="54"/>
      <c r="BC561" s="22"/>
      <c r="BD561" s="1" t="s">
        <v>591</v>
      </c>
    </row>
    <row r="562" spans="1:56" ht="14.25" customHeight="1" x14ac:dyDescent="0.2">
      <c r="A562" s="28" t="s">
        <v>578</v>
      </c>
      <c r="B562" s="28" t="s">
        <v>57</v>
      </c>
      <c r="C562" s="36">
        <v>44826</v>
      </c>
      <c r="D562" s="36">
        <v>44832</v>
      </c>
      <c r="E562" s="36">
        <v>44717</v>
      </c>
      <c r="F562" s="36">
        <v>45081</v>
      </c>
      <c r="G562" s="37" t="str">
        <f t="shared" si="179"/>
        <v>000-561/AIB RDC/2022</v>
      </c>
      <c r="H562" s="28">
        <v>0</v>
      </c>
      <c r="I562" s="28" t="s">
        <v>74</v>
      </c>
      <c r="J562" s="58" t="s">
        <v>882</v>
      </c>
      <c r="K562" s="28" t="s">
        <v>335</v>
      </c>
      <c r="L562" s="29" t="s">
        <v>137</v>
      </c>
      <c r="M562" s="29" t="s">
        <v>84</v>
      </c>
      <c r="N562" s="29" t="s">
        <v>85</v>
      </c>
      <c r="O562" s="28" t="s">
        <v>883</v>
      </c>
      <c r="P562" s="28" t="s">
        <v>90</v>
      </c>
      <c r="Q562" s="28" t="s">
        <v>130</v>
      </c>
      <c r="R562" s="28" t="s">
        <v>130</v>
      </c>
      <c r="S562" s="23">
        <v>0</v>
      </c>
      <c r="T562" s="23">
        <v>18588.47</v>
      </c>
      <c r="U562" s="23">
        <v>2352.94</v>
      </c>
      <c r="V562" s="23">
        <v>0</v>
      </c>
      <c r="W562" s="23">
        <v>66.67</v>
      </c>
      <c r="X562" s="23">
        <v>13333.33</v>
      </c>
      <c r="Y562" s="23">
        <v>2520.4699999999998</v>
      </c>
      <c r="Z562" s="38" t="e">
        <f t="shared" si="180"/>
        <v>#DIV/0!</v>
      </c>
      <c r="AA562" s="39">
        <v>0.1</v>
      </c>
      <c r="AB562" s="23">
        <f t="shared" si="186"/>
        <v>1333.3330000000001</v>
      </c>
      <c r="AC562" s="23">
        <v>0</v>
      </c>
      <c r="AD562" s="23">
        <v>0</v>
      </c>
      <c r="AE562" s="23">
        <f t="shared" si="181"/>
        <v>1333.3330000000001</v>
      </c>
      <c r="AF562" s="23">
        <f t="shared" si="194"/>
        <v>213.33328000000003</v>
      </c>
      <c r="AG562" s="23">
        <f t="shared" si="188"/>
        <v>1546.6662800000001</v>
      </c>
      <c r="AH562" s="23">
        <f t="shared" si="193"/>
        <v>26.666660000000004</v>
      </c>
      <c r="AI562" s="55"/>
      <c r="AJ562" s="23">
        <f t="shared" si="182"/>
        <v>26.666660000000004</v>
      </c>
      <c r="AK562" s="40"/>
      <c r="AL562" s="23">
        <f t="shared" si="183"/>
        <v>1306.66634</v>
      </c>
      <c r="AM562" s="23" t="s">
        <v>430</v>
      </c>
      <c r="AN562" s="41">
        <v>0.5</v>
      </c>
      <c r="AO562" s="23">
        <f t="shared" si="184"/>
        <v>653.33317</v>
      </c>
      <c r="AP562" s="55">
        <v>653.33317</v>
      </c>
      <c r="AQ562" s="29">
        <v>44894</v>
      </c>
      <c r="AR562" s="23">
        <f t="shared" si="191"/>
        <v>0</v>
      </c>
      <c r="AS562" s="17" t="s">
        <v>775</v>
      </c>
      <c r="AT562" s="23">
        <v>1546.6662800000001</v>
      </c>
      <c r="AU562" s="23">
        <f t="shared" si="195"/>
        <v>1546.6662800000001</v>
      </c>
      <c r="AV562" s="23">
        <f t="shared" si="185"/>
        <v>0</v>
      </c>
      <c r="AW562" s="23" t="str">
        <f t="shared" si="192"/>
        <v>SFA</v>
      </c>
      <c r="AX562" s="42">
        <v>44862</v>
      </c>
      <c r="AY562" s="42"/>
      <c r="AZ562" s="28" t="s">
        <v>100</v>
      </c>
      <c r="BA562" s="22" t="str">
        <f t="shared" si="189"/>
        <v>EMPLOYER'S LIABILITY</v>
      </c>
      <c r="BB562" s="56"/>
      <c r="BC562" s="42"/>
      <c r="BD562" s="42"/>
    </row>
    <row r="563" spans="1:56" ht="14.25" customHeight="1" x14ac:dyDescent="0.2">
      <c r="A563" s="1" t="s">
        <v>578</v>
      </c>
      <c r="B563" s="1" t="s">
        <v>57</v>
      </c>
      <c r="C563" s="13">
        <v>44798</v>
      </c>
      <c r="D563" s="13">
        <v>44820</v>
      </c>
      <c r="E563" s="13">
        <v>44730</v>
      </c>
      <c r="F563" s="13">
        <v>45107</v>
      </c>
      <c r="G563" s="14" t="str">
        <f t="shared" si="179"/>
        <v>000-562/AIB RDC/2022</v>
      </c>
      <c r="H563" s="1">
        <v>1</v>
      </c>
      <c r="I563" s="1" t="s">
        <v>91</v>
      </c>
      <c r="J563" s="1" t="s">
        <v>587</v>
      </c>
      <c r="K563" s="1" t="s">
        <v>321</v>
      </c>
      <c r="L563" s="16" t="s">
        <v>137</v>
      </c>
      <c r="M563" s="16" t="s">
        <v>84</v>
      </c>
      <c r="N563" s="16" t="s">
        <v>85</v>
      </c>
      <c r="O563" s="1" t="s">
        <v>64</v>
      </c>
      <c r="P563" s="1" t="s">
        <v>65</v>
      </c>
      <c r="Q563" s="1" t="s">
        <v>79</v>
      </c>
      <c r="R563" s="1" t="s">
        <v>79</v>
      </c>
      <c r="S563" s="17">
        <v>149475.03</v>
      </c>
      <c r="T563" s="17">
        <v>278</v>
      </c>
      <c r="U563" s="17">
        <v>0</v>
      </c>
      <c r="V563" s="17">
        <v>0</v>
      </c>
      <c r="W563" s="17">
        <v>50</v>
      </c>
      <c r="X563" s="17">
        <v>182</v>
      </c>
      <c r="Y563" s="17">
        <v>37</v>
      </c>
      <c r="Z563" s="18">
        <f t="shared" si="180"/>
        <v>1.8598424097991484E-3</v>
      </c>
      <c r="AA563" s="19">
        <v>0.15</v>
      </c>
      <c r="AB563" s="17">
        <f t="shared" si="186"/>
        <v>27.3</v>
      </c>
      <c r="AC563" s="34"/>
      <c r="AD563" s="34"/>
      <c r="AE563" s="17">
        <f t="shared" si="181"/>
        <v>27.3</v>
      </c>
      <c r="AF563" s="17">
        <f t="shared" si="194"/>
        <v>4.3680000000000003</v>
      </c>
      <c r="AG563" s="17">
        <f t="shared" si="188"/>
        <v>31.667999999999999</v>
      </c>
      <c r="AH563" s="17">
        <f t="shared" si="193"/>
        <v>0.54600000000000004</v>
      </c>
      <c r="AI563" s="17">
        <v>0</v>
      </c>
      <c r="AJ563" s="17">
        <f t="shared" si="182"/>
        <v>0.54600000000000004</v>
      </c>
      <c r="AK563" s="20"/>
      <c r="AL563" s="17">
        <f t="shared" si="183"/>
        <v>26.754000000000001</v>
      </c>
      <c r="AM563" s="17" t="s">
        <v>289</v>
      </c>
      <c r="AN563" s="21">
        <v>0.5</v>
      </c>
      <c r="AO563" s="17">
        <f t="shared" si="184"/>
        <v>13.377000000000001</v>
      </c>
      <c r="AP563" s="17">
        <v>13.377000000000001</v>
      </c>
      <c r="AQ563" s="16">
        <v>45086</v>
      </c>
      <c r="AR563" s="17">
        <f t="shared" si="191"/>
        <v>0</v>
      </c>
      <c r="AS563" s="17" t="s">
        <v>884</v>
      </c>
      <c r="AT563" s="17">
        <v>31.667999999999999</v>
      </c>
      <c r="AU563" s="17">
        <f t="shared" si="195"/>
        <v>31.667999999999999</v>
      </c>
      <c r="AV563" s="17">
        <f t="shared" si="185"/>
        <v>0</v>
      </c>
      <c r="AW563" s="17" t="str">
        <f t="shared" si="192"/>
        <v>MAYFAIR</v>
      </c>
      <c r="AX563" s="22">
        <v>44875</v>
      </c>
      <c r="AY563" s="22"/>
      <c r="AZ563" s="1" t="s">
        <v>100</v>
      </c>
      <c r="BA563" s="22" t="str">
        <f t="shared" si="189"/>
        <v>MARINE CARGO / GIT</v>
      </c>
      <c r="BB563" s="54"/>
      <c r="BC563" s="22"/>
      <c r="BD563" s="22"/>
    </row>
    <row r="564" spans="1:56" ht="14.25" customHeight="1" x14ac:dyDescent="0.2">
      <c r="A564" s="1" t="s">
        <v>439</v>
      </c>
      <c r="B564" s="1" t="s">
        <v>57</v>
      </c>
      <c r="C564" s="13">
        <v>44798</v>
      </c>
      <c r="D564" s="13">
        <v>44798</v>
      </c>
      <c r="E564" s="13">
        <v>44799</v>
      </c>
      <c r="F564" s="13">
        <v>45038</v>
      </c>
      <c r="G564" s="14" t="str">
        <f t="shared" si="179"/>
        <v>000-563/AIB RDC/2022</v>
      </c>
      <c r="H564" s="1">
        <v>5</v>
      </c>
      <c r="I564" s="1" t="s">
        <v>91</v>
      </c>
      <c r="J564" s="44" t="s">
        <v>519</v>
      </c>
      <c r="K564" s="1" t="s">
        <v>345</v>
      </c>
      <c r="L564" s="1" t="s">
        <v>137</v>
      </c>
      <c r="M564" s="16" t="s">
        <v>84</v>
      </c>
      <c r="N564" s="1" t="s">
        <v>586</v>
      </c>
      <c r="O564" s="1" t="s">
        <v>73</v>
      </c>
      <c r="P564" s="1" t="s">
        <v>73</v>
      </c>
      <c r="Q564" s="1" t="s">
        <v>107</v>
      </c>
      <c r="R564" s="1" t="s">
        <v>107</v>
      </c>
      <c r="S564" s="17">
        <v>0</v>
      </c>
      <c r="T564" s="17">
        <v>272.66000000000003</v>
      </c>
      <c r="U564" s="17">
        <v>0</v>
      </c>
      <c r="V564" s="17">
        <v>0</v>
      </c>
      <c r="W564" s="17">
        <v>20</v>
      </c>
      <c r="X564" s="17">
        <v>211.06</v>
      </c>
      <c r="Y564" s="17">
        <v>36.979999999999997</v>
      </c>
      <c r="Z564" s="18" t="e">
        <f t="shared" si="180"/>
        <v>#DIV/0!</v>
      </c>
      <c r="AA564" s="19">
        <v>0.1</v>
      </c>
      <c r="AB564" s="17">
        <f t="shared" si="186"/>
        <v>21.106000000000002</v>
      </c>
      <c r="AC564" s="34">
        <v>0</v>
      </c>
      <c r="AD564" s="34">
        <v>0</v>
      </c>
      <c r="AE564" s="17">
        <f t="shared" si="181"/>
        <v>21.106000000000002</v>
      </c>
      <c r="AF564" s="17">
        <f t="shared" si="194"/>
        <v>3.3769600000000004</v>
      </c>
      <c r="AG564" s="17">
        <f t="shared" si="188"/>
        <v>24.482960000000002</v>
      </c>
      <c r="AH564" s="17">
        <f t="shared" si="193"/>
        <v>0.42212000000000005</v>
      </c>
      <c r="AI564" s="27"/>
      <c r="AJ564" s="17">
        <f t="shared" si="182"/>
        <v>0.42212000000000005</v>
      </c>
      <c r="AK564" s="20"/>
      <c r="AL564" s="17">
        <f t="shared" si="183"/>
        <v>20.683880000000002</v>
      </c>
      <c r="AM564" s="17"/>
      <c r="AN564" s="21"/>
      <c r="AO564" s="17">
        <f t="shared" si="184"/>
        <v>0</v>
      </c>
      <c r="AP564" s="27"/>
      <c r="AQ564" s="16"/>
      <c r="AR564" s="17">
        <f t="shared" si="191"/>
        <v>0</v>
      </c>
      <c r="AS564" s="17"/>
      <c r="AT564" s="17">
        <v>24.482960000000002</v>
      </c>
      <c r="AU564" s="17">
        <f t="shared" si="195"/>
        <v>24.482960000000002</v>
      </c>
      <c r="AV564" s="17">
        <f t="shared" si="185"/>
        <v>0</v>
      </c>
      <c r="AW564" s="17" t="str">
        <f t="shared" si="192"/>
        <v>RAWSUR</v>
      </c>
      <c r="AX564" s="22">
        <v>44994</v>
      </c>
      <c r="AY564" s="22"/>
      <c r="AZ564" s="1" t="s">
        <v>68</v>
      </c>
      <c r="BA564" s="22" t="str">
        <f t="shared" si="189"/>
        <v>MOTOR TPL</v>
      </c>
      <c r="BB564" s="54"/>
      <c r="BC564" s="22"/>
      <c r="BD564" s="22"/>
    </row>
    <row r="565" spans="1:56" ht="14.25" customHeight="1" x14ac:dyDescent="0.2">
      <c r="A565" s="1" t="s">
        <v>439</v>
      </c>
      <c r="B565" s="1" t="s">
        <v>57</v>
      </c>
      <c r="C565" s="13">
        <v>44795</v>
      </c>
      <c r="D565" s="13">
        <v>44821</v>
      </c>
      <c r="E565" s="13">
        <v>44790</v>
      </c>
      <c r="F565" s="13">
        <v>44981</v>
      </c>
      <c r="G565" s="14" t="str">
        <f t="shared" si="179"/>
        <v>000-564/AIB RDC/2022</v>
      </c>
      <c r="H565" s="1">
        <v>1</v>
      </c>
      <c r="I565" s="1" t="s">
        <v>91</v>
      </c>
      <c r="J565" s="1" t="s">
        <v>347</v>
      </c>
      <c r="K565" s="1" t="s">
        <v>141</v>
      </c>
      <c r="L565" s="1" t="s">
        <v>83</v>
      </c>
      <c r="M565" s="16" t="s">
        <v>84</v>
      </c>
      <c r="N565" s="1" t="s">
        <v>885</v>
      </c>
      <c r="O565" s="1" t="s">
        <v>152</v>
      </c>
      <c r="P565" s="1" t="s">
        <v>153</v>
      </c>
      <c r="Q565" s="1" t="s">
        <v>130</v>
      </c>
      <c r="R565" s="1" t="s">
        <v>130</v>
      </c>
      <c r="S565" s="17">
        <v>65305.4</v>
      </c>
      <c r="T565" s="17">
        <v>2148.58</v>
      </c>
      <c r="U565" s="17">
        <v>0</v>
      </c>
      <c r="V565" s="17">
        <v>0</v>
      </c>
      <c r="W565" s="17">
        <v>26.91</v>
      </c>
      <c r="X565" s="17">
        <v>1793.91</v>
      </c>
      <c r="Y565" s="17">
        <v>291.33</v>
      </c>
      <c r="Z565" s="18">
        <f t="shared" si="180"/>
        <v>3.2900495211728276E-2</v>
      </c>
      <c r="AA565" s="19">
        <v>0.15</v>
      </c>
      <c r="AB565" s="17">
        <f t="shared" si="186"/>
        <v>269.0865</v>
      </c>
      <c r="AC565" s="34">
        <v>0</v>
      </c>
      <c r="AD565" s="34">
        <v>0</v>
      </c>
      <c r="AE565" s="17">
        <f t="shared" si="181"/>
        <v>269.0865</v>
      </c>
      <c r="AF565" s="17">
        <f t="shared" si="194"/>
        <v>43.053840000000001</v>
      </c>
      <c r="AG565" s="17">
        <f t="shared" si="188"/>
        <v>312.14033999999998</v>
      </c>
      <c r="AH565" s="17">
        <f t="shared" si="193"/>
        <v>5.3817300000000001</v>
      </c>
      <c r="AI565" s="17">
        <v>0</v>
      </c>
      <c r="AJ565" s="17">
        <f t="shared" si="182"/>
        <v>5.3817300000000001</v>
      </c>
      <c r="AK565" s="20"/>
      <c r="AL565" s="17">
        <f t="shared" si="183"/>
        <v>263.70477</v>
      </c>
      <c r="AM565" s="17" t="s">
        <v>87</v>
      </c>
      <c r="AN565" s="21">
        <v>0.35</v>
      </c>
      <c r="AO565" s="17">
        <f t="shared" si="184"/>
        <v>92.296669499999993</v>
      </c>
      <c r="AP565" s="27"/>
      <c r="AQ565" s="16"/>
      <c r="AR565" s="17">
        <f t="shared" si="191"/>
        <v>92.296669499999993</v>
      </c>
      <c r="AS565" s="17"/>
      <c r="AT565" s="17">
        <v>312.14033999999998</v>
      </c>
      <c r="AU565" s="17">
        <f t="shared" si="195"/>
        <v>312.14033999999998</v>
      </c>
      <c r="AV565" s="17">
        <f t="shared" si="185"/>
        <v>0</v>
      </c>
      <c r="AW565" s="17" t="str">
        <f t="shared" si="192"/>
        <v>SFA</v>
      </c>
      <c r="AX565" s="22">
        <v>44862</v>
      </c>
      <c r="AY565" s="22"/>
      <c r="AZ565" s="1" t="s">
        <v>68</v>
      </c>
      <c r="BA565" s="22" t="str">
        <f t="shared" si="189"/>
        <v>COMP MOTOR</v>
      </c>
      <c r="BB565" s="54"/>
      <c r="BC565" s="22"/>
      <c r="BD565" s="22"/>
    </row>
    <row r="566" spans="1:56" ht="14.25" customHeight="1" x14ac:dyDescent="0.2">
      <c r="A566" s="1" t="s">
        <v>667</v>
      </c>
      <c r="B566" s="1" t="s">
        <v>57</v>
      </c>
      <c r="C566" s="13">
        <v>44820</v>
      </c>
      <c r="D566" s="13">
        <v>44835</v>
      </c>
      <c r="E566" s="13">
        <v>44835</v>
      </c>
      <c r="F566" s="13">
        <v>45230</v>
      </c>
      <c r="G566" s="14" t="str">
        <f t="shared" si="179"/>
        <v>000-565/AIB RDC/2022</v>
      </c>
      <c r="H566" s="1">
        <v>1</v>
      </c>
      <c r="I566" s="1" t="s">
        <v>217</v>
      </c>
      <c r="J566" s="1" t="s">
        <v>886</v>
      </c>
      <c r="K566" s="1" t="s">
        <v>216</v>
      </c>
      <c r="L566" s="1" t="s">
        <v>137</v>
      </c>
      <c r="M566" s="16" t="s">
        <v>84</v>
      </c>
      <c r="N566" s="16" t="s">
        <v>85</v>
      </c>
      <c r="O566" s="1" t="s">
        <v>165</v>
      </c>
      <c r="P566" s="1" t="s">
        <v>166</v>
      </c>
      <c r="Q566" s="1" t="s">
        <v>107</v>
      </c>
      <c r="R566" s="1" t="s">
        <v>887</v>
      </c>
      <c r="S566" s="17">
        <v>36000000</v>
      </c>
      <c r="T566" s="17">
        <v>381049.76</v>
      </c>
      <c r="U566" s="17">
        <v>48423.53</v>
      </c>
      <c r="V566" s="17">
        <v>0</v>
      </c>
      <c r="W566" s="17">
        <v>100</v>
      </c>
      <c r="X566" s="17">
        <v>274400</v>
      </c>
      <c r="Y566" s="17">
        <v>51667.76</v>
      </c>
      <c r="Z566" s="18">
        <f t="shared" si="180"/>
        <v>1.0584715555555556E-2</v>
      </c>
      <c r="AA566" s="19">
        <v>0</v>
      </c>
      <c r="AB566" s="17" t="s">
        <v>888</v>
      </c>
      <c r="AC566" s="34">
        <f>30%*U566</f>
        <v>14527.058999999999</v>
      </c>
      <c r="AD566" s="34">
        <f>3.62069%*X566</f>
        <v>9935.1733600000007</v>
      </c>
      <c r="AE566" s="17">
        <f t="shared" si="181"/>
        <v>24462.232360000002</v>
      </c>
      <c r="AF566" s="17">
        <f t="shared" si="194"/>
        <v>3913.9571776000003</v>
      </c>
      <c r="AG566" s="17">
        <f t="shared" si="188"/>
        <v>28376.189537600003</v>
      </c>
      <c r="AH566" s="17">
        <f t="shared" si="193"/>
        <v>489.24464720000003</v>
      </c>
      <c r="AI566" s="27"/>
      <c r="AJ566" s="17">
        <f t="shared" si="182"/>
        <v>489.24464720000003</v>
      </c>
      <c r="AK566" s="20"/>
      <c r="AL566" s="17">
        <f t="shared" si="183"/>
        <v>23972.987712800001</v>
      </c>
      <c r="AM566" s="17" t="s">
        <v>198</v>
      </c>
      <c r="AN566" s="21"/>
      <c r="AO566" s="17">
        <f t="shared" si="184"/>
        <v>0</v>
      </c>
      <c r="AP566" s="27"/>
      <c r="AQ566" s="16"/>
      <c r="AR566" s="17">
        <f t="shared" si="191"/>
        <v>0</v>
      </c>
      <c r="AS566" s="17"/>
      <c r="AT566" s="17">
        <v>28376.189537600003</v>
      </c>
      <c r="AU566" s="17">
        <f t="shared" si="195"/>
        <v>28376.189537600003</v>
      </c>
      <c r="AV566" s="17">
        <f t="shared" si="185"/>
        <v>0</v>
      </c>
      <c r="AW566" s="17" t="str">
        <f t="shared" si="192"/>
        <v>RAWSUR</v>
      </c>
      <c r="AX566" s="22">
        <v>44901</v>
      </c>
      <c r="AY566" s="22"/>
      <c r="AZ566" s="1"/>
      <c r="BA566" s="22" t="str">
        <f t="shared" si="189"/>
        <v>CAR</v>
      </c>
      <c r="BB566" s="54"/>
      <c r="BC566" s="22"/>
      <c r="BD566" s="32" t="s">
        <v>889</v>
      </c>
    </row>
    <row r="567" spans="1:56" ht="14.25" customHeight="1" x14ac:dyDescent="0.2">
      <c r="A567" s="1" t="s">
        <v>667</v>
      </c>
      <c r="B567" s="1" t="s">
        <v>57</v>
      </c>
      <c r="C567" s="13">
        <v>44819</v>
      </c>
      <c r="D567" s="13">
        <v>44819</v>
      </c>
      <c r="E567" s="13">
        <v>44855</v>
      </c>
      <c r="F567" s="13">
        <v>45219</v>
      </c>
      <c r="G567" s="14" t="str">
        <f t="shared" si="179"/>
        <v>000-566/AIB RDC/2022</v>
      </c>
      <c r="H567" s="1">
        <v>1</v>
      </c>
      <c r="I567" s="1" t="s">
        <v>58</v>
      </c>
      <c r="J567" s="1" t="s">
        <v>890</v>
      </c>
      <c r="K567" s="1" t="s">
        <v>891</v>
      </c>
      <c r="L567" s="16" t="s">
        <v>123</v>
      </c>
      <c r="M567" s="16" t="s">
        <v>84</v>
      </c>
      <c r="N567" s="16" t="s">
        <v>85</v>
      </c>
      <c r="O567" s="1" t="s">
        <v>70</v>
      </c>
      <c r="P567" s="1" t="s">
        <v>71</v>
      </c>
      <c r="Q567" s="1" t="s">
        <v>86</v>
      </c>
      <c r="R567" s="1" t="s">
        <v>86</v>
      </c>
      <c r="S567" s="17">
        <v>12000000</v>
      </c>
      <c r="T567" s="17">
        <v>30056.69</v>
      </c>
      <c r="U567" s="17">
        <v>0</v>
      </c>
      <c r="V567" s="17">
        <v>0</v>
      </c>
      <c r="W567" s="17">
        <v>156.54</v>
      </c>
      <c r="X567" s="17">
        <v>25654.400000000001</v>
      </c>
      <c r="Y567" s="17">
        <v>4145.75</v>
      </c>
      <c r="Z567" s="18">
        <f t="shared" si="180"/>
        <v>2.5047241666666664E-3</v>
      </c>
      <c r="AA567" s="19">
        <v>0.1</v>
      </c>
      <c r="AB567" s="17">
        <f t="shared" ref="AB567:AB598" si="196">(AA567*X567)</f>
        <v>2565.4400000000005</v>
      </c>
      <c r="AC567" s="34">
        <v>0</v>
      </c>
      <c r="AD567" s="34">
        <v>0</v>
      </c>
      <c r="AE567" s="17">
        <f t="shared" si="181"/>
        <v>2565.4400000000005</v>
      </c>
      <c r="AF567" s="17">
        <f t="shared" si="194"/>
        <v>410.4704000000001</v>
      </c>
      <c r="AG567" s="17">
        <f t="shared" si="188"/>
        <v>2975.9104000000007</v>
      </c>
      <c r="AH567" s="17">
        <f t="shared" si="193"/>
        <v>51.308800000000012</v>
      </c>
      <c r="AI567" s="17">
        <v>0</v>
      </c>
      <c r="AJ567" s="17">
        <f t="shared" si="182"/>
        <v>51.308800000000012</v>
      </c>
      <c r="AK567" s="20"/>
      <c r="AL567" s="17">
        <f t="shared" si="183"/>
        <v>2514.1312000000007</v>
      </c>
      <c r="AM567" s="17" t="s">
        <v>289</v>
      </c>
      <c r="AN567" s="21">
        <v>0.5</v>
      </c>
      <c r="AO567" s="17">
        <f t="shared" si="184"/>
        <v>1257.0656000000004</v>
      </c>
      <c r="AP567" s="17">
        <v>1257.0656000000004</v>
      </c>
      <c r="AQ567" s="16">
        <v>45086</v>
      </c>
      <c r="AR567" s="17">
        <f t="shared" si="191"/>
        <v>0</v>
      </c>
      <c r="AS567" s="17" t="s">
        <v>884</v>
      </c>
      <c r="AT567" s="17">
        <v>2975.9104000000007</v>
      </c>
      <c r="AU567" s="17">
        <f t="shared" si="195"/>
        <v>2975.9104000000007</v>
      </c>
      <c r="AV567" s="17">
        <f t="shared" si="185"/>
        <v>0</v>
      </c>
      <c r="AW567" s="17" t="str">
        <f t="shared" si="192"/>
        <v>SUNU</v>
      </c>
      <c r="AX567" s="22">
        <v>45002</v>
      </c>
      <c r="AY567" s="1" t="s">
        <v>892</v>
      </c>
      <c r="AZ567" s="1"/>
      <c r="BA567" s="22" t="str">
        <f t="shared" si="189"/>
        <v>FIRE</v>
      </c>
      <c r="BB567" s="54"/>
      <c r="BC567" s="22"/>
      <c r="BD567" s="1" t="s">
        <v>549</v>
      </c>
    </row>
    <row r="568" spans="1:56" ht="14.25" customHeight="1" x14ac:dyDescent="0.2">
      <c r="A568" s="1" t="s">
        <v>667</v>
      </c>
      <c r="B568" s="1" t="s">
        <v>57</v>
      </c>
      <c r="C568" s="13">
        <v>44819</v>
      </c>
      <c r="D568" s="13">
        <v>44819</v>
      </c>
      <c r="E568" s="13">
        <v>44855</v>
      </c>
      <c r="F568" s="13">
        <v>45219</v>
      </c>
      <c r="G568" s="14" t="str">
        <f t="shared" si="179"/>
        <v>000-567/AIB RDC/2022</v>
      </c>
      <c r="H568" s="1">
        <v>1</v>
      </c>
      <c r="I568" s="1" t="s">
        <v>58</v>
      </c>
      <c r="J568" s="1" t="s">
        <v>893</v>
      </c>
      <c r="K568" s="1" t="s">
        <v>894</v>
      </c>
      <c r="L568" s="16" t="s">
        <v>123</v>
      </c>
      <c r="M568" s="16" t="s">
        <v>84</v>
      </c>
      <c r="N568" s="16" t="s">
        <v>85</v>
      </c>
      <c r="O568" s="1" t="s">
        <v>70</v>
      </c>
      <c r="P568" s="1" t="s">
        <v>71</v>
      </c>
      <c r="Q568" s="1" t="s">
        <v>86</v>
      </c>
      <c r="R568" s="1" t="s">
        <v>86</v>
      </c>
      <c r="S568" s="17">
        <v>8461685</v>
      </c>
      <c r="T568" s="17">
        <v>15083.69</v>
      </c>
      <c r="U568" s="17">
        <v>0</v>
      </c>
      <c r="V568" s="17">
        <v>0</v>
      </c>
      <c r="W568" s="17">
        <v>128.74</v>
      </c>
      <c r="X568" s="17">
        <v>12874</v>
      </c>
      <c r="Y568" s="17">
        <v>2080.5100000000002</v>
      </c>
      <c r="Z568" s="18">
        <f t="shared" si="180"/>
        <v>1.7825870379244797E-3</v>
      </c>
      <c r="AA568" s="19">
        <v>0.1</v>
      </c>
      <c r="AB568" s="17">
        <f t="shared" si="196"/>
        <v>1287.4000000000001</v>
      </c>
      <c r="AC568" s="34">
        <v>0</v>
      </c>
      <c r="AD568" s="34">
        <v>0</v>
      </c>
      <c r="AE568" s="17">
        <f t="shared" si="181"/>
        <v>1287.4000000000001</v>
      </c>
      <c r="AF568" s="17">
        <f t="shared" si="194"/>
        <v>205.98400000000001</v>
      </c>
      <c r="AG568" s="17">
        <f t="shared" si="188"/>
        <v>1493.384</v>
      </c>
      <c r="AH568" s="17">
        <f t="shared" si="193"/>
        <v>25.748000000000001</v>
      </c>
      <c r="AI568" s="17">
        <v>0</v>
      </c>
      <c r="AJ568" s="17">
        <f t="shared" si="182"/>
        <v>25.748000000000001</v>
      </c>
      <c r="AK568" s="20"/>
      <c r="AL568" s="17">
        <f t="shared" si="183"/>
        <v>1261.652</v>
      </c>
      <c r="AM568" s="17" t="s">
        <v>289</v>
      </c>
      <c r="AN568" s="21">
        <v>0.5</v>
      </c>
      <c r="AO568" s="17">
        <f t="shared" si="184"/>
        <v>630.82600000000002</v>
      </c>
      <c r="AP568" s="17">
        <v>630.82600000000002</v>
      </c>
      <c r="AQ568" s="16">
        <v>45086</v>
      </c>
      <c r="AR568" s="17">
        <f t="shared" si="191"/>
        <v>0</v>
      </c>
      <c r="AS568" s="17" t="s">
        <v>884</v>
      </c>
      <c r="AT568" s="17">
        <v>1493.384</v>
      </c>
      <c r="AU568" s="17">
        <f t="shared" si="195"/>
        <v>1493.384</v>
      </c>
      <c r="AV568" s="17">
        <f t="shared" si="185"/>
        <v>0</v>
      </c>
      <c r="AW568" s="17" t="str">
        <f t="shared" si="192"/>
        <v>SUNU</v>
      </c>
      <c r="AX568" s="22">
        <v>45002</v>
      </c>
      <c r="AY568" s="1" t="s">
        <v>892</v>
      </c>
      <c r="AZ568" s="1"/>
      <c r="BA568" s="22" t="str">
        <f t="shared" si="189"/>
        <v>FIRE</v>
      </c>
      <c r="BB568" s="54"/>
      <c r="BC568" s="22"/>
      <c r="BD568" s="32" t="s">
        <v>895</v>
      </c>
    </row>
    <row r="569" spans="1:56" ht="14.25" customHeight="1" x14ac:dyDescent="0.2">
      <c r="A569" s="1" t="s">
        <v>667</v>
      </c>
      <c r="B569" s="1" t="s">
        <v>57</v>
      </c>
      <c r="C569" s="13">
        <v>44827</v>
      </c>
      <c r="D569" s="13">
        <v>44917</v>
      </c>
      <c r="E569" s="13">
        <v>44835</v>
      </c>
      <c r="F569" s="13">
        <v>45199</v>
      </c>
      <c r="G569" s="14" t="str">
        <f t="shared" si="179"/>
        <v>000-568/AIB RDC/2022</v>
      </c>
      <c r="H569" s="1">
        <v>1</v>
      </c>
      <c r="I569" s="1" t="s">
        <v>58</v>
      </c>
      <c r="J569" s="1" t="s">
        <v>896</v>
      </c>
      <c r="K569" s="16" t="s">
        <v>168</v>
      </c>
      <c r="L569" s="1" t="s">
        <v>169</v>
      </c>
      <c r="M569" s="16" t="s">
        <v>84</v>
      </c>
      <c r="N569" s="16" t="s">
        <v>85</v>
      </c>
      <c r="O569" s="1" t="s">
        <v>70</v>
      </c>
      <c r="P569" s="1" t="s">
        <v>71</v>
      </c>
      <c r="Q569" s="1" t="s">
        <v>107</v>
      </c>
      <c r="R569" s="1" t="s">
        <v>107</v>
      </c>
      <c r="S569" s="17">
        <v>1475018</v>
      </c>
      <c r="T569" s="17">
        <v>1791.24</v>
      </c>
      <c r="U569" s="17">
        <v>0</v>
      </c>
      <c r="V569" s="17">
        <v>0</v>
      </c>
      <c r="W569" s="17">
        <v>100</v>
      </c>
      <c r="X569" s="17">
        <v>1418</v>
      </c>
      <c r="Y569" s="17">
        <v>242.88</v>
      </c>
      <c r="Z569" s="18">
        <f t="shared" si="180"/>
        <v>1.2143851803842393E-3</v>
      </c>
      <c r="AA569" s="19">
        <v>0.15</v>
      </c>
      <c r="AB569" s="17">
        <f t="shared" si="196"/>
        <v>212.7</v>
      </c>
      <c r="AC569" s="17">
        <v>0</v>
      </c>
      <c r="AD569" s="17">
        <v>0</v>
      </c>
      <c r="AE569" s="17">
        <f t="shared" si="181"/>
        <v>212.7</v>
      </c>
      <c r="AF569" s="17">
        <f t="shared" si="194"/>
        <v>34.031999999999996</v>
      </c>
      <c r="AG569" s="17">
        <f t="shared" si="188"/>
        <v>246.73199999999997</v>
      </c>
      <c r="AH569" s="17">
        <f t="shared" si="193"/>
        <v>4.2539999999999996</v>
      </c>
      <c r="AI569" s="27"/>
      <c r="AJ569" s="17">
        <f t="shared" si="182"/>
        <v>4.2539999999999996</v>
      </c>
      <c r="AK569" s="20"/>
      <c r="AL569" s="17">
        <f t="shared" si="183"/>
        <v>208.446</v>
      </c>
      <c r="AM569" s="17"/>
      <c r="AN569" s="21"/>
      <c r="AO569" s="17">
        <f t="shared" si="184"/>
        <v>0</v>
      </c>
      <c r="AP569" s="27"/>
      <c r="AQ569" s="16"/>
      <c r="AR569" s="17">
        <f t="shared" si="191"/>
        <v>0</v>
      </c>
      <c r="AS569" s="17"/>
      <c r="AT569" s="17">
        <v>246.73199999999997</v>
      </c>
      <c r="AU569" s="17">
        <f t="shared" si="195"/>
        <v>246.73199999999997</v>
      </c>
      <c r="AV569" s="17">
        <f t="shared" si="185"/>
        <v>0</v>
      </c>
      <c r="AW569" s="17" t="str">
        <f t="shared" si="192"/>
        <v>RAWSUR</v>
      </c>
      <c r="AX569" s="22">
        <v>44946</v>
      </c>
      <c r="AY569" s="22"/>
      <c r="AZ569" s="1"/>
      <c r="BA569" s="22" t="str">
        <f t="shared" si="189"/>
        <v>FIRE</v>
      </c>
      <c r="BB569" s="54"/>
      <c r="BC569" s="22"/>
      <c r="BD569" s="22"/>
    </row>
    <row r="570" spans="1:56" ht="14.25" customHeight="1" x14ac:dyDescent="0.2">
      <c r="A570" s="1" t="s">
        <v>773</v>
      </c>
      <c r="B570" s="1" t="s">
        <v>57</v>
      </c>
      <c r="C570" s="13">
        <v>44812</v>
      </c>
      <c r="D570" s="13">
        <v>44825</v>
      </c>
      <c r="E570" s="13">
        <v>44824</v>
      </c>
      <c r="F570" s="13">
        <v>45004</v>
      </c>
      <c r="G570" s="14" t="str">
        <f t="shared" si="179"/>
        <v>000-569/AIB RDC/2022</v>
      </c>
      <c r="H570" s="1">
        <v>2</v>
      </c>
      <c r="I570" s="1" t="s">
        <v>217</v>
      </c>
      <c r="J570" s="1" t="s">
        <v>897</v>
      </c>
      <c r="K570" s="1" t="s">
        <v>335</v>
      </c>
      <c r="L570" s="1" t="s">
        <v>214</v>
      </c>
      <c r="M570" s="16" t="s">
        <v>84</v>
      </c>
      <c r="N570" s="1" t="s">
        <v>541</v>
      </c>
      <c r="O570" s="1" t="s">
        <v>192</v>
      </c>
      <c r="P570" s="1" t="s">
        <v>98</v>
      </c>
      <c r="Q570" s="1" t="s">
        <v>130</v>
      </c>
      <c r="R570" s="1" t="s">
        <v>130</v>
      </c>
      <c r="S570" s="17">
        <v>0</v>
      </c>
      <c r="T570" s="17">
        <v>9816.02</v>
      </c>
      <c r="U570" s="17">
        <v>0</v>
      </c>
      <c r="V570" s="17">
        <v>0</v>
      </c>
      <c r="W570" s="17">
        <v>578.45000000000005</v>
      </c>
      <c r="X570" s="17">
        <v>7740.45</v>
      </c>
      <c r="Y570" s="17">
        <v>1330.98</v>
      </c>
      <c r="Z570" s="18" t="e">
        <f t="shared" si="180"/>
        <v>#DIV/0!</v>
      </c>
      <c r="AA570" s="19">
        <v>0.1</v>
      </c>
      <c r="AB570" s="17">
        <f t="shared" si="196"/>
        <v>774.04500000000007</v>
      </c>
      <c r="AC570" s="23">
        <v>0</v>
      </c>
      <c r="AD570" s="23">
        <v>0</v>
      </c>
      <c r="AE570" s="17">
        <f t="shared" si="181"/>
        <v>774.04500000000007</v>
      </c>
      <c r="AF570" s="17">
        <f t="shared" si="194"/>
        <v>123.84720000000002</v>
      </c>
      <c r="AG570" s="17">
        <f t="shared" si="188"/>
        <v>897.89220000000012</v>
      </c>
      <c r="AH570" s="17">
        <f t="shared" si="193"/>
        <v>15.480900000000002</v>
      </c>
      <c r="AI570" s="27"/>
      <c r="AJ570" s="17">
        <f t="shared" si="182"/>
        <v>15.480900000000002</v>
      </c>
      <c r="AK570" s="20"/>
      <c r="AL570" s="17">
        <f t="shared" si="183"/>
        <v>758.56410000000005</v>
      </c>
      <c r="AM570" s="17" t="s">
        <v>430</v>
      </c>
      <c r="AN570" s="21">
        <v>0.5</v>
      </c>
      <c r="AO570" s="17">
        <f t="shared" si="184"/>
        <v>379.28205000000003</v>
      </c>
      <c r="AP570" s="27">
        <v>379.28</v>
      </c>
      <c r="AQ570" s="16">
        <v>45222</v>
      </c>
      <c r="AR570" s="17">
        <f t="shared" si="191"/>
        <v>2.0500000000538421E-3</v>
      </c>
      <c r="AS570" s="17"/>
      <c r="AT570" s="17">
        <v>897.89220000000012</v>
      </c>
      <c r="AU570" s="17">
        <f t="shared" si="195"/>
        <v>897.89220000000012</v>
      </c>
      <c r="AV570" s="17">
        <f t="shared" si="185"/>
        <v>0</v>
      </c>
      <c r="AW570" s="17" t="str">
        <f t="shared" si="192"/>
        <v>SFA</v>
      </c>
      <c r="AX570" s="22">
        <v>44862</v>
      </c>
      <c r="AY570" s="22"/>
      <c r="AZ570" s="1" t="s">
        <v>145</v>
      </c>
      <c r="BA570" s="22" t="str">
        <f t="shared" si="189"/>
        <v>GPA</v>
      </c>
      <c r="BB570" s="54"/>
      <c r="BC570" s="22"/>
      <c r="BD570" s="22"/>
    </row>
    <row r="571" spans="1:56" ht="14.25" customHeight="1" x14ac:dyDescent="0.2">
      <c r="A571" s="1" t="s">
        <v>773</v>
      </c>
      <c r="B571" s="1" t="s">
        <v>57</v>
      </c>
      <c r="C571" s="13">
        <v>44819</v>
      </c>
      <c r="D571" s="13">
        <v>44819</v>
      </c>
      <c r="E571" s="13">
        <v>44819</v>
      </c>
      <c r="F571" s="13">
        <v>45038</v>
      </c>
      <c r="G571" s="14" t="str">
        <f t="shared" si="179"/>
        <v>000-570/AIB RDC/2022</v>
      </c>
      <c r="H571" s="1">
        <v>6</v>
      </c>
      <c r="I571" s="1" t="s">
        <v>91</v>
      </c>
      <c r="J571" s="44" t="s">
        <v>519</v>
      </c>
      <c r="K571" s="1" t="s">
        <v>345</v>
      </c>
      <c r="L571" s="1" t="s">
        <v>137</v>
      </c>
      <c r="M571" s="16" t="s">
        <v>84</v>
      </c>
      <c r="N571" s="1" t="s">
        <v>586</v>
      </c>
      <c r="O571" s="1" t="s">
        <v>73</v>
      </c>
      <c r="P571" s="1" t="s">
        <v>73</v>
      </c>
      <c r="Q571" s="1" t="s">
        <v>107</v>
      </c>
      <c r="R571" s="1" t="s">
        <v>107</v>
      </c>
      <c r="S571" s="17">
        <v>0</v>
      </c>
      <c r="T571" s="17">
        <v>323.02</v>
      </c>
      <c r="U571" s="17">
        <v>0</v>
      </c>
      <c r="V571" s="17">
        <v>0</v>
      </c>
      <c r="W571" s="17">
        <v>20</v>
      </c>
      <c r="X571" s="17">
        <v>253.76</v>
      </c>
      <c r="Y571" s="17">
        <v>43.8</v>
      </c>
      <c r="Z571" s="18" t="e">
        <f t="shared" si="180"/>
        <v>#DIV/0!</v>
      </c>
      <c r="AA571" s="19">
        <v>0.1</v>
      </c>
      <c r="AB571" s="17">
        <f t="shared" si="196"/>
        <v>25.376000000000001</v>
      </c>
      <c r="AC571" s="34">
        <v>0</v>
      </c>
      <c r="AD571" s="34">
        <v>0</v>
      </c>
      <c r="AE571" s="17">
        <f t="shared" si="181"/>
        <v>25.376000000000001</v>
      </c>
      <c r="AF571" s="17">
        <f t="shared" si="194"/>
        <v>4.0601600000000007</v>
      </c>
      <c r="AG571" s="17">
        <f t="shared" si="188"/>
        <v>29.436160000000001</v>
      </c>
      <c r="AH571" s="17">
        <f t="shared" si="193"/>
        <v>0.50752000000000008</v>
      </c>
      <c r="AI571" s="27"/>
      <c r="AJ571" s="17">
        <f t="shared" si="182"/>
        <v>0.50752000000000008</v>
      </c>
      <c r="AK571" s="20"/>
      <c r="AL571" s="17">
        <f t="shared" si="183"/>
        <v>24.868480000000002</v>
      </c>
      <c r="AM571" s="17"/>
      <c r="AN571" s="21"/>
      <c r="AO571" s="17">
        <f t="shared" si="184"/>
        <v>0</v>
      </c>
      <c r="AP571" s="27"/>
      <c r="AQ571" s="16"/>
      <c r="AR571" s="17">
        <f t="shared" si="191"/>
        <v>0</v>
      </c>
      <c r="AS571" s="17"/>
      <c r="AT571" s="17">
        <v>29.436160000000001</v>
      </c>
      <c r="AU571" s="17">
        <f t="shared" si="195"/>
        <v>29.436160000000001</v>
      </c>
      <c r="AV571" s="17">
        <f t="shared" si="185"/>
        <v>0</v>
      </c>
      <c r="AW571" s="17" t="str">
        <f t="shared" si="192"/>
        <v>RAWSUR</v>
      </c>
      <c r="AX571" s="22">
        <v>44869</v>
      </c>
      <c r="AY571" s="22"/>
      <c r="AZ571" s="1" t="s">
        <v>68</v>
      </c>
      <c r="BA571" s="22" t="str">
        <f t="shared" si="189"/>
        <v>MOTOR TPL</v>
      </c>
      <c r="BB571" s="54"/>
      <c r="BC571" s="22"/>
      <c r="BD571" s="22"/>
    </row>
    <row r="572" spans="1:56" ht="14.25" customHeight="1" x14ac:dyDescent="0.2">
      <c r="A572" s="1" t="s">
        <v>667</v>
      </c>
      <c r="B572" s="1" t="s">
        <v>57</v>
      </c>
      <c r="C572" s="13">
        <v>44827</v>
      </c>
      <c r="D572" s="13">
        <v>44837</v>
      </c>
      <c r="E572" s="13">
        <v>44838</v>
      </c>
      <c r="F572" s="13">
        <v>45038</v>
      </c>
      <c r="G572" s="14" t="str">
        <f t="shared" si="179"/>
        <v>000-571/AIB RDC/2022</v>
      </c>
      <c r="H572" s="1">
        <v>7</v>
      </c>
      <c r="I572" s="1" t="s">
        <v>91</v>
      </c>
      <c r="J572" s="44" t="s">
        <v>519</v>
      </c>
      <c r="K572" s="1" t="s">
        <v>345</v>
      </c>
      <c r="L572" s="1" t="s">
        <v>137</v>
      </c>
      <c r="M572" s="16" t="s">
        <v>84</v>
      </c>
      <c r="N572" s="1" t="s">
        <v>586</v>
      </c>
      <c r="O572" s="1" t="s">
        <v>73</v>
      </c>
      <c r="P572" s="1" t="s">
        <v>73</v>
      </c>
      <c r="Q572" s="1" t="s">
        <v>107</v>
      </c>
      <c r="R572" s="1" t="s">
        <v>107</v>
      </c>
      <c r="S572" s="17">
        <v>0</v>
      </c>
      <c r="T572" s="17">
        <v>2367.04</v>
      </c>
      <c r="U572" s="17">
        <v>0</v>
      </c>
      <c r="V572" s="17">
        <v>0</v>
      </c>
      <c r="W572" s="17">
        <v>40</v>
      </c>
      <c r="X572" s="17">
        <v>1965.96</v>
      </c>
      <c r="Y572" s="17">
        <v>320.95999999999998</v>
      </c>
      <c r="Z572" s="18" t="e">
        <f t="shared" si="180"/>
        <v>#DIV/0!</v>
      </c>
      <c r="AA572" s="19">
        <v>0.1</v>
      </c>
      <c r="AB572" s="17">
        <f t="shared" si="196"/>
        <v>196.596</v>
      </c>
      <c r="AC572" s="34">
        <v>0</v>
      </c>
      <c r="AD572" s="34">
        <v>0</v>
      </c>
      <c r="AE572" s="17">
        <f t="shared" si="181"/>
        <v>196.596</v>
      </c>
      <c r="AF572" s="17">
        <f t="shared" si="194"/>
        <v>31.455360000000002</v>
      </c>
      <c r="AG572" s="17">
        <f t="shared" si="188"/>
        <v>228.05136000000002</v>
      </c>
      <c r="AH572" s="17">
        <f t="shared" si="193"/>
        <v>3.9319200000000003</v>
      </c>
      <c r="AI572" s="27"/>
      <c r="AJ572" s="17">
        <f t="shared" si="182"/>
        <v>3.9319200000000003</v>
      </c>
      <c r="AK572" s="20"/>
      <c r="AL572" s="17">
        <f t="shared" si="183"/>
        <v>192.66408000000001</v>
      </c>
      <c r="AM572" s="17"/>
      <c r="AN572" s="21"/>
      <c r="AO572" s="17">
        <f t="shared" si="184"/>
        <v>0</v>
      </c>
      <c r="AP572" s="27"/>
      <c r="AQ572" s="16"/>
      <c r="AR572" s="17">
        <f t="shared" si="191"/>
        <v>0</v>
      </c>
      <c r="AS572" s="17"/>
      <c r="AT572" s="17">
        <v>228.05136000000002</v>
      </c>
      <c r="AU572" s="17">
        <f t="shared" si="195"/>
        <v>228.05136000000002</v>
      </c>
      <c r="AV572" s="17">
        <f t="shared" si="185"/>
        <v>0</v>
      </c>
      <c r="AW572" s="17" t="str">
        <f t="shared" si="192"/>
        <v>RAWSUR</v>
      </c>
      <c r="AX572" s="22">
        <v>44901</v>
      </c>
      <c r="AY572" s="22"/>
      <c r="AZ572" s="1" t="s">
        <v>68</v>
      </c>
      <c r="BA572" s="22" t="str">
        <f t="shared" si="189"/>
        <v>MOTOR TPL</v>
      </c>
      <c r="BB572" s="54"/>
      <c r="BC572" s="22"/>
      <c r="BD572" s="22"/>
    </row>
    <row r="573" spans="1:56" ht="14.25" customHeight="1" x14ac:dyDescent="0.2">
      <c r="A573" s="1" t="s">
        <v>773</v>
      </c>
      <c r="B573" s="1" t="s">
        <v>57</v>
      </c>
      <c r="C573" s="13">
        <v>44813</v>
      </c>
      <c r="D573" s="13">
        <v>44824</v>
      </c>
      <c r="E573" s="13">
        <v>44806</v>
      </c>
      <c r="F573" s="13">
        <v>45170</v>
      </c>
      <c r="G573" s="14" t="str">
        <f t="shared" si="179"/>
        <v>000-572/AIB RDC/2022</v>
      </c>
      <c r="H573" s="1">
        <v>1</v>
      </c>
      <c r="I573" s="1" t="s">
        <v>58</v>
      </c>
      <c r="J573" s="1" t="s">
        <v>898</v>
      </c>
      <c r="K573" s="1" t="s">
        <v>899</v>
      </c>
      <c r="L573" s="1" t="s">
        <v>366</v>
      </c>
      <c r="M573" s="16" t="s">
        <v>84</v>
      </c>
      <c r="N573" s="1" t="s">
        <v>85</v>
      </c>
      <c r="O573" s="1" t="s">
        <v>64</v>
      </c>
      <c r="P573" s="1" t="s">
        <v>65</v>
      </c>
      <c r="Q573" s="1" t="s">
        <v>130</v>
      </c>
      <c r="R573" s="1" t="s">
        <v>130</v>
      </c>
      <c r="S573" s="17">
        <v>500000</v>
      </c>
      <c r="T573" s="17">
        <v>11515.6</v>
      </c>
      <c r="U573" s="17">
        <v>0</v>
      </c>
      <c r="V573" s="17">
        <v>0</v>
      </c>
      <c r="W573" s="17">
        <v>144.22</v>
      </c>
      <c r="X573" s="17">
        <v>9614.76</v>
      </c>
      <c r="Y573" s="17">
        <v>1561.44</v>
      </c>
      <c r="Z573" s="18">
        <f t="shared" si="180"/>
        <v>2.3031200000000002E-2</v>
      </c>
      <c r="AA573" s="19">
        <v>0.15</v>
      </c>
      <c r="AB573" s="17">
        <f t="shared" si="196"/>
        <v>1442.2139999999999</v>
      </c>
      <c r="AC573" s="34"/>
      <c r="AD573" s="34"/>
      <c r="AE573" s="17">
        <f t="shared" si="181"/>
        <v>1442.2139999999999</v>
      </c>
      <c r="AF573" s="17">
        <f t="shared" si="194"/>
        <v>230.75423999999998</v>
      </c>
      <c r="AG573" s="17">
        <f t="shared" si="188"/>
        <v>1672.9682399999999</v>
      </c>
      <c r="AH573" s="17">
        <f t="shared" si="193"/>
        <v>28.844279999999998</v>
      </c>
      <c r="AI573" s="27"/>
      <c r="AJ573" s="17">
        <f t="shared" si="182"/>
        <v>28.844279999999998</v>
      </c>
      <c r="AK573" s="20"/>
      <c r="AL573" s="17">
        <f t="shared" si="183"/>
        <v>1413.3697199999999</v>
      </c>
      <c r="AM573" s="17"/>
      <c r="AN573" s="21"/>
      <c r="AO573" s="17">
        <f t="shared" si="184"/>
        <v>0</v>
      </c>
      <c r="AP573" s="27"/>
      <c r="AQ573" s="16"/>
      <c r="AR573" s="17">
        <f t="shared" si="191"/>
        <v>0</v>
      </c>
      <c r="AS573" s="17"/>
      <c r="AT573" s="17">
        <v>1672.9682399999999</v>
      </c>
      <c r="AU573" s="17">
        <f t="shared" si="195"/>
        <v>1672.9682399999999</v>
      </c>
      <c r="AV573" s="17">
        <f t="shared" si="185"/>
        <v>0</v>
      </c>
      <c r="AW573" s="17" t="str">
        <f t="shared" si="192"/>
        <v>SFA</v>
      </c>
      <c r="AX573" s="22">
        <v>44862</v>
      </c>
      <c r="AY573" s="22"/>
      <c r="AZ573" s="1" t="s">
        <v>367</v>
      </c>
      <c r="BA573" s="22" t="str">
        <f t="shared" si="189"/>
        <v>MARINE CARGO / GIT</v>
      </c>
      <c r="BB573" s="54"/>
      <c r="BC573" s="22"/>
      <c r="BD573" s="22"/>
    </row>
    <row r="574" spans="1:56" ht="14.25" customHeight="1" x14ac:dyDescent="0.2">
      <c r="A574" s="1" t="s">
        <v>773</v>
      </c>
      <c r="B574" s="1" t="s">
        <v>57</v>
      </c>
      <c r="C574" s="13">
        <v>44812</v>
      </c>
      <c r="D574" s="13">
        <v>44819</v>
      </c>
      <c r="E574" s="13">
        <v>44812</v>
      </c>
      <c r="F574" s="13">
        <v>45176</v>
      </c>
      <c r="G574" s="14" t="str">
        <f t="shared" si="179"/>
        <v>000-573/AIB RDC/2022</v>
      </c>
      <c r="H574" s="1">
        <v>0</v>
      </c>
      <c r="I574" s="1" t="s">
        <v>74</v>
      </c>
      <c r="J574" s="1" t="s">
        <v>900</v>
      </c>
      <c r="K574" s="1" t="s">
        <v>647</v>
      </c>
      <c r="L574" s="1" t="s">
        <v>901</v>
      </c>
      <c r="M574" s="16" t="s">
        <v>84</v>
      </c>
      <c r="N574" s="1" t="s">
        <v>191</v>
      </c>
      <c r="O574" s="1" t="s">
        <v>192</v>
      </c>
      <c r="P574" s="1" t="s">
        <v>98</v>
      </c>
      <c r="Q574" s="1" t="s">
        <v>86</v>
      </c>
      <c r="R574" s="1" t="s">
        <v>86</v>
      </c>
      <c r="S574" s="17">
        <v>331200</v>
      </c>
      <c r="T574" s="17">
        <v>1160</v>
      </c>
      <c r="U574" s="17">
        <v>0</v>
      </c>
      <c r="V574" s="17">
        <v>0</v>
      </c>
      <c r="W574" s="17">
        <v>10</v>
      </c>
      <c r="X574" s="17">
        <v>990</v>
      </c>
      <c r="Y574" s="17">
        <v>160</v>
      </c>
      <c r="Z574" s="18">
        <f t="shared" si="180"/>
        <v>3.5024154589371982E-3</v>
      </c>
      <c r="AA574" s="19">
        <v>0.1</v>
      </c>
      <c r="AB574" s="17">
        <f t="shared" si="196"/>
        <v>99</v>
      </c>
      <c r="AC574" s="17">
        <v>0</v>
      </c>
      <c r="AD574" s="17">
        <v>0</v>
      </c>
      <c r="AE574" s="17">
        <f t="shared" si="181"/>
        <v>99</v>
      </c>
      <c r="AF574" s="17">
        <f t="shared" si="194"/>
        <v>15.84</v>
      </c>
      <c r="AG574" s="17">
        <f t="shared" si="188"/>
        <v>114.84</v>
      </c>
      <c r="AH574" s="17">
        <f t="shared" si="193"/>
        <v>1.98</v>
      </c>
      <c r="AI574" s="27"/>
      <c r="AJ574" s="17">
        <f t="shared" si="182"/>
        <v>1.98</v>
      </c>
      <c r="AK574" s="20"/>
      <c r="AL574" s="17">
        <f t="shared" si="183"/>
        <v>97.02</v>
      </c>
      <c r="AM574" s="17"/>
      <c r="AN574" s="21"/>
      <c r="AO574" s="17">
        <f t="shared" si="184"/>
        <v>0</v>
      </c>
      <c r="AP574" s="27"/>
      <c r="AQ574" s="16"/>
      <c r="AR574" s="17">
        <f t="shared" si="191"/>
        <v>0</v>
      </c>
      <c r="AS574" s="17"/>
      <c r="AT574" s="17">
        <v>114.84</v>
      </c>
      <c r="AU574" s="17">
        <f t="shared" si="195"/>
        <v>114.84</v>
      </c>
      <c r="AV574" s="17">
        <f t="shared" si="185"/>
        <v>0</v>
      </c>
      <c r="AW574" s="17" t="str">
        <f t="shared" si="192"/>
        <v>SUNU</v>
      </c>
      <c r="AX574" s="22">
        <v>44858</v>
      </c>
      <c r="AY574" s="22"/>
      <c r="AZ574" s="1"/>
      <c r="BA574" s="22" t="str">
        <f t="shared" si="189"/>
        <v>GPA</v>
      </c>
      <c r="BB574" s="54"/>
      <c r="BC574" s="22"/>
      <c r="BD574" s="22"/>
    </row>
    <row r="575" spans="1:56" ht="14.25" customHeight="1" x14ac:dyDescent="0.2">
      <c r="A575" s="1" t="s">
        <v>773</v>
      </c>
      <c r="B575" s="1" t="s">
        <v>57</v>
      </c>
      <c r="C575" s="13">
        <v>44824</v>
      </c>
      <c r="D575" s="13">
        <v>44824</v>
      </c>
      <c r="E575" s="13">
        <v>44824</v>
      </c>
      <c r="F575" s="13">
        <v>44844</v>
      </c>
      <c r="G575" s="14" t="str">
        <f t="shared" si="179"/>
        <v>000-574/AIB RDC/2022</v>
      </c>
      <c r="H575" s="1">
        <v>0</v>
      </c>
      <c r="I575" s="1" t="s">
        <v>74</v>
      </c>
      <c r="J575" s="1" t="s">
        <v>902</v>
      </c>
      <c r="K575" s="1" t="s">
        <v>903</v>
      </c>
      <c r="L575" s="1" t="s">
        <v>288</v>
      </c>
      <c r="M575" s="16" t="s">
        <v>84</v>
      </c>
      <c r="N575" s="1" t="s">
        <v>85</v>
      </c>
      <c r="O575" s="1" t="s">
        <v>152</v>
      </c>
      <c r="P575" s="1" t="s">
        <v>153</v>
      </c>
      <c r="Q575" s="1" t="s">
        <v>66</v>
      </c>
      <c r="R575" s="1" t="s">
        <v>66</v>
      </c>
      <c r="S575" s="17">
        <v>216000</v>
      </c>
      <c r="T575" s="17">
        <v>2529.4499999999998</v>
      </c>
      <c r="U575" s="17">
        <v>0</v>
      </c>
      <c r="V575" s="17">
        <v>0</v>
      </c>
      <c r="W575" s="17">
        <v>21.59</v>
      </c>
      <c r="X575" s="17">
        <v>2158.9699999999998</v>
      </c>
      <c r="Y575" s="17">
        <v>348.89</v>
      </c>
      <c r="Z575" s="18">
        <f t="shared" si="180"/>
        <v>1.1710416666666666E-2</v>
      </c>
      <c r="AA575" s="19">
        <v>0.15</v>
      </c>
      <c r="AB575" s="17">
        <f t="shared" si="196"/>
        <v>323.84549999999996</v>
      </c>
      <c r="AC575" s="34"/>
      <c r="AD575" s="34"/>
      <c r="AE575" s="17">
        <f t="shared" si="181"/>
        <v>323.84549999999996</v>
      </c>
      <c r="AF575" s="17">
        <f t="shared" si="194"/>
        <v>51.815279999999994</v>
      </c>
      <c r="AG575" s="17">
        <f t="shared" si="188"/>
        <v>375.66077999999993</v>
      </c>
      <c r="AH575" s="17">
        <f t="shared" si="193"/>
        <v>6.4769099999999993</v>
      </c>
      <c r="AI575" s="27"/>
      <c r="AJ575" s="17">
        <f t="shared" si="182"/>
        <v>6.4769099999999993</v>
      </c>
      <c r="AK575" s="20"/>
      <c r="AL575" s="17">
        <f t="shared" si="183"/>
        <v>317.36858999999998</v>
      </c>
      <c r="AM575" s="17"/>
      <c r="AN575" s="21"/>
      <c r="AO575" s="17">
        <f t="shared" si="184"/>
        <v>0</v>
      </c>
      <c r="AP575" s="27"/>
      <c r="AQ575" s="16"/>
      <c r="AR575" s="17">
        <f t="shared" si="191"/>
        <v>0</v>
      </c>
      <c r="AS575" s="17"/>
      <c r="AT575" s="17">
        <v>375.66077999999993</v>
      </c>
      <c r="AU575" s="17">
        <f t="shared" si="195"/>
        <v>375.66077999999993</v>
      </c>
      <c r="AV575" s="17">
        <f t="shared" si="185"/>
        <v>0</v>
      </c>
      <c r="AW575" s="17" t="str">
        <f t="shared" si="192"/>
        <v>ACTIVA</v>
      </c>
      <c r="AX575" s="22">
        <v>44894</v>
      </c>
      <c r="AY575" s="22"/>
      <c r="AZ575" s="1" t="s">
        <v>145</v>
      </c>
      <c r="BA575" s="22" t="str">
        <f t="shared" si="189"/>
        <v>COMP MOTOR</v>
      </c>
      <c r="BB575" s="54"/>
      <c r="BC575" s="22"/>
      <c r="BD575" s="22"/>
    </row>
    <row r="576" spans="1:56" ht="14.25" customHeight="1" x14ac:dyDescent="0.2">
      <c r="A576" s="1" t="s">
        <v>439</v>
      </c>
      <c r="B576" s="28" t="s">
        <v>273</v>
      </c>
      <c r="C576" s="48">
        <v>45156</v>
      </c>
      <c r="D576" s="48"/>
      <c r="E576" s="13">
        <v>44774</v>
      </c>
      <c r="F576" s="13">
        <v>45138</v>
      </c>
      <c r="G576" s="14" t="str">
        <f t="shared" si="179"/>
        <v>000-575/AIB RDC/2022</v>
      </c>
      <c r="H576" s="1">
        <v>2</v>
      </c>
      <c r="I576" s="1" t="s">
        <v>91</v>
      </c>
      <c r="J576" s="15" t="s">
        <v>1123</v>
      </c>
      <c r="K576" s="1" t="s">
        <v>1120</v>
      </c>
      <c r="L576" s="1" t="s">
        <v>214</v>
      </c>
      <c r="M576" s="1" t="s">
        <v>84</v>
      </c>
      <c r="N576" s="1" t="s">
        <v>85</v>
      </c>
      <c r="O576" s="1" t="s">
        <v>192</v>
      </c>
      <c r="P576" s="1" t="s">
        <v>98</v>
      </c>
      <c r="Q576" s="1" t="s">
        <v>107</v>
      </c>
      <c r="R576" s="1" t="s">
        <v>780</v>
      </c>
      <c r="S576" s="17">
        <v>0</v>
      </c>
      <c r="T576" s="34">
        <v>25.54</v>
      </c>
      <c r="U576" s="34">
        <v>3.25</v>
      </c>
      <c r="V576" s="34">
        <v>-1.52</v>
      </c>
      <c r="W576" s="34">
        <v>0</v>
      </c>
      <c r="X576" s="34">
        <v>18.399999999999999</v>
      </c>
      <c r="Y576" s="34">
        <v>3.46</v>
      </c>
      <c r="Z576" s="18" t="e">
        <f t="shared" si="180"/>
        <v>#DIV/0!</v>
      </c>
      <c r="AA576" s="19">
        <v>0</v>
      </c>
      <c r="AB576" s="23">
        <f t="shared" si="196"/>
        <v>0</v>
      </c>
      <c r="AC576" s="17">
        <f>30%*(U576+V576)</f>
        <v>0.51900000000000002</v>
      </c>
      <c r="AD576" s="17">
        <v>0</v>
      </c>
      <c r="AE576" s="17">
        <f t="shared" si="181"/>
        <v>0.51900000000000002</v>
      </c>
      <c r="AF576" s="17">
        <f t="shared" si="194"/>
        <v>8.3040000000000003E-2</v>
      </c>
      <c r="AG576" s="17">
        <f t="shared" si="188"/>
        <v>0.60204000000000002</v>
      </c>
      <c r="AH576" s="17">
        <f t="shared" si="193"/>
        <v>1.038E-2</v>
      </c>
      <c r="AI576" s="17"/>
      <c r="AJ576" s="17">
        <f t="shared" si="182"/>
        <v>1.038E-2</v>
      </c>
      <c r="AK576" s="20"/>
      <c r="AL576" s="17">
        <f t="shared" si="183"/>
        <v>0.50862000000000007</v>
      </c>
      <c r="AM576" s="30"/>
      <c r="AN576" s="80"/>
      <c r="AO576" s="23">
        <f t="shared" si="184"/>
        <v>0</v>
      </c>
      <c r="AP576" s="30"/>
      <c r="AQ576" s="33"/>
      <c r="AR576" s="17">
        <f t="shared" si="191"/>
        <v>0</v>
      </c>
      <c r="AS576" s="30"/>
      <c r="AT576" s="30"/>
      <c r="AU576" s="17">
        <f t="shared" si="195"/>
        <v>0.60204000000000002</v>
      </c>
      <c r="AV576" s="84">
        <f t="shared" si="185"/>
        <v>0.60204000000000002</v>
      </c>
      <c r="AW576" s="17" t="str">
        <f t="shared" si="192"/>
        <v>RAWSUR</v>
      </c>
      <c r="AX576" s="81"/>
      <c r="AY576" s="81"/>
      <c r="AZ576" s="2"/>
      <c r="BA576" s="1"/>
      <c r="BB576" s="82"/>
      <c r="BC576" s="81"/>
      <c r="BD576" s="2"/>
    </row>
    <row r="577" spans="1:56" ht="14.25" customHeight="1" x14ac:dyDescent="0.2">
      <c r="A577" s="28" t="s">
        <v>773</v>
      </c>
      <c r="B577" s="28" t="s">
        <v>273</v>
      </c>
      <c r="C577" s="36">
        <v>44813</v>
      </c>
      <c r="D577" s="36"/>
      <c r="E577" s="36">
        <v>44813</v>
      </c>
      <c r="F577" s="36">
        <v>44957</v>
      </c>
      <c r="G577" s="37" t="str">
        <f t="shared" si="179"/>
        <v>000-576/AIB RDC/2022</v>
      </c>
      <c r="H577" s="28">
        <v>18</v>
      </c>
      <c r="I577" s="28" t="s">
        <v>91</v>
      </c>
      <c r="J577" s="28" t="s">
        <v>284</v>
      </c>
      <c r="K577" s="28" t="s">
        <v>285</v>
      </c>
      <c r="L577" s="28" t="s">
        <v>83</v>
      </c>
      <c r="M577" s="29" t="s">
        <v>84</v>
      </c>
      <c r="N577" s="28" t="s">
        <v>885</v>
      </c>
      <c r="O577" s="28" t="s">
        <v>152</v>
      </c>
      <c r="P577" s="28" t="s">
        <v>153</v>
      </c>
      <c r="Q577" s="28" t="s">
        <v>66</v>
      </c>
      <c r="R577" s="28" t="s">
        <v>66</v>
      </c>
      <c r="S577" s="23">
        <v>62200</v>
      </c>
      <c r="T577" s="23">
        <v>1217.05</v>
      </c>
      <c r="U577" s="23">
        <v>0</v>
      </c>
      <c r="V577" s="23">
        <v>0</v>
      </c>
      <c r="W577" s="23">
        <v>10.39</v>
      </c>
      <c r="X577" s="23">
        <v>1038.8</v>
      </c>
      <c r="Y577" s="23">
        <v>167.87</v>
      </c>
      <c r="Z577" s="38">
        <f t="shared" si="180"/>
        <v>1.9566720257234726E-2</v>
      </c>
      <c r="AA577" s="39">
        <v>0.15</v>
      </c>
      <c r="AB577" s="23">
        <f t="shared" si="196"/>
        <v>155.82</v>
      </c>
      <c r="AC577" s="23">
        <v>0</v>
      </c>
      <c r="AD577" s="57">
        <f>3%*X577</f>
        <v>31.163999999999998</v>
      </c>
      <c r="AE577" s="23">
        <f t="shared" si="181"/>
        <v>186.98399999999998</v>
      </c>
      <c r="AF577" s="23">
        <f t="shared" si="194"/>
        <v>29.917439999999999</v>
      </c>
      <c r="AG577" s="23">
        <f t="shared" si="188"/>
        <v>216.90143999999998</v>
      </c>
      <c r="AH577" s="23">
        <f t="shared" si="193"/>
        <v>3.7396799999999999</v>
      </c>
      <c r="AI577" s="23">
        <v>0</v>
      </c>
      <c r="AJ577" s="23">
        <f t="shared" si="182"/>
        <v>3.7396799999999999</v>
      </c>
      <c r="AK577" s="40"/>
      <c r="AL577" s="23">
        <f t="shared" si="183"/>
        <v>183.24431999999999</v>
      </c>
      <c r="AM577" s="23" t="s">
        <v>198</v>
      </c>
      <c r="AN577" s="41"/>
      <c r="AO577" s="23">
        <f t="shared" si="184"/>
        <v>0</v>
      </c>
      <c r="AP577" s="55"/>
      <c r="AQ577" s="29"/>
      <c r="AR577" s="23">
        <f t="shared" si="191"/>
        <v>0</v>
      </c>
      <c r="AS577" s="23"/>
      <c r="AT577" s="23">
        <v>216.90143999999998</v>
      </c>
      <c r="AU577" s="23">
        <f t="shared" si="195"/>
        <v>216.90143999999998</v>
      </c>
      <c r="AV577" s="23">
        <f t="shared" si="185"/>
        <v>0</v>
      </c>
      <c r="AW577" s="23" t="str">
        <f t="shared" si="192"/>
        <v>ACTIVA</v>
      </c>
      <c r="AX577" s="42">
        <v>45152</v>
      </c>
      <c r="AY577" s="42"/>
      <c r="AZ577" s="28" t="s">
        <v>68</v>
      </c>
      <c r="BA577" s="42" t="str">
        <f t="shared" ref="BA577:BA600" si="197">O577</f>
        <v>COMP MOTOR</v>
      </c>
      <c r="BB577" s="23"/>
      <c r="BC577" s="42"/>
      <c r="BD577" s="28" t="s">
        <v>906</v>
      </c>
    </row>
    <row r="578" spans="1:56" ht="14.25" customHeight="1" x14ac:dyDescent="0.2">
      <c r="A578" s="1" t="s">
        <v>773</v>
      </c>
      <c r="B578" s="1" t="s">
        <v>57</v>
      </c>
      <c r="C578" s="13">
        <v>44820</v>
      </c>
      <c r="D578" s="13">
        <v>44819</v>
      </c>
      <c r="E578" s="13">
        <v>44819</v>
      </c>
      <c r="F578" s="13">
        <v>44957</v>
      </c>
      <c r="G578" s="14" t="str">
        <f t="shared" si="179"/>
        <v>000-577/AIB RDC/2022</v>
      </c>
      <c r="H578" s="1">
        <v>19</v>
      </c>
      <c r="I578" s="1" t="s">
        <v>91</v>
      </c>
      <c r="J578" s="1" t="s">
        <v>284</v>
      </c>
      <c r="K578" s="1" t="s">
        <v>285</v>
      </c>
      <c r="L578" s="1" t="s">
        <v>83</v>
      </c>
      <c r="M578" s="16" t="s">
        <v>84</v>
      </c>
      <c r="N578" s="1" t="s">
        <v>885</v>
      </c>
      <c r="O578" s="1" t="s">
        <v>152</v>
      </c>
      <c r="P578" s="1" t="s">
        <v>153</v>
      </c>
      <c r="Q578" s="1" t="s">
        <v>66</v>
      </c>
      <c r="R578" s="1" t="s">
        <v>66</v>
      </c>
      <c r="S578" s="17">
        <v>39582</v>
      </c>
      <c r="T578" s="17">
        <v>748</v>
      </c>
      <c r="U578" s="17">
        <v>0</v>
      </c>
      <c r="V578" s="17">
        <v>0</v>
      </c>
      <c r="W578" s="17">
        <v>10</v>
      </c>
      <c r="X578" s="17">
        <v>634.82000000000005</v>
      </c>
      <c r="Y578" s="17">
        <v>103.18</v>
      </c>
      <c r="Z578" s="18">
        <f t="shared" si="180"/>
        <v>1.8897478651912485E-2</v>
      </c>
      <c r="AA578" s="19">
        <v>0.14690778488390399</v>
      </c>
      <c r="AB578" s="17">
        <f t="shared" si="196"/>
        <v>93.259999999999934</v>
      </c>
      <c r="AC578" s="17">
        <v>0</v>
      </c>
      <c r="AD578" s="34">
        <f>3%*X578</f>
        <v>19.044599999999999</v>
      </c>
      <c r="AE578" s="17">
        <f t="shared" si="181"/>
        <v>112.30459999999994</v>
      </c>
      <c r="AF578" s="17">
        <f t="shared" si="194"/>
        <v>17.968735999999989</v>
      </c>
      <c r="AG578" s="17">
        <f t="shared" si="188"/>
        <v>130.27333599999992</v>
      </c>
      <c r="AH578" s="17">
        <f t="shared" si="193"/>
        <v>2.2460919999999986</v>
      </c>
      <c r="AI578" s="17">
        <v>0</v>
      </c>
      <c r="AJ578" s="17">
        <f t="shared" si="182"/>
        <v>2.2460919999999986</v>
      </c>
      <c r="AK578" s="20"/>
      <c r="AL578" s="17">
        <f t="shared" si="183"/>
        <v>110.05850799999993</v>
      </c>
      <c r="AM578" s="17" t="s">
        <v>198</v>
      </c>
      <c r="AN578" s="21"/>
      <c r="AO578" s="17">
        <f t="shared" si="184"/>
        <v>0</v>
      </c>
      <c r="AP578" s="27"/>
      <c r="AQ578" s="16"/>
      <c r="AR578" s="17">
        <f t="shared" si="191"/>
        <v>0</v>
      </c>
      <c r="AS578" s="17"/>
      <c r="AT578" s="17">
        <v>130.27333599999992</v>
      </c>
      <c r="AU578" s="17">
        <f t="shared" si="195"/>
        <v>130.27333599999992</v>
      </c>
      <c r="AV578" s="17">
        <f t="shared" si="185"/>
        <v>0</v>
      </c>
      <c r="AW578" s="17" t="str">
        <f t="shared" si="192"/>
        <v>ACTIVA</v>
      </c>
      <c r="AX578" s="22">
        <v>44894</v>
      </c>
      <c r="AY578" s="22"/>
      <c r="AZ578" s="1" t="s">
        <v>68</v>
      </c>
      <c r="BA578" s="22" t="str">
        <f t="shared" si="197"/>
        <v>COMP MOTOR</v>
      </c>
      <c r="BB578" s="54"/>
      <c r="BC578" s="22"/>
      <c r="BD578" s="22"/>
    </row>
    <row r="579" spans="1:56" ht="14.25" customHeight="1" x14ac:dyDescent="0.2">
      <c r="A579" s="1" t="s">
        <v>773</v>
      </c>
      <c r="B579" s="1" t="s">
        <v>57</v>
      </c>
      <c r="C579" s="13">
        <v>44825</v>
      </c>
      <c r="D579" s="13">
        <v>44824</v>
      </c>
      <c r="E579" s="13">
        <v>44824</v>
      </c>
      <c r="F579" s="13">
        <v>44957</v>
      </c>
      <c r="G579" s="14" t="str">
        <f t="shared" si="179"/>
        <v>000-578/AIB RDC/2022</v>
      </c>
      <c r="H579" s="1">
        <v>20</v>
      </c>
      <c r="I579" s="1" t="s">
        <v>91</v>
      </c>
      <c r="J579" s="1" t="s">
        <v>284</v>
      </c>
      <c r="K579" s="1" t="s">
        <v>285</v>
      </c>
      <c r="L579" s="1" t="s">
        <v>83</v>
      </c>
      <c r="M579" s="16" t="s">
        <v>84</v>
      </c>
      <c r="N579" s="1" t="s">
        <v>885</v>
      </c>
      <c r="O579" s="1" t="s">
        <v>152</v>
      </c>
      <c r="P579" s="1" t="s">
        <v>153</v>
      </c>
      <c r="Q579" s="1" t="s">
        <v>66</v>
      </c>
      <c r="R579" s="1" t="s">
        <v>66</v>
      </c>
      <c r="S579" s="17">
        <v>90819</v>
      </c>
      <c r="T579" s="17">
        <v>1577.39</v>
      </c>
      <c r="U579" s="17">
        <v>0</v>
      </c>
      <c r="V579" s="17">
        <v>0</v>
      </c>
      <c r="W579" s="17">
        <v>13.46</v>
      </c>
      <c r="X579" s="17">
        <v>1346.36</v>
      </c>
      <c r="Y579" s="17">
        <v>217.57</v>
      </c>
      <c r="Z579" s="18">
        <f t="shared" si="180"/>
        <v>1.7368502185665997E-2</v>
      </c>
      <c r="AA579" s="19">
        <v>0.147583112986126</v>
      </c>
      <c r="AB579" s="17">
        <f t="shared" si="196"/>
        <v>198.70000000000059</v>
      </c>
      <c r="AC579" s="17">
        <v>0</v>
      </c>
      <c r="AD579" s="34">
        <f>3%*X579</f>
        <v>40.390799999999999</v>
      </c>
      <c r="AE579" s="17">
        <f t="shared" si="181"/>
        <v>239.09080000000057</v>
      </c>
      <c r="AF579" s="17">
        <f t="shared" si="194"/>
        <v>38.254528000000093</v>
      </c>
      <c r="AG579" s="17">
        <f t="shared" si="188"/>
        <v>277.34532800000068</v>
      </c>
      <c r="AH579" s="17">
        <f t="shared" si="193"/>
        <v>4.7818160000000116</v>
      </c>
      <c r="AI579" s="17">
        <v>0</v>
      </c>
      <c r="AJ579" s="17">
        <f t="shared" si="182"/>
        <v>4.7818160000000116</v>
      </c>
      <c r="AK579" s="20"/>
      <c r="AL579" s="17">
        <f t="shared" si="183"/>
        <v>234.30898400000055</v>
      </c>
      <c r="AM579" s="17" t="s">
        <v>198</v>
      </c>
      <c r="AN579" s="21"/>
      <c r="AO579" s="17">
        <f t="shared" si="184"/>
        <v>0</v>
      </c>
      <c r="AP579" s="27"/>
      <c r="AQ579" s="16"/>
      <c r="AR579" s="17">
        <f t="shared" si="191"/>
        <v>0</v>
      </c>
      <c r="AS579" s="17"/>
      <c r="AT579" s="17">
        <v>277.34532800000068</v>
      </c>
      <c r="AU579" s="17">
        <f t="shared" si="195"/>
        <v>277.34532800000068</v>
      </c>
      <c r="AV579" s="17">
        <f t="shared" si="185"/>
        <v>0</v>
      </c>
      <c r="AW579" s="17" t="str">
        <f t="shared" si="192"/>
        <v>ACTIVA</v>
      </c>
      <c r="AX579" s="22">
        <v>44894</v>
      </c>
      <c r="AY579" s="22"/>
      <c r="AZ579" s="1" t="s">
        <v>68</v>
      </c>
      <c r="BA579" s="22" t="str">
        <f t="shared" si="197"/>
        <v>COMP MOTOR</v>
      </c>
      <c r="BB579" s="54"/>
      <c r="BC579" s="22"/>
      <c r="BD579" s="22"/>
    </row>
    <row r="580" spans="1:56" ht="14.25" customHeight="1" x14ac:dyDescent="0.2">
      <c r="A580" s="1" t="s">
        <v>773</v>
      </c>
      <c r="B580" s="1" t="s">
        <v>57</v>
      </c>
      <c r="C580" s="13">
        <v>44825</v>
      </c>
      <c r="D580" s="13">
        <v>44823</v>
      </c>
      <c r="E580" s="13">
        <v>44823</v>
      </c>
      <c r="F580" s="13">
        <v>44957</v>
      </c>
      <c r="G580" s="14" t="str">
        <f t="shared" si="179"/>
        <v>000-579/AIB RDC/2022</v>
      </c>
      <c r="H580" s="1">
        <v>21</v>
      </c>
      <c r="I580" s="1" t="s">
        <v>91</v>
      </c>
      <c r="J580" s="1" t="s">
        <v>284</v>
      </c>
      <c r="K580" s="1" t="s">
        <v>285</v>
      </c>
      <c r="L580" s="1" t="s">
        <v>83</v>
      </c>
      <c r="M580" s="16" t="s">
        <v>84</v>
      </c>
      <c r="N580" s="1" t="s">
        <v>85</v>
      </c>
      <c r="O580" s="1" t="s">
        <v>152</v>
      </c>
      <c r="P580" s="1" t="s">
        <v>153</v>
      </c>
      <c r="Q580" s="1" t="s">
        <v>66</v>
      </c>
      <c r="R580" s="1" t="s">
        <v>66</v>
      </c>
      <c r="S580" s="17">
        <v>26685</v>
      </c>
      <c r="T580" s="17">
        <v>521.46</v>
      </c>
      <c r="U580" s="17">
        <v>0</v>
      </c>
      <c r="V580" s="17">
        <v>0</v>
      </c>
      <c r="W580" s="17">
        <v>4.45</v>
      </c>
      <c r="X580" s="17">
        <v>445.08</v>
      </c>
      <c r="Y580" s="17">
        <v>71.930000000000007</v>
      </c>
      <c r="Z580" s="18">
        <f t="shared" si="180"/>
        <v>1.9541315345699833E-2</v>
      </c>
      <c r="AA580" s="19">
        <v>0.14559180372067901</v>
      </c>
      <c r="AB580" s="17">
        <f t="shared" si="196"/>
        <v>64.799999999999812</v>
      </c>
      <c r="AC580" s="17">
        <v>0</v>
      </c>
      <c r="AD580" s="34">
        <f>3%*X580</f>
        <v>13.352399999999999</v>
      </c>
      <c r="AE580" s="17">
        <f t="shared" si="181"/>
        <v>78.152399999999815</v>
      </c>
      <c r="AF580" s="17">
        <f t="shared" si="194"/>
        <v>12.504383999999972</v>
      </c>
      <c r="AG580" s="17">
        <f t="shared" si="188"/>
        <v>90.656783999999789</v>
      </c>
      <c r="AH580" s="17">
        <f t="shared" si="193"/>
        <v>1.5630479999999964</v>
      </c>
      <c r="AI580" s="17">
        <v>0</v>
      </c>
      <c r="AJ580" s="17">
        <f t="shared" si="182"/>
        <v>1.5630479999999964</v>
      </c>
      <c r="AK580" s="20"/>
      <c r="AL580" s="17">
        <f t="shared" si="183"/>
        <v>76.58935199999982</v>
      </c>
      <c r="AM580" s="17" t="s">
        <v>198</v>
      </c>
      <c r="AN580" s="21"/>
      <c r="AO580" s="17">
        <f t="shared" si="184"/>
        <v>0</v>
      </c>
      <c r="AP580" s="27"/>
      <c r="AQ580" s="16"/>
      <c r="AR580" s="17">
        <f t="shared" si="191"/>
        <v>0</v>
      </c>
      <c r="AS580" s="17"/>
      <c r="AT580" s="17">
        <v>90.656783999999789</v>
      </c>
      <c r="AU580" s="17">
        <f t="shared" si="195"/>
        <v>90.656783999999789</v>
      </c>
      <c r="AV580" s="17">
        <f t="shared" si="185"/>
        <v>0</v>
      </c>
      <c r="AW580" s="17" t="str">
        <f t="shared" si="192"/>
        <v>ACTIVA</v>
      </c>
      <c r="AX580" s="22">
        <v>44894</v>
      </c>
      <c r="AY580" s="22"/>
      <c r="AZ580" s="1" t="s">
        <v>68</v>
      </c>
      <c r="BA580" s="22" t="str">
        <f t="shared" si="197"/>
        <v>COMP MOTOR</v>
      </c>
      <c r="BB580" s="54"/>
      <c r="BC580" s="22"/>
      <c r="BD580" s="22"/>
    </row>
    <row r="581" spans="1:56" ht="14.25" customHeight="1" x14ac:dyDescent="0.2">
      <c r="A581" s="1" t="s">
        <v>773</v>
      </c>
      <c r="B581" s="1" t="s">
        <v>57</v>
      </c>
      <c r="C581" s="13">
        <v>44809</v>
      </c>
      <c r="D581" s="13">
        <v>44830</v>
      </c>
      <c r="E581" s="13">
        <v>44809</v>
      </c>
      <c r="F581" s="13">
        <v>45173</v>
      </c>
      <c r="G581" s="14" t="str">
        <f t="shared" si="179"/>
        <v>000-580/AIB RDC/2022</v>
      </c>
      <c r="H581" s="1">
        <v>0</v>
      </c>
      <c r="I581" s="1" t="s">
        <v>74</v>
      </c>
      <c r="J581" s="1" t="s">
        <v>907</v>
      </c>
      <c r="K581" s="1" t="s">
        <v>908</v>
      </c>
      <c r="L581" s="1"/>
      <c r="M581" s="16" t="s">
        <v>84</v>
      </c>
      <c r="N581" s="1" t="s">
        <v>85</v>
      </c>
      <c r="O581" s="1" t="s">
        <v>70</v>
      </c>
      <c r="P581" s="1" t="s">
        <v>71</v>
      </c>
      <c r="Q581" s="1" t="s">
        <v>79</v>
      </c>
      <c r="R581" s="1" t="s">
        <v>79</v>
      </c>
      <c r="S581" s="17">
        <v>342500</v>
      </c>
      <c r="T581" s="17">
        <v>501.5</v>
      </c>
      <c r="U581" s="17">
        <v>0</v>
      </c>
      <c r="V581" s="17">
        <v>0</v>
      </c>
      <c r="W581" s="17">
        <v>20</v>
      </c>
      <c r="X581" s="17">
        <v>405</v>
      </c>
      <c r="Y581" s="17">
        <v>68</v>
      </c>
      <c r="Z581" s="18">
        <f t="shared" si="180"/>
        <v>1.4642335766423358E-3</v>
      </c>
      <c r="AA581" s="19">
        <v>0.15</v>
      </c>
      <c r="AB581" s="17">
        <f t="shared" si="196"/>
        <v>60.75</v>
      </c>
      <c r="AC581" s="34"/>
      <c r="AD581" s="34"/>
      <c r="AE581" s="17">
        <f t="shared" si="181"/>
        <v>60.75</v>
      </c>
      <c r="AF581" s="17">
        <f t="shared" si="194"/>
        <v>9.7200000000000006</v>
      </c>
      <c r="AG581" s="17">
        <f t="shared" si="188"/>
        <v>70.47</v>
      </c>
      <c r="AH581" s="17">
        <f t="shared" si="193"/>
        <v>1.2150000000000001</v>
      </c>
      <c r="AI581" s="27"/>
      <c r="AJ581" s="17">
        <f t="shared" si="182"/>
        <v>1.2150000000000001</v>
      </c>
      <c r="AK581" s="20"/>
      <c r="AL581" s="17">
        <f t="shared" si="183"/>
        <v>59.534999999999997</v>
      </c>
      <c r="AM581" s="17" t="s">
        <v>87</v>
      </c>
      <c r="AN581" s="21">
        <v>0.35</v>
      </c>
      <c r="AO581" s="17">
        <f t="shared" si="184"/>
        <v>20.837249999999997</v>
      </c>
      <c r="AP581" s="27"/>
      <c r="AQ581" s="16"/>
      <c r="AR581" s="17">
        <f t="shared" si="191"/>
        <v>20.837249999999997</v>
      </c>
      <c r="AS581" s="17"/>
      <c r="AT581" s="17">
        <v>70.47</v>
      </c>
      <c r="AU581" s="17">
        <f t="shared" si="195"/>
        <v>70.47</v>
      </c>
      <c r="AV581" s="17">
        <f t="shared" si="185"/>
        <v>0</v>
      </c>
      <c r="AW581" s="17" t="str">
        <f t="shared" si="192"/>
        <v>MAYFAIR</v>
      </c>
      <c r="AX581" s="22">
        <v>44875</v>
      </c>
      <c r="AY581" s="22"/>
      <c r="AZ581" s="1"/>
      <c r="BA581" s="22" t="str">
        <f t="shared" si="197"/>
        <v>FIRE</v>
      </c>
      <c r="BB581" s="54"/>
      <c r="BC581" s="22"/>
      <c r="BD581" s="22"/>
    </row>
    <row r="582" spans="1:56" ht="14.25" customHeight="1" x14ac:dyDescent="0.2">
      <c r="A582" s="1" t="s">
        <v>773</v>
      </c>
      <c r="B582" s="1" t="s">
        <v>57</v>
      </c>
      <c r="C582" s="13">
        <v>44809</v>
      </c>
      <c r="D582" s="13">
        <v>44833</v>
      </c>
      <c r="E582" s="13">
        <v>44809</v>
      </c>
      <c r="F582" s="13">
        <v>45173</v>
      </c>
      <c r="G582" s="14" t="str">
        <f t="shared" si="179"/>
        <v>000-581/AIB RDC/2022</v>
      </c>
      <c r="H582" s="1">
        <v>0</v>
      </c>
      <c r="I582" s="1" t="s">
        <v>74</v>
      </c>
      <c r="J582" s="1" t="s">
        <v>909</v>
      </c>
      <c r="K582" s="1" t="s">
        <v>908</v>
      </c>
      <c r="L582" s="1"/>
      <c r="M582" s="16" t="s">
        <v>84</v>
      </c>
      <c r="N582" s="1" t="s">
        <v>85</v>
      </c>
      <c r="O582" s="1" t="s">
        <v>172</v>
      </c>
      <c r="P582" s="1" t="s">
        <v>90</v>
      </c>
      <c r="Q582" s="1" t="s">
        <v>79</v>
      </c>
      <c r="R582" s="1" t="s">
        <v>79</v>
      </c>
      <c r="S582" s="17">
        <v>0</v>
      </c>
      <c r="T582" s="17">
        <v>1829</v>
      </c>
      <c r="U582" s="17">
        <v>0</v>
      </c>
      <c r="V582" s="17">
        <v>0</v>
      </c>
      <c r="W582" s="17">
        <v>50</v>
      </c>
      <c r="X582" s="17">
        <v>1500</v>
      </c>
      <c r="Y582" s="17">
        <v>248</v>
      </c>
      <c r="Z582" s="18" t="e">
        <f t="shared" si="180"/>
        <v>#DIV/0!</v>
      </c>
      <c r="AA582" s="19">
        <v>0.1</v>
      </c>
      <c r="AB582" s="17">
        <f t="shared" si="196"/>
        <v>150</v>
      </c>
      <c r="AC582" s="34"/>
      <c r="AD582" s="34"/>
      <c r="AE582" s="17">
        <f t="shared" si="181"/>
        <v>150</v>
      </c>
      <c r="AF582" s="17">
        <f t="shared" si="194"/>
        <v>24</v>
      </c>
      <c r="AG582" s="17">
        <f t="shared" si="188"/>
        <v>174</v>
      </c>
      <c r="AH582" s="17">
        <f t="shared" si="193"/>
        <v>3</v>
      </c>
      <c r="AI582" s="27"/>
      <c r="AJ582" s="17">
        <f t="shared" si="182"/>
        <v>3</v>
      </c>
      <c r="AK582" s="20"/>
      <c r="AL582" s="17">
        <f t="shared" si="183"/>
        <v>147</v>
      </c>
      <c r="AM582" s="17" t="s">
        <v>87</v>
      </c>
      <c r="AN582" s="21">
        <v>0.35</v>
      </c>
      <c r="AO582" s="17">
        <f t="shared" si="184"/>
        <v>51.449999999999996</v>
      </c>
      <c r="AP582" s="27"/>
      <c r="AQ582" s="16"/>
      <c r="AR582" s="17">
        <f t="shared" si="191"/>
        <v>51.449999999999996</v>
      </c>
      <c r="AS582" s="17"/>
      <c r="AT582" s="17">
        <v>174</v>
      </c>
      <c r="AU582" s="17">
        <f t="shared" si="195"/>
        <v>174</v>
      </c>
      <c r="AV582" s="17">
        <f t="shared" si="185"/>
        <v>0</v>
      </c>
      <c r="AW582" s="17" t="str">
        <f t="shared" si="192"/>
        <v>MAYFAIR</v>
      </c>
      <c r="AX582" s="22">
        <v>44875</v>
      </c>
      <c r="AY582" s="22"/>
      <c r="AZ582" s="1"/>
      <c r="BA582" s="22" t="str">
        <f t="shared" si="197"/>
        <v>PUBLIC LIABILITY</v>
      </c>
      <c r="BB582" s="54"/>
      <c r="BC582" s="22"/>
      <c r="BD582" s="22"/>
    </row>
    <row r="583" spans="1:56" ht="14.25" customHeight="1" x14ac:dyDescent="0.2">
      <c r="A583" s="1" t="s">
        <v>773</v>
      </c>
      <c r="B583" s="1" t="s">
        <v>57</v>
      </c>
      <c r="C583" s="13">
        <v>44831</v>
      </c>
      <c r="D583" s="13">
        <v>44838</v>
      </c>
      <c r="E583" s="13">
        <v>44831</v>
      </c>
      <c r="F583" s="13">
        <v>45195</v>
      </c>
      <c r="G583" s="14" t="str">
        <f t="shared" si="179"/>
        <v>000-582/AIB RDC/2022</v>
      </c>
      <c r="H583" s="1">
        <v>0</v>
      </c>
      <c r="I583" s="1" t="s">
        <v>74</v>
      </c>
      <c r="J583" s="1" t="s">
        <v>910</v>
      </c>
      <c r="K583" s="1" t="s">
        <v>769</v>
      </c>
      <c r="L583" s="1" t="s">
        <v>288</v>
      </c>
      <c r="M583" s="16" t="s">
        <v>84</v>
      </c>
      <c r="N583" s="1" t="s">
        <v>106</v>
      </c>
      <c r="O583" s="1" t="s">
        <v>73</v>
      </c>
      <c r="P583" s="1" t="s">
        <v>73</v>
      </c>
      <c r="Q583" s="1" t="s">
        <v>66</v>
      </c>
      <c r="R583" s="1" t="s">
        <v>66</v>
      </c>
      <c r="S583" s="17">
        <v>0</v>
      </c>
      <c r="T583" s="17">
        <v>322.61</v>
      </c>
      <c r="U583" s="17">
        <v>0</v>
      </c>
      <c r="V583" s="17">
        <v>0</v>
      </c>
      <c r="W583" s="17">
        <v>10</v>
      </c>
      <c r="X583" s="17">
        <v>268.11</v>
      </c>
      <c r="Y583" s="17">
        <v>44.5</v>
      </c>
      <c r="Z583" s="18" t="e">
        <f t="shared" si="180"/>
        <v>#DIV/0!</v>
      </c>
      <c r="AA583" s="19">
        <v>0.1295</v>
      </c>
      <c r="AB583" s="17">
        <f t="shared" si="196"/>
        <v>34.720245000000006</v>
      </c>
      <c r="AC583" s="34"/>
      <c r="AD583" s="34"/>
      <c r="AE583" s="17">
        <f t="shared" si="181"/>
        <v>34.720245000000006</v>
      </c>
      <c r="AF583" s="17">
        <f t="shared" si="194"/>
        <v>5.5552392000000008</v>
      </c>
      <c r="AG583" s="17">
        <f t="shared" si="188"/>
        <v>40.275484200000008</v>
      </c>
      <c r="AH583" s="17">
        <f t="shared" si="193"/>
        <v>0.6944049000000001</v>
      </c>
      <c r="AI583" s="27"/>
      <c r="AJ583" s="17">
        <f t="shared" si="182"/>
        <v>0.6944049000000001</v>
      </c>
      <c r="AK583" s="20"/>
      <c r="AL583" s="17">
        <f t="shared" si="183"/>
        <v>34.025840100000003</v>
      </c>
      <c r="AM583" s="17"/>
      <c r="AN583" s="21"/>
      <c r="AO583" s="17">
        <f t="shared" si="184"/>
        <v>0</v>
      </c>
      <c r="AP583" s="27"/>
      <c r="AQ583" s="16"/>
      <c r="AR583" s="17">
        <f t="shared" si="191"/>
        <v>0</v>
      </c>
      <c r="AS583" s="17"/>
      <c r="AT583" s="17">
        <v>40.275484200000008</v>
      </c>
      <c r="AU583" s="17">
        <f t="shared" si="195"/>
        <v>40.275484200000008</v>
      </c>
      <c r="AV583" s="17">
        <f t="shared" si="185"/>
        <v>0</v>
      </c>
      <c r="AW583" s="17" t="str">
        <f t="shared" si="192"/>
        <v>ACTIVA</v>
      </c>
      <c r="AX583" s="22">
        <v>44894</v>
      </c>
      <c r="AY583" s="22"/>
      <c r="AZ583" s="1"/>
      <c r="BA583" s="22" t="str">
        <f t="shared" si="197"/>
        <v>MOTOR TPL</v>
      </c>
      <c r="BB583" s="54"/>
      <c r="BC583" s="22"/>
      <c r="BD583" s="22"/>
    </row>
    <row r="584" spans="1:56" ht="14.25" customHeight="1" x14ac:dyDescent="0.2">
      <c r="A584" s="1" t="s">
        <v>773</v>
      </c>
      <c r="B584" s="1" t="s">
        <v>57</v>
      </c>
      <c r="C584" s="13">
        <v>44805</v>
      </c>
      <c r="D584" s="13">
        <v>44811</v>
      </c>
      <c r="E584" s="13">
        <v>44812</v>
      </c>
      <c r="F584" s="13">
        <v>45176</v>
      </c>
      <c r="G584" s="14" t="str">
        <f t="shared" si="179"/>
        <v>000-583/AIB RDC/2022</v>
      </c>
      <c r="H584" s="1">
        <v>1</v>
      </c>
      <c r="I584" s="1" t="s">
        <v>58</v>
      </c>
      <c r="J584" s="1" t="s">
        <v>911</v>
      </c>
      <c r="K584" s="1" t="s">
        <v>653</v>
      </c>
      <c r="L584" s="16" t="s">
        <v>137</v>
      </c>
      <c r="M584" s="16" t="s">
        <v>84</v>
      </c>
      <c r="N584" s="1" t="s">
        <v>85</v>
      </c>
      <c r="O584" s="1" t="s">
        <v>73</v>
      </c>
      <c r="P584" s="1" t="s">
        <v>73</v>
      </c>
      <c r="Q584" s="1" t="s">
        <v>130</v>
      </c>
      <c r="R584" s="1" t="s">
        <v>130</v>
      </c>
      <c r="S584" s="17">
        <v>0</v>
      </c>
      <c r="T584" s="17">
        <v>24415.97</v>
      </c>
      <c r="U584" s="17">
        <v>0</v>
      </c>
      <c r="V584" s="17">
        <v>0</v>
      </c>
      <c r="W584" s="17">
        <v>305.48</v>
      </c>
      <c r="X584" s="17">
        <v>20386.02</v>
      </c>
      <c r="Y584" s="17">
        <v>3310.64</v>
      </c>
      <c r="Z584" s="18" t="e">
        <f t="shared" si="180"/>
        <v>#DIV/0!</v>
      </c>
      <c r="AA584" s="19">
        <v>0.1</v>
      </c>
      <c r="AB584" s="17">
        <f t="shared" si="196"/>
        <v>2038.6020000000001</v>
      </c>
      <c r="AC584" s="34"/>
      <c r="AD584" s="34"/>
      <c r="AE584" s="17">
        <f t="shared" si="181"/>
        <v>2038.6020000000001</v>
      </c>
      <c r="AF584" s="17">
        <f t="shared" si="194"/>
        <v>326.17632000000003</v>
      </c>
      <c r="AG584" s="17">
        <f t="shared" si="188"/>
        <v>2364.7783200000003</v>
      </c>
      <c r="AH584" s="17">
        <f t="shared" si="193"/>
        <v>40.772040000000004</v>
      </c>
      <c r="AI584" s="27"/>
      <c r="AJ584" s="17">
        <f t="shared" si="182"/>
        <v>40.772040000000004</v>
      </c>
      <c r="AK584" s="20"/>
      <c r="AL584" s="17">
        <f t="shared" si="183"/>
        <v>1997.82996</v>
      </c>
      <c r="AM584" s="17" t="s">
        <v>289</v>
      </c>
      <c r="AN584" s="21">
        <v>0.5</v>
      </c>
      <c r="AO584" s="17">
        <f t="shared" si="184"/>
        <v>998.91498000000001</v>
      </c>
      <c r="AP584" s="17">
        <v>998.91498000000001</v>
      </c>
      <c r="AQ584" s="16">
        <v>44902</v>
      </c>
      <c r="AR584" s="17">
        <f t="shared" si="191"/>
        <v>0</v>
      </c>
      <c r="AS584" s="17" t="s">
        <v>912</v>
      </c>
      <c r="AT584" s="17">
        <v>2364.7783200000003</v>
      </c>
      <c r="AU584" s="17">
        <f t="shared" si="195"/>
        <v>2364.7783200000003</v>
      </c>
      <c r="AV584" s="17">
        <f t="shared" si="185"/>
        <v>0</v>
      </c>
      <c r="AW584" s="17" t="str">
        <f t="shared" si="192"/>
        <v>SFA</v>
      </c>
      <c r="AX584" s="22">
        <v>44862</v>
      </c>
      <c r="AY584" s="22"/>
      <c r="AZ584" s="1"/>
      <c r="BA584" s="22" t="str">
        <f t="shared" si="197"/>
        <v>MOTOR TPL</v>
      </c>
      <c r="BB584" s="54"/>
      <c r="BC584" s="22"/>
      <c r="BD584" s="22"/>
    </row>
    <row r="585" spans="1:56" ht="14.25" customHeight="1" x14ac:dyDescent="0.2">
      <c r="A585" s="1" t="s">
        <v>773</v>
      </c>
      <c r="B585" s="1" t="s">
        <v>57</v>
      </c>
      <c r="C585" s="13">
        <v>44798</v>
      </c>
      <c r="D585" s="13">
        <v>44811</v>
      </c>
      <c r="E585" s="13">
        <v>44811</v>
      </c>
      <c r="F585" s="13">
        <v>45175</v>
      </c>
      <c r="G585" s="14" t="str">
        <f t="shared" si="179"/>
        <v>000-584/AIB RDC/2022</v>
      </c>
      <c r="H585" s="1">
        <v>1</v>
      </c>
      <c r="I585" s="1" t="s">
        <v>58</v>
      </c>
      <c r="J585" s="1" t="s">
        <v>913</v>
      </c>
      <c r="K585" s="16" t="s">
        <v>409</v>
      </c>
      <c r="L585" s="16" t="s">
        <v>137</v>
      </c>
      <c r="M585" s="16" t="s">
        <v>84</v>
      </c>
      <c r="N585" s="1" t="s">
        <v>191</v>
      </c>
      <c r="O585" s="1" t="s">
        <v>73</v>
      </c>
      <c r="P585" s="1" t="s">
        <v>73</v>
      </c>
      <c r="Q585" s="1" t="s">
        <v>130</v>
      </c>
      <c r="R585" s="1" t="s">
        <v>130</v>
      </c>
      <c r="S585" s="17">
        <v>0</v>
      </c>
      <c r="T585" s="17">
        <v>38450.620000000003</v>
      </c>
      <c r="U585" s="17">
        <v>0</v>
      </c>
      <c r="V585" s="17">
        <v>0</v>
      </c>
      <c r="W585" s="17">
        <v>481.28</v>
      </c>
      <c r="X585" s="17">
        <v>32104</v>
      </c>
      <c r="Y585" s="17">
        <v>3</v>
      </c>
      <c r="Z585" s="18" t="e">
        <f t="shared" si="180"/>
        <v>#DIV/0!</v>
      </c>
      <c r="AA585" s="19">
        <v>0.1</v>
      </c>
      <c r="AB585" s="17">
        <f t="shared" si="196"/>
        <v>3210.4</v>
      </c>
      <c r="AC585" s="34"/>
      <c r="AD585" s="34"/>
      <c r="AE585" s="17">
        <f t="shared" si="181"/>
        <v>3210.4</v>
      </c>
      <c r="AF585" s="17">
        <f t="shared" si="194"/>
        <v>513.66399999999999</v>
      </c>
      <c r="AG585" s="17">
        <f t="shared" si="188"/>
        <v>3724.0640000000003</v>
      </c>
      <c r="AH585" s="17">
        <f t="shared" si="193"/>
        <v>64.207999999999998</v>
      </c>
      <c r="AI585" s="27"/>
      <c r="AJ585" s="17">
        <f t="shared" si="182"/>
        <v>64.207999999999998</v>
      </c>
      <c r="AK585" s="20"/>
      <c r="AL585" s="17">
        <f t="shared" si="183"/>
        <v>3146.192</v>
      </c>
      <c r="AM585" s="17" t="s">
        <v>289</v>
      </c>
      <c r="AN585" s="21">
        <v>0.5</v>
      </c>
      <c r="AO585" s="17">
        <f t="shared" si="184"/>
        <v>1573.096</v>
      </c>
      <c r="AP585" s="17">
        <v>1573.096</v>
      </c>
      <c r="AQ585" s="16">
        <v>45086</v>
      </c>
      <c r="AR585" s="17">
        <f t="shared" si="191"/>
        <v>0</v>
      </c>
      <c r="AS585" s="17" t="s">
        <v>884</v>
      </c>
      <c r="AT585" s="17">
        <v>3724.0640000000003</v>
      </c>
      <c r="AU585" s="17">
        <f t="shared" si="195"/>
        <v>3724.0640000000003</v>
      </c>
      <c r="AV585" s="17">
        <f t="shared" si="185"/>
        <v>0</v>
      </c>
      <c r="AW585" s="17" t="str">
        <f t="shared" si="192"/>
        <v>SFA</v>
      </c>
      <c r="AX585" s="22">
        <v>44862</v>
      </c>
      <c r="AY585" s="22"/>
      <c r="AZ585" s="1"/>
      <c r="BA585" s="22" t="str">
        <f t="shared" si="197"/>
        <v>MOTOR TPL</v>
      </c>
      <c r="BB585" s="54"/>
      <c r="BC585" s="22"/>
      <c r="BD585" s="22"/>
    </row>
    <row r="586" spans="1:56" ht="14.25" customHeight="1" x14ac:dyDescent="0.2">
      <c r="A586" s="1" t="s">
        <v>773</v>
      </c>
      <c r="B586" s="1" t="s">
        <v>57</v>
      </c>
      <c r="C586" s="13">
        <v>44817</v>
      </c>
      <c r="D586" s="13">
        <v>44831</v>
      </c>
      <c r="E586" s="13">
        <v>44819</v>
      </c>
      <c r="F586" s="13">
        <v>44926</v>
      </c>
      <c r="G586" s="14" t="str">
        <f t="shared" si="179"/>
        <v>000-585/AIB RDC/2022</v>
      </c>
      <c r="H586" s="1">
        <v>2</v>
      </c>
      <c r="I586" s="1" t="s">
        <v>217</v>
      </c>
      <c r="J586" s="1" t="s">
        <v>914</v>
      </c>
      <c r="K586" s="1" t="s">
        <v>899</v>
      </c>
      <c r="L586" s="1" t="s">
        <v>366</v>
      </c>
      <c r="M586" s="16" t="s">
        <v>84</v>
      </c>
      <c r="N586" s="1" t="s">
        <v>85</v>
      </c>
      <c r="O586" s="1" t="s">
        <v>165</v>
      </c>
      <c r="P586" s="1" t="s">
        <v>166</v>
      </c>
      <c r="Q586" s="1" t="s">
        <v>130</v>
      </c>
      <c r="R586" s="1" t="s">
        <v>130</v>
      </c>
      <c r="S586" s="17">
        <v>1800000</v>
      </c>
      <c r="T586" s="17">
        <v>2087.5700000000002</v>
      </c>
      <c r="U586" s="17">
        <v>0</v>
      </c>
      <c r="V586" s="17">
        <v>0</v>
      </c>
      <c r="W586" s="17">
        <v>20</v>
      </c>
      <c r="X586" s="17">
        <v>1749.13</v>
      </c>
      <c r="Y586" s="17">
        <v>283.06</v>
      </c>
      <c r="Z586" s="18">
        <f t="shared" si="180"/>
        <v>1.1597611111111112E-3</v>
      </c>
      <c r="AA586" s="19">
        <v>0.15</v>
      </c>
      <c r="AB586" s="17">
        <f t="shared" si="196"/>
        <v>262.36950000000002</v>
      </c>
      <c r="AC586" s="34"/>
      <c r="AD586" s="34"/>
      <c r="AE586" s="17">
        <f t="shared" si="181"/>
        <v>262.36950000000002</v>
      </c>
      <c r="AF586" s="17">
        <f t="shared" ref="AF586:AF617" si="198">16%*AE586</f>
        <v>41.979120000000002</v>
      </c>
      <c r="AG586" s="17">
        <f t="shared" si="188"/>
        <v>304.34862000000004</v>
      </c>
      <c r="AH586" s="17">
        <f t="shared" si="193"/>
        <v>5.2473900000000002</v>
      </c>
      <c r="AI586" s="27"/>
      <c r="AJ586" s="17">
        <f t="shared" si="182"/>
        <v>5.2473900000000002</v>
      </c>
      <c r="AK586" s="20"/>
      <c r="AL586" s="17">
        <f t="shared" si="183"/>
        <v>257.12211000000002</v>
      </c>
      <c r="AM586" s="17"/>
      <c r="AN586" s="21"/>
      <c r="AO586" s="17">
        <f t="shared" si="184"/>
        <v>0</v>
      </c>
      <c r="AP586" s="27"/>
      <c r="AQ586" s="16"/>
      <c r="AR586" s="17">
        <f t="shared" si="191"/>
        <v>0</v>
      </c>
      <c r="AS586" s="17"/>
      <c r="AT586" s="17">
        <v>304.34862000000004</v>
      </c>
      <c r="AU586" s="17">
        <f t="shared" si="195"/>
        <v>304.34862000000004</v>
      </c>
      <c r="AV586" s="17">
        <f t="shared" si="185"/>
        <v>0</v>
      </c>
      <c r="AW586" s="17" t="str">
        <f t="shared" si="192"/>
        <v>SFA</v>
      </c>
      <c r="AX586" s="22">
        <v>44862</v>
      </c>
      <c r="AY586" s="22"/>
      <c r="AZ586" s="1" t="s">
        <v>367</v>
      </c>
      <c r="BA586" s="22" t="str">
        <f t="shared" si="197"/>
        <v>CAR</v>
      </c>
      <c r="BB586" s="54"/>
      <c r="BC586" s="22"/>
      <c r="BD586" s="22"/>
    </row>
    <row r="587" spans="1:56" ht="14.25" customHeight="1" x14ac:dyDescent="0.2">
      <c r="A587" s="1" t="s">
        <v>773</v>
      </c>
      <c r="B587" s="1" t="s">
        <v>57</v>
      </c>
      <c r="C587" s="13">
        <v>44795</v>
      </c>
      <c r="D587" s="13">
        <v>44844</v>
      </c>
      <c r="E587" s="13">
        <v>44812</v>
      </c>
      <c r="F587" s="13">
        <v>45176</v>
      </c>
      <c r="G587" s="14" t="str">
        <f t="shared" si="179"/>
        <v>000-586/AIB RDC/2022</v>
      </c>
      <c r="H587" s="1">
        <v>0</v>
      </c>
      <c r="I587" s="1" t="s">
        <v>74</v>
      </c>
      <c r="J587" s="24" t="s">
        <v>915</v>
      </c>
      <c r="K587" s="1" t="s">
        <v>916</v>
      </c>
      <c r="L587" s="16" t="s">
        <v>123</v>
      </c>
      <c r="M587" s="1" t="s">
        <v>84</v>
      </c>
      <c r="N587" s="1" t="s">
        <v>191</v>
      </c>
      <c r="O587" s="1" t="s">
        <v>73</v>
      </c>
      <c r="P587" s="1" t="s">
        <v>73</v>
      </c>
      <c r="Q587" s="1" t="s">
        <v>130</v>
      </c>
      <c r="R587" s="1" t="s">
        <v>130</v>
      </c>
      <c r="S587" s="17">
        <v>0</v>
      </c>
      <c r="T587" s="17">
        <v>14626.1</v>
      </c>
      <c r="U587" s="17">
        <v>0</v>
      </c>
      <c r="V587" s="17">
        <v>0</v>
      </c>
      <c r="W587" s="17">
        <v>183.05</v>
      </c>
      <c r="X587" s="17">
        <v>12211.95</v>
      </c>
      <c r="Y587" s="17">
        <v>1983.2</v>
      </c>
      <c r="Z587" s="18" t="e">
        <f t="shared" si="180"/>
        <v>#DIV/0!</v>
      </c>
      <c r="AA587" s="19">
        <v>0.1</v>
      </c>
      <c r="AB587" s="17">
        <f t="shared" si="196"/>
        <v>1221.1950000000002</v>
      </c>
      <c r="AC587" s="34">
        <v>0</v>
      </c>
      <c r="AD587" s="34">
        <v>0</v>
      </c>
      <c r="AE587" s="17">
        <f t="shared" si="181"/>
        <v>1221.1950000000002</v>
      </c>
      <c r="AF587" s="17">
        <f t="shared" si="198"/>
        <v>195.39120000000003</v>
      </c>
      <c r="AG587" s="17">
        <f t="shared" si="188"/>
        <v>1416.5862000000002</v>
      </c>
      <c r="AH587" s="17">
        <f t="shared" si="193"/>
        <v>24.423900000000003</v>
      </c>
      <c r="AI587" s="17">
        <v>0</v>
      </c>
      <c r="AJ587" s="17">
        <f t="shared" si="182"/>
        <v>24.423900000000003</v>
      </c>
      <c r="AK587" s="20"/>
      <c r="AL587" s="17">
        <f t="shared" si="183"/>
        <v>1196.7711000000002</v>
      </c>
      <c r="AM587" s="17" t="s">
        <v>289</v>
      </c>
      <c r="AN587" s="21">
        <v>0.5</v>
      </c>
      <c r="AO587" s="17">
        <f t="shared" si="184"/>
        <v>598.38555000000008</v>
      </c>
      <c r="AP587" s="17">
        <v>598.38555000000008</v>
      </c>
      <c r="AQ587" s="16">
        <v>45086</v>
      </c>
      <c r="AR587" s="17">
        <f t="shared" si="191"/>
        <v>0</v>
      </c>
      <c r="AS587" s="17" t="s">
        <v>884</v>
      </c>
      <c r="AT587" s="17">
        <v>1416.5862000000002</v>
      </c>
      <c r="AU587" s="17">
        <f t="shared" si="195"/>
        <v>1416.5862000000002</v>
      </c>
      <c r="AV587" s="17">
        <f t="shared" si="185"/>
        <v>0</v>
      </c>
      <c r="AW587" s="17" t="str">
        <f t="shared" si="192"/>
        <v>SFA</v>
      </c>
      <c r="AX587" s="22">
        <v>44911</v>
      </c>
      <c r="AY587" s="22"/>
      <c r="AZ587" s="1"/>
      <c r="BA587" s="22" t="str">
        <f t="shared" si="197"/>
        <v>MOTOR TPL</v>
      </c>
      <c r="BB587" s="54"/>
      <c r="BC587" s="22"/>
      <c r="BD587" s="22"/>
    </row>
    <row r="588" spans="1:56" ht="14.25" customHeight="1" x14ac:dyDescent="0.2">
      <c r="A588" s="1" t="s">
        <v>667</v>
      </c>
      <c r="B588" s="1" t="s">
        <v>57</v>
      </c>
      <c r="C588" s="13">
        <v>44830</v>
      </c>
      <c r="D588" s="13">
        <v>44844</v>
      </c>
      <c r="E588" s="13">
        <v>44844</v>
      </c>
      <c r="F588" s="13">
        <v>45035</v>
      </c>
      <c r="G588" s="14" t="str">
        <f t="shared" ref="G588:G651" si="199">TEXT(ROW(G588)-1,"000-000") &amp; "/AIB RDC/2022"</f>
        <v>000-587/AIB RDC/2022</v>
      </c>
      <c r="H588" s="1">
        <v>1</v>
      </c>
      <c r="I588" s="1" t="s">
        <v>91</v>
      </c>
      <c r="J588" s="1" t="s">
        <v>504</v>
      </c>
      <c r="K588" s="1" t="s">
        <v>321</v>
      </c>
      <c r="L588" s="16" t="s">
        <v>137</v>
      </c>
      <c r="M588" s="1" t="s">
        <v>84</v>
      </c>
      <c r="N588" s="1" t="s">
        <v>85</v>
      </c>
      <c r="O588" s="1" t="s">
        <v>152</v>
      </c>
      <c r="P588" s="1" t="s">
        <v>153</v>
      </c>
      <c r="Q588" s="1" t="s">
        <v>130</v>
      </c>
      <c r="R588" s="1" t="s">
        <v>130</v>
      </c>
      <c r="S588" s="17">
        <v>0</v>
      </c>
      <c r="T588" s="17">
        <v>2855.57</v>
      </c>
      <c r="U588" s="17">
        <v>0</v>
      </c>
      <c r="V588" s="17">
        <v>0</v>
      </c>
      <c r="W588" s="17">
        <v>35.68</v>
      </c>
      <c r="X588" s="17">
        <v>2384.31</v>
      </c>
      <c r="Y588" s="17">
        <v>387.19</v>
      </c>
      <c r="Z588" s="18" t="e">
        <f t="shared" ref="Z588:Z651" si="200">T588/S588</f>
        <v>#DIV/0!</v>
      </c>
      <c r="AA588" s="19">
        <v>0.15</v>
      </c>
      <c r="AB588" s="17">
        <f t="shared" si="196"/>
        <v>357.6465</v>
      </c>
      <c r="AC588" s="34">
        <v>0</v>
      </c>
      <c r="AD588" s="34">
        <v>0</v>
      </c>
      <c r="AE588" s="17">
        <f t="shared" ref="AE588:AE651" si="201">SUM(AB588:AD588)</f>
        <v>357.6465</v>
      </c>
      <c r="AF588" s="17">
        <f t="shared" si="198"/>
        <v>57.223440000000004</v>
      </c>
      <c r="AG588" s="17">
        <f t="shared" si="188"/>
        <v>414.86993999999999</v>
      </c>
      <c r="AH588" s="17">
        <f t="shared" si="193"/>
        <v>7.1529300000000005</v>
      </c>
      <c r="AI588" s="17">
        <v>0</v>
      </c>
      <c r="AJ588" s="17">
        <f t="shared" ref="AJ588:AJ651" si="202">AH588-AI588</f>
        <v>7.1529300000000005</v>
      </c>
      <c r="AK588" s="20"/>
      <c r="AL588" s="17">
        <f t="shared" ref="AL588:AL651" si="203">AE588-AH588</f>
        <v>350.49356999999998</v>
      </c>
      <c r="AM588" s="17" t="s">
        <v>289</v>
      </c>
      <c r="AN588" s="21">
        <v>0.5</v>
      </c>
      <c r="AO588" s="17">
        <f t="shared" ref="AO588:AO651" si="204">AL588*AN588</f>
        <v>175.24678499999999</v>
      </c>
      <c r="AP588" s="17">
        <v>175.24678499999999</v>
      </c>
      <c r="AQ588" s="16">
        <v>45086</v>
      </c>
      <c r="AR588" s="17">
        <f t="shared" si="191"/>
        <v>0</v>
      </c>
      <c r="AS588" s="17" t="s">
        <v>884</v>
      </c>
      <c r="AT588" s="17">
        <v>414.86993999999999</v>
      </c>
      <c r="AU588" s="17">
        <f t="shared" si="195"/>
        <v>414.86993999999999</v>
      </c>
      <c r="AV588" s="17">
        <f t="shared" ref="AV588:AV651" si="205">AU588-AT588</f>
        <v>0</v>
      </c>
      <c r="AW588" s="17" t="str">
        <f t="shared" si="192"/>
        <v>SFA</v>
      </c>
      <c r="AX588" s="22">
        <v>44887</v>
      </c>
      <c r="AY588" s="22"/>
      <c r="AZ588" s="1" t="s">
        <v>68</v>
      </c>
      <c r="BA588" s="22" t="str">
        <f t="shared" si="197"/>
        <v>COMP MOTOR</v>
      </c>
      <c r="BB588" s="54"/>
      <c r="BC588" s="22"/>
      <c r="BD588" s="22"/>
    </row>
    <row r="589" spans="1:56" ht="14.25" customHeight="1" x14ac:dyDescent="0.2">
      <c r="A589" s="1" t="s">
        <v>439</v>
      </c>
      <c r="B589" s="1" t="s">
        <v>57</v>
      </c>
      <c r="C589" s="13">
        <v>44844</v>
      </c>
      <c r="D589" s="13">
        <v>44805</v>
      </c>
      <c r="E589" s="13">
        <v>44803</v>
      </c>
      <c r="F589" s="13">
        <v>44805</v>
      </c>
      <c r="G589" s="14" t="str">
        <f t="shared" si="199"/>
        <v>000-588/AIB RDC/2022</v>
      </c>
      <c r="H589" s="1">
        <v>0</v>
      </c>
      <c r="I589" s="1" t="s">
        <v>74</v>
      </c>
      <c r="J589" s="24" t="s">
        <v>917</v>
      </c>
      <c r="K589" s="1" t="s">
        <v>228</v>
      </c>
      <c r="L589" s="16"/>
      <c r="M589" s="1" t="s">
        <v>105</v>
      </c>
      <c r="N589" s="1" t="s">
        <v>106</v>
      </c>
      <c r="O589" s="1" t="s">
        <v>64</v>
      </c>
      <c r="P589" s="1" t="s">
        <v>65</v>
      </c>
      <c r="Q589" s="1" t="s">
        <v>130</v>
      </c>
      <c r="R589" s="1" t="s">
        <v>130</v>
      </c>
      <c r="S589" s="17">
        <v>12186.47</v>
      </c>
      <c r="T589" s="17">
        <v>224.2</v>
      </c>
      <c r="U589" s="17">
        <v>0</v>
      </c>
      <c r="V589" s="17">
        <v>0</v>
      </c>
      <c r="W589" s="17">
        <v>20</v>
      </c>
      <c r="X589" s="17">
        <v>170</v>
      </c>
      <c r="Y589" s="17">
        <v>30.4</v>
      </c>
      <c r="Z589" s="18">
        <f t="shared" si="200"/>
        <v>1.8397452256477882E-2</v>
      </c>
      <c r="AA589" s="19">
        <v>0.15</v>
      </c>
      <c r="AB589" s="17">
        <f t="shared" si="196"/>
        <v>25.5</v>
      </c>
      <c r="AC589" s="34">
        <v>0</v>
      </c>
      <c r="AD589" s="34">
        <v>0</v>
      </c>
      <c r="AE589" s="17">
        <f t="shared" si="201"/>
        <v>25.5</v>
      </c>
      <c r="AF589" s="17">
        <f t="shared" si="198"/>
        <v>4.08</v>
      </c>
      <c r="AG589" s="17">
        <f t="shared" si="188"/>
        <v>29.58</v>
      </c>
      <c r="AH589" s="17">
        <f t="shared" si="193"/>
        <v>0.51</v>
      </c>
      <c r="AI589" s="27"/>
      <c r="AJ589" s="17">
        <f t="shared" si="202"/>
        <v>0.51</v>
      </c>
      <c r="AK589" s="20"/>
      <c r="AL589" s="17">
        <f t="shared" si="203"/>
        <v>24.99</v>
      </c>
      <c r="AM589" s="17" t="s">
        <v>108</v>
      </c>
      <c r="AN589" s="21">
        <v>0.4</v>
      </c>
      <c r="AO589" s="17">
        <f t="shared" si="204"/>
        <v>9.9960000000000004</v>
      </c>
      <c r="AP589" s="30">
        <v>9.9960000000000004</v>
      </c>
      <c r="AQ589" s="29">
        <v>45229</v>
      </c>
      <c r="AR589" s="17">
        <f t="shared" si="191"/>
        <v>0</v>
      </c>
      <c r="AS589" s="17"/>
      <c r="AT589" s="17">
        <v>29.58</v>
      </c>
      <c r="AU589" s="17">
        <f t="shared" si="195"/>
        <v>29.58</v>
      </c>
      <c r="AV589" s="17">
        <f t="shared" si="205"/>
        <v>0</v>
      </c>
      <c r="AW589" s="17" t="str">
        <f t="shared" si="192"/>
        <v>SFA</v>
      </c>
      <c r="AX589" s="22">
        <v>44862</v>
      </c>
      <c r="AY589" s="22"/>
      <c r="AZ589" s="1" t="s">
        <v>110</v>
      </c>
      <c r="BA589" s="22" t="str">
        <f t="shared" si="197"/>
        <v>MARINE CARGO / GIT</v>
      </c>
      <c r="BB589" s="54"/>
      <c r="BC589" s="22"/>
      <c r="BD589" s="22"/>
    </row>
    <row r="590" spans="1:56" ht="14.25" customHeight="1" x14ac:dyDescent="0.2">
      <c r="A590" s="1" t="s">
        <v>439</v>
      </c>
      <c r="B590" s="1" t="s">
        <v>57</v>
      </c>
      <c r="C590" s="13">
        <v>44844</v>
      </c>
      <c r="D590" s="13">
        <v>44825</v>
      </c>
      <c r="E590" s="13">
        <v>44795</v>
      </c>
      <c r="F590" s="13">
        <v>44982</v>
      </c>
      <c r="G590" s="14" t="str">
        <f t="shared" si="199"/>
        <v>000-589/AIB RDC/2022</v>
      </c>
      <c r="H590" s="1">
        <v>2</v>
      </c>
      <c r="I590" s="1" t="s">
        <v>91</v>
      </c>
      <c r="J590" s="1" t="s">
        <v>354</v>
      </c>
      <c r="K590" s="1" t="s">
        <v>355</v>
      </c>
      <c r="L590" s="16" t="s">
        <v>137</v>
      </c>
      <c r="M590" s="1" t="s">
        <v>84</v>
      </c>
      <c r="N590" s="1" t="s">
        <v>586</v>
      </c>
      <c r="O590" s="16" t="s">
        <v>73</v>
      </c>
      <c r="P590" s="16" t="s">
        <v>73</v>
      </c>
      <c r="Q590" s="16" t="s">
        <v>130</v>
      </c>
      <c r="R590" s="16" t="s">
        <v>130</v>
      </c>
      <c r="S590" s="17">
        <v>0</v>
      </c>
      <c r="T590" s="17">
        <v>2243.41</v>
      </c>
      <c r="U590" s="17">
        <v>0</v>
      </c>
      <c r="V590" s="17">
        <v>0</v>
      </c>
      <c r="W590" s="17">
        <v>28.06</v>
      </c>
      <c r="X590" s="17">
        <v>1873.14</v>
      </c>
      <c r="Y590" s="17">
        <v>304.19</v>
      </c>
      <c r="Z590" s="18" t="e">
        <f t="shared" si="200"/>
        <v>#DIV/0!</v>
      </c>
      <c r="AA590" s="19">
        <v>0.1</v>
      </c>
      <c r="AB590" s="17">
        <f t="shared" si="196"/>
        <v>187.31400000000002</v>
      </c>
      <c r="AC590" s="17">
        <v>0</v>
      </c>
      <c r="AD590" s="17">
        <v>0</v>
      </c>
      <c r="AE590" s="17">
        <f t="shared" si="201"/>
        <v>187.31400000000002</v>
      </c>
      <c r="AF590" s="17">
        <f t="shared" si="198"/>
        <v>29.970240000000004</v>
      </c>
      <c r="AG590" s="17">
        <f t="shared" si="188"/>
        <v>217.28424000000001</v>
      </c>
      <c r="AH590" s="17">
        <f t="shared" si="193"/>
        <v>3.7462800000000005</v>
      </c>
      <c r="AI590" s="17">
        <v>0</v>
      </c>
      <c r="AJ590" s="17">
        <f t="shared" si="202"/>
        <v>3.7462800000000005</v>
      </c>
      <c r="AK590" s="20"/>
      <c r="AL590" s="17">
        <f t="shared" si="203"/>
        <v>183.56772000000001</v>
      </c>
      <c r="AM590" s="17"/>
      <c r="AN590" s="21"/>
      <c r="AO590" s="17">
        <f t="shared" si="204"/>
        <v>0</v>
      </c>
      <c r="AP590" s="27"/>
      <c r="AQ590" s="16"/>
      <c r="AR590" s="17">
        <f t="shared" si="191"/>
        <v>0</v>
      </c>
      <c r="AS590" s="17"/>
      <c r="AT590" s="17">
        <v>217.28424000000001</v>
      </c>
      <c r="AU590" s="17">
        <f t="shared" si="195"/>
        <v>217.28424000000001</v>
      </c>
      <c r="AV590" s="17">
        <f t="shared" si="205"/>
        <v>0</v>
      </c>
      <c r="AW590" s="17" t="str">
        <f t="shared" si="192"/>
        <v>SFA</v>
      </c>
      <c r="AX590" s="22">
        <v>44862</v>
      </c>
      <c r="AY590" s="22"/>
      <c r="AZ590" s="1" t="s">
        <v>68</v>
      </c>
      <c r="BA590" s="22" t="str">
        <f t="shared" si="197"/>
        <v>MOTOR TPL</v>
      </c>
      <c r="BB590" s="54"/>
      <c r="BC590" s="22"/>
      <c r="BD590" s="22"/>
    </row>
    <row r="591" spans="1:56" ht="14.25" customHeight="1" x14ac:dyDescent="0.2">
      <c r="A591" s="1" t="s">
        <v>439</v>
      </c>
      <c r="B591" s="1" t="s">
        <v>57</v>
      </c>
      <c r="C591" s="13">
        <v>44844</v>
      </c>
      <c r="D591" s="13">
        <v>44797</v>
      </c>
      <c r="E591" s="13">
        <v>44774</v>
      </c>
      <c r="F591" s="13">
        <v>44925</v>
      </c>
      <c r="G591" s="14" t="str">
        <f t="shared" si="199"/>
        <v>000-590/AIB RDC/2022</v>
      </c>
      <c r="H591" s="1">
        <v>4</v>
      </c>
      <c r="I591" s="1" t="s">
        <v>217</v>
      </c>
      <c r="J591" s="1" t="s">
        <v>520</v>
      </c>
      <c r="K591" s="1" t="s">
        <v>723</v>
      </c>
      <c r="L591" s="1" t="s">
        <v>366</v>
      </c>
      <c r="M591" s="1" t="s">
        <v>84</v>
      </c>
      <c r="N591" s="1" t="s">
        <v>191</v>
      </c>
      <c r="O591" s="1" t="s">
        <v>281</v>
      </c>
      <c r="P591" s="1" t="s">
        <v>166</v>
      </c>
      <c r="Q591" s="1" t="s">
        <v>130</v>
      </c>
      <c r="R591" s="1" t="s">
        <v>130</v>
      </c>
      <c r="S591" s="17">
        <v>0</v>
      </c>
      <c r="T591" s="17">
        <v>4348.79</v>
      </c>
      <c r="U591" s="17">
        <v>0</v>
      </c>
      <c r="V591" s="17">
        <v>0</v>
      </c>
      <c r="W591" s="17">
        <v>28.29</v>
      </c>
      <c r="X591" s="17">
        <v>3657.12</v>
      </c>
      <c r="Y591" s="17">
        <v>589.66999999999996</v>
      </c>
      <c r="Z591" s="18" t="e">
        <f t="shared" si="200"/>
        <v>#DIV/0!</v>
      </c>
      <c r="AA591" s="19">
        <v>0.15</v>
      </c>
      <c r="AB591" s="17">
        <f t="shared" si="196"/>
        <v>548.56799999999998</v>
      </c>
      <c r="AC591" s="17">
        <v>0</v>
      </c>
      <c r="AD591" s="17">
        <v>0</v>
      </c>
      <c r="AE591" s="17">
        <f t="shared" si="201"/>
        <v>548.56799999999998</v>
      </c>
      <c r="AF591" s="17">
        <f t="shared" si="198"/>
        <v>87.770880000000005</v>
      </c>
      <c r="AG591" s="17">
        <f t="shared" si="188"/>
        <v>636.33888000000002</v>
      </c>
      <c r="AH591" s="17">
        <f t="shared" si="193"/>
        <v>10.971360000000001</v>
      </c>
      <c r="AI591" s="27"/>
      <c r="AJ591" s="17">
        <f t="shared" si="202"/>
        <v>10.971360000000001</v>
      </c>
      <c r="AK591" s="20"/>
      <c r="AL591" s="17">
        <f t="shared" si="203"/>
        <v>537.59663999999998</v>
      </c>
      <c r="AM591" s="17"/>
      <c r="AN591" s="21"/>
      <c r="AO591" s="17">
        <f t="shared" si="204"/>
        <v>0</v>
      </c>
      <c r="AP591" s="27"/>
      <c r="AQ591" s="16"/>
      <c r="AR591" s="17">
        <f t="shared" si="191"/>
        <v>0</v>
      </c>
      <c r="AS591" s="17"/>
      <c r="AT591" s="17">
        <v>636.33888000000002</v>
      </c>
      <c r="AU591" s="17">
        <f t="shared" si="195"/>
        <v>636.33888000000002</v>
      </c>
      <c r="AV591" s="17">
        <f t="shared" si="205"/>
        <v>0</v>
      </c>
      <c r="AW591" s="17" t="str">
        <f t="shared" si="192"/>
        <v>SFA</v>
      </c>
      <c r="AX591" s="22">
        <v>44862</v>
      </c>
      <c r="AY591" s="22"/>
      <c r="AZ591" s="1" t="s">
        <v>367</v>
      </c>
      <c r="BA591" s="22" t="str">
        <f t="shared" si="197"/>
        <v>TRC</v>
      </c>
      <c r="BB591" s="54"/>
      <c r="BC591" s="22"/>
      <c r="BD591" s="22"/>
    </row>
    <row r="592" spans="1:56" ht="14.25" customHeight="1" x14ac:dyDescent="0.2">
      <c r="A592" s="1" t="s">
        <v>578</v>
      </c>
      <c r="B592" s="1" t="s">
        <v>57</v>
      </c>
      <c r="C592" s="13">
        <v>44844</v>
      </c>
      <c r="D592" s="13">
        <v>44818</v>
      </c>
      <c r="E592" s="13">
        <v>44713</v>
      </c>
      <c r="F592" s="13">
        <v>44834</v>
      </c>
      <c r="G592" s="14" t="str">
        <f t="shared" si="199"/>
        <v>000-591/AIB RDC/2022</v>
      </c>
      <c r="H592" s="1">
        <v>0</v>
      </c>
      <c r="I592" s="1" t="s">
        <v>74</v>
      </c>
      <c r="J592" s="24" t="s">
        <v>918</v>
      </c>
      <c r="K592" s="16" t="s">
        <v>455</v>
      </c>
      <c r="L592" s="16" t="s">
        <v>137</v>
      </c>
      <c r="M592" s="1" t="s">
        <v>84</v>
      </c>
      <c r="N592" s="1" t="s">
        <v>85</v>
      </c>
      <c r="O592" s="1" t="s">
        <v>97</v>
      </c>
      <c r="P592" s="1" t="s">
        <v>98</v>
      </c>
      <c r="Q592" s="1" t="s">
        <v>130</v>
      </c>
      <c r="R592" s="1" t="s">
        <v>130</v>
      </c>
      <c r="S592" s="17">
        <v>0</v>
      </c>
      <c r="T592" s="17">
        <v>18385.009999999998</v>
      </c>
      <c r="U592" s="17">
        <v>2703.68</v>
      </c>
      <c r="V592" s="17">
        <v>0</v>
      </c>
      <c r="W592" s="17">
        <v>0</v>
      </c>
      <c r="X592" s="17">
        <v>15320.84</v>
      </c>
      <c r="Y592" s="17">
        <v>0</v>
      </c>
      <c r="Z592" s="18" t="e">
        <f t="shared" si="200"/>
        <v>#DIV/0!</v>
      </c>
      <c r="AA592" s="19">
        <v>5.29409614616431E-2</v>
      </c>
      <c r="AB592" s="17">
        <f t="shared" si="196"/>
        <v>811.10000000000014</v>
      </c>
      <c r="AC592" s="17">
        <v>0</v>
      </c>
      <c r="AD592" s="17">
        <v>0</v>
      </c>
      <c r="AE592" s="17">
        <f t="shared" si="201"/>
        <v>811.10000000000014</v>
      </c>
      <c r="AF592" s="17">
        <f t="shared" si="198"/>
        <v>129.77600000000001</v>
      </c>
      <c r="AG592" s="17">
        <f t="shared" si="188"/>
        <v>940.8760000000002</v>
      </c>
      <c r="AH592" s="17">
        <f t="shared" si="193"/>
        <v>16.222000000000001</v>
      </c>
      <c r="AI592" s="27"/>
      <c r="AJ592" s="17">
        <f t="shared" si="202"/>
        <v>16.222000000000001</v>
      </c>
      <c r="AK592" s="20"/>
      <c r="AL592" s="17">
        <f t="shared" si="203"/>
        <v>794.87800000000016</v>
      </c>
      <c r="AM592" s="17"/>
      <c r="AN592" s="21"/>
      <c r="AO592" s="17">
        <f t="shared" si="204"/>
        <v>0</v>
      </c>
      <c r="AP592" s="27"/>
      <c r="AQ592" s="16"/>
      <c r="AR592" s="17">
        <f t="shared" si="191"/>
        <v>0</v>
      </c>
      <c r="AS592" s="17"/>
      <c r="AT592" s="17">
        <v>940.8760000000002</v>
      </c>
      <c r="AU592" s="17">
        <f t="shared" ref="AU592:AU610" si="206">AG592</f>
        <v>940.8760000000002</v>
      </c>
      <c r="AV592" s="17">
        <f t="shared" si="205"/>
        <v>0</v>
      </c>
      <c r="AW592" s="17" t="str">
        <f t="shared" si="192"/>
        <v>SFA</v>
      </c>
      <c r="AX592" s="22">
        <v>44862</v>
      </c>
      <c r="AY592" s="22"/>
      <c r="AZ592" s="1" t="s">
        <v>100</v>
      </c>
      <c r="BA592" s="22" t="str">
        <f t="shared" si="197"/>
        <v>MEDICAL</v>
      </c>
      <c r="BB592" s="54"/>
      <c r="BC592" s="22"/>
      <c r="BD592" s="22"/>
    </row>
    <row r="593" spans="1:56" ht="14.25" customHeight="1" x14ac:dyDescent="0.2">
      <c r="A593" s="1" t="s">
        <v>773</v>
      </c>
      <c r="B593" s="1" t="s">
        <v>57</v>
      </c>
      <c r="C593" s="13">
        <v>44844</v>
      </c>
      <c r="D593" s="13">
        <v>44811</v>
      </c>
      <c r="E593" s="13">
        <v>44812</v>
      </c>
      <c r="F593" s="13">
        <v>45176</v>
      </c>
      <c r="G593" s="14" t="str">
        <f t="shared" si="199"/>
        <v>000-592/AIB RDC/2022</v>
      </c>
      <c r="H593" s="1">
        <v>2</v>
      </c>
      <c r="I593" s="1" t="s">
        <v>58</v>
      </c>
      <c r="J593" s="24" t="s">
        <v>919</v>
      </c>
      <c r="K593" s="1" t="s">
        <v>920</v>
      </c>
      <c r="L593" s="16"/>
      <c r="M593" s="1" t="s">
        <v>84</v>
      </c>
      <c r="N593" s="1" t="s">
        <v>85</v>
      </c>
      <c r="O593" s="1" t="s">
        <v>73</v>
      </c>
      <c r="P593" s="1" t="s">
        <v>73</v>
      </c>
      <c r="Q593" s="1" t="s">
        <v>130</v>
      </c>
      <c r="R593" s="1" t="s">
        <v>130</v>
      </c>
      <c r="S593" s="17">
        <v>0</v>
      </c>
      <c r="T593" s="17">
        <v>12305.9</v>
      </c>
      <c r="U593" s="17">
        <v>0</v>
      </c>
      <c r="V593" s="17">
        <v>0</v>
      </c>
      <c r="W593" s="17">
        <v>153.94</v>
      </c>
      <c r="X593" s="17">
        <v>10274.799999999999</v>
      </c>
      <c r="Y593" s="17">
        <v>1668.59</v>
      </c>
      <c r="Z593" s="18" t="e">
        <f t="shared" si="200"/>
        <v>#DIV/0!</v>
      </c>
      <c r="AA593" s="19">
        <v>0.1</v>
      </c>
      <c r="AB593" s="17">
        <f t="shared" si="196"/>
        <v>1027.48</v>
      </c>
      <c r="AC593" s="17">
        <v>0</v>
      </c>
      <c r="AD593" s="17">
        <v>0</v>
      </c>
      <c r="AE593" s="17">
        <f t="shared" si="201"/>
        <v>1027.48</v>
      </c>
      <c r="AF593" s="17">
        <f t="shared" si="198"/>
        <v>164.39680000000001</v>
      </c>
      <c r="AG593" s="17">
        <f t="shared" si="188"/>
        <v>1191.8768</v>
      </c>
      <c r="AH593" s="17">
        <f t="shared" si="193"/>
        <v>20.549600000000002</v>
      </c>
      <c r="AI593" s="27"/>
      <c r="AJ593" s="17">
        <f t="shared" si="202"/>
        <v>20.549600000000002</v>
      </c>
      <c r="AK593" s="20"/>
      <c r="AL593" s="17">
        <f t="shared" si="203"/>
        <v>1006.9304</v>
      </c>
      <c r="AM593" s="17" t="s">
        <v>289</v>
      </c>
      <c r="AN593" s="21">
        <v>0.5</v>
      </c>
      <c r="AO593" s="17">
        <f t="shared" si="204"/>
        <v>503.46519999999998</v>
      </c>
      <c r="AP593" s="17">
        <v>503.46519999999998</v>
      </c>
      <c r="AQ593" s="16">
        <v>45086</v>
      </c>
      <c r="AR593" s="17">
        <f t="shared" si="191"/>
        <v>0</v>
      </c>
      <c r="AS593" s="17" t="s">
        <v>884</v>
      </c>
      <c r="AT593" s="17">
        <v>1191.8768</v>
      </c>
      <c r="AU593" s="17">
        <f t="shared" si="206"/>
        <v>1191.8768</v>
      </c>
      <c r="AV593" s="17">
        <f t="shared" si="205"/>
        <v>0</v>
      </c>
      <c r="AW593" s="17" t="str">
        <f t="shared" si="192"/>
        <v>SFA</v>
      </c>
      <c r="AX593" s="22">
        <v>44862</v>
      </c>
      <c r="AY593" s="22"/>
      <c r="AZ593" s="1"/>
      <c r="BA593" s="22" t="str">
        <f t="shared" si="197"/>
        <v>MOTOR TPL</v>
      </c>
      <c r="BB593" s="54"/>
      <c r="BC593" s="22"/>
      <c r="BD593" s="22"/>
    </row>
    <row r="594" spans="1:56" ht="14.25" customHeight="1" x14ac:dyDescent="0.2">
      <c r="A594" s="1" t="s">
        <v>773</v>
      </c>
      <c r="B594" s="1" t="s">
        <v>57</v>
      </c>
      <c r="C594" s="13">
        <v>44844</v>
      </c>
      <c r="D594" s="13">
        <v>44813</v>
      </c>
      <c r="E594" s="13">
        <v>44813</v>
      </c>
      <c r="F594" s="13">
        <v>45177</v>
      </c>
      <c r="G594" s="14" t="str">
        <f t="shared" si="199"/>
        <v>000-593/AIB RDC/2022</v>
      </c>
      <c r="H594" s="1">
        <v>0</v>
      </c>
      <c r="I594" s="1" t="s">
        <v>74</v>
      </c>
      <c r="J594" s="53" t="s">
        <v>921</v>
      </c>
      <c r="K594" s="1" t="s">
        <v>777</v>
      </c>
      <c r="L594" s="16"/>
      <c r="M594" s="1" t="s">
        <v>105</v>
      </c>
      <c r="N594" s="1" t="s">
        <v>541</v>
      </c>
      <c r="O594" s="1" t="s">
        <v>73</v>
      </c>
      <c r="P594" s="1" t="s">
        <v>73</v>
      </c>
      <c r="Q594" s="1" t="s">
        <v>130</v>
      </c>
      <c r="R594" s="1" t="s">
        <v>130</v>
      </c>
      <c r="S594" s="17">
        <v>0</v>
      </c>
      <c r="T594" s="17">
        <v>768.92</v>
      </c>
      <c r="U594" s="17">
        <v>0</v>
      </c>
      <c r="V594" s="17">
        <v>0</v>
      </c>
      <c r="W594" s="17">
        <v>9.6300000000000008</v>
      </c>
      <c r="X594" s="17">
        <v>642</v>
      </c>
      <c r="Y594" s="17">
        <v>104.26</v>
      </c>
      <c r="Z594" s="18" t="e">
        <f t="shared" si="200"/>
        <v>#DIV/0!</v>
      </c>
      <c r="AA594" s="19">
        <v>0.1</v>
      </c>
      <c r="AB594" s="17">
        <f t="shared" si="196"/>
        <v>64.2</v>
      </c>
      <c r="AC594" s="17">
        <v>0</v>
      </c>
      <c r="AD594" s="17">
        <v>0</v>
      </c>
      <c r="AE594" s="17">
        <f t="shared" si="201"/>
        <v>64.2</v>
      </c>
      <c r="AF594" s="17">
        <f t="shared" si="198"/>
        <v>10.272</v>
      </c>
      <c r="AG594" s="17">
        <f t="shared" si="188"/>
        <v>74.472000000000008</v>
      </c>
      <c r="AH594" s="17">
        <f t="shared" si="193"/>
        <v>1.284</v>
      </c>
      <c r="AI594" s="17">
        <v>0</v>
      </c>
      <c r="AJ594" s="17">
        <f t="shared" si="202"/>
        <v>1.284</v>
      </c>
      <c r="AK594" s="20"/>
      <c r="AL594" s="17">
        <f t="shared" si="203"/>
        <v>62.916000000000004</v>
      </c>
      <c r="AM594" s="17" t="s">
        <v>80</v>
      </c>
      <c r="AN594" s="21">
        <v>0</v>
      </c>
      <c r="AO594" s="23">
        <f t="shared" si="204"/>
        <v>0</v>
      </c>
      <c r="AP594" s="27"/>
      <c r="AQ594" s="16"/>
      <c r="AR594" s="17">
        <f t="shared" si="191"/>
        <v>0</v>
      </c>
      <c r="AS594" s="17"/>
      <c r="AT594" s="17">
        <v>74.472000000000008</v>
      </c>
      <c r="AU594" s="17">
        <f t="shared" si="206"/>
        <v>74.472000000000008</v>
      </c>
      <c r="AV594" s="17">
        <f t="shared" si="205"/>
        <v>0</v>
      </c>
      <c r="AW594" s="17" t="str">
        <f t="shared" si="192"/>
        <v>SFA</v>
      </c>
      <c r="AX594" s="22">
        <v>44862</v>
      </c>
      <c r="AY594" s="22"/>
      <c r="AZ594" s="1"/>
      <c r="BA594" s="22" t="str">
        <f t="shared" si="197"/>
        <v>MOTOR TPL</v>
      </c>
      <c r="BB594" s="54"/>
      <c r="BC594" s="22"/>
      <c r="BD594" s="22"/>
    </row>
    <row r="595" spans="1:56" ht="14.25" customHeight="1" x14ac:dyDescent="0.2">
      <c r="A595" s="1" t="s">
        <v>773</v>
      </c>
      <c r="B595" s="1" t="s">
        <v>57</v>
      </c>
      <c r="C595" s="13">
        <v>44844</v>
      </c>
      <c r="D595" s="13">
        <v>44816</v>
      </c>
      <c r="E595" s="13">
        <v>44813</v>
      </c>
      <c r="F595" s="13">
        <v>45177</v>
      </c>
      <c r="G595" s="14" t="str">
        <f t="shared" si="199"/>
        <v>000-594/AIB RDC/2022</v>
      </c>
      <c r="H595" s="1">
        <v>1</v>
      </c>
      <c r="I595" s="1" t="s">
        <v>58</v>
      </c>
      <c r="J595" s="53" t="s">
        <v>922</v>
      </c>
      <c r="K595" s="1" t="s">
        <v>777</v>
      </c>
      <c r="L595" s="16"/>
      <c r="M595" s="1" t="s">
        <v>105</v>
      </c>
      <c r="N595" s="1" t="s">
        <v>541</v>
      </c>
      <c r="O595" s="1" t="s">
        <v>192</v>
      </c>
      <c r="P595" s="1" t="s">
        <v>98</v>
      </c>
      <c r="Q595" s="1" t="s">
        <v>130</v>
      </c>
      <c r="R595" s="1" t="s">
        <v>130</v>
      </c>
      <c r="S595" s="17">
        <v>0</v>
      </c>
      <c r="T595" s="17">
        <v>1343.61</v>
      </c>
      <c r="U595" s="17">
        <v>0</v>
      </c>
      <c r="V595" s="17">
        <v>0</v>
      </c>
      <c r="W595" s="17">
        <v>174.76</v>
      </c>
      <c r="X595" s="17">
        <v>963.9</v>
      </c>
      <c r="Y595" s="17">
        <v>182.18</v>
      </c>
      <c r="Z595" s="18" t="e">
        <f t="shared" si="200"/>
        <v>#DIV/0!</v>
      </c>
      <c r="AA595" s="19">
        <v>0.1</v>
      </c>
      <c r="AB595" s="17">
        <f t="shared" si="196"/>
        <v>96.39</v>
      </c>
      <c r="AC595" s="17">
        <v>0</v>
      </c>
      <c r="AD595" s="17">
        <v>0</v>
      </c>
      <c r="AE595" s="17">
        <f t="shared" si="201"/>
        <v>96.39</v>
      </c>
      <c r="AF595" s="17">
        <f t="shared" si="198"/>
        <v>15.4224</v>
      </c>
      <c r="AG595" s="17">
        <f t="shared" si="188"/>
        <v>111.8124</v>
      </c>
      <c r="AH595" s="17">
        <f t="shared" si="193"/>
        <v>1.9278</v>
      </c>
      <c r="AI595" s="17">
        <v>0</v>
      </c>
      <c r="AJ595" s="17">
        <f t="shared" si="202"/>
        <v>1.9278</v>
      </c>
      <c r="AK595" s="20"/>
      <c r="AL595" s="17">
        <f t="shared" si="203"/>
        <v>94.462199999999996</v>
      </c>
      <c r="AM595" s="17" t="s">
        <v>80</v>
      </c>
      <c r="AN595" s="21">
        <v>0</v>
      </c>
      <c r="AO595" s="23">
        <f t="shared" si="204"/>
        <v>0</v>
      </c>
      <c r="AP595" s="27"/>
      <c r="AQ595" s="16"/>
      <c r="AR595" s="17">
        <f t="shared" si="191"/>
        <v>0</v>
      </c>
      <c r="AS595" s="17"/>
      <c r="AT595" s="17">
        <v>111.8124</v>
      </c>
      <c r="AU595" s="17">
        <f t="shared" si="206"/>
        <v>111.8124</v>
      </c>
      <c r="AV595" s="17">
        <f t="shared" si="205"/>
        <v>0</v>
      </c>
      <c r="AW595" s="17" t="str">
        <f t="shared" si="192"/>
        <v>SFA</v>
      </c>
      <c r="AX595" s="22">
        <v>44862</v>
      </c>
      <c r="AY595" s="22"/>
      <c r="AZ595" s="1"/>
      <c r="BA595" s="22" t="str">
        <f t="shared" si="197"/>
        <v>GPA</v>
      </c>
      <c r="BB595" s="54"/>
      <c r="BC595" s="22"/>
      <c r="BD595" s="22"/>
    </row>
    <row r="596" spans="1:56" ht="14.25" customHeight="1" x14ac:dyDescent="0.2">
      <c r="A596" s="1" t="s">
        <v>773</v>
      </c>
      <c r="B596" s="1" t="s">
        <v>57</v>
      </c>
      <c r="C596" s="13">
        <v>44783</v>
      </c>
      <c r="D596" s="13">
        <v>44821</v>
      </c>
      <c r="E596" s="13">
        <v>44805</v>
      </c>
      <c r="F596" s="13">
        <v>45169</v>
      </c>
      <c r="G596" s="14" t="str">
        <f t="shared" si="199"/>
        <v>000-595/AIB RDC/2022</v>
      </c>
      <c r="H596" s="1">
        <v>1</v>
      </c>
      <c r="I596" s="1" t="s">
        <v>58</v>
      </c>
      <c r="J596" s="1" t="s">
        <v>923</v>
      </c>
      <c r="K596" s="1" t="s">
        <v>783</v>
      </c>
      <c r="L596" s="1" t="s">
        <v>214</v>
      </c>
      <c r="M596" s="16" t="s">
        <v>84</v>
      </c>
      <c r="N596" s="1" t="s">
        <v>85</v>
      </c>
      <c r="O596" s="1" t="s">
        <v>89</v>
      </c>
      <c r="P596" s="1" t="s">
        <v>90</v>
      </c>
      <c r="Q596" s="1" t="s">
        <v>107</v>
      </c>
      <c r="R596" s="1" t="s">
        <v>780</v>
      </c>
      <c r="S596" s="17">
        <v>0</v>
      </c>
      <c r="T596" s="17">
        <v>124941.18</v>
      </c>
      <c r="U596" s="17">
        <v>15882.35</v>
      </c>
      <c r="V596" s="17">
        <v>-7411.76</v>
      </c>
      <c r="W596" s="17">
        <v>0</v>
      </c>
      <c r="X596" s="17">
        <v>90000</v>
      </c>
      <c r="Y596" s="17">
        <v>16941.18</v>
      </c>
      <c r="Z596" s="18" t="e">
        <f t="shared" si="200"/>
        <v>#DIV/0!</v>
      </c>
      <c r="AA596" s="19">
        <v>0</v>
      </c>
      <c r="AB596" s="17">
        <f t="shared" si="196"/>
        <v>0</v>
      </c>
      <c r="AC596" s="17">
        <f>(U596+V596)*30%</f>
        <v>2541.1770000000001</v>
      </c>
      <c r="AD596" s="17">
        <v>0</v>
      </c>
      <c r="AE596" s="17">
        <f t="shared" si="201"/>
        <v>2541.1770000000001</v>
      </c>
      <c r="AF596" s="17">
        <f t="shared" si="198"/>
        <v>406.58832000000001</v>
      </c>
      <c r="AG596" s="17">
        <f t="shared" si="188"/>
        <v>2947.76532</v>
      </c>
      <c r="AH596" s="17">
        <f t="shared" si="193"/>
        <v>50.823540000000001</v>
      </c>
      <c r="AI596" s="27"/>
      <c r="AJ596" s="17">
        <f t="shared" si="202"/>
        <v>50.823540000000001</v>
      </c>
      <c r="AK596" s="20"/>
      <c r="AL596" s="17">
        <f t="shared" si="203"/>
        <v>2490.3534600000003</v>
      </c>
      <c r="AM596" s="17"/>
      <c r="AN596" s="21"/>
      <c r="AO596" s="17">
        <f t="shared" si="204"/>
        <v>0</v>
      </c>
      <c r="AP596" s="27"/>
      <c r="AQ596" s="16"/>
      <c r="AR596" s="17">
        <f t="shared" si="191"/>
        <v>0</v>
      </c>
      <c r="AS596" s="17"/>
      <c r="AT596" s="17">
        <v>2947.76532</v>
      </c>
      <c r="AU596" s="17">
        <f t="shared" si="206"/>
        <v>2947.76532</v>
      </c>
      <c r="AV596" s="17">
        <f t="shared" si="205"/>
        <v>0</v>
      </c>
      <c r="AW596" s="17" t="str">
        <f t="shared" si="192"/>
        <v>RAWSUR</v>
      </c>
      <c r="AX596" s="22">
        <v>44869</v>
      </c>
      <c r="AY596" s="22"/>
      <c r="AZ596" s="1"/>
      <c r="BA596" s="22" t="str">
        <f t="shared" si="197"/>
        <v>GENERAL LIABILITY</v>
      </c>
      <c r="BB596" s="54"/>
      <c r="BC596" s="22"/>
      <c r="BD596" s="22"/>
    </row>
    <row r="597" spans="1:56" ht="14.25" customHeight="1" x14ac:dyDescent="0.2">
      <c r="A597" s="1" t="s">
        <v>847</v>
      </c>
      <c r="B597" s="1" t="s">
        <v>57</v>
      </c>
      <c r="C597" s="13">
        <v>44872</v>
      </c>
      <c r="D597" s="13">
        <v>44855</v>
      </c>
      <c r="E597" s="13">
        <v>44866</v>
      </c>
      <c r="F597" s="13">
        <v>45230</v>
      </c>
      <c r="G597" s="14" t="str">
        <f t="shared" si="199"/>
        <v>000-596/AIB RDC/2022</v>
      </c>
      <c r="H597" s="1">
        <v>0</v>
      </c>
      <c r="I597" s="1" t="s">
        <v>74</v>
      </c>
      <c r="J597" s="1" t="s">
        <v>924</v>
      </c>
      <c r="K597" s="1" t="s">
        <v>925</v>
      </c>
      <c r="L597" s="1" t="s">
        <v>128</v>
      </c>
      <c r="M597" s="1" t="s">
        <v>95</v>
      </c>
      <c r="N597" s="1" t="s">
        <v>102</v>
      </c>
      <c r="O597" s="1" t="s">
        <v>926</v>
      </c>
      <c r="P597" s="1" t="s">
        <v>71</v>
      </c>
      <c r="Q597" s="1" t="s">
        <v>66</v>
      </c>
      <c r="R597" s="1" t="s">
        <v>66</v>
      </c>
      <c r="S597" s="17">
        <v>0</v>
      </c>
      <c r="T597" s="17">
        <v>698669.71</v>
      </c>
      <c r="U597" s="17">
        <v>0</v>
      </c>
      <c r="V597" s="17">
        <v>0</v>
      </c>
      <c r="W597" s="17">
        <v>5963.38</v>
      </c>
      <c r="X597" s="17">
        <v>596338.09</v>
      </c>
      <c r="Y597" s="17">
        <v>96368.24</v>
      </c>
      <c r="Z597" s="18" t="e">
        <f t="shared" si="200"/>
        <v>#DIV/0!</v>
      </c>
      <c r="AA597" s="19">
        <v>0</v>
      </c>
      <c r="AB597" s="17">
        <f t="shared" si="196"/>
        <v>0</v>
      </c>
      <c r="AC597" s="17">
        <v>41744</v>
      </c>
      <c r="AD597" s="17">
        <v>0</v>
      </c>
      <c r="AE597" s="17">
        <f t="shared" si="201"/>
        <v>41744</v>
      </c>
      <c r="AF597" s="17">
        <f t="shared" si="198"/>
        <v>6679.04</v>
      </c>
      <c r="AG597" s="17">
        <f t="shared" si="188"/>
        <v>48423.040000000001</v>
      </c>
      <c r="AH597" s="17">
        <f t="shared" si="193"/>
        <v>834.88</v>
      </c>
      <c r="AI597" s="27"/>
      <c r="AJ597" s="17">
        <f t="shared" si="202"/>
        <v>834.88</v>
      </c>
      <c r="AK597" s="20"/>
      <c r="AL597" s="17">
        <f t="shared" si="203"/>
        <v>40909.120000000003</v>
      </c>
      <c r="AM597" s="17"/>
      <c r="AN597" s="21"/>
      <c r="AO597" s="17">
        <f t="shared" si="204"/>
        <v>0</v>
      </c>
      <c r="AP597" s="27"/>
      <c r="AQ597" s="16"/>
      <c r="AR597" s="17">
        <f t="shared" si="191"/>
        <v>0</v>
      </c>
      <c r="AS597" s="17"/>
      <c r="AT597" s="17">
        <v>48423.040000000001</v>
      </c>
      <c r="AU597" s="17">
        <f t="shared" si="206"/>
        <v>48423.040000000001</v>
      </c>
      <c r="AV597" s="17">
        <f t="shared" si="205"/>
        <v>0</v>
      </c>
      <c r="AW597" s="17" t="str">
        <f t="shared" si="192"/>
        <v>ACTIVA</v>
      </c>
      <c r="AX597" s="22">
        <v>44917</v>
      </c>
      <c r="AY597" s="22"/>
      <c r="AZ597" s="1"/>
      <c r="BA597" s="22" t="str">
        <f t="shared" si="197"/>
        <v>BBB</v>
      </c>
      <c r="BB597" s="54"/>
      <c r="BC597" s="22"/>
      <c r="BD597" s="1"/>
    </row>
    <row r="598" spans="1:56" ht="14.25" customHeight="1" x14ac:dyDescent="0.2">
      <c r="A598" s="1" t="s">
        <v>773</v>
      </c>
      <c r="B598" s="1" t="s">
        <v>57</v>
      </c>
      <c r="C598" s="13">
        <v>44806</v>
      </c>
      <c r="D598" s="13">
        <v>44865</v>
      </c>
      <c r="E598" s="13">
        <v>44806</v>
      </c>
      <c r="F598" s="13">
        <v>44808</v>
      </c>
      <c r="G598" s="14" t="str">
        <f t="shared" si="199"/>
        <v>000-597/AIB RDC/2022</v>
      </c>
      <c r="H598" s="1">
        <v>0</v>
      </c>
      <c r="I598" s="1" t="s">
        <v>74</v>
      </c>
      <c r="J598" s="1" t="s">
        <v>927</v>
      </c>
      <c r="K598" s="1" t="s">
        <v>211</v>
      </c>
      <c r="L598" s="1"/>
      <c r="M598" s="1" t="s">
        <v>105</v>
      </c>
      <c r="N598" s="1" t="s">
        <v>106</v>
      </c>
      <c r="O598" s="1" t="s">
        <v>64</v>
      </c>
      <c r="P598" s="1" t="s">
        <v>65</v>
      </c>
      <c r="Q598" s="1" t="s">
        <v>130</v>
      </c>
      <c r="R598" s="1" t="s">
        <v>130</v>
      </c>
      <c r="S598" s="17">
        <v>311.27999999999997</v>
      </c>
      <c r="T598" s="17">
        <v>94.4</v>
      </c>
      <c r="U598" s="17">
        <v>0</v>
      </c>
      <c r="V598" s="17">
        <v>0</v>
      </c>
      <c r="W598" s="17">
        <v>20</v>
      </c>
      <c r="X598" s="17">
        <v>60</v>
      </c>
      <c r="Y598" s="17">
        <v>12.8</v>
      </c>
      <c r="Z598" s="18">
        <f t="shared" si="200"/>
        <v>0.30326394243125165</v>
      </c>
      <c r="AA598" s="19">
        <v>0.15</v>
      </c>
      <c r="AB598" s="17">
        <f t="shared" si="196"/>
        <v>9</v>
      </c>
      <c r="AC598" s="17">
        <v>0</v>
      </c>
      <c r="AD598" s="17">
        <v>0</v>
      </c>
      <c r="AE598" s="17">
        <f t="shared" si="201"/>
        <v>9</v>
      </c>
      <c r="AF598" s="17">
        <f t="shared" si="198"/>
        <v>1.44</v>
      </c>
      <c r="AG598" s="17">
        <f t="shared" ref="AG598:AG661" si="207">AF598+AE598</f>
        <v>10.44</v>
      </c>
      <c r="AH598" s="17">
        <f t="shared" si="193"/>
        <v>0.18</v>
      </c>
      <c r="AI598" s="17">
        <v>0</v>
      </c>
      <c r="AJ598" s="17">
        <f t="shared" si="202"/>
        <v>0.18</v>
      </c>
      <c r="AK598" s="20"/>
      <c r="AL598" s="17">
        <f t="shared" si="203"/>
        <v>8.82</v>
      </c>
      <c r="AM598" s="17" t="s">
        <v>108</v>
      </c>
      <c r="AN598" s="21">
        <v>0.4</v>
      </c>
      <c r="AO598" s="17">
        <f t="shared" si="204"/>
        <v>3.5280000000000005</v>
      </c>
      <c r="AP598" s="30">
        <v>3.5280000000000005</v>
      </c>
      <c r="AQ598" s="29">
        <v>45229</v>
      </c>
      <c r="AR598" s="17">
        <f t="shared" si="191"/>
        <v>0</v>
      </c>
      <c r="AS598" s="17"/>
      <c r="AT598" s="17">
        <v>10.44</v>
      </c>
      <c r="AU598" s="17">
        <f t="shared" si="206"/>
        <v>10.44</v>
      </c>
      <c r="AV598" s="17">
        <f t="shared" si="205"/>
        <v>0</v>
      </c>
      <c r="AW598" s="17" t="str">
        <f t="shared" si="192"/>
        <v>SFA</v>
      </c>
      <c r="AX598" s="22">
        <v>44887</v>
      </c>
      <c r="AY598" s="22"/>
      <c r="AZ598" s="1" t="s">
        <v>110</v>
      </c>
      <c r="BA598" s="22" t="str">
        <f t="shared" si="197"/>
        <v>MARINE CARGO / GIT</v>
      </c>
      <c r="BB598" s="54"/>
      <c r="BC598" s="22"/>
      <c r="BD598" s="22"/>
    </row>
    <row r="599" spans="1:56" ht="14.25" customHeight="1" x14ac:dyDescent="0.2">
      <c r="A599" s="1" t="s">
        <v>667</v>
      </c>
      <c r="B599" s="1" t="s">
        <v>57</v>
      </c>
      <c r="C599" s="13">
        <v>44856</v>
      </c>
      <c r="D599" s="13">
        <v>44861</v>
      </c>
      <c r="E599" s="13">
        <v>44861</v>
      </c>
      <c r="F599" s="13">
        <v>45007</v>
      </c>
      <c r="G599" s="14" t="str">
        <f t="shared" si="199"/>
        <v>000-598/AIB RDC/2022</v>
      </c>
      <c r="H599" s="1">
        <v>6</v>
      </c>
      <c r="I599" s="1" t="s">
        <v>91</v>
      </c>
      <c r="J599" s="24" t="s">
        <v>434</v>
      </c>
      <c r="K599" s="1" t="s">
        <v>197</v>
      </c>
      <c r="L599" s="1" t="s">
        <v>77</v>
      </c>
      <c r="M599" s="1" t="s">
        <v>706</v>
      </c>
      <c r="N599" s="1" t="s">
        <v>209</v>
      </c>
      <c r="O599" s="1" t="s">
        <v>73</v>
      </c>
      <c r="P599" s="1" t="s">
        <v>73</v>
      </c>
      <c r="Q599" s="1" t="s">
        <v>130</v>
      </c>
      <c r="R599" s="1" t="s">
        <v>130</v>
      </c>
      <c r="S599" s="17">
        <v>0</v>
      </c>
      <c r="T599" s="17">
        <v>40.659999999999997</v>
      </c>
      <c r="U599" s="17">
        <v>0</v>
      </c>
      <c r="V599" s="17">
        <v>0</v>
      </c>
      <c r="W599" s="17">
        <v>0.51</v>
      </c>
      <c r="X599" s="17">
        <v>33.950000000000003</v>
      </c>
      <c r="Y599" s="17">
        <v>5.51</v>
      </c>
      <c r="Z599" s="18" t="e">
        <f t="shared" si="200"/>
        <v>#DIV/0!</v>
      </c>
      <c r="AA599" s="19">
        <v>0.1</v>
      </c>
      <c r="AB599" s="17">
        <f t="shared" ref="AB599:AB630" si="208">(AA599*X599)</f>
        <v>3.3950000000000005</v>
      </c>
      <c r="AC599" s="17">
        <v>0</v>
      </c>
      <c r="AD599" s="17">
        <v>0</v>
      </c>
      <c r="AE599" s="17">
        <f t="shared" si="201"/>
        <v>3.3950000000000005</v>
      </c>
      <c r="AF599" s="17">
        <f t="shared" si="198"/>
        <v>0.54320000000000013</v>
      </c>
      <c r="AG599" s="17">
        <f t="shared" si="207"/>
        <v>3.9382000000000006</v>
      </c>
      <c r="AH599" s="17">
        <f t="shared" si="193"/>
        <v>6.7900000000000016E-2</v>
      </c>
      <c r="AI599" s="17"/>
      <c r="AJ599" s="17">
        <f t="shared" si="202"/>
        <v>6.7900000000000016E-2</v>
      </c>
      <c r="AK599" s="20"/>
      <c r="AL599" s="17">
        <f t="shared" si="203"/>
        <v>3.3271000000000006</v>
      </c>
      <c r="AM599" s="17"/>
      <c r="AN599" s="21"/>
      <c r="AO599" s="17">
        <f t="shared" si="204"/>
        <v>0</v>
      </c>
      <c r="AP599" s="27"/>
      <c r="AQ599" s="16"/>
      <c r="AR599" s="17">
        <f t="shared" si="191"/>
        <v>0</v>
      </c>
      <c r="AS599" s="17"/>
      <c r="AT599" s="17">
        <v>3.9382000000000006</v>
      </c>
      <c r="AU599" s="17">
        <f t="shared" si="206"/>
        <v>3.9382000000000006</v>
      </c>
      <c r="AV599" s="17">
        <f t="shared" si="205"/>
        <v>0</v>
      </c>
      <c r="AW599" s="17" t="str">
        <f t="shared" si="192"/>
        <v>SFA</v>
      </c>
      <c r="AX599" s="22">
        <v>44887</v>
      </c>
      <c r="AY599" s="22"/>
      <c r="AZ599" s="1" t="s">
        <v>68</v>
      </c>
      <c r="BA599" s="22" t="str">
        <f t="shared" si="197"/>
        <v>MOTOR TPL</v>
      </c>
      <c r="BB599" s="54"/>
      <c r="BC599" s="22"/>
      <c r="BD599" s="22"/>
    </row>
    <row r="600" spans="1:56" ht="14.25" customHeight="1" x14ac:dyDescent="0.2">
      <c r="A600" s="1" t="s">
        <v>667</v>
      </c>
      <c r="B600" s="1" t="s">
        <v>57</v>
      </c>
      <c r="C600" s="13">
        <v>44840</v>
      </c>
      <c r="D600" s="13">
        <v>44848</v>
      </c>
      <c r="E600" s="13">
        <v>44848</v>
      </c>
      <c r="F600" s="13">
        <v>45212</v>
      </c>
      <c r="G600" s="14" t="str">
        <f t="shared" si="199"/>
        <v>000-599/AIB RDC/2022</v>
      </c>
      <c r="H600" s="1">
        <v>0</v>
      </c>
      <c r="I600" s="1" t="s">
        <v>74</v>
      </c>
      <c r="J600" s="1" t="s">
        <v>928</v>
      </c>
      <c r="K600" s="1" t="s">
        <v>540</v>
      </c>
      <c r="L600" s="1" t="s">
        <v>388</v>
      </c>
      <c r="M600" s="1" t="s">
        <v>706</v>
      </c>
      <c r="N600" s="1" t="s">
        <v>209</v>
      </c>
      <c r="O600" s="1" t="s">
        <v>73</v>
      </c>
      <c r="P600" s="1" t="s">
        <v>73</v>
      </c>
      <c r="Q600" s="1" t="s">
        <v>130</v>
      </c>
      <c r="R600" s="1" t="s">
        <v>130</v>
      </c>
      <c r="S600" s="17">
        <v>0</v>
      </c>
      <c r="T600" s="17">
        <v>889.89</v>
      </c>
      <c r="U600" s="17">
        <v>0</v>
      </c>
      <c r="V600" s="17">
        <v>0</v>
      </c>
      <c r="W600" s="17">
        <v>11.15</v>
      </c>
      <c r="X600" s="17">
        <v>743</v>
      </c>
      <c r="Y600" s="17">
        <v>120.66</v>
      </c>
      <c r="Z600" s="18" t="e">
        <f t="shared" si="200"/>
        <v>#DIV/0!</v>
      </c>
      <c r="AA600" s="19">
        <v>0.1</v>
      </c>
      <c r="AB600" s="17">
        <f t="shared" si="208"/>
        <v>74.3</v>
      </c>
      <c r="AC600" s="17">
        <v>0</v>
      </c>
      <c r="AD600" s="17">
        <v>0</v>
      </c>
      <c r="AE600" s="17">
        <f t="shared" si="201"/>
        <v>74.3</v>
      </c>
      <c r="AF600" s="17">
        <f t="shared" si="198"/>
        <v>11.888</v>
      </c>
      <c r="AG600" s="17">
        <f t="shared" si="207"/>
        <v>86.188000000000002</v>
      </c>
      <c r="AH600" s="17">
        <f t="shared" si="193"/>
        <v>1.486</v>
      </c>
      <c r="AI600" s="17"/>
      <c r="AJ600" s="17">
        <f t="shared" si="202"/>
        <v>1.486</v>
      </c>
      <c r="AK600" s="20"/>
      <c r="AL600" s="17">
        <f t="shared" si="203"/>
        <v>72.813999999999993</v>
      </c>
      <c r="AM600" s="17"/>
      <c r="AN600" s="21"/>
      <c r="AO600" s="17">
        <f t="shared" si="204"/>
        <v>0</v>
      </c>
      <c r="AP600" s="27"/>
      <c r="AQ600" s="16"/>
      <c r="AR600" s="17">
        <f t="shared" si="191"/>
        <v>0</v>
      </c>
      <c r="AS600" s="17"/>
      <c r="AT600" s="17">
        <v>86.188000000000002</v>
      </c>
      <c r="AU600" s="17">
        <f t="shared" si="206"/>
        <v>86.188000000000002</v>
      </c>
      <c r="AV600" s="17">
        <f t="shared" si="205"/>
        <v>0</v>
      </c>
      <c r="AW600" s="17" t="str">
        <f t="shared" si="192"/>
        <v>SFA</v>
      </c>
      <c r="AX600" s="22">
        <v>44887</v>
      </c>
      <c r="AY600" s="22"/>
      <c r="AZ600" s="1"/>
      <c r="BA600" s="22" t="str">
        <f t="shared" si="197"/>
        <v>MOTOR TPL</v>
      </c>
      <c r="BB600" s="54"/>
      <c r="BC600" s="22"/>
      <c r="BD600" s="22"/>
    </row>
    <row r="601" spans="1:56" ht="14.25" customHeight="1" x14ac:dyDescent="0.2">
      <c r="A601" s="1" t="s">
        <v>439</v>
      </c>
      <c r="B601" s="28" t="s">
        <v>273</v>
      </c>
      <c r="C601" s="48">
        <v>45156</v>
      </c>
      <c r="D601" s="48"/>
      <c r="E601" s="13">
        <v>44774</v>
      </c>
      <c r="F601" s="13">
        <v>45138</v>
      </c>
      <c r="G601" s="14" t="str">
        <f t="shared" si="199"/>
        <v>000-600/AIB RDC/2022</v>
      </c>
      <c r="H601" s="1">
        <v>1</v>
      </c>
      <c r="I601" s="1" t="s">
        <v>91</v>
      </c>
      <c r="J601" s="15" t="s">
        <v>1121</v>
      </c>
      <c r="K601" s="1" t="s">
        <v>455</v>
      </c>
      <c r="L601" s="1" t="s">
        <v>214</v>
      </c>
      <c r="M601" s="1" t="s">
        <v>84</v>
      </c>
      <c r="N601" s="1" t="s">
        <v>85</v>
      </c>
      <c r="O601" s="1" t="s">
        <v>192</v>
      </c>
      <c r="P601" s="1" t="s">
        <v>98</v>
      </c>
      <c r="Q601" s="1" t="s">
        <v>107</v>
      </c>
      <c r="R601" s="1" t="s">
        <v>780</v>
      </c>
      <c r="S601" s="17">
        <v>0</v>
      </c>
      <c r="T601" s="34">
        <v>3837.54</v>
      </c>
      <c r="U601" s="34">
        <v>487.82</v>
      </c>
      <c r="V601" s="34">
        <v>-227.65</v>
      </c>
      <c r="W601" s="34">
        <v>0</v>
      </c>
      <c r="X601" s="34">
        <v>2764.33</v>
      </c>
      <c r="Y601" s="34">
        <v>520.34</v>
      </c>
      <c r="Z601" s="18" t="e">
        <f t="shared" si="200"/>
        <v>#DIV/0!</v>
      </c>
      <c r="AA601" s="19">
        <v>0</v>
      </c>
      <c r="AB601" s="23">
        <f t="shared" si="208"/>
        <v>0</v>
      </c>
      <c r="AC601" s="17">
        <f>30%*(U601+V601)</f>
        <v>78.050999999999988</v>
      </c>
      <c r="AD601" s="17">
        <v>0</v>
      </c>
      <c r="AE601" s="17">
        <f t="shared" si="201"/>
        <v>78.050999999999988</v>
      </c>
      <c r="AF601" s="17">
        <f t="shared" si="198"/>
        <v>12.488159999999999</v>
      </c>
      <c r="AG601" s="17">
        <f t="shared" si="207"/>
        <v>90.539159999999981</v>
      </c>
      <c r="AH601" s="17">
        <f t="shared" si="193"/>
        <v>1.5610199999999999</v>
      </c>
      <c r="AI601" s="17"/>
      <c r="AJ601" s="17">
        <f t="shared" si="202"/>
        <v>1.5610199999999999</v>
      </c>
      <c r="AK601" s="20"/>
      <c r="AL601" s="17">
        <f t="shared" si="203"/>
        <v>76.489979999999989</v>
      </c>
      <c r="AM601" s="30"/>
      <c r="AN601" s="80"/>
      <c r="AO601" s="23">
        <f t="shared" si="204"/>
        <v>0</v>
      </c>
      <c r="AP601" s="30"/>
      <c r="AQ601" s="33"/>
      <c r="AR601" s="17">
        <f t="shared" si="191"/>
        <v>0</v>
      </c>
      <c r="AS601" s="30"/>
      <c r="AT601" s="30"/>
      <c r="AU601" s="17">
        <f t="shared" si="206"/>
        <v>90.539159999999981</v>
      </c>
      <c r="AV601" s="84">
        <f t="shared" si="205"/>
        <v>90.539159999999981</v>
      </c>
      <c r="AW601" s="17" t="str">
        <f t="shared" si="192"/>
        <v>RAWSUR</v>
      </c>
      <c r="AX601" s="81"/>
      <c r="AY601" s="81"/>
      <c r="AZ601" s="2"/>
      <c r="BA601" s="1"/>
      <c r="BB601" s="82"/>
      <c r="BC601" s="81"/>
      <c r="BD601" s="2"/>
    </row>
    <row r="602" spans="1:56" ht="14.25" customHeight="1" x14ac:dyDescent="0.2">
      <c r="A602" s="1" t="s">
        <v>667</v>
      </c>
      <c r="B602" s="1" t="s">
        <v>57</v>
      </c>
      <c r="C602" s="13">
        <v>44852</v>
      </c>
      <c r="D602" s="13">
        <v>44858</v>
      </c>
      <c r="E602" s="13">
        <v>44852</v>
      </c>
      <c r="F602" s="13">
        <v>45216</v>
      </c>
      <c r="G602" s="14" t="str">
        <f t="shared" si="199"/>
        <v>000-601/AIB RDC/2022</v>
      </c>
      <c r="H602" s="1">
        <v>0</v>
      </c>
      <c r="I602" s="1" t="s">
        <v>74</v>
      </c>
      <c r="J602" s="1" t="s">
        <v>931</v>
      </c>
      <c r="K602" s="16" t="s">
        <v>76</v>
      </c>
      <c r="L602" s="1"/>
      <c r="M602" s="1" t="s">
        <v>706</v>
      </c>
      <c r="N602" s="1" t="s">
        <v>209</v>
      </c>
      <c r="O602" s="1" t="s">
        <v>466</v>
      </c>
      <c r="P602" s="1" t="s">
        <v>71</v>
      </c>
      <c r="Q602" s="1" t="s">
        <v>79</v>
      </c>
      <c r="R602" s="1" t="s">
        <v>79</v>
      </c>
      <c r="S602" s="17">
        <v>0</v>
      </c>
      <c r="T602" s="17">
        <v>38720</v>
      </c>
      <c r="U602" s="17">
        <v>0</v>
      </c>
      <c r="V602" s="17">
        <v>0</v>
      </c>
      <c r="W602" s="17">
        <v>50</v>
      </c>
      <c r="X602" s="17">
        <v>32763.56</v>
      </c>
      <c r="Y602" s="17">
        <v>5250.17</v>
      </c>
      <c r="Z602" s="18" t="e">
        <f t="shared" si="200"/>
        <v>#DIV/0!</v>
      </c>
      <c r="AA602" s="19">
        <v>0.15</v>
      </c>
      <c r="AB602" s="17">
        <f t="shared" si="208"/>
        <v>4914.5339999999997</v>
      </c>
      <c r="AC602" s="17">
        <v>0</v>
      </c>
      <c r="AD602" s="17">
        <v>0</v>
      </c>
      <c r="AE602" s="17">
        <f t="shared" si="201"/>
        <v>4914.5339999999997</v>
      </c>
      <c r="AF602" s="17">
        <f t="shared" si="198"/>
        <v>786.32543999999996</v>
      </c>
      <c r="AG602" s="17">
        <f t="shared" si="207"/>
        <v>5700.8594399999993</v>
      </c>
      <c r="AH602" s="17">
        <f t="shared" si="193"/>
        <v>98.290679999999995</v>
      </c>
      <c r="AI602" s="17">
        <v>0</v>
      </c>
      <c r="AJ602" s="17">
        <f t="shared" si="202"/>
        <v>98.290679999999995</v>
      </c>
      <c r="AK602" s="20"/>
      <c r="AL602" s="17">
        <f t="shared" si="203"/>
        <v>4816.2433199999996</v>
      </c>
      <c r="AM602" s="17" t="s">
        <v>80</v>
      </c>
      <c r="AN602" s="21">
        <v>0.3</v>
      </c>
      <c r="AO602" s="23">
        <f t="shared" si="204"/>
        <v>1444.8729959999998</v>
      </c>
      <c r="AP602" s="17">
        <v>1444.8729959999998</v>
      </c>
      <c r="AQ602" s="16">
        <v>45188</v>
      </c>
      <c r="AR602" s="17">
        <f t="shared" si="191"/>
        <v>0</v>
      </c>
      <c r="AS602" s="17"/>
      <c r="AT602" s="17">
        <v>5700.8594399999993</v>
      </c>
      <c r="AU602" s="17">
        <f t="shared" si="206"/>
        <v>5700.8594399999993</v>
      </c>
      <c r="AV602" s="17">
        <f t="shared" si="205"/>
        <v>0</v>
      </c>
      <c r="AW602" s="17" t="str">
        <f t="shared" si="192"/>
        <v>MAYFAIR</v>
      </c>
      <c r="AX602" s="22">
        <v>44882</v>
      </c>
      <c r="AY602" s="22"/>
      <c r="AZ602" s="1"/>
      <c r="BA602" s="22" t="str">
        <f t="shared" ref="BA602:BA633" si="209">O602</f>
        <v>PROPERTY DAMAGE &amp; BI</v>
      </c>
      <c r="BB602" s="54"/>
      <c r="BC602" s="22"/>
      <c r="BD602" s="22"/>
    </row>
    <row r="603" spans="1:56" ht="14.25" customHeight="1" x14ac:dyDescent="0.2">
      <c r="A603" s="1" t="s">
        <v>667</v>
      </c>
      <c r="B603" s="1" t="s">
        <v>57</v>
      </c>
      <c r="C603" s="13">
        <v>44831</v>
      </c>
      <c r="D603" s="13">
        <v>44852</v>
      </c>
      <c r="E603" s="13">
        <v>44852</v>
      </c>
      <c r="F603" s="13">
        <v>45216</v>
      </c>
      <c r="G603" s="14" t="str">
        <f t="shared" si="199"/>
        <v>000-602/AIB RDC/2022</v>
      </c>
      <c r="H603" s="1">
        <v>0</v>
      </c>
      <c r="I603" s="1" t="s">
        <v>74</v>
      </c>
      <c r="J603" s="1" t="s">
        <v>932</v>
      </c>
      <c r="K603" s="1" t="s">
        <v>933</v>
      </c>
      <c r="L603" s="1"/>
      <c r="M603" s="1" t="s">
        <v>706</v>
      </c>
      <c r="N603" s="1" t="s">
        <v>209</v>
      </c>
      <c r="O603" s="1" t="s">
        <v>73</v>
      </c>
      <c r="P603" s="1" t="s">
        <v>73</v>
      </c>
      <c r="Q603" s="1" t="s">
        <v>130</v>
      </c>
      <c r="R603" s="1" t="s">
        <v>130</v>
      </c>
      <c r="S603" s="17">
        <v>0</v>
      </c>
      <c r="T603" s="17">
        <v>21250.19</v>
      </c>
      <c r="U603" s="17">
        <v>0</v>
      </c>
      <c r="V603" s="17">
        <v>0</v>
      </c>
      <c r="W603" s="17">
        <v>265.74</v>
      </c>
      <c r="X603" s="17">
        <v>17742.900000000001</v>
      </c>
      <c r="Y603" s="17">
        <v>2881.38</v>
      </c>
      <c r="Z603" s="18" t="e">
        <f t="shared" si="200"/>
        <v>#DIV/0!</v>
      </c>
      <c r="AA603" s="19">
        <v>0.1</v>
      </c>
      <c r="AB603" s="17">
        <f t="shared" si="208"/>
        <v>1774.2900000000002</v>
      </c>
      <c r="AC603" s="17">
        <v>0</v>
      </c>
      <c r="AD603" s="17">
        <v>0</v>
      </c>
      <c r="AE603" s="17">
        <f t="shared" si="201"/>
        <v>1774.2900000000002</v>
      </c>
      <c r="AF603" s="17">
        <f t="shared" si="198"/>
        <v>283.88640000000004</v>
      </c>
      <c r="AG603" s="17">
        <f t="shared" si="207"/>
        <v>2058.1764000000003</v>
      </c>
      <c r="AH603" s="17">
        <f t="shared" si="193"/>
        <v>35.485800000000005</v>
      </c>
      <c r="AI603" s="17"/>
      <c r="AJ603" s="17">
        <f t="shared" si="202"/>
        <v>35.485800000000005</v>
      </c>
      <c r="AK603" s="20"/>
      <c r="AL603" s="17">
        <f t="shared" si="203"/>
        <v>1738.8042000000003</v>
      </c>
      <c r="AM603" s="17"/>
      <c r="AN603" s="21"/>
      <c r="AO603" s="17">
        <f t="shared" si="204"/>
        <v>0</v>
      </c>
      <c r="AP603" s="27"/>
      <c r="AQ603" s="16"/>
      <c r="AR603" s="17">
        <f t="shared" si="191"/>
        <v>0</v>
      </c>
      <c r="AS603" s="17"/>
      <c r="AT603" s="17">
        <v>2058.1764000000003</v>
      </c>
      <c r="AU603" s="17">
        <f t="shared" si="206"/>
        <v>2058.1764000000003</v>
      </c>
      <c r="AV603" s="17">
        <f t="shared" si="205"/>
        <v>0</v>
      </c>
      <c r="AW603" s="17" t="str">
        <f t="shared" si="192"/>
        <v>SFA</v>
      </c>
      <c r="AX603" s="22">
        <v>44887</v>
      </c>
      <c r="AY603" s="22"/>
      <c r="AZ603" s="1"/>
      <c r="BA603" s="22" t="str">
        <f t="shared" si="209"/>
        <v>MOTOR TPL</v>
      </c>
      <c r="BB603" s="54"/>
      <c r="BC603" s="22"/>
      <c r="BD603" s="22"/>
    </row>
    <row r="604" spans="1:56" ht="14.25" customHeight="1" x14ac:dyDescent="0.2">
      <c r="A604" s="1" t="s">
        <v>847</v>
      </c>
      <c r="B604" s="1" t="s">
        <v>57</v>
      </c>
      <c r="C604" s="13">
        <v>44853</v>
      </c>
      <c r="D604" s="13">
        <v>44865</v>
      </c>
      <c r="E604" s="13">
        <v>44866</v>
      </c>
      <c r="F604" s="13">
        <v>45230</v>
      </c>
      <c r="G604" s="14" t="str">
        <f t="shared" si="199"/>
        <v>000-603/AIB RDC/2022</v>
      </c>
      <c r="H604" s="1">
        <v>0</v>
      </c>
      <c r="I604" s="1" t="s">
        <v>74</v>
      </c>
      <c r="J604" s="1" t="s">
        <v>934</v>
      </c>
      <c r="K604" s="1" t="s">
        <v>197</v>
      </c>
      <c r="L604" s="1" t="s">
        <v>77</v>
      </c>
      <c r="M604" s="1" t="s">
        <v>706</v>
      </c>
      <c r="N604" s="1" t="s">
        <v>209</v>
      </c>
      <c r="O604" s="1" t="s">
        <v>935</v>
      </c>
      <c r="P604" s="1" t="s">
        <v>65</v>
      </c>
      <c r="Q604" s="1" t="s">
        <v>130</v>
      </c>
      <c r="R604" s="1" t="s">
        <v>130</v>
      </c>
      <c r="S604" s="17">
        <v>0</v>
      </c>
      <c r="T604" s="17">
        <v>9770.75</v>
      </c>
      <c r="U604" s="17">
        <v>1235.29</v>
      </c>
      <c r="V604" s="17">
        <v>0</v>
      </c>
      <c r="W604" s="17">
        <v>45</v>
      </c>
      <c r="X604" s="17">
        <v>7000</v>
      </c>
      <c r="Y604" s="17">
        <v>1324.85</v>
      </c>
      <c r="Z604" s="18" t="e">
        <f t="shared" si="200"/>
        <v>#DIV/0!</v>
      </c>
      <c r="AA604" s="19">
        <v>0.15</v>
      </c>
      <c r="AB604" s="17">
        <f t="shared" si="208"/>
        <v>1050</v>
      </c>
      <c r="AC604" s="17">
        <v>0</v>
      </c>
      <c r="AD604" s="17">
        <v>0</v>
      </c>
      <c r="AE604" s="17">
        <f t="shared" si="201"/>
        <v>1050</v>
      </c>
      <c r="AF604" s="17">
        <f t="shared" si="198"/>
        <v>168</v>
      </c>
      <c r="AG604" s="17">
        <f t="shared" si="207"/>
        <v>1218</v>
      </c>
      <c r="AH604" s="17">
        <f t="shared" si="193"/>
        <v>21</v>
      </c>
      <c r="AI604" s="17"/>
      <c r="AJ604" s="17">
        <f t="shared" si="202"/>
        <v>21</v>
      </c>
      <c r="AK604" s="20"/>
      <c r="AL604" s="17">
        <f t="shared" si="203"/>
        <v>1029</v>
      </c>
      <c r="AM604" s="17"/>
      <c r="AN604" s="21"/>
      <c r="AO604" s="17">
        <f t="shared" si="204"/>
        <v>0</v>
      </c>
      <c r="AP604" s="27"/>
      <c r="AQ604" s="16"/>
      <c r="AR604" s="17">
        <f t="shared" si="191"/>
        <v>0</v>
      </c>
      <c r="AS604" s="17"/>
      <c r="AT604" s="17">
        <v>1218</v>
      </c>
      <c r="AU604" s="17">
        <f t="shared" si="206"/>
        <v>1218</v>
      </c>
      <c r="AV604" s="17">
        <f t="shared" si="205"/>
        <v>0</v>
      </c>
      <c r="AW604" s="17" t="str">
        <f t="shared" si="192"/>
        <v>SFA</v>
      </c>
      <c r="AX604" s="22">
        <v>44887</v>
      </c>
      <c r="AY604" s="22"/>
      <c r="AZ604" s="1"/>
      <c r="BA604" s="22" t="str">
        <f t="shared" si="209"/>
        <v>CIT</v>
      </c>
      <c r="BB604" s="54"/>
      <c r="BC604" s="22"/>
      <c r="BD604" s="22"/>
    </row>
    <row r="605" spans="1:56" ht="14.25" customHeight="1" x14ac:dyDescent="0.2">
      <c r="A605" s="1" t="s">
        <v>773</v>
      </c>
      <c r="B605" s="1" t="s">
        <v>57</v>
      </c>
      <c r="C605" s="13">
        <v>44840</v>
      </c>
      <c r="D605" s="13">
        <v>44858</v>
      </c>
      <c r="E605" s="13">
        <v>44834</v>
      </c>
      <c r="F605" s="13">
        <v>45198</v>
      </c>
      <c r="G605" s="14" t="str">
        <f t="shared" si="199"/>
        <v>000-604/AIB RDC/2022</v>
      </c>
      <c r="H605" s="1">
        <v>0</v>
      </c>
      <c r="I605" s="1" t="s">
        <v>74</v>
      </c>
      <c r="J605" s="1" t="s">
        <v>936</v>
      </c>
      <c r="K605" s="1" t="s">
        <v>680</v>
      </c>
      <c r="L605" s="1" t="s">
        <v>214</v>
      </c>
      <c r="M605" s="1" t="s">
        <v>84</v>
      </c>
      <c r="N605" s="1" t="s">
        <v>85</v>
      </c>
      <c r="O605" s="1" t="s">
        <v>172</v>
      </c>
      <c r="P605" s="1" t="s">
        <v>90</v>
      </c>
      <c r="Q605" s="1" t="s">
        <v>130</v>
      </c>
      <c r="R605" s="1" t="s">
        <v>130</v>
      </c>
      <c r="S605" s="17">
        <v>1000000</v>
      </c>
      <c r="T605" s="17">
        <v>4935.95</v>
      </c>
      <c r="U605" s="17">
        <v>622.84</v>
      </c>
      <c r="V605" s="17">
        <v>0</v>
      </c>
      <c r="W605" s="17">
        <v>30.76</v>
      </c>
      <c r="X605" s="17">
        <v>3529.41</v>
      </c>
      <c r="Y605" s="17">
        <v>669.28</v>
      </c>
      <c r="Z605" s="18">
        <f t="shared" si="200"/>
        <v>4.9359499999999997E-3</v>
      </c>
      <c r="AA605" s="19">
        <v>0.15</v>
      </c>
      <c r="AB605" s="17">
        <f t="shared" si="208"/>
        <v>529.41149999999993</v>
      </c>
      <c r="AC605" s="17">
        <v>0</v>
      </c>
      <c r="AD605" s="17">
        <v>0</v>
      </c>
      <c r="AE605" s="17">
        <f t="shared" si="201"/>
        <v>529.41149999999993</v>
      </c>
      <c r="AF605" s="17">
        <f t="shared" si="198"/>
        <v>84.705839999999995</v>
      </c>
      <c r="AG605" s="17">
        <f t="shared" si="207"/>
        <v>614.1173399999999</v>
      </c>
      <c r="AH605" s="17">
        <f t="shared" si="193"/>
        <v>10.588229999999999</v>
      </c>
      <c r="AI605" s="17"/>
      <c r="AJ605" s="17">
        <f t="shared" si="202"/>
        <v>10.588229999999999</v>
      </c>
      <c r="AK605" s="20"/>
      <c r="AL605" s="17">
        <f t="shared" si="203"/>
        <v>518.82326999999998</v>
      </c>
      <c r="AM605" s="17" t="s">
        <v>937</v>
      </c>
      <c r="AN605" s="21"/>
      <c r="AO605" s="17">
        <f t="shared" si="204"/>
        <v>0</v>
      </c>
      <c r="AP605" s="27"/>
      <c r="AQ605" s="16"/>
      <c r="AR605" s="17">
        <f t="shared" si="191"/>
        <v>0</v>
      </c>
      <c r="AS605" s="17"/>
      <c r="AT605" s="17">
        <v>614.1173399999999</v>
      </c>
      <c r="AU605" s="17">
        <f t="shared" si="206"/>
        <v>614.1173399999999</v>
      </c>
      <c r="AV605" s="17">
        <f t="shared" si="205"/>
        <v>0</v>
      </c>
      <c r="AW605" s="17" t="str">
        <f t="shared" si="192"/>
        <v>SFA</v>
      </c>
      <c r="AX605" s="22">
        <v>44887</v>
      </c>
      <c r="AY605" s="22"/>
      <c r="AZ605" s="1"/>
      <c r="BA605" s="22" t="str">
        <f t="shared" si="209"/>
        <v>PUBLIC LIABILITY</v>
      </c>
      <c r="BB605" s="54"/>
      <c r="BC605" s="22"/>
      <c r="BD605" s="22"/>
    </row>
    <row r="606" spans="1:56" ht="14.25" customHeight="1" x14ac:dyDescent="0.2">
      <c r="A606" s="1" t="s">
        <v>667</v>
      </c>
      <c r="B606" s="1" t="s">
        <v>273</v>
      </c>
      <c r="C606" s="13">
        <v>44869</v>
      </c>
      <c r="D606" s="1" t="s">
        <v>837</v>
      </c>
      <c r="E606" s="13">
        <v>44851</v>
      </c>
      <c r="F606" s="13">
        <v>44942</v>
      </c>
      <c r="G606" s="14" t="str">
        <f t="shared" si="199"/>
        <v>000-605/AIB RDC/2022</v>
      </c>
      <c r="H606" s="1">
        <v>0</v>
      </c>
      <c r="I606" s="1" t="s">
        <v>74</v>
      </c>
      <c r="J606" s="1">
        <v>72000070</v>
      </c>
      <c r="K606" s="1" t="s">
        <v>820</v>
      </c>
      <c r="L606" s="1"/>
      <c r="M606" s="1" t="s">
        <v>105</v>
      </c>
      <c r="N606" s="1" t="s">
        <v>106</v>
      </c>
      <c r="O606" s="1" t="s">
        <v>64</v>
      </c>
      <c r="P606" s="1" t="s">
        <v>65</v>
      </c>
      <c r="Q606" s="1" t="s">
        <v>107</v>
      </c>
      <c r="R606" s="1" t="s">
        <v>107</v>
      </c>
      <c r="S606" s="17">
        <v>8988</v>
      </c>
      <c r="T606" s="17">
        <v>129.80000000000001</v>
      </c>
      <c r="U606" s="17">
        <v>0</v>
      </c>
      <c r="V606" s="17">
        <v>0</v>
      </c>
      <c r="W606" s="17">
        <v>10</v>
      </c>
      <c r="X606" s="17">
        <v>100</v>
      </c>
      <c r="Y606" s="17">
        <v>10</v>
      </c>
      <c r="Z606" s="18">
        <f t="shared" si="200"/>
        <v>1.4441477525589677E-2</v>
      </c>
      <c r="AA606" s="19">
        <v>0.15</v>
      </c>
      <c r="AB606" s="17">
        <f t="shared" si="208"/>
        <v>15</v>
      </c>
      <c r="AC606" s="17">
        <v>0</v>
      </c>
      <c r="AD606" s="17">
        <v>0</v>
      </c>
      <c r="AE606" s="17">
        <f t="shared" si="201"/>
        <v>15</v>
      </c>
      <c r="AF606" s="17">
        <f t="shared" si="198"/>
        <v>2.4</v>
      </c>
      <c r="AG606" s="17">
        <f t="shared" si="207"/>
        <v>17.399999999999999</v>
      </c>
      <c r="AH606" s="17">
        <f t="shared" si="193"/>
        <v>0.3</v>
      </c>
      <c r="AI606" s="17"/>
      <c r="AJ606" s="17">
        <f t="shared" si="202"/>
        <v>0.3</v>
      </c>
      <c r="AK606" s="20"/>
      <c r="AL606" s="17">
        <f t="shared" si="203"/>
        <v>14.7</v>
      </c>
      <c r="AM606" s="17" t="s">
        <v>108</v>
      </c>
      <c r="AN606" s="21">
        <v>0.4</v>
      </c>
      <c r="AO606" s="17">
        <f t="shared" si="204"/>
        <v>5.88</v>
      </c>
      <c r="AP606" s="27"/>
      <c r="AQ606" s="16"/>
      <c r="AR606" s="17">
        <f t="shared" si="191"/>
        <v>5.88</v>
      </c>
      <c r="AS606" s="17"/>
      <c r="AT606" s="17"/>
      <c r="AU606" s="17">
        <f t="shared" si="206"/>
        <v>17.399999999999999</v>
      </c>
      <c r="AV606" s="84">
        <f t="shared" si="205"/>
        <v>17.399999999999999</v>
      </c>
      <c r="AW606" s="17" t="str">
        <f t="shared" si="192"/>
        <v>RAWSUR</v>
      </c>
      <c r="AX606" s="22"/>
      <c r="AY606" s="22"/>
      <c r="AZ606" s="1" t="s">
        <v>110</v>
      </c>
      <c r="BA606" s="22" t="str">
        <f t="shared" si="209"/>
        <v>MARINE CARGO / GIT</v>
      </c>
      <c r="BB606" s="54"/>
      <c r="BC606" s="22"/>
      <c r="BD606" s="1" t="s">
        <v>226</v>
      </c>
    </row>
    <row r="607" spans="1:56" ht="14.25" customHeight="1" x14ac:dyDescent="0.2">
      <c r="A607" s="1" t="s">
        <v>667</v>
      </c>
      <c r="B607" s="1" t="s">
        <v>273</v>
      </c>
      <c r="C607" s="13"/>
      <c r="D607" s="13"/>
      <c r="E607" s="13"/>
      <c r="F607" s="13"/>
      <c r="G607" s="14" t="str">
        <f t="shared" si="199"/>
        <v>000-606/AIB RDC/2022</v>
      </c>
      <c r="H607" s="1"/>
      <c r="I607" s="1"/>
      <c r="J607" s="1"/>
      <c r="K607" s="1" t="s">
        <v>938</v>
      </c>
      <c r="L607" s="1"/>
      <c r="M607" s="1" t="s">
        <v>706</v>
      </c>
      <c r="N607" s="1" t="s">
        <v>209</v>
      </c>
      <c r="O607" s="1" t="s">
        <v>70</v>
      </c>
      <c r="P607" s="1" t="s">
        <v>71</v>
      </c>
      <c r="Q607" s="1" t="s">
        <v>130</v>
      </c>
      <c r="R607" s="1" t="s">
        <v>130</v>
      </c>
      <c r="S607" s="17">
        <v>0</v>
      </c>
      <c r="T607" s="17"/>
      <c r="U607" s="17"/>
      <c r="V607" s="17"/>
      <c r="W607" s="17"/>
      <c r="X607" s="17"/>
      <c r="Y607" s="17"/>
      <c r="Z607" s="18" t="e">
        <f t="shared" si="200"/>
        <v>#DIV/0!</v>
      </c>
      <c r="AA607" s="19"/>
      <c r="AB607" s="17">
        <f t="shared" si="208"/>
        <v>0</v>
      </c>
      <c r="AC607" s="17">
        <v>0</v>
      </c>
      <c r="AD607" s="17">
        <v>0</v>
      </c>
      <c r="AE607" s="17">
        <f t="shared" si="201"/>
        <v>0</v>
      </c>
      <c r="AF607" s="17">
        <f t="shared" si="198"/>
        <v>0</v>
      </c>
      <c r="AG607" s="17">
        <f t="shared" si="207"/>
        <v>0</v>
      </c>
      <c r="AH607" s="17">
        <f t="shared" si="193"/>
        <v>0</v>
      </c>
      <c r="AI607" s="17"/>
      <c r="AJ607" s="17">
        <f t="shared" si="202"/>
        <v>0</v>
      </c>
      <c r="AK607" s="20"/>
      <c r="AL607" s="17">
        <f t="shared" si="203"/>
        <v>0</v>
      </c>
      <c r="AM607" s="17"/>
      <c r="AN607" s="21"/>
      <c r="AO607" s="17">
        <f t="shared" si="204"/>
        <v>0</v>
      </c>
      <c r="AP607" s="27"/>
      <c r="AQ607" s="16"/>
      <c r="AR607" s="17">
        <f t="shared" si="191"/>
        <v>0</v>
      </c>
      <c r="AS607" s="17"/>
      <c r="AT607" s="17"/>
      <c r="AU607" s="17">
        <f t="shared" si="206"/>
        <v>0</v>
      </c>
      <c r="AV607" s="17">
        <f t="shared" si="205"/>
        <v>0</v>
      </c>
      <c r="AW607" s="17" t="str">
        <f t="shared" si="192"/>
        <v>SFA</v>
      </c>
      <c r="AX607" s="22"/>
      <c r="AY607" s="22"/>
      <c r="AZ607" s="1"/>
      <c r="BA607" s="22" t="str">
        <f t="shared" si="209"/>
        <v>FIRE</v>
      </c>
      <c r="BB607" s="54"/>
      <c r="BC607" s="22"/>
      <c r="BD607" s="22"/>
    </row>
    <row r="608" spans="1:56" ht="14.25" customHeight="1" x14ac:dyDescent="0.2">
      <c r="A608" s="1" t="s">
        <v>773</v>
      </c>
      <c r="B608" s="1" t="s">
        <v>57</v>
      </c>
      <c r="C608" s="13">
        <v>44904</v>
      </c>
      <c r="D608" s="13">
        <v>44879</v>
      </c>
      <c r="E608" s="13">
        <v>44820</v>
      </c>
      <c r="F608" s="13">
        <v>45184</v>
      </c>
      <c r="G608" s="14" t="str">
        <f t="shared" si="199"/>
        <v>000-607/AIB RDC/2022</v>
      </c>
      <c r="H608" s="1">
        <v>0</v>
      </c>
      <c r="I608" s="1" t="s">
        <v>74</v>
      </c>
      <c r="J608" s="24" t="s">
        <v>939</v>
      </c>
      <c r="K608" s="1" t="s">
        <v>940</v>
      </c>
      <c r="L608" s="1"/>
      <c r="M608" s="1" t="s">
        <v>706</v>
      </c>
      <c r="N608" s="1" t="s">
        <v>209</v>
      </c>
      <c r="O608" s="1" t="s">
        <v>70</v>
      </c>
      <c r="P608" s="1" t="s">
        <v>71</v>
      </c>
      <c r="Q608" s="1" t="s">
        <v>130</v>
      </c>
      <c r="R608" s="1" t="s">
        <v>130</v>
      </c>
      <c r="S608" s="17">
        <v>0</v>
      </c>
      <c r="T608" s="17">
        <v>169636.05</v>
      </c>
      <c r="U608" s="17">
        <v>18333.41</v>
      </c>
      <c r="V608" s="17">
        <v>0</v>
      </c>
      <c r="W608" s="17">
        <v>633.96</v>
      </c>
      <c r="X608" s="17">
        <v>124791.99</v>
      </c>
      <c r="Y608" s="17">
        <v>23001.5</v>
      </c>
      <c r="Z608" s="18" t="e">
        <f t="shared" si="200"/>
        <v>#DIV/0!</v>
      </c>
      <c r="AA608" s="19">
        <v>7.0000000000000007E-2</v>
      </c>
      <c r="AB608" s="17">
        <f t="shared" si="208"/>
        <v>8735.4393000000018</v>
      </c>
      <c r="AC608" s="17">
        <v>0</v>
      </c>
      <c r="AD608" s="17">
        <v>0</v>
      </c>
      <c r="AE608" s="17">
        <f t="shared" si="201"/>
        <v>8735.4393000000018</v>
      </c>
      <c r="AF608" s="17">
        <f t="shared" si="198"/>
        <v>1397.6702880000003</v>
      </c>
      <c r="AG608" s="17">
        <f t="shared" si="207"/>
        <v>10133.109588000003</v>
      </c>
      <c r="AH608" s="17">
        <f t="shared" si="193"/>
        <v>174.70878600000003</v>
      </c>
      <c r="AI608" s="17"/>
      <c r="AJ608" s="17">
        <f t="shared" si="202"/>
        <v>174.70878600000003</v>
      </c>
      <c r="AK608" s="20"/>
      <c r="AL608" s="17">
        <f t="shared" si="203"/>
        <v>8560.7305140000026</v>
      </c>
      <c r="AM608" s="17" t="s">
        <v>198</v>
      </c>
      <c r="AN608" s="21"/>
      <c r="AO608" s="17">
        <f t="shared" si="204"/>
        <v>0</v>
      </c>
      <c r="AP608" s="27"/>
      <c r="AQ608" s="16"/>
      <c r="AR608" s="17">
        <f t="shared" si="191"/>
        <v>0</v>
      </c>
      <c r="AS608" s="17"/>
      <c r="AT608" s="17">
        <v>10133.109588000003</v>
      </c>
      <c r="AU608" s="17">
        <f t="shared" si="206"/>
        <v>10133.109588000003</v>
      </c>
      <c r="AV608" s="17">
        <f t="shared" si="205"/>
        <v>0</v>
      </c>
      <c r="AW608" s="17" t="str">
        <f t="shared" si="192"/>
        <v>SFA</v>
      </c>
      <c r="AX608" s="22">
        <v>44911</v>
      </c>
      <c r="AY608" s="22"/>
      <c r="AZ608" s="1"/>
      <c r="BA608" s="22" t="str">
        <f t="shared" si="209"/>
        <v>FIRE</v>
      </c>
      <c r="BB608" s="54"/>
      <c r="BC608" s="22"/>
      <c r="BD608" s="22"/>
    </row>
    <row r="609" spans="1:56" ht="14.25" customHeight="1" x14ac:dyDescent="0.2">
      <c r="A609" s="1" t="s">
        <v>667</v>
      </c>
      <c r="B609" s="1" t="s">
        <v>57</v>
      </c>
      <c r="C609" s="13">
        <v>44865</v>
      </c>
      <c r="D609" s="13">
        <v>44847</v>
      </c>
      <c r="E609" s="13">
        <v>44845</v>
      </c>
      <c r="F609" s="13">
        <v>45209</v>
      </c>
      <c r="G609" s="14" t="str">
        <f t="shared" si="199"/>
        <v>000-608/AIB RDC/2022</v>
      </c>
      <c r="H609" s="1">
        <v>0</v>
      </c>
      <c r="I609" s="1" t="s">
        <v>74</v>
      </c>
      <c r="J609" s="1" t="s">
        <v>941</v>
      </c>
      <c r="K609" s="1" t="s">
        <v>942</v>
      </c>
      <c r="L609" s="1"/>
      <c r="M609" s="1" t="s">
        <v>105</v>
      </c>
      <c r="N609" s="1" t="s">
        <v>541</v>
      </c>
      <c r="O609" s="1" t="s">
        <v>89</v>
      </c>
      <c r="P609" s="1" t="s">
        <v>90</v>
      </c>
      <c r="Q609" s="1" t="s">
        <v>130</v>
      </c>
      <c r="R609" s="1" t="s">
        <v>130</v>
      </c>
      <c r="S609" s="17">
        <v>0</v>
      </c>
      <c r="T609" s="17">
        <v>756.59</v>
      </c>
      <c r="U609" s="17">
        <v>0</v>
      </c>
      <c r="V609" s="17">
        <v>0</v>
      </c>
      <c r="W609" s="17">
        <v>20</v>
      </c>
      <c r="X609" s="17">
        <v>621.17999999999995</v>
      </c>
      <c r="Y609" s="17">
        <v>102.59</v>
      </c>
      <c r="Z609" s="18" t="e">
        <f t="shared" si="200"/>
        <v>#DIV/0!</v>
      </c>
      <c r="AA609" s="19">
        <v>0.15</v>
      </c>
      <c r="AB609" s="17">
        <f t="shared" si="208"/>
        <v>93.176999999999992</v>
      </c>
      <c r="AC609" s="17">
        <v>0</v>
      </c>
      <c r="AD609" s="17">
        <v>0</v>
      </c>
      <c r="AE609" s="17">
        <f t="shared" si="201"/>
        <v>93.176999999999992</v>
      </c>
      <c r="AF609" s="17">
        <f t="shared" si="198"/>
        <v>14.90832</v>
      </c>
      <c r="AG609" s="17">
        <f t="shared" si="207"/>
        <v>108.08532</v>
      </c>
      <c r="AH609" s="17">
        <f t="shared" si="193"/>
        <v>1.86354</v>
      </c>
      <c r="AI609" s="17"/>
      <c r="AJ609" s="17">
        <f t="shared" si="202"/>
        <v>1.86354</v>
      </c>
      <c r="AK609" s="20"/>
      <c r="AL609" s="17">
        <f t="shared" si="203"/>
        <v>91.313459999999992</v>
      </c>
      <c r="AM609" s="17"/>
      <c r="AN609" s="21"/>
      <c r="AO609" s="17">
        <f t="shared" si="204"/>
        <v>0</v>
      </c>
      <c r="AP609" s="27"/>
      <c r="AQ609" s="16"/>
      <c r="AR609" s="17">
        <f t="shared" ref="AR609:AR672" si="210">AO609-AP609</f>
        <v>0</v>
      </c>
      <c r="AS609" s="17"/>
      <c r="AT609" s="17">
        <v>108.08532</v>
      </c>
      <c r="AU609" s="17">
        <f t="shared" si="206"/>
        <v>108.08532</v>
      </c>
      <c r="AV609" s="17">
        <f t="shared" si="205"/>
        <v>0</v>
      </c>
      <c r="AW609" s="17" t="str">
        <f t="shared" si="192"/>
        <v>SFA</v>
      </c>
      <c r="AX609" s="22">
        <v>44887</v>
      </c>
      <c r="AY609" s="22"/>
      <c r="AZ609" s="1"/>
      <c r="BA609" s="22" t="str">
        <f t="shared" si="209"/>
        <v>GENERAL LIABILITY</v>
      </c>
      <c r="BB609" s="54"/>
      <c r="BC609" s="22"/>
      <c r="BD609" s="22"/>
    </row>
    <row r="610" spans="1:56" ht="14.25" customHeight="1" x14ac:dyDescent="0.2">
      <c r="A610" s="1" t="s">
        <v>667</v>
      </c>
      <c r="B610" s="1" t="s">
        <v>57</v>
      </c>
      <c r="C610" s="13">
        <v>44869</v>
      </c>
      <c r="D610" s="13">
        <v>44842</v>
      </c>
      <c r="E610" s="13">
        <v>44842</v>
      </c>
      <c r="F610" s="13">
        <v>44945</v>
      </c>
      <c r="G610" s="14" t="str">
        <f t="shared" si="199"/>
        <v>000-609/AIB RDC/2022</v>
      </c>
      <c r="H610" s="1">
        <v>18</v>
      </c>
      <c r="I610" s="1" t="s">
        <v>91</v>
      </c>
      <c r="J610" s="1" t="s">
        <v>221</v>
      </c>
      <c r="K610" s="1" t="s">
        <v>222</v>
      </c>
      <c r="L610" s="1" t="s">
        <v>160</v>
      </c>
      <c r="M610" s="1" t="s">
        <v>105</v>
      </c>
      <c r="N610" s="1" t="s">
        <v>184</v>
      </c>
      <c r="O610" s="1" t="s">
        <v>73</v>
      </c>
      <c r="P610" s="1" t="s">
        <v>73</v>
      </c>
      <c r="Q610" s="1" t="s">
        <v>130</v>
      </c>
      <c r="R610" s="1" t="s">
        <v>130</v>
      </c>
      <c r="S610" s="17">
        <v>0</v>
      </c>
      <c r="T610" s="17">
        <v>121.51</v>
      </c>
      <c r="U610" s="17">
        <v>0</v>
      </c>
      <c r="V610" s="17">
        <v>0</v>
      </c>
      <c r="W610" s="17">
        <v>1.52</v>
      </c>
      <c r="X610" s="17">
        <v>101.47</v>
      </c>
      <c r="Y610" s="17">
        <v>16.47</v>
      </c>
      <c r="Z610" s="18" t="e">
        <f t="shared" si="200"/>
        <v>#DIV/0!</v>
      </c>
      <c r="AA610" s="19">
        <v>0.1</v>
      </c>
      <c r="AB610" s="17">
        <f t="shared" si="208"/>
        <v>10.147</v>
      </c>
      <c r="AC610" s="17">
        <v>0</v>
      </c>
      <c r="AD610" s="17">
        <v>0</v>
      </c>
      <c r="AE610" s="17">
        <f t="shared" si="201"/>
        <v>10.147</v>
      </c>
      <c r="AF610" s="17">
        <f t="shared" si="198"/>
        <v>1.6235200000000001</v>
      </c>
      <c r="AG610" s="17">
        <f t="shared" si="207"/>
        <v>11.770520000000001</v>
      </c>
      <c r="AH610" s="17">
        <f t="shared" si="193"/>
        <v>0.20294000000000001</v>
      </c>
      <c r="AI610" s="17">
        <v>0</v>
      </c>
      <c r="AJ610" s="17">
        <f t="shared" si="202"/>
        <v>0.20294000000000001</v>
      </c>
      <c r="AK610" s="20"/>
      <c r="AL610" s="17">
        <f t="shared" si="203"/>
        <v>9.9440600000000003</v>
      </c>
      <c r="AM610" s="17"/>
      <c r="AN610" s="21"/>
      <c r="AO610" s="17">
        <f t="shared" si="204"/>
        <v>0</v>
      </c>
      <c r="AP610" s="27"/>
      <c r="AQ610" s="16"/>
      <c r="AR610" s="17">
        <f t="shared" si="210"/>
        <v>0</v>
      </c>
      <c r="AS610" s="17"/>
      <c r="AT610" s="17">
        <v>11.770520000000001</v>
      </c>
      <c r="AU610" s="17">
        <f t="shared" si="206"/>
        <v>11.770520000000001</v>
      </c>
      <c r="AV610" s="17">
        <f t="shared" si="205"/>
        <v>0</v>
      </c>
      <c r="AW610" s="17" t="str">
        <f t="shared" si="192"/>
        <v>SFA</v>
      </c>
      <c r="AX610" s="22">
        <v>44887</v>
      </c>
      <c r="AY610" s="22"/>
      <c r="AZ610" s="1" t="s">
        <v>68</v>
      </c>
      <c r="BA610" s="22" t="str">
        <f t="shared" si="209"/>
        <v>MOTOR TPL</v>
      </c>
      <c r="BB610" s="54"/>
      <c r="BC610" s="22"/>
      <c r="BD610" s="22"/>
    </row>
    <row r="611" spans="1:56" ht="14.25" customHeight="1" x14ac:dyDescent="0.2">
      <c r="A611" s="28" t="s">
        <v>667</v>
      </c>
      <c r="B611" s="28" t="s">
        <v>57</v>
      </c>
      <c r="C611" s="36">
        <v>44869</v>
      </c>
      <c r="D611" s="51">
        <v>44862</v>
      </c>
      <c r="E611" s="51">
        <v>44844</v>
      </c>
      <c r="F611" s="36">
        <v>45208</v>
      </c>
      <c r="G611" s="37" t="str">
        <f t="shared" si="199"/>
        <v>000-610/AIB RDC/2022</v>
      </c>
      <c r="H611" s="28">
        <v>0</v>
      </c>
      <c r="I611" s="28" t="s">
        <v>74</v>
      </c>
      <c r="J611" s="58" t="s">
        <v>943</v>
      </c>
      <c r="K611" s="28" t="s">
        <v>222</v>
      </c>
      <c r="L611" s="28" t="s">
        <v>160</v>
      </c>
      <c r="M611" s="28" t="s">
        <v>105</v>
      </c>
      <c r="N611" s="28" t="s">
        <v>191</v>
      </c>
      <c r="O611" s="28" t="s">
        <v>192</v>
      </c>
      <c r="P611" s="28" t="s">
        <v>98</v>
      </c>
      <c r="Q611" s="28" t="s">
        <v>130</v>
      </c>
      <c r="R611" s="28" t="s">
        <v>130</v>
      </c>
      <c r="S611" s="23">
        <v>0</v>
      </c>
      <c r="T611" s="23">
        <v>16413.39</v>
      </c>
      <c r="U611" s="23">
        <v>2076.12</v>
      </c>
      <c r="V611" s="23">
        <v>0</v>
      </c>
      <c r="W611" s="23">
        <v>68.819999999999993</v>
      </c>
      <c r="X611" s="23">
        <v>11764.71</v>
      </c>
      <c r="Y611" s="23">
        <v>2225.54</v>
      </c>
      <c r="Z611" s="38" t="e">
        <f t="shared" si="200"/>
        <v>#DIV/0!</v>
      </c>
      <c r="AA611" s="39">
        <v>0.1</v>
      </c>
      <c r="AB611" s="23">
        <f t="shared" si="208"/>
        <v>1176.471</v>
      </c>
      <c r="AC611" s="23">
        <v>0</v>
      </c>
      <c r="AD611" s="23">
        <v>0</v>
      </c>
      <c r="AE611" s="23">
        <f t="shared" si="201"/>
        <v>1176.471</v>
      </c>
      <c r="AF611" s="23">
        <f t="shared" si="198"/>
        <v>188.23536000000001</v>
      </c>
      <c r="AG611" s="23">
        <f t="shared" si="207"/>
        <v>1364.7063600000001</v>
      </c>
      <c r="AH611" s="23">
        <f t="shared" si="193"/>
        <v>23.529420000000002</v>
      </c>
      <c r="AI611" s="23">
        <v>0</v>
      </c>
      <c r="AJ611" s="23">
        <f t="shared" si="202"/>
        <v>23.529420000000002</v>
      </c>
      <c r="AK611" s="40"/>
      <c r="AL611" s="23">
        <f t="shared" si="203"/>
        <v>1152.9415799999999</v>
      </c>
      <c r="AM611" s="23"/>
      <c r="AN611" s="41"/>
      <c r="AO611" s="23">
        <f t="shared" si="204"/>
        <v>0</v>
      </c>
      <c r="AP611" s="55"/>
      <c r="AQ611" s="29"/>
      <c r="AR611" s="23">
        <f t="shared" si="210"/>
        <v>0</v>
      </c>
      <c r="AS611" s="23"/>
      <c r="AT611" s="23">
        <f>454.91+454.91+454.89</f>
        <v>1364.71</v>
      </c>
      <c r="AU611" s="23">
        <v>1364.71</v>
      </c>
      <c r="AV611" s="23">
        <f t="shared" si="205"/>
        <v>0</v>
      </c>
      <c r="AW611" s="23" t="str">
        <f t="shared" si="192"/>
        <v>SFA</v>
      </c>
      <c r="AX611" s="42">
        <v>45070</v>
      </c>
      <c r="AY611" s="42"/>
      <c r="AZ611" s="28"/>
      <c r="BA611" s="42" t="str">
        <f t="shared" si="209"/>
        <v>GPA</v>
      </c>
      <c r="BB611" s="56"/>
      <c r="BC611" s="42"/>
      <c r="BD611" s="28" t="s">
        <v>549</v>
      </c>
    </row>
    <row r="612" spans="1:56" ht="14.25" customHeight="1" x14ac:dyDescent="0.2">
      <c r="A612" s="1" t="s">
        <v>667</v>
      </c>
      <c r="B612" s="1" t="s">
        <v>273</v>
      </c>
      <c r="C612" s="13">
        <v>44869</v>
      </c>
      <c r="D612" s="1" t="s">
        <v>837</v>
      </c>
      <c r="E612" s="1" t="s">
        <v>837</v>
      </c>
      <c r="F612" s="1" t="s">
        <v>837</v>
      </c>
      <c r="G612" s="14" t="str">
        <f t="shared" si="199"/>
        <v>000-611/AIB RDC/2022</v>
      </c>
      <c r="H612" s="1">
        <v>0</v>
      </c>
      <c r="I612" s="1" t="s">
        <v>74</v>
      </c>
      <c r="J612" s="1" t="s">
        <v>986</v>
      </c>
      <c r="K612" s="1" t="s">
        <v>614</v>
      </c>
      <c r="L612" s="1"/>
      <c r="M612" s="1" t="s">
        <v>105</v>
      </c>
      <c r="N612" s="1" t="s">
        <v>106</v>
      </c>
      <c r="O612" s="1" t="s">
        <v>64</v>
      </c>
      <c r="P612" s="1" t="s">
        <v>65</v>
      </c>
      <c r="Q612" s="1" t="s">
        <v>130</v>
      </c>
      <c r="R612" s="1" t="s">
        <v>130</v>
      </c>
      <c r="S612" s="17">
        <v>80475</v>
      </c>
      <c r="T612" s="17">
        <v>111.04</v>
      </c>
      <c r="U612" s="17">
        <v>0</v>
      </c>
      <c r="V612" s="17">
        <v>0</v>
      </c>
      <c r="W612" s="17">
        <v>1.39</v>
      </c>
      <c r="X612" s="17">
        <v>92.71</v>
      </c>
      <c r="Y612" s="17">
        <v>15.06</v>
      </c>
      <c r="Z612" s="18">
        <f t="shared" si="200"/>
        <v>1.3798073936004971E-3</v>
      </c>
      <c r="AA612" s="19">
        <v>0.15</v>
      </c>
      <c r="AB612" s="17">
        <f t="shared" si="208"/>
        <v>13.906499999999999</v>
      </c>
      <c r="AC612" s="17">
        <v>0</v>
      </c>
      <c r="AD612" s="17">
        <v>0</v>
      </c>
      <c r="AE612" s="17">
        <f t="shared" si="201"/>
        <v>13.906499999999999</v>
      </c>
      <c r="AF612" s="17">
        <f t="shared" si="198"/>
        <v>2.2250399999999999</v>
      </c>
      <c r="AG612" s="17">
        <f t="shared" si="207"/>
        <v>16.131540000000001</v>
      </c>
      <c r="AH612" s="17">
        <f t="shared" si="193"/>
        <v>0.27812999999999999</v>
      </c>
      <c r="AI612" s="17"/>
      <c r="AJ612" s="17">
        <f t="shared" si="202"/>
        <v>0.27812999999999999</v>
      </c>
      <c r="AK612" s="20"/>
      <c r="AL612" s="17">
        <f t="shared" si="203"/>
        <v>13.62837</v>
      </c>
      <c r="AM612" s="17" t="s">
        <v>108</v>
      </c>
      <c r="AN612" s="21">
        <v>0.4</v>
      </c>
      <c r="AO612" s="17">
        <f t="shared" si="204"/>
        <v>5.4513480000000003</v>
      </c>
      <c r="AP612" s="27"/>
      <c r="AQ612" s="16"/>
      <c r="AR612" s="17">
        <f t="shared" si="210"/>
        <v>5.4513480000000003</v>
      </c>
      <c r="AS612" s="17"/>
      <c r="AT612" s="17"/>
      <c r="AU612" s="17">
        <f t="shared" ref="AU612:AU643" si="211">AG612</f>
        <v>16.131540000000001</v>
      </c>
      <c r="AV612" s="84">
        <f t="shared" si="205"/>
        <v>16.131540000000001</v>
      </c>
      <c r="AW612" s="17" t="str">
        <f t="shared" si="192"/>
        <v>SFA</v>
      </c>
      <c r="AX612" s="22"/>
      <c r="AY612" s="22"/>
      <c r="AZ612" s="1" t="s">
        <v>110</v>
      </c>
      <c r="BA612" s="22" t="str">
        <f t="shared" si="209"/>
        <v>MARINE CARGO / GIT</v>
      </c>
      <c r="BB612" s="54"/>
      <c r="BC612" s="22"/>
      <c r="BD612" s="1" t="s">
        <v>226</v>
      </c>
    </row>
    <row r="613" spans="1:56" ht="14.25" customHeight="1" x14ac:dyDescent="0.2">
      <c r="A613" s="28" t="s">
        <v>667</v>
      </c>
      <c r="B613" s="28" t="s">
        <v>57</v>
      </c>
      <c r="C613" s="36">
        <v>44869</v>
      </c>
      <c r="D613" s="51">
        <v>44855</v>
      </c>
      <c r="E613" s="36">
        <v>44855</v>
      </c>
      <c r="F613" s="36">
        <v>44858</v>
      </c>
      <c r="G613" s="37" t="str">
        <f t="shared" si="199"/>
        <v>000-612/AIB RDC/2022</v>
      </c>
      <c r="H613" s="28">
        <v>0</v>
      </c>
      <c r="I613" s="28" t="s">
        <v>74</v>
      </c>
      <c r="J613" s="28" t="s">
        <v>946</v>
      </c>
      <c r="K613" s="28" t="s">
        <v>228</v>
      </c>
      <c r="L613" s="28"/>
      <c r="M613" s="28" t="s">
        <v>105</v>
      </c>
      <c r="N613" s="28" t="s">
        <v>106</v>
      </c>
      <c r="O613" s="28" t="s">
        <v>64</v>
      </c>
      <c r="P613" s="28" t="s">
        <v>65</v>
      </c>
      <c r="Q613" s="28" t="s">
        <v>130</v>
      </c>
      <c r="R613" s="28" t="s">
        <v>130</v>
      </c>
      <c r="S613" s="23">
        <v>31631.14</v>
      </c>
      <c r="T613" s="23">
        <v>100.3</v>
      </c>
      <c r="U613" s="23">
        <v>0</v>
      </c>
      <c r="V613" s="23">
        <v>0</v>
      </c>
      <c r="W613" s="23">
        <v>20</v>
      </c>
      <c r="X613" s="23">
        <v>65</v>
      </c>
      <c r="Y613" s="23">
        <v>13.6</v>
      </c>
      <c r="Z613" s="38">
        <f t="shared" si="200"/>
        <v>3.1709258660927173E-3</v>
      </c>
      <c r="AA613" s="39">
        <v>0.15</v>
      </c>
      <c r="AB613" s="23">
        <f t="shared" si="208"/>
        <v>9.75</v>
      </c>
      <c r="AC613" s="23">
        <v>0</v>
      </c>
      <c r="AD613" s="23">
        <v>0</v>
      </c>
      <c r="AE613" s="23">
        <f t="shared" si="201"/>
        <v>9.75</v>
      </c>
      <c r="AF613" s="23">
        <f t="shared" si="198"/>
        <v>1.56</v>
      </c>
      <c r="AG613" s="23">
        <f t="shared" si="207"/>
        <v>11.31</v>
      </c>
      <c r="AH613" s="23">
        <f t="shared" si="193"/>
        <v>0.19500000000000001</v>
      </c>
      <c r="AI613" s="23"/>
      <c r="AJ613" s="23">
        <f t="shared" si="202"/>
        <v>0.19500000000000001</v>
      </c>
      <c r="AK613" s="40"/>
      <c r="AL613" s="23">
        <f t="shared" si="203"/>
        <v>9.5549999999999997</v>
      </c>
      <c r="AM613" s="23" t="s">
        <v>108</v>
      </c>
      <c r="AN613" s="41">
        <v>0.4</v>
      </c>
      <c r="AO613" s="23">
        <f t="shared" si="204"/>
        <v>3.8220000000000001</v>
      </c>
      <c r="AP613" s="30">
        <v>3.8220000000000001</v>
      </c>
      <c r="AQ613" s="29">
        <v>45229</v>
      </c>
      <c r="AR613" s="23">
        <f t="shared" si="210"/>
        <v>0</v>
      </c>
      <c r="AS613" s="23"/>
      <c r="AT613" s="23">
        <v>11.31</v>
      </c>
      <c r="AU613" s="23">
        <f t="shared" si="211"/>
        <v>11.31</v>
      </c>
      <c r="AV613" s="23">
        <f t="shared" si="205"/>
        <v>0</v>
      </c>
      <c r="AW613" s="23" t="str">
        <f t="shared" si="192"/>
        <v>SFA</v>
      </c>
      <c r="AX613" s="22">
        <v>45005</v>
      </c>
      <c r="AY613" s="42"/>
      <c r="AZ613" s="28" t="s">
        <v>110</v>
      </c>
      <c r="BA613" s="42" t="str">
        <f t="shared" si="209"/>
        <v>MARINE CARGO / GIT</v>
      </c>
      <c r="BB613" s="56"/>
      <c r="BC613" s="42"/>
      <c r="BD613" s="28" t="s">
        <v>226</v>
      </c>
    </row>
    <row r="614" spans="1:56" ht="14.25" customHeight="1" x14ac:dyDescent="0.2">
      <c r="A614" s="28" t="s">
        <v>667</v>
      </c>
      <c r="B614" s="28" t="s">
        <v>57</v>
      </c>
      <c r="C614" s="36">
        <v>44869</v>
      </c>
      <c r="D614" s="51">
        <v>44855</v>
      </c>
      <c r="E614" s="36">
        <v>44855</v>
      </c>
      <c r="F614" s="36">
        <v>44858</v>
      </c>
      <c r="G614" s="37" t="str">
        <f t="shared" si="199"/>
        <v>000-613/AIB RDC/2022</v>
      </c>
      <c r="H614" s="28">
        <v>0</v>
      </c>
      <c r="I614" s="28" t="s">
        <v>74</v>
      </c>
      <c r="J614" s="28" t="s">
        <v>947</v>
      </c>
      <c r="K614" s="28" t="s">
        <v>228</v>
      </c>
      <c r="L614" s="28"/>
      <c r="M614" s="28" t="s">
        <v>105</v>
      </c>
      <c r="N614" s="28" t="s">
        <v>106</v>
      </c>
      <c r="O614" s="28" t="s">
        <v>64</v>
      </c>
      <c r="P614" s="28" t="s">
        <v>65</v>
      </c>
      <c r="Q614" s="28" t="s">
        <v>130</v>
      </c>
      <c r="R614" s="28" t="s">
        <v>130</v>
      </c>
      <c r="S614" s="23">
        <v>78339.350000000006</v>
      </c>
      <c r="T614" s="23">
        <v>112.33</v>
      </c>
      <c r="U614" s="23">
        <v>0</v>
      </c>
      <c r="V614" s="23">
        <v>0</v>
      </c>
      <c r="W614" s="23">
        <v>20</v>
      </c>
      <c r="X614" s="23">
        <v>75.2</v>
      </c>
      <c r="Y614" s="23">
        <v>15.23</v>
      </c>
      <c r="Z614" s="38">
        <f t="shared" si="200"/>
        <v>1.4338898650550456E-3</v>
      </c>
      <c r="AA614" s="39">
        <v>0.15</v>
      </c>
      <c r="AB614" s="23">
        <f t="shared" si="208"/>
        <v>11.28</v>
      </c>
      <c r="AC614" s="23">
        <v>0</v>
      </c>
      <c r="AD614" s="23">
        <v>0</v>
      </c>
      <c r="AE614" s="23">
        <f t="shared" si="201"/>
        <v>11.28</v>
      </c>
      <c r="AF614" s="23">
        <f t="shared" si="198"/>
        <v>1.8048</v>
      </c>
      <c r="AG614" s="23">
        <f t="shared" si="207"/>
        <v>13.0848</v>
      </c>
      <c r="AH614" s="23">
        <f t="shared" si="193"/>
        <v>0.22559999999999999</v>
      </c>
      <c r="AI614" s="23"/>
      <c r="AJ614" s="23">
        <f t="shared" si="202"/>
        <v>0.22559999999999999</v>
      </c>
      <c r="AK614" s="40"/>
      <c r="AL614" s="23">
        <f t="shared" si="203"/>
        <v>11.054399999999999</v>
      </c>
      <c r="AM614" s="23" t="s">
        <v>108</v>
      </c>
      <c r="AN614" s="41">
        <v>0.4</v>
      </c>
      <c r="AO614" s="23">
        <f t="shared" si="204"/>
        <v>4.4217599999999999</v>
      </c>
      <c r="AP614" s="30">
        <v>4.4217599999999999</v>
      </c>
      <c r="AQ614" s="29">
        <v>45229</v>
      </c>
      <c r="AR614" s="23">
        <f t="shared" si="210"/>
        <v>0</v>
      </c>
      <c r="AS614" s="23"/>
      <c r="AT614" s="23">
        <v>13.0848</v>
      </c>
      <c r="AU614" s="23">
        <f t="shared" si="211"/>
        <v>13.0848</v>
      </c>
      <c r="AV614" s="23">
        <f t="shared" si="205"/>
        <v>0</v>
      </c>
      <c r="AW614" s="23" t="str">
        <f t="shared" si="192"/>
        <v>SFA</v>
      </c>
      <c r="AX614" s="22">
        <v>45005</v>
      </c>
      <c r="AY614" s="42"/>
      <c r="AZ614" s="28" t="s">
        <v>110</v>
      </c>
      <c r="BA614" s="42" t="str">
        <f t="shared" si="209"/>
        <v>MARINE CARGO / GIT</v>
      </c>
      <c r="BB614" s="56"/>
      <c r="BC614" s="42"/>
      <c r="BD614" s="28" t="s">
        <v>226</v>
      </c>
    </row>
    <row r="615" spans="1:56" ht="14.25" customHeight="1" x14ac:dyDescent="0.2">
      <c r="A615" s="1" t="s">
        <v>496</v>
      </c>
      <c r="B615" s="1" t="s">
        <v>273</v>
      </c>
      <c r="C615" s="13">
        <v>44712</v>
      </c>
      <c r="D615" s="13"/>
      <c r="E615" s="13">
        <v>44712</v>
      </c>
      <c r="F615" s="13">
        <v>44742</v>
      </c>
      <c r="G615" s="14" t="str">
        <f t="shared" si="199"/>
        <v>000-614/AIB RDC/2022</v>
      </c>
      <c r="H615" s="1">
        <v>0</v>
      </c>
      <c r="I615" s="1" t="s">
        <v>74</v>
      </c>
      <c r="J615" s="1"/>
      <c r="K615" s="1" t="s">
        <v>144</v>
      </c>
      <c r="L615" s="1" t="s">
        <v>83</v>
      </c>
      <c r="M615" s="1" t="s">
        <v>84</v>
      </c>
      <c r="N615" s="1" t="s">
        <v>85</v>
      </c>
      <c r="O615" s="1" t="s">
        <v>152</v>
      </c>
      <c r="P615" s="1" t="s">
        <v>153</v>
      </c>
      <c r="Q615" s="1" t="s">
        <v>130</v>
      </c>
      <c r="R615" s="1" t="s">
        <v>130</v>
      </c>
      <c r="S615" s="17">
        <v>145000</v>
      </c>
      <c r="T615" s="17">
        <v>706.66</v>
      </c>
      <c r="U615" s="17">
        <v>0</v>
      </c>
      <c r="V615" s="17">
        <v>0</v>
      </c>
      <c r="W615" s="17">
        <v>8.85</v>
      </c>
      <c r="X615" s="17">
        <v>590.01</v>
      </c>
      <c r="Y615" s="17">
        <v>95.82</v>
      </c>
      <c r="Z615" s="18">
        <f t="shared" si="200"/>
        <v>4.8735172413793097E-3</v>
      </c>
      <c r="AA615" s="19">
        <v>0.15</v>
      </c>
      <c r="AB615" s="17">
        <f t="shared" si="208"/>
        <v>88.501499999999993</v>
      </c>
      <c r="AC615" s="17">
        <v>0</v>
      </c>
      <c r="AD615" s="17">
        <v>0</v>
      </c>
      <c r="AE615" s="17">
        <f t="shared" si="201"/>
        <v>88.501499999999993</v>
      </c>
      <c r="AF615" s="17">
        <f t="shared" si="198"/>
        <v>14.16024</v>
      </c>
      <c r="AG615" s="17">
        <f t="shared" si="207"/>
        <v>102.66173999999999</v>
      </c>
      <c r="AH615" s="17">
        <f t="shared" si="193"/>
        <v>1.77003</v>
      </c>
      <c r="AI615" s="17"/>
      <c r="AJ615" s="17">
        <f t="shared" si="202"/>
        <v>1.77003</v>
      </c>
      <c r="AK615" s="20"/>
      <c r="AL615" s="17">
        <f t="shared" si="203"/>
        <v>86.731469999999987</v>
      </c>
      <c r="AM615" s="17" t="s">
        <v>87</v>
      </c>
      <c r="AN615" s="21">
        <v>0.35</v>
      </c>
      <c r="AO615" s="17">
        <f t="shared" si="204"/>
        <v>30.356014499999993</v>
      </c>
      <c r="AP615" s="17"/>
      <c r="AQ615" s="16"/>
      <c r="AR615" s="17">
        <f t="shared" si="210"/>
        <v>30.356014499999993</v>
      </c>
      <c r="AS615" s="17"/>
      <c r="AT615" s="17"/>
      <c r="AU615" s="17">
        <f t="shared" si="211"/>
        <v>102.66173999999999</v>
      </c>
      <c r="AV615" s="84">
        <f t="shared" si="205"/>
        <v>102.66173999999999</v>
      </c>
      <c r="AW615" s="17" t="str">
        <f t="shared" si="192"/>
        <v>SFA</v>
      </c>
      <c r="AX615" s="22"/>
      <c r="AY615" s="22"/>
      <c r="AZ615" s="1" t="s">
        <v>110</v>
      </c>
      <c r="BA615" s="22" t="str">
        <f t="shared" si="209"/>
        <v>COMP MOTOR</v>
      </c>
      <c r="BB615" s="22"/>
      <c r="BC615" s="22"/>
      <c r="BD615" s="1" t="s">
        <v>390</v>
      </c>
    </row>
    <row r="616" spans="1:56" ht="14.25" customHeight="1" x14ac:dyDescent="0.2">
      <c r="A616" s="1" t="s">
        <v>496</v>
      </c>
      <c r="B616" s="1" t="s">
        <v>273</v>
      </c>
      <c r="C616" s="13">
        <v>44712</v>
      </c>
      <c r="D616" s="13"/>
      <c r="E616" s="13">
        <v>44712</v>
      </c>
      <c r="F616" s="13">
        <v>44742</v>
      </c>
      <c r="G616" s="14" t="str">
        <f t="shared" si="199"/>
        <v>000-615/AIB RDC/2022</v>
      </c>
      <c r="H616" s="1">
        <v>0</v>
      </c>
      <c r="I616" s="1" t="s">
        <v>74</v>
      </c>
      <c r="J616" s="1"/>
      <c r="K616" s="1" t="s">
        <v>141</v>
      </c>
      <c r="L616" s="1" t="s">
        <v>83</v>
      </c>
      <c r="M616" s="1" t="s">
        <v>84</v>
      </c>
      <c r="N616" s="1" t="s">
        <v>85</v>
      </c>
      <c r="O616" s="1" t="s">
        <v>152</v>
      </c>
      <c r="P616" s="1" t="s">
        <v>153</v>
      </c>
      <c r="Q616" s="1" t="s">
        <v>130</v>
      </c>
      <c r="R616" s="1" t="s">
        <v>130</v>
      </c>
      <c r="S616" s="17">
        <v>325557</v>
      </c>
      <c r="T616" s="17">
        <v>2198.23</v>
      </c>
      <c r="U616" s="17">
        <v>0</v>
      </c>
      <c r="V616" s="17">
        <v>0</v>
      </c>
      <c r="W616" s="17">
        <v>27.52</v>
      </c>
      <c r="X616" s="17">
        <v>1835.4</v>
      </c>
      <c r="Y616" s="17">
        <v>298.06</v>
      </c>
      <c r="Z616" s="18">
        <f t="shared" si="200"/>
        <v>6.7522123621977107E-3</v>
      </c>
      <c r="AA616" s="19">
        <v>0.15</v>
      </c>
      <c r="AB616" s="17">
        <f t="shared" si="208"/>
        <v>275.31</v>
      </c>
      <c r="AC616" s="17"/>
      <c r="AD616" s="17"/>
      <c r="AE616" s="17">
        <f t="shared" si="201"/>
        <v>275.31</v>
      </c>
      <c r="AF616" s="17">
        <f t="shared" si="198"/>
        <v>44.049599999999998</v>
      </c>
      <c r="AG616" s="17">
        <f t="shared" si="207"/>
        <v>319.3596</v>
      </c>
      <c r="AH616" s="17">
        <f t="shared" si="193"/>
        <v>5.5061999999999998</v>
      </c>
      <c r="AI616" s="17">
        <v>0</v>
      </c>
      <c r="AJ616" s="17">
        <f t="shared" si="202"/>
        <v>5.5061999999999998</v>
      </c>
      <c r="AK616" s="20"/>
      <c r="AL616" s="17">
        <f t="shared" si="203"/>
        <v>269.80380000000002</v>
      </c>
      <c r="AM616" s="17" t="s">
        <v>87</v>
      </c>
      <c r="AN616" s="21">
        <v>0.35</v>
      </c>
      <c r="AO616" s="17">
        <f t="shared" si="204"/>
        <v>94.431330000000003</v>
      </c>
      <c r="AP616" s="17"/>
      <c r="AQ616" s="16"/>
      <c r="AR616" s="17">
        <f t="shared" si="210"/>
        <v>94.431330000000003</v>
      </c>
      <c r="AS616" s="17"/>
      <c r="AT616" s="17"/>
      <c r="AU616" s="17">
        <f t="shared" si="211"/>
        <v>319.3596</v>
      </c>
      <c r="AV616" s="84">
        <f t="shared" si="205"/>
        <v>319.3596</v>
      </c>
      <c r="AW616" s="17" t="str">
        <f t="shared" ref="AW616:AW679" si="212">Q616</f>
        <v>SFA</v>
      </c>
      <c r="AX616" s="22"/>
      <c r="AY616" s="22"/>
      <c r="AZ616" s="1" t="s">
        <v>110</v>
      </c>
      <c r="BA616" s="22" t="str">
        <f t="shared" si="209"/>
        <v>COMP MOTOR</v>
      </c>
      <c r="BB616" s="22"/>
      <c r="BC616" s="22"/>
      <c r="BD616" s="1" t="s">
        <v>591</v>
      </c>
    </row>
    <row r="617" spans="1:56" ht="14.25" customHeight="1" x14ac:dyDescent="0.2">
      <c r="A617" s="28" t="s">
        <v>667</v>
      </c>
      <c r="B617" s="28" t="s">
        <v>273</v>
      </c>
      <c r="C617" s="36">
        <v>44838</v>
      </c>
      <c r="D617" s="36">
        <v>44981</v>
      </c>
      <c r="E617" s="36">
        <v>44838</v>
      </c>
      <c r="F617" s="36">
        <v>44981</v>
      </c>
      <c r="G617" s="37" t="str">
        <f t="shared" si="199"/>
        <v>000-616/AIB RDC/2022</v>
      </c>
      <c r="H617" s="28">
        <v>2</v>
      </c>
      <c r="I617" s="28" t="s">
        <v>115</v>
      </c>
      <c r="J617" s="28" t="s">
        <v>347</v>
      </c>
      <c r="K617" s="1" t="s">
        <v>141</v>
      </c>
      <c r="L617" s="28" t="s">
        <v>83</v>
      </c>
      <c r="M617" s="28" t="s">
        <v>84</v>
      </c>
      <c r="N617" s="28" t="s">
        <v>85</v>
      </c>
      <c r="O617" s="28" t="s">
        <v>152</v>
      </c>
      <c r="P617" s="28" t="s">
        <v>153</v>
      </c>
      <c r="Q617" s="28" t="s">
        <v>130</v>
      </c>
      <c r="R617" s="28" t="s">
        <v>130</v>
      </c>
      <c r="S617" s="23">
        <v>0</v>
      </c>
      <c r="T617" s="23">
        <v>-108.32</v>
      </c>
      <c r="U617" s="23">
        <v>0</v>
      </c>
      <c r="V617" s="23">
        <v>0</v>
      </c>
      <c r="W617" s="23">
        <v>0</v>
      </c>
      <c r="X617" s="23">
        <v>-93.38</v>
      </c>
      <c r="Y617" s="23">
        <v>-14.94</v>
      </c>
      <c r="Z617" s="38" t="e">
        <f t="shared" si="200"/>
        <v>#DIV/0!</v>
      </c>
      <c r="AA617" s="39">
        <v>0.1</v>
      </c>
      <c r="AB617" s="23">
        <f t="shared" si="208"/>
        <v>-9.3379999999999992</v>
      </c>
      <c r="AC617" s="23">
        <v>0</v>
      </c>
      <c r="AD617" s="23">
        <v>0</v>
      </c>
      <c r="AE617" s="23">
        <f t="shared" si="201"/>
        <v>-9.3379999999999992</v>
      </c>
      <c r="AF617" s="23">
        <f t="shared" si="198"/>
        <v>-1.4940799999999999</v>
      </c>
      <c r="AG617" s="23">
        <f t="shared" si="207"/>
        <v>-10.832079999999999</v>
      </c>
      <c r="AH617" s="23">
        <f t="shared" ref="AH617:AH680" si="213">2%*AE617</f>
        <v>-0.18675999999999998</v>
      </c>
      <c r="AI617" s="17">
        <v>0</v>
      </c>
      <c r="AJ617" s="23">
        <f t="shared" si="202"/>
        <v>-0.18675999999999998</v>
      </c>
      <c r="AK617" s="40"/>
      <c r="AL617" s="23">
        <f t="shared" si="203"/>
        <v>-9.1512399999999996</v>
      </c>
      <c r="AM617" s="17" t="s">
        <v>87</v>
      </c>
      <c r="AN617" s="21">
        <v>0.35</v>
      </c>
      <c r="AO617" s="17">
        <f t="shared" si="204"/>
        <v>-3.2029339999999995</v>
      </c>
      <c r="AP617" s="55"/>
      <c r="AQ617" s="29"/>
      <c r="AR617" s="23">
        <f t="shared" si="210"/>
        <v>-3.2029339999999995</v>
      </c>
      <c r="AS617" s="23"/>
      <c r="AT617" s="23"/>
      <c r="AU617" s="23">
        <f t="shared" si="211"/>
        <v>-10.832079999999999</v>
      </c>
      <c r="AV617" s="85">
        <f t="shared" si="205"/>
        <v>-10.832079999999999</v>
      </c>
      <c r="AW617" s="23" t="str">
        <f t="shared" si="212"/>
        <v>SFA</v>
      </c>
      <c r="AX617" s="42"/>
      <c r="AY617" s="42"/>
      <c r="AZ617" s="28" t="s">
        <v>68</v>
      </c>
      <c r="BA617" s="42" t="str">
        <f t="shared" si="209"/>
        <v>COMP MOTOR</v>
      </c>
      <c r="BB617" s="56"/>
      <c r="BC617" s="42"/>
      <c r="BD617" s="42"/>
    </row>
    <row r="618" spans="1:56" ht="14.25" customHeight="1" x14ac:dyDescent="0.2">
      <c r="A618" s="1" t="s">
        <v>667</v>
      </c>
      <c r="B618" s="1" t="s">
        <v>57</v>
      </c>
      <c r="C618" s="13">
        <v>44869</v>
      </c>
      <c r="D618" s="50">
        <v>44844</v>
      </c>
      <c r="E618" s="50">
        <v>44844</v>
      </c>
      <c r="F618" s="50">
        <v>44846</v>
      </c>
      <c r="G618" s="14" t="str">
        <f t="shared" si="199"/>
        <v>000-617/AIB RDC/2022</v>
      </c>
      <c r="H618" s="1">
        <v>0</v>
      </c>
      <c r="I618" s="1" t="s">
        <v>74</v>
      </c>
      <c r="J618" s="1" t="s">
        <v>951</v>
      </c>
      <c r="K618" s="1" t="s">
        <v>228</v>
      </c>
      <c r="L618" s="1"/>
      <c r="M618" s="1" t="s">
        <v>105</v>
      </c>
      <c r="N618" s="1" t="s">
        <v>106</v>
      </c>
      <c r="O618" s="1" t="s">
        <v>64</v>
      </c>
      <c r="P618" s="1" t="s">
        <v>65</v>
      </c>
      <c r="Q618" s="1" t="s">
        <v>130</v>
      </c>
      <c r="R618" s="1" t="s">
        <v>130</v>
      </c>
      <c r="S618" s="17">
        <v>33635.699999999997</v>
      </c>
      <c r="T618" s="17">
        <v>66.08</v>
      </c>
      <c r="U618" s="17">
        <v>0</v>
      </c>
      <c r="V618" s="17">
        <v>0</v>
      </c>
      <c r="W618" s="17">
        <v>20</v>
      </c>
      <c r="X618" s="17">
        <v>36</v>
      </c>
      <c r="Y618" s="17">
        <v>8.9600000000000009</v>
      </c>
      <c r="Z618" s="18">
        <f t="shared" si="200"/>
        <v>1.964579301159185E-3</v>
      </c>
      <c r="AA618" s="19">
        <v>0.15</v>
      </c>
      <c r="AB618" s="17">
        <f t="shared" si="208"/>
        <v>5.3999999999999995</v>
      </c>
      <c r="AC618" s="17">
        <v>0</v>
      </c>
      <c r="AD618" s="17">
        <v>0</v>
      </c>
      <c r="AE618" s="17">
        <f t="shared" si="201"/>
        <v>5.3999999999999995</v>
      </c>
      <c r="AF618" s="17">
        <f t="shared" ref="AF618:AF649" si="214">16%*AE618</f>
        <v>0.86399999999999988</v>
      </c>
      <c r="AG618" s="17">
        <f t="shared" si="207"/>
        <v>6.2639999999999993</v>
      </c>
      <c r="AH618" s="17">
        <f t="shared" si="213"/>
        <v>0.10799999999999998</v>
      </c>
      <c r="AI618" s="17"/>
      <c r="AJ618" s="17">
        <f t="shared" si="202"/>
        <v>0.10799999999999998</v>
      </c>
      <c r="AK618" s="20"/>
      <c r="AL618" s="17">
        <f t="shared" si="203"/>
        <v>5.2919999999999998</v>
      </c>
      <c r="AM618" s="17" t="s">
        <v>108</v>
      </c>
      <c r="AN618" s="21">
        <v>0.4</v>
      </c>
      <c r="AO618" s="17">
        <f t="shared" si="204"/>
        <v>2.1168</v>
      </c>
      <c r="AP618" s="30">
        <v>2.1168</v>
      </c>
      <c r="AQ618" s="29">
        <v>45229</v>
      </c>
      <c r="AR618" s="17">
        <f t="shared" si="210"/>
        <v>0</v>
      </c>
      <c r="AS618" s="17"/>
      <c r="AT618" s="17">
        <v>6.2639999999999993</v>
      </c>
      <c r="AU618" s="17">
        <f t="shared" si="211"/>
        <v>6.2639999999999993</v>
      </c>
      <c r="AV618" s="17">
        <f t="shared" si="205"/>
        <v>0</v>
      </c>
      <c r="AW618" s="17" t="str">
        <f t="shared" si="212"/>
        <v>SFA</v>
      </c>
      <c r="AX618" s="22">
        <v>45005</v>
      </c>
      <c r="AY618" s="22"/>
      <c r="AZ618" s="1" t="s">
        <v>110</v>
      </c>
      <c r="BA618" s="42" t="str">
        <f t="shared" si="209"/>
        <v>MARINE CARGO / GIT</v>
      </c>
      <c r="BB618" s="54"/>
      <c r="BC618" s="22"/>
      <c r="BD618" s="1" t="s">
        <v>226</v>
      </c>
    </row>
    <row r="619" spans="1:56" ht="14.25" customHeight="1" x14ac:dyDescent="0.2">
      <c r="A619" s="1" t="s">
        <v>667</v>
      </c>
      <c r="B619" s="1" t="s">
        <v>57</v>
      </c>
      <c r="C619" s="13">
        <v>44869</v>
      </c>
      <c r="D619" s="50">
        <v>44855</v>
      </c>
      <c r="E619" s="50">
        <v>44853</v>
      </c>
      <c r="F619" s="13">
        <v>45217</v>
      </c>
      <c r="G619" s="14" t="str">
        <f t="shared" si="199"/>
        <v>000-618/AIB RDC/2022</v>
      </c>
      <c r="H619" s="1">
        <v>0</v>
      </c>
      <c r="I619" s="1" t="s">
        <v>74</v>
      </c>
      <c r="J619" s="1" t="s">
        <v>952</v>
      </c>
      <c r="K619" s="1" t="s">
        <v>228</v>
      </c>
      <c r="L619" s="1"/>
      <c r="M619" s="1" t="s">
        <v>105</v>
      </c>
      <c r="N619" s="1" t="s">
        <v>106</v>
      </c>
      <c r="O619" s="1" t="s">
        <v>64</v>
      </c>
      <c r="P619" s="1" t="s">
        <v>65</v>
      </c>
      <c r="Q619" s="1" t="s">
        <v>130</v>
      </c>
      <c r="R619" s="1" t="s">
        <v>130</v>
      </c>
      <c r="S619" s="17">
        <v>213791.84</v>
      </c>
      <c r="T619" s="17">
        <v>595.34</v>
      </c>
      <c r="U619" s="17">
        <v>0</v>
      </c>
      <c r="V619" s="17">
        <v>0</v>
      </c>
      <c r="W619" s="17">
        <v>7.46</v>
      </c>
      <c r="X619" s="17">
        <v>497.07</v>
      </c>
      <c r="Y619" s="17">
        <v>80.72</v>
      </c>
      <c r="Z619" s="18">
        <f t="shared" si="200"/>
        <v>2.7846712952187512E-3</v>
      </c>
      <c r="AA619" s="19">
        <v>0.15</v>
      </c>
      <c r="AB619" s="17">
        <f t="shared" si="208"/>
        <v>74.56049999999999</v>
      </c>
      <c r="AC619" s="17">
        <v>0</v>
      </c>
      <c r="AD619" s="17">
        <v>0</v>
      </c>
      <c r="AE619" s="17">
        <f t="shared" si="201"/>
        <v>74.56049999999999</v>
      </c>
      <c r="AF619" s="17">
        <f t="shared" si="214"/>
        <v>11.929679999999999</v>
      </c>
      <c r="AG619" s="17">
        <f t="shared" si="207"/>
        <v>86.490179999999995</v>
      </c>
      <c r="AH619" s="17">
        <f t="shared" si="213"/>
        <v>1.4912099999999999</v>
      </c>
      <c r="AI619" s="17"/>
      <c r="AJ619" s="17">
        <f t="shared" si="202"/>
        <v>1.4912099999999999</v>
      </c>
      <c r="AK619" s="20"/>
      <c r="AL619" s="17">
        <f t="shared" si="203"/>
        <v>73.069289999999995</v>
      </c>
      <c r="AM619" s="17" t="s">
        <v>108</v>
      </c>
      <c r="AN619" s="21">
        <v>0.4</v>
      </c>
      <c r="AO619" s="17">
        <f t="shared" si="204"/>
        <v>29.227716000000001</v>
      </c>
      <c r="AP619" s="30">
        <v>29.227716000000001</v>
      </c>
      <c r="AQ619" s="29">
        <v>45229</v>
      </c>
      <c r="AR619" s="17">
        <f t="shared" si="210"/>
        <v>0</v>
      </c>
      <c r="AS619" s="17"/>
      <c r="AT619" s="17">
        <v>86.490179999999995</v>
      </c>
      <c r="AU619" s="17">
        <f t="shared" si="211"/>
        <v>86.490179999999995</v>
      </c>
      <c r="AV619" s="17">
        <f t="shared" si="205"/>
        <v>0</v>
      </c>
      <c r="AW619" s="17" t="str">
        <f t="shared" si="212"/>
        <v>SFA</v>
      </c>
      <c r="AX619" s="22">
        <v>44949</v>
      </c>
      <c r="AY619" s="22"/>
      <c r="AZ619" s="1" t="s">
        <v>110</v>
      </c>
      <c r="BA619" s="22" t="str">
        <f t="shared" si="209"/>
        <v>MARINE CARGO / GIT</v>
      </c>
      <c r="BB619" s="54"/>
      <c r="BC619" s="22"/>
      <c r="BD619" s="1"/>
    </row>
    <row r="620" spans="1:56" ht="14.25" customHeight="1" x14ac:dyDescent="0.2">
      <c r="A620" s="1" t="s">
        <v>667</v>
      </c>
      <c r="B620" s="1" t="s">
        <v>57</v>
      </c>
      <c r="C620" s="13">
        <v>44869</v>
      </c>
      <c r="D620" s="50">
        <v>44855</v>
      </c>
      <c r="E620" s="50">
        <v>44853</v>
      </c>
      <c r="F620" s="13">
        <v>45217</v>
      </c>
      <c r="G620" s="14" t="str">
        <f t="shared" si="199"/>
        <v>000-619/AIB RDC/2022</v>
      </c>
      <c r="H620" s="1">
        <v>0</v>
      </c>
      <c r="I620" s="1" t="s">
        <v>74</v>
      </c>
      <c r="J620" s="1" t="s">
        <v>953</v>
      </c>
      <c r="K620" s="1" t="s">
        <v>228</v>
      </c>
      <c r="L620" s="1"/>
      <c r="M620" s="1" t="s">
        <v>105</v>
      </c>
      <c r="N620" s="1" t="s">
        <v>106</v>
      </c>
      <c r="O620" s="1" t="s">
        <v>64</v>
      </c>
      <c r="P620" s="1" t="s">
        <v>65</v>
      </c>
      <c r="Q620" s="1" t="s">
        <v>130</v>
      </c>
      <c r="R620" s="1" t="s">
        <v>130</v>
      </c>
      <c r="S620" s="17">
        <v>415052.57</v>
      </c>
      <c r="T620" s="17">
        <v>1155.79</v>
      </c>
      <c r="U620" s="17">
        <v>0</v>
      </c>
      <c r="V620" s="17">
        <v>0</v>
      </c>
      <c r="W620" s="17">
        <v>14.48</v>
      </c>
      <c r="X620" s="17">
        <v>965</v>
      </c>
      <c r="Y620" s="17">
        <v>156.72</v>
      </c>
      <c r="Z620" s="18">
        <f t="shared" si="200"/>
        <v>2.7846833956479294E-3</v>
      </c>
      <c r="AA620" s="19">
        <v>0.15</v>
      </c>
      <c r="AB620" s="17">
        <f t="shared" si="208"/>
        <v>144.75</v>
      </c>
      <c r="AC620" s="17">
        <v>0</v>
      </c>
      <c r="AD620" s="17">
        <v>0</v>
      </c>
      <c r="AE620" s="17">
        <f t="shared" si="201"/>
        <v>144.75</v>
      </c>
      <c r="AF620" s="17">
        <f t="shared" si="214"/>
        <v>23.16</v>
      </c>
      <c r="AG620" s="17">
        <f t="shared" si="207"/>
        <v>167.91</v>
      </c>
      <c r="AH620" s="17">
        <f t="shared" si="213"/>
        <v>2.895</v>
      </c>
      <c r="AI620" s="17"/>
      <c r="AJ620" s="17">
        <f t="shared" si="202"/>
        <v>2.895</v>
      </c>
      <c r="AK620" s="20"/>
      <c r="AL620" s="17">
        <f t="shared" si="203"/>
        <v>141.85499999999999</v>
      </c>
      <c r="AM620" s="17" t="s">
        <v>108</v>
      </c>
      <c r="AN620" s="21">
        <v>0.4</v>
      </c>
      <c r="AO620" s="17">
        <f t="shared" si="204"/>
        <v>56.741999999999997</v>
      </c>
      <c r="AP620" s="30">
        <v>56.741999999999997</v>
      </c>
      <c r="AQ620" s="29">
        <v>45229</v>
      </c>
      <c r="AR620" s="17">
        <f t="shared" si="210"/>
        <v>0</v>
      </c>
      <c r="AS620" s="17"/>
      <c r="AT620" s="17">
        <v>167.91</v>
      </c>
      <c r="AU620" s="17">
        <f t="shared" si="211"/>
        <v>167.91</v>
      </c>
      <c r="AV620" s="17">
        <f t="shared" si="205"/>
        <v>0</v>
      </c>
      <c r="AW620" s="17" t="str">
        <f t="shared" si="212"/>
        <v>SFA</v>
      </c>
      <c r="AX620" s="22">
        <v>44949</v>
      </c>
      <c r="AY620" s="22"/>
      <c r="AZ620" s="1" t="s">
        <v>110</v>
      </c>
      <c r="BA620" s="22" t="str">
        <f t="shared" si="209"/>
        <v>MARINE CARGO / GIT</v>
      </c>
      <c r="BB620" s="54"/>
      <c r="BC620" s="22"/>
      <c r="BD620" s="1"/>
    </row>
    <row r="621" spans="1:56" ht="14.25" customHeight="1" x14ac:dyDescent="0.2">
      <c r="A621" s="1" t="s">
        <v>667</v>
      </c>
      <c r="B621" s="1" t="s">
        <v>57</v>
      </c>
      <c r="C621" s="13">
        <v>44869</v>
      </c>
      <c r="D621" s="50">
        <v>44855</v>
      </c>
      <c r="E621" s="50">
        <v>44853</v>
      </c>
      <c r="F621" s="13">
        <v>45217</v>
      </c>
      <c r="G621" s="14" t="str">
        <f t="shared" si="199"/>
        <v>000-620/AIB RDC/2022</v>
      </c>
      <c r="H621" s="1">
        <v>0</v>
      </c>
      <c r="I621" s="1" t="s">
        <v>74</v>
      </c>
      <c r="J621" s="1" t="s">
        <v>954</v>
      </c>
      <c r="K621" s="1" t="s">
        <v>228</v>
      </c>
      <c r="L621" s="1"/>
      <c r="M621" s="1" t="s">
        <v>105</v>
      </c>
      <c r="N621" s="1" t="s">
        <v>106</v>
      </c>
      <c r="O621" s="1" t="s">
        <v>64</v>
      </c>
      <c r="P621" s="1" t="s">
        <v>65</v>
      </c>
      <c r="Q621" s="1" t="s">
        <v>130</v>
      </c>
      <c r="R621" s="1" t="s">
        <v>130</v>
      </c>
      <c r="S621" s="17">
        <v>36054.730000000003</v>
      </c>
      <c r="T621" s="17">
        <v>100.4</v>
      </c>
      <c r="U621" s="17">
        <v>0</v>
      </c>
      <c r="V621" s="17">
        <v>0</v>
      </c>
      <c r="W621" s="17">
        <v>1.26</v>
      </c>
      <c r="X621" s="17">
        <v>83.83</v>
      </c>
      <c r="Y621" s="17">
        <v>13.61</v>
      </c>
      <c r="Z621" s="18">
        <f t="shared" si="200"/>
        <v>2.784655439106048E-3</v>
      </c>
      <c r="AA621" s="19">
        <v>0.15</v>
      </c>
      <c r="AB621" s="17">
        <f t="shared" si="208"/>
        <v>12.574499999999999</v>
      </c>
      <c r="AC621" s="17">
        <v>0</v>
      </c>
      <c r="AD621" s="17">
        <v>0</v>
      </c>
      <c r="AE621" s="17">
        <f t="shared" si="201"/>
        <v>12.574499999999999</v>
      </c>
      <c r="AF621" s="17">
        <f t="shared" si="214"/>
        <v>2.0119199999999999</v>
      </c>
      <c r="AG621" s="17">
        <f t="shared" si="207"/>
        <v>14.586419999999999</v>
      </c>
      <c r="AH621" s="17">
        <f t="shared" si="213"/>
        <v>0.25148999999999999</v>
      </c>
      <c r="AI621" s="17"/>
      <c r="AJ621" s="17">
        <f t="shared" si="202"/>
        <v>0.25148999999999999</v>
      </c>
      <c r="AK621" s="20"/>
      <c r="AL621" s="17">
        <f t="shared" si="203"/>
        <v>12.323009999999998</v>
      </c>
      <c r="AM621" s="17" t="s">
        <v>108</v>
      </c>
      <c r="AN621" s="21">
        <v>0.4</v>
      </c>
      <c r="AO621" s="17">
        <f t="shared" si="204"/>
        <v>4.9292039999999995</v>
      </c>
      <c r="AP621" s="30">
        <v>4.9292039999999995</v>
      </c>
      <c r="AQ621" s="29">
        <v>45229</v>
      </c>
      <c r="AR621" s="17">
        <f t="shared" si="210"/>
        <v>0</v>
      </c>
      <c r="AS621" s="17"/>
      <c r="AT621" s="17">
        <v>14.586419999999999</v>
      </c>
      <c r="AU621" s="17">
        <f t="shared" si="211"/>
        <v>14.586419999999999</v>
      </c>
      <c r="AV621" s="17">
        <f t="shared" si="205"/>
        <v>0</v>
      </c>
      <c r="AW621" s="17" t="str">
        <f t="shared" si="212"/>
        <v>SFA</v>
      </c>
      <c r="AX621" s="22">
        <v>44949</v>
      </c>
      <c r="AY621" s="22"/>
      <c r="AZ621" s="1" t="s">
        <v>110</v>
      </c>
      <c r="BA621" s="22" t="str">
        <f t="shared" si="209"/>
        <v>MARINE CARGO / GIT</v>
      </c>
      <c r="BB621" s="54"/>
      <c r="BC621" s="22"/>
      <c r="BD621" s="1"/>
    </row>
    <row r="622" spans="1:56" ht="14.25" customHeight="1" x14ac:dyDescent="0.2">
      <c r="A622" s="1" t="s">
        <v>667</v>
      </c>
      <c r="B622" s="1" t="s">
        <v>57</v>
      </c>
      <c r="C622" s="13">
        <v>44869</v>
      </c>
      <c r="D622" s="50">
        <v>44855</v>
      </c>
      <c r="E622" s="50">
        <v>44853</v>
      </c>
      <c r="F622" s="13">
        <v>45217</v>
      </c>
      <c r="G622" s="14" t="str">
        <f t="shared" si="199"/>
        <v>000-621/AIB RDC/2022</v>
      </c>
      <c r="H622" s="1">
        <v>0</v>
      </c>
      <c r="I622" s="1" t="s">
        <v>74</v>
      </c>
      <c r="J622" s="1" t="s">
        <v>955</v>
      </c>
      <c r="K622" s="1" t="s">
        <v>228</v>
      </c>
      <c r="L622" s="1"/>
      <c r="M622" s="1" t="s">
        <v>105</v>
      </c>
      <c r="N622" s="1" t="s">
        <v>106</v>
      </c>
      <c r="O622" s="1" t="s">
        <v>64</v>
      </c>
      <c r="P622" s="1" t="s">
        <v>65</v>
      </c>
      <c r="Q622" s="1" t="s">
        <v>130</v>
      </c>
      <c r="R622" s="1" t="s">
        <v>130</v>
      </c>
      <c r="S622" s="17">
        <v>195073.32</v>
      </c>
      <c r="T622" s="17">
        <v>543.22</v>
      </c>
      <c r="U622" s="17">
        <v>0</v>
      </c>
      <c r="V622" s="17">
        <v>0</v>
      </c>
      <c r="W622" s="17">
        <v>6.8</v>
      </c>
      <c r="X622" s="17">
        <v>453.55</v>
      </c>
      <c r="Y622" s="17">
        <v>73.66</v>
      </c>
      <c r="Z622" s="18">
        <f t="shared" si="200"/>
        <v>2.7846965438431048E-3</v>
      </c>
      <c r="AA622" s="19">
        <v>0.15</v>
      </c>
      <c r="AB622" s="17">
        <f t="shared" si="208"/>
        <v>68.032499999999999</v>
      </c>
      <c r="AC622" s="17">
        <v>0</v>
      </c>
      <c r="AD622" s="17">
        <v>0</v>
      </c>
      <c r="AE622" s="17">
        <f t="shared" si="201"/>
        <v>68.032499999999999</v>
      </c>
      <c r="AF622" s="17">
        <f t="shared" si="214"/>
        <v>10.885199999999999</v>
      </c>
      <c r="AG622" s="17">
        <f t="shared" si="207"/>
        <v>78.917699999999996</v>
      </c>
      <c r="AH622" s="17">
        <f t="shared" si="213"/>
        <v>1.3606499999999999</v>
      </c>
      <c r="AI622" s="17"/>
      <c r="AJ622" s="17">
        <f t="shared" si="202"/>
        <v>1.3606499999999999</v>
      </c>
      <c r="AK622" s="20"/>
      <c r="AL622" s="17">
        <f t="shared" si="203"/>
        <v>66.671849999999992</v>
      </c>
      <c r="AM622" s="17" t="s">
        <v>108</v>
      </c>
      <c r="AN622" s="21">
        <v>0.4</v>
      </c>
      <c r="AO622" s="17">
        <f t="shared" si="204"/>
        <v>26.66874</v>
      </c>
      <c r="AP622" s="30">
        <v>26.66874</v>
      </c>
      <c r="AQ622" s="29">
        <v>45229</v>
      </c>
      <c r="AR622" s="17">
        <f t="shared" si="210"/>
        <v>0</v>
      </c>
      <c r="AS622" s="17"/>
      <c r="AT622" s="17">
        <v>78.917699999999996</v>
      </c>
      <c r="AU622" s="17">
        <f t="shared" si="211"/>
        <v>78.917699999999996</v>
      </c>
      <c r="AV622" s="17">
        <f t="shared" si="205"/>
        <v>0</v>
      </c>
      <c r="AW622" s="17" t="str">
        <f t="shared" si="212"/>
        <v>SFA</v>
      </c>
      <c r="AX622" s="22">
        <v>44949</v>
      </c>
      <c r="AY622" s="22"/>
      <c r="AZ622" s="1" t="s">
        <v>110</v>
      </c>
      <c r="BA622" s="22" t="str">
        <f t="shared" si="209"/>
        <v>MARINE CARGO / GIT</v>
      </c>
      <c r="BB622" s="54"/>
      <c r="BC622" s="22"/>
      <c r="BD622" s="1"/>
    </row>
    <row r="623" spans="1:56" ht="14.25" customHeight="1" x14ac:dyDescent="0.2">
      <c r="A623" s="1" t="s">
        <v>667</v>
      </c>
      <c r="B623" s="1" t="s">
        <v>57</v>
      </c>
      <c r="C623" s="13">
        <v>44869</v>
      </c>
      <c r="D623" s="50">
        <v>44855</v>
      </c>
      <c r="E623" s="50">
        <v>44853</v>
      </c>
      <c r="F623" s="13">
        <v>45217</v>
      </c>
      <c r="G623" s="14" t="str">
        <f t="shared" si="199"/>
        <v>000-622/AIB RDC/2022</v>
      </c>
      <c r="H623" s="1">
        <v>0</v>
      </c>
      <c r="I623" s="1" t="s">
        <v>74</v>
      </c>
      <c r="J623" s="1" t="s">
        <v>956</v>
      </c>
      <c r="K623" s="1" t="s">
        <v>228</v>
      </c>
      <c r="L623" s="1"/>
      <c r="M623" s="1" t="s">
        <v>105</v>
      </c>
      <c r="N623" s="1" t="s">
        <v>106</v>
      </c>
      <c r="O623" s="1" t="s">
        <v>64</v>
      </c>
      <c r="P623" s="1" t="s">
        <v>65</v>
      </c>
      <c r="Q623" s="1" t="s">
        <v>130</v>
      </c>
      <c r="R623" s="1" t="s">
        <v>130</v>
      </c>
      <c r="S623" s="17">
        <v>36644.15</v>
      </c>
      <c r="T623" s="17">
        <v>102.05</v>
      </c>
      <c r="U623" s="17">
        <v>0</v>
      </c>
      <c r="V623" s="17">
        <v>0</v>
      </c>
      <c r="W623" s="17">
        <v>1.28</v>
      </c>
      <c r="X623" s="17">
        <v>85.2</v>
      </c>
      <c r="Y623" s="17">
        <v>13.84</v>
      </c>
      <c r="Z623" s="18">
        <f t="shared" si="200"/>
        <v>2.7848919950387713E-3</v>
      </c>
      <c r="AA623" s="19">
        <v>0.15</v>
      </c>
      <c r="AB623" s="17">
        <f t="shared" si="208"/>
        <v>12.78</v>
      </c>
      <c r="AC623" s="17">
        <v>0</v>
      </c>
      <c r="AD623" s="17">
        <v>0</v>
      </c>
      <c r="AE623" s="17">
        <f t="shared" si="201"/>
        <v>12.78</v>
      </c>
      <c r="AF623" s="17">
        <f t="shared" si="214"/>
        <v>2.0448</v>
      </c>
      <c r="AG623" s="17">
        <f t="shared" si="207"/>
        <v>14.8248</v>
      </c>
      <c r="AH623" s="17">
        <f t="shared" si="213"/>
        <v>0.25559999999999999</v>
      </c>
      <c r="AI623" s="17"/>
      <c r="AJ623" s="17">
        <f t="shared" si="202"/>
        <v>0.25559999999999999</v>
      </c>
      <c r="AK623" s="20"/>
      <c r="AL623" s="17">
        <f t="shared" si="203"/>
        <v>12.5244</v>
      </c>
      <c r="AM623" s="17" t="s">
        <v>108</v>
      </c>
      <c r="AN623" s="21">
        <v>0.4</v>
      </c>
      <c r="AO623" s="17">
        <f t="shared" si="204"/>
        <v>5.00976</v>
      </c>
      <c r="AP623" s="30">
        <v>5.00976</v>
      </c>
      <c r="AQ623" s="29">
        <v>45229</v>
      </c>
      <c r="AR623" s="17">
        <f t="shared" si="210"/>
        <v>0</v>
      </c>
      <c r="AS623" s="17"/>
      <c r="AT623" s="17">
        <v>14.8248</v>
      </c>
      <c r="AU623" s="17">
        <f t="shared" si="211"/>
        <v>14.8248</v>
      </c>
      <c r="AV623" s="17">
        <f t="shared" si="205"/>
        <v>0</v>
      </c>
      <c r="AW623" s="17" t="str">
        <f t="shared" si="212"/>
        <v>SFA</v>
      </c>
      <c r="AX623" s="22">
        <v>44949</v>
      </c>
      <c r="AY623" s="22"/>
      <c r="AZ623" s="1" t="s">
        <v>110</v>
      </c>
      <c r="BA623" s="22" t="str">
        <f t="shared" si="209"/>
        <v>MARINE CARGO / GIT</v>
      </c>
      <c r="BB623" s="54"/>
      <c r="BC623" s="22"/>
      <c r="BD623" s="1"/>
    </row>
    <row r="624" spans="1:56" ht="14.25" customHeight="1" x14ac:dyDescent="0.2">
      <c r="A624" s="1" t="s">
        <v>667</v>
      </c>
      <c r="B624" s="1" t="s">
        <v>57</v>
      </c>
      <c r="C624" s="13">
        <v>44869</v>
      </c>
      <c r="D624" s="50">
        <v>44855</v>
      </c>
      <c r="E624" s="13">
        <v>44853</v>
      </c>
      <c r="F624" s="13">
        <v>45217</v>
      </c>
      <c r="G624" s="14" t="str">
        <f t="shared" si="199"/>
        <v>000-623/AIB RDC/2022</v>
      </c>
      <c r="H624" s="1">
        <v>0</v>
      </c>
      <c r="I624" s="1" t="s">
        <v>74</v>
      </c>
      <c r="J624" s="1" t="s">
        <v>957</v>
      </c>
      <c r="K624" s="1" t="s">
        <v>228</v>
      </c>
      <c r="L624" s="1"/>
      <c r="M624" s="1" t="s">
        <v>105</v>
      </c>
      <c r="N624" s="1" t="s">
        <v>106</v>
      </c>
      <c r="O624" s="1" t="s">
        <v>64</v>
      </c>
      <c r="P624" s="1" t="s">
        <v>65</v>
      </c>
      <c r="Q624" s="1" t="s">
        <v>130</v>
      </c>
      <c r="R624" s="1" t="s">
        <v>130</v>
      </c>
      <c r="S624" s="17">
        <v>36108.269999999997</v>
      </c>
      <c r="T624" s="17">
        <v>100.54</v>
      </c>
      <c r="U624" s="17">
        <v>0</v>
      </c>
      <c r="V624" s="17">
        <v>0</v>
      </c>
      <c r="W624" s="17">
        <v>1.26</v>
      </c>
      <c r="X624" s="17">
        <v>83.95</v>
      </c>
      <c r="Y624" s="17">
        <v>13.63</v>
      </c>
      <c r="Z624" s="18">
        <f t="shared" si="200"/>
        <v>2.7844036836990535E-3</v>
      </c>
      <c r="AA624" s="19">
        <v>0.15</v>
      </c>
      <c r="AB624" s="17">
        <f t="shared" si="208"/>
        <v>12.592499999999999</v>
      </c>
      <c r="AC624" s="17">
        <v>0</v>
      </c>
      <c r="AD624" s="17">
        <v>0</v>
      </c>
      <c r="AE624" s="17">
        <f t="shared" si="201"/>
        <v>12.592499999999999</v>
      </c>
      <c r="AF624" s="17">
        <f t="shared" si="214"/>
        <v>2.0148000000000001</v>
      </c>
      <c r="AG624" s="17">
        <f t="shared" si="207"/>
        <v>14.607299999999999</v>
      </c>
      <c r="AH624" s="17">
        <f t="shared" si="213"/>
        <v>0.25185000000000002</v>
      </c>
      <c r="AI624" s="17"/>
      <c r="AJ624" s="17">
        <f t="shared" si="202"/>
        <v>0.25185000000000002</v>
      </c>
      <c r="AK624" s="20"/>
      <c r="AL624" s="17">
        <f t="shared" si="203"/>
        <v>12.34065</v>
      </c>
      <c r="AM624" s="17" t="s">
        <v>108</v>
      </c>
      <c r="AN624" s="21">
        <v>0.4</v>
      </c>
      <c r="AO624" s="17">
        <f t="shared" si="204"/>
        <v>4.9362600000000008</v>
      </c>
      <c r="AP624" s="30">
        <v>4.9362600000000008</v>
      </c>
      <c r="AQ624" s="29">
        <v>45229</v>
      </c>
      <c r="AR624" s="17">
        <f t="shared" si="210"/>
        <v>0</v>
      </c>
      <c r="AS624" s="17"/>
      <c r="AT624" s="17">
        <v>14.607299999999999</v>
      </c>
      <c r="AU624" s="17">
        <f t="shared" si="211"/>
        <v>14.607299999999999</v>
      </c>
      <c r="AV624" s="17">
        <f t="shared" si="205"/>
        <v>0</v>
      </c>
      <c r="AW624" s="17" t="str">
        <f t="shared" si="212"/>
        <v>SFA</v>
      </c>
      <c r="AX624" s="22">
        <v>44949</v>
      </c>
      <c r="AY624" s="22"/>
      <c r="AZ624" s="1" t="s">
        <v>110</v>
      </c>
      <c r="BA624" s="22" t="str">
        <f t="shared" si="209"/>
        <v>MARINE CARGO / GIT</v>
      </c>
      <c r="BB624" s="54"/>
      <c r="BC624" s="22"/>
      <c r="BD624" s="1"/>
    </row>
    <row r="625" spans="1:56" ht="14.25" customHeight="1" x14ac:dyDescent="0.2">
      <c r="A625" s="1" t="s">
        <v>667</v>
      </c>
      <c r="B625" s="1" t="s">
        <v>57</v>
      </c>
      <c r="C625" s="13">
        <v>44869</v>
      </c>
      <c r="D625" s="50">
        <v>44855</v>
      </c>
      <c r="E625" s="50">
        <v>44853</v>
      </c>
      <c r="F625" s="13">
        <v>45217</v>
      </c>
      <c r="G625" s="14" t="str">
        <f t="shared" si="199"/>
        <v>000-624/AIB RDC/2022</v>
      </c>
      <c r="H625" s="1">
        <v>0</v>
      </c>
      <c r="I625" s="1" t="s">
        <v>74</v>
      </c>
      <c r="J625" s="1" t="s">
        <v>958</v>
      </c>
      <c r="K625" s="1" t="s">
        <v>228</v>
      </c>
      <c r="L625" s="1"/>
      <c r="M625" s="1" t="s">
        <v>105</v>
      </c>
      <c r="N625" s="1" t="s">
        <v>106</v>
      </c>
      <c r="O625" s="1" t="s">
        <v>64</v>
      </c>
      <c r="P625" s="1" t="s">
        <v>65</v>
      </c>
      <c r="Q625" s="1" t="s">
        <v>130</v>
      </c>
      <c r="R625" s="1" t="s">
        <v>130</v>
      </c>
      <c r="S625" s="17">
        <v>155297.99</v>
      </c>
      <c r="T625" s="17">
        <v>432.46</v>
      </c>
      <c r="U625" s="17">
        <v>0</v>
      </c>
      <c r="V625" s="17">
        <v>0</v>
      </c>
      <c r="W625" s="17">
        <v>5.42</v>
      </c>
      <c r="X625" s="17">
        <v>361.07</v>
      </c>
      <c r="Y625" s="17">
        <v>58.64</v>
      </c>
      <c r="Z625" s="18">
        <f t="shared" si="200"/>
        <v>2.7847108645771912E-3</v>
      </c>
      <c r="AA625" s="19">
        <v>0.15</v>
      </c>
      <c r="AB625" s="17">
        <f t="shared" si="208"/>
        <v>54.160499999999999</v>
      </c>
      <c r="AC625" s="17">
        <v>0</v>
      </c>
      <c r="AD625" s="17">
        <v>0</v>
      </c>
      <c r="AE625" s="17">
        <f t="shared" si="201"/>
        <v>54.160499999999999</v>
      </c>
      <c r="AF625" s="17">
        <f t="shared" si="214"/>
        <v>8.66568</v>
      </c>
      <c r="AG625" s="17">
        <f t="shared" si="207"/>
        <v>62.826180000000001</v>
      </c>
      <c r="AH625" s="17">
        <f t="shared" si="213"/>
        <v>1.08321</v>
      </c>
      <c r="AI625" s="17"/>
      <c r="AJ625" s="17">
        <f t="shared" si="202"/>
        <v>1.08321</v>
      </c>
      <c r="AK625" s="20"/>
      <c r="AL625" s="17">
        <f t="shared" si="203"/>
        <v>53.077289999999998</v>
      </c>
      <c r="AM625" s="17" t="s">
        <v>108</v>
      </c>
      <c r="AN625" s="21">
        <v>0.4</v>
      </c>
      <c r="AO625" s="17">
        <f t="shared" si="204"/>
        <v>21.230916000000001</v>
      </c>
      <c r="AP625" s="30">
        <v>21.230916000000001</v>
      </c>
      <c r="AQ625" s="29">
        <v>45229</v>
      </c>
      <c r="AR625" s="17">
        <f t="shared" si="210"/>
        <v>0</v>
      </c>
      <c r="AS625" s="17"/>
      <c r="AT625" s="17">
        <v>62.826180000000001</v>
      </c>
      <c r="AU625" s="17">
        <f t="shared" si="211"/>
        <v>62.826180000000001</v>
      </c>
      <c r="AV625" s="17">
        <f t="shared" si="205"/>
        <v>0</v>
      </c>
      <c r="AW625" s="17" t="str">
        <f t="shared" si="212"/>
        <v>SFA</v>
      </c>
      <c r="AX625" s="22">
        <v>44949</v>
      </c>
      <c r="AY625" s="22"/>
      <c r="AZ625" s="1" t="s">
        <v>110</v>
      </c>
      <c r="BA625" s="22" t="str">
        <f t="shared" si="209"/>
        <v>MARINE CARGO / GIT</v>
      </c>
      <c r="BB625" s="54"/>
      <c r="BC625" s="22"/>
      <c r="BD625" s="1"/>
    </row>
    <row r="626" spans="1:56" ht="14.25" customHeight="1" x14ac:dyDescent="0.2">
      <c r="A626" s="1" t="s">
        <v>667</v>
      </c>
      <c r="B626" s="1" t="s">
        <v>57</v>
      </c>
      <c r="C626" s="13">
        <v>44869</v>
      </c>
      <c r="D626" s="50">
        <v>44855</v>
      </c>
      <c r="E626" s="50">
        <v>44853</v>
      </c>
      <c r="F626" s="50">
        <v>45217</v>
      </c>
      <c r="G626" s="14" t="str">
        <f t="shared" si="199"/>
        <v>000-625/AIB RDC/2022</v>
      </c>
      <c r="H626" s="1">
        <v>0</v>
      </c>
      <c r="I626" s="1" t="s">
        <v>74</v>
      </c>
      <c r="J626" s="1" t="s">
        <v>959</v>
      </c>
      <c r="K626" s="1" t="s">
        <v>228</v>
      </c>
      <c r="L626" s="1"/>
      <c r="M626" s="1" t="s">
        <v>105</v>
      </c>
      <c r="N626" s="1" t="s">
        <v>106</v>
      </c>
      <c r="O626" s="1" t="s">
        <v>64</v>
      </c>
      <c r="P626" s="1" t="s">
        <v>65</v>
      </c>
      <c r="Q626" s="1" t="s">
        <v>130</v>
      </c>
      <c r="R626" s="1" t="s">
        <v>130</v>
      </c>
      <c r="S626" s="17">
        <v>58033.440000000002</v>
      </c>
      <c r="T626" s="17">
        <v>161.6</v>
      </c>
      <c r="U626" s="17">
        <v>0</v>
      </c>
      <c r="V626" s="17">
        <v>0</v>
      </c>
      <c r="W626" s="17">
        <v>2.02</v>
      </c>
      <c r="X626" s="17">
        <v>134.93</v>
      </c>
      <c r="Y626" s="17">
        <v>21.91</v>
      </c>
      <c r="Z626" s="18">
        <f t="shared" si="200"/>
        <v>2.7846014297963381E-3</v>
      </c>
      <c r="AA626" s="19">
        <v>0.15</v>
      </c>
      <c r="AB626" s="17">
        <f t="shared" si="208"/>
        <v>20.2395</v>
      </c>
      <c r="AC626" s="17">
        <v>0</v>
      </c>
      <c r="AD626" s="17">
        <v>0</v>
      </c>
      <c r="AE626" s="17">
        <f t="shared" si="201"/>
        <v>20.2395</v>
      </c>
      <c r="AF626" s="17">
        <f t="shared" si="214"/>
        <v>3.2383199999999999</v>
      </c>
      <c r="AG626" s="17">
        <f t="shared" si="207"/>
        <v>23.477820000000001</v>
      </c>
      <c r="AH626" s="17">
        <f t="shared" si="213"/>
        <v>0.40478999999999998</v>
      </c>
      <c r="AI626" s="17"/>
      <c r="AJ626" s="17">
        <f t="shared" si="202"/>
        <v>0.40478999999999998</v>
      </c>
      <c r="AK626" s="20"/>
      <c r="AL626" s="17">
        <f t="shared" si="203"/>
        <v>19.834710000000001</v>
      </c>
      <c r="AM626" s="17" t="s">
        <v>108</v>
      </c>
      <c r="AN626" s="21">
        <v>0.4</v>
      </c>
      <c r="AO626" s="17">
        <f t="shared" si="204"/>
        <v>7.9338840000000008</v>
      </c>
      <c r="AP626" s="30">
        <v>7.9338840000000008</v>
      </c>
      <c r="AQ626" s="29">
        <v>45229</v>
      </c>
      <c r="AR626" s="17">
        <f t="shared" si="210"/>
        <v>0</v>
      </c>
      <c r="AS626" s="17"/>
      <c r="AT626" s="17">
        <v>23.477820000000001</v>
      </c>
      <c r="AU626" s="17">
        <f t="shared" si="211"/>
        <v>23.477820000000001</v>
      </c>
      <c r="AV626" s="17">
        <f t="shared" si="205"/>
        <v>0</v>
      </c>
      <c r="AW626" s="17" t="str">
        <f t="shared" si="212"/>
        <v>SFA</v>
      </c>
      <c r="AX626" s="22">
        <v>44949</v>
      </c>
      <c r="AY626" s="22"/>
      <c r="AZ626" s="1" t="s">
        <v>110</v>
      </c>
      <c r="BA626" s="22" t="str">
        <f t="shared" si="209"/>
        <v>MARINE CARGO / GIT</v>
      </c>
      <c r="BB626" s="54"/>
      <c r="BC626" s="22"/>
      <c r="BD626" s="1"/>
    </row>
    <row r="627" spans="1:56" ht="14.25" customHeight="1" x14ac:dyDescent="0.2">
      <c r="A627" s="1" t="s">
        <v>667</v>
      </c>
      <c r="B627" s="1" t="s">
        <v>57</v>
      </c>
      <c r="C627" s="13">
        <v>44869</v>
      </c>
      <c r="D627" s="50">
        <v>44855</v>
      </c>
      <c r="E627" s="50">
        <v>44853</v>
      </c>
      <c r="F627" s="13">
        <v>45217</v>
      </c>
      <c r="G627" s="14" t="str">
        <f t="shared" si="199"/>
        <v>000-626/AIB RDC/2022</v>
      </c>
      <c r="H627" s="1">
        <v>0</v>
      </c>
      <c r="I627" s="1" t="s">
        <v>74</v>
      </c>
      <c r="J627" s="1" t="s">
        <v>960</v>
      </c>
      <c r="K627" s="1" t="s">
        <v>228</v>
      </c>
      <c r="L627" s="1"/>
      <c r="M627" s="1" t="s">
        <v>105</v>
      </c>
      <c r="N627" s="1" t="s">
        <v>106</v>
      </c>
      <c r="O627" s="1" t="s">
        <v>64</v>
      </c>
      <c r="P627" s="1" t="s">
        <v>65</v>
      </c>
      <c r="Q627" s="1" t="s">
        <v>130</v>
      </c>
      <c r="R627" s="1" t="s">
        <v>130</v>
      </c>
      <c r="S627" s="17">
        <v>87655.23</v>
      </c>
      <c r="T627" s="17">
        <v>244.1</v>
      </c>
      <c r="U627" s="17">
        <v>0</v>
      </c>
      <c r="V627" s="17">
        <v>0</v>
      </c>
      <c r="W627" s="17">
        <v>3.06</v>
      </c>
      <c r="X627" s="17">
        <v>203.8</v>
      </c>
      <c r="Y627" s="17">
        <v>33.1</v>
      </c>
      <c r="Z627" s="18">
        <f t="shared" si="200"/>
        <v>2.7847739376190101E-3</v>
      </c>
      <c r="AA627" s="19">
        <v>0.15</v>
      </c>
      <c r="AB627" s="17">
        <f t="shared" si="208"/>
        <v>30.57</v>
      </c>
      <c r="AC627" s="17">
        <v>0</v>
      </c>
      <c r="AD627" s="17">
        <v>0</v>
      </c>
      <c r="AE627" s="17">
        <f t="shared" si="201"/>
        <v>30.57</v>
      </c>
      <c r="AF627" s="17">
        <f t="shared" si="214"/>
        <v>4.8912000000000004</v>
      </c>
      <c r="AG627" s="17">
        <f t="shared" si="207"/>
        <v>35.461199999999998</v>
      </c>
      <c r="AH627" s="17">
        <f t="shared" si="213"/>
        <v>0.61140000000000005</v>
      </c>
      <c r="AI627" s="17"/>
      <c r="AJ627" s="17">
        <f t="shared" si="202"/>
        <v>0.61140000000000005</v>
      </c>
      <c r="AK627" s="20"/>
      <c r="AL627" s="17">
        <f t="shared" si="203"/>
        <v>29.958600000000001</v>
      </c>
      <c r="AM627" s="17" t="s">
        <v>108</v>
      </c>
      <c r="AN627" s="21">
        <v>0.4</v>
      </c>
      <c r="AO627" s="17">
        <f t="shared" si="204"/>
        <v>11.983440000000002</v>
      </c>
      <c r="AP627" s="30">
        <v>11.983440000000002</v>
      </c>
      <c r="AQ627" s="29">
        <v>45229</v>
      </c>
      <c r="AR627" s="17">
        <f t="shared" si="210"/>
        <v>0</v>
      </c>
      <c r="AS627" s="17"/>
      <c r="AT627" s="17">
        <v>35.461199999999998</v>
      </c>
      <c r="AU627" s="17">
        <f t="shared" si="211"/>
        <v>35.461199999999998</v>
      </c>
      <c r="AV627" s="17">
        <f t="shared" si="205"/>
        <v>0</v>
      </c>
      <c r="AW627" s="17" t="str">
        <f t="shared" si="212"/>
        <v>SFA</v>
      </c>
      <c r="AX627" s="22">
        <v>44949</v>
      </c>
      <c r="AY627" s="22"/>
      <c r="AZ627" s="1" t="s">
        <v>110</v>
      </c>
      <c r="BA627" s="22" t="str">
        <f t="shared" si="209"/>
        <v>MARINE CARGO / GIT</v>
      </c>
      <c r="BB627" s="54"/>
      <c r="BC627" s="22"/>
      <c r="BD627" s="1"/>
    </row>
    <row r="628" spans="1:56" ht="14.25" customHeight="1" x14ac:dyDescent="0.2">
      <c r="A628" s="1" t="s">
        <v>667</v>
      </c>
      <c r="B628" s="1" t="s">
        <v>57</v>
      </c>
      <c r="C628" s="13">
        <v>44869</v>
      </c>
      <c r="D628" s="50">
        <v>44855</v>
      </c>
      <c r="E628" s="50">
        <v>44853</v>
      </c>
      <c r="F628" s="13">
        <v>45217</v>
      </c>
      <c r="G628" s="14" t="str">
        <f t="shared" si="199"/>
        <v>000-627/AIB RDC/2022</v>
      </c>
      <c r="H628" s="1">
        <v>0</v>
      </c>
      <c r="I628" s="1" t="s">
        <v>74</v>
      </c>
      <c r="J628" s="1" t="s">
        <v>961</v>
      </c>
      <c r="K628" s="1" t="s">
        <v>228</v>
      </c>
      <c r="L628" s="1"/>
      <c r="M628" s="1" t="s">
        <v>105</v>
      </c>
      <c r="N628" s="1" t="s">
        <v>106</v>
      </c>
      <c r="O628" s="1" t="s">
        <v>64</v>
      </c>
      <c r="P628" s="1" t="s">
        <v>65</v>
      </c>
      <c r="Q628" s="1" t="s">
        <v>130</v>
      </c>
      <c r="R628" s="1" t="s">
        <v>130</v>
      </c>
      <c r="S628" s="17">
        <v>67626.66</v>
      </c>
      <c r="T628" s="17">
        <v>188.31</v>
      </c>
      <c r="U628" s="17">
        <v>0</v>
      </c>
      <c r="V628" s="17">
        <v>0</v>
      </c>
      <c r="W628" s="17">
        <v>2.36</v>
      </c>
      <c r="X628" s="17">
        <v>157.22999999999999</v>
      </c>
      <c r="Y628" s="17">
        <v>25.53</v>
      </c>
      <c r="Z628" s="18">
        <f t="shared" si="200"/>
        <v>2.7845527192973895E-3</v>
      </c>
      <c r="AA628" s="19">
        <v>0.15</v>
      </c>
      <c r="AB628" s="17">
        <f t="shared" si="208"/>
        <v>23.584499999999998</v>
      </c>
      <c r="AC628" s="17">
        <v>0</v>
      </c>
      <c r="AD628" s="17">
        <v>0</v>
      </c>
      <c r="AE628" s="17">
        <f t="shared" si="201"/>
        <v>23.584499999999998</v>
      </c>
      <c r="AF628" s="17">
        <f t="shared" si="214"/>
        <v>3.77352</v>
      </c>
      <c r="AG628" s="17">
        <f t="shared" si="207"/>
        <v>27.35802</v>
      </c>
      <c r="AH628" s="17">
        <f t="shared" si="213"/>
        <v>0.47169</v>
      </c>
      <c r="AI628" s="17"/>
      <c r="AJ628" s="17">
        <f t="shared" si="202"/>
        <v>0.47169</v>
      </c>
      <c r="AK628" s="20"/>
      <c r="AL628" s="17">
        <f t="shared" si="203"/>
        <v>23.11281</v>
      </c>
      <c r="AM628" s="17" t="s">
        <v>108</v>
      </c>
      <c r="AN628" s="21">
        <v>0.4</v>
      </c>
      <c r="AO628" s="17">
        <f t="shared" si="204"/>
        <v>9.2451240000000006</v>
      </c>
      <c r="AP628" s="30">
        <v>9.2451240000000006</v>
      </c>
      <c r="AQ628" s="29">
        <v>45229</v>
      </c>
      <c r="AR628" s="17">
        <f t="shared" si="210"/>
        <v>0</v>
      </c>
      <c r="AS628" s="17"/>
      <c r="AT628" s="17">
        <v>27.35802</v>
      </c>
      <c r="AU628" s="17">
        <f t="shared" si="211"/>
        <v>27.35802</v>
      </c>
      <c r="AV628" s="17">
        <f t="shared" si="205"/>
        <v>0</v>
      </c>
      <c r="AW628" s="17" t="str">
        <f t="shared" si="212"/>
        <v>SFA</v>
      </c>
      <c r="AX628" s="22">
        <v>44949</v>
      </c>
      <c r="AY628" s="22"/>
      <c r="AZ628" s="1" t="s">
        <v>110</v>
      </c>
      <c r="BA628" s="22" t="str">
        <f t="shared" si="209"/>
        <v>MARINE CARGO / GIT</v>
      </c>
      <c r="BB628" s="54"/>
      <c r="BC628" s="22"/>
      <c r="BD628" s="1"/>
    </row>
    <row r="629" spans="1:56" ht="14.25" customHeight="1" x14ac:dyDescent="0.2">
      <c r="A629" s="1" t="s">
        <v>667</v>
      </c>
      <c r="B629" s="1" t="s">
        <v>57</v>
      </c>
      <c r="C629" s="13">
        <v>44869</v>
      </c>
      <c r="D629" s="50">
        <v>44855</v>
      </c>
      <c r="E629" s="50">
        <v>44853</v>
      </c>
      <c r="F629" s="13">
        <v>45217</v>
      </c>
      <c r="G629" s="14" t="str">
        <f t="shared" si="199"/>
        <v>000-628/AIB RDC/2022</v>
      </c>
      <c r="H629" s="1">
        <v>0</v>
      </c>
      <c r="I629" s="1" t="s">
        <v>74</v>
      </c>
      <c r="J629" s="1" t="s">
        <v>962</v>
      </c>
      <c r="K629" s="1" t="s">
        <v>228</v>
      </c>
      <c r="L629" s="1"/>
      <c r="M629" s="1" t="s">
        <v>105</v>
      </c>
      <c r="N629" s="1" t="s">
        <v>106</v>
      </c>
      <c r="O629" s="1" t="s">
        <v>64</v>
      </c>
      <c r="P629" s="1" t="s">
        <v>65</v>
      </c>
      <c r="Q629" s="1" t="s">
        <v>130</v>
      </c>
      <c r="R629" s="1" t="s">
        <v>130</v>
      </c>
      <c r="S629" s="17">
        <v>77640.94</v>
      </c>
      <c r="T629" s="17">
        <v>216.21</v>
      </c>
      <c r="U629" s="17">
        <v>0</v>
      </c>
      <c r="V629" s="17">
        <v>0</v>
      </c>
      <c r="W629" s="17">
        <v>2.71</v>
      </c>
      <c r="X629" s="17">
        <v>180.52</v>
      </c>
      <c r="Y629" s="17">
        <v>29.32</v>
      </c>
      <c r="Z629" s="18">
        <f t="shared" si="200"/>
        <v>2.7847421733946036E-3</v>
      </c>
      <c r="AA629" s="19">
        <v>0.15</v>
      </c>
      <c r="AB629" s="17">
        <f t="shared" si="208"/>
        <v>27.077999999999999</v>
      </c>
      <c r="AC629" s="17">
        <v>0</v>
      </c>
      <c r="AD629" s="17">
        <v>0</v>
      </c>
      <c r="AE629" s="17">
        <f t="shared" si="201"/>
        <v>27.077999999999999</v>
      </c>
      <c r="AF629" s="17">
        <f t="shared" si="214"/>
        <v>4.3324800000000003</v>
      </c>
      <c r="AG629" s="17">
        <f t="shared" si="207"/>
        <v>31.41048</v>
      </c>
      <c r="AH629" s="17">
        <f t="shared" si="213"/>
        <v>0.54156000000000004</v>
      </c>
      <c r="AI629" s="17"/>
      <c r="AJ629" s="17">
        <f t="shared" si="202"/>
        <v>0.54156000000000004</v>
      </c>
      <c r="AK629" s="20"/>
      <c r="AL629" s="17">
        <f t="shared" si="203"/>
        <v>26.536439999999999</v>
      </c>
      <c r="AM629" s="17" t="s">
        <v>108</v>
      </c>
      <c r="AN629" s="21">
        <v>0.4</v>
      </c>
      <c r="AO629" s="17">
        <f t="shared" si="204"/>
        <v>10.614576</v>
      </c>
      <c r="AP629" s="30">
        <v>10.614576</v>
      </c>
      <c r="AQ629" s="29">
        <v>45229</v>
      </c>
      <c r="AR629" s="17">
        <f t="shared" si="210"/>
        <v>0</v>
      </c>
      <c r="AS629" s="17"/>
      <c r="AT629" s="17">
        <v>31.41048</v>
      </c>
      <c r="AU629" s="17">
        <f t="shared" si="211"/>
        <v>31.41048</v>
      </c>
      <c r="AV629" s="17">
        <f t="shared" si="205"/>
        <v>0</v>
      </c>
      <c r="AW629" s="17" t="str">
        <f t="shared" si="212"/>
        <v>SFA</v>
      </c>
      <c r="AX629" s="22">
        <v>44949</v>
      </c>
      <c r="AY629" s="22"/>
      <c r="AZ629" s="1" t="s">
        <v>110</v>
      </c>
      <c r="BA629" s="22" t="str">
        <f t="shared" si="209"/>
        <v>MARINE CARGO / GIT</v>
      </c>
      <c r="BB629" s="54"/>
      <c r="BC629" s="22"/>
      <c r="BD629" s="1"/>
    </row>
    <row r="630" spans="1:56" ht="14.25" customHeight="1" x14ac:dyDescent="0.2">
      <c r="A630" s="1" t="s">
        <v>667</v>
      </c>
      <c r="B630" s="1" t="s">
        <v>57</v>
      </c>
      <c r="C630" s="13">
        <v>44869</v>
      </c>
      <c r="D630" s="50">
        <v>44855</v>
      </c>
      <c r="E630" s="50">
        <v>44853</v>
      </c>
      <c r="F630" s="13">
        <v>45217</v>
      </c>
      <c r="G630" s="14" t="str">
        <f t="shared" si="199"/>
        <v>000-629/AIB RDC/2022</v>
      </c>
      <c r="H630" s="1">
        <v>0</v>
      </c>
      <c r="I630" s="1" t="s">
        <v>74</v>
      </c>
      <c r="J630" s="1" t="s">
        <v>963</v>
      </c>
      <c r="K630" s="1" t="s">
        <v>228</v>
      </c>
      <c r="L630" s="1"/>
      <c r="M630" s="1" t="s">
        <v>105</v>
      </c>
      <c r="N630" s="1" t="s">
        <v>106</v>
      </c>
      <c r="O630" s="1" t="s">
        <v>64</v>
      </c>
      <c r="P630" s="1" t="s">
        <v>65</v>
      </c>
      <c r="Q630" s="1" t="s">
        <v>130</v>
      </c>
      <c r="R630" s="1" t="s">
        <v>130</v>
      </c>
      <c r="S630" s="17">
        <v>61486.84</v>
      </c>
      <c r="T630" s="17">
        <v>171.22</v>
      </c>
      <c r="U630" s="17">
        <v>0</v>
      </c>
      <c r="V630" s="17">
        <v>0</v>
      </c>
      <c r="W630" s="17">
        <v>2.14</v>
      </c>
      <c r="X630" s="17">
        <v>142.96</v>
      </c>
      <c r="Y630" s="17">
        <v>23.22</v>
      </c>
      <c r="Z630" s="18">
        <f t="shared" si="200"/>
        <v>2.7846609128067083E-3</v>
      </c>
      <c r="AA630" s="19">
        <v>0.15</v>
      </c>
      <c r="AB630" s="17">
        <f t="shared" si="208"/>
        <v>21.443999999999999</v>
      </c>
      <c r="AC630" s="17">
        <v>0</v>
      </c>
      <c r="AD630" s="17">
        <v>0</v>
      </c>
      <c r="AE630" s="17">
        <f t="shared" si="201"/>
        <v>21.443999999999999</v>
      </c>
      <c r="AF630" s="17">
        <f t="shared" si="214"/>
        <v>3.4310399999999999</v>
      </c>
      <c r="AG630" s="17">
        <f t="shared" si="207"/>
        <v>24.875039999999998</v>
      </c>
      <c r="AH630" s="17">
        <f t="shared" si="213"/>
        <v>0.42887999999999998</v>
      </c>
      <c r="AI630" s="17"/>
      <c r="AJ630" s="17">
        <f t="shared" si="202"/>
        <v>0.42887999999999998</v>
      </c>
      <c r="AK630" s="20"/>
      <c r="AL630" s="17">
        <f t="shared" si="203"/>
        <v>21.01512</v>
      </c>
      <c r="AM630" s="17" t="s">
        <v>108</v>
      </c>
      <c r="AN630" s="21">
        <v>0.4</v>
      </c>
      <c r="AO630" s="17">
        <f t="shared" si="204"/>
        <v>8.4060480000000002</v>
      </c>
      <c r="AP630" s="30">
        <v>8.4060480000000002</v>
      </c>
      <c r="AQ630" s="29">
        <v>45229</v>
      </c>
      <c r="AR630" s="17">
        <f t="shared" si="210"/>
        <v>0</v>
      </c>
      <c r="AS630" s="17"/>
      <c r="AT630" s="17">
        <v>24.875039999999998</v>
      </c>
      <c r="AU630" s="17">
        <f t="shared" si="211"/>
        <v>24.875039999999998</v>
      </c>
      <c r="AV630" s="17">
        <f t="shared" si="205"/>
        <v>0</v>
      </c>
      <c r="AW630" s="17" t="str">
        <f t="shared" si="212"/>
        <v>SFA</v>
      </c>
      <c r="AX630" s="22">
        <v>44949</v>
      </c>
      <c r="AY630" s="22"/>
      <c r="AZ630" s="1" t="s">
        <v>110</v>
      </c>
      <c r="BA630" s="22" t="str">
        <f t="shared" si="209"/>
        <v>MARINE CARGO / GIT</v>
      </c>
      <c r="BB630" s="54"/>
      <c r="BC630" s="22"/>
      <c r="BD630" s="1"/>
    </row>
    <row r="631" spans="1:56" ht="14.25" customHeight="1" x14ac:dyDescent="0.2">
      <c r="A631" s="1" t="s">
        <v>667</v>
      </c>
      <c r="B631" s="1" t="s">
        <v>57</v>
      </c>
      <c r="C631" s="13">
        <v>44869</v>
      </c>
      <c r="D631" s="50">
        <v>44852</v>
      </c>
      <c r="E631" s="13">
        <v>44851</v>
      </c>
      <c r="F631" s="13">
        <v>45215</v>
      </c>
      <c r="G631" s="14" t="str">
        <f t="shared" si="199"/>
        <v>000-630/AIB RDC/2022</v>
      </c>
      <c r="H631" s="1">
        <v>0</v>
      </c>
      <c r="I631" s="1" t="s">
        <v>74</v>
      </c>
      <c r="J631" s="1" t="s">
        <v>964</v>
      </c>
      <c r="K631" s="1" t="s">
        <v>228</v>
      </c>
      <c r="L631" s="1"/>
      <c r="M631" s="1" t="s">
        <v>105</v>
      </c>
      <c r="N631" s="1" t="s">
        <v>106</v>
      </c>
      <c r="O631" s="1" t="s">
        <v>64</v>
      </c>
      <c r="P631" s="1" t="s">
        <v>65</v>
      </c>
      <c r="Q631" s="1" t="s">
        <v>130</v>
      </c>
      <c r="R631" s="1" t="s">
        <v>130</v>
      </c>
      <c r="S631" s="17">
        <v>67626.649999999994</v>
      </c>
      <c r="T631" s="17">
        <v>188.31</v>
      </c>
      <c r="U631" s="17">
        <v>0</v>
      </c>
      <c r="V631" s="17">
        <v>0</v>
      </c>
      <c r="W631" s="17">
        <v>2.36</v>
      </c>
      <c r="X631" s="17">
        <v>157.22999999999999</v>
      </c>
      <c r="Y631" s="17">
        <v>25.53</v>
      </c>
      <c r="Z631" s="18">
        <f t="shared" si="200"/>
        <v>2.7845531310511464E-3</v>
      </c>
      <c r="AA631" s="19">
        <v>0.15</v>
      </c>
      <c r="AB631" s="17">
        <f t="shared" ref="AB631:AB662" si="215">(AA631*X631)</f>
        <v>23.584499999999998</v>
      </c>
      <c r="AC631" s="17">
        <v>0</v>
      </c>
      <c r="AD631" s="17">
        <v>0</v>
      </c>
      <c r="AE631" s="17">
        <f t="shared" si="201"/>
        <v>23.584499999999998</v>
      </c>
      <c r="AF631" s="17">
        <f t="shared" si="214"/>
        <v>3.77352</v>
      </c>
      <c r="AG631" s="17">
        <f t="shared" si="207"/>
        <v>27.35802</v>
      </c>
      <c r="AH631" s="17">
        <f t="shared" si="213"/>
        <v>0.47169</v>
      </c>
      <c r="AI631" s="17"/>
      <c r="AJ631" s="17">
        <f t="shared" si="202"/>
        <v>0.47169</v>
      </c>
      <c r="AK631" s="20"/>
      <c r="AL631" s="17">
        <f t="shared" si="203"/>
        <v>23.11281</v>
      </c>
      <c r="AM631" s="17" t="s">
        <v>108</v>
      </c>
      <c r="AN631" s="21">
        <v>0.4</v>
      </c>
      <c r="AO631" s="17">
        <f t="shared" si="204"/>
        <v>9.2451240000000006</v>
      </c>
      <c r="AP631" s="30">
        <v>9.2451240000000006</v>
      </c>
      <c r="AQ631" s="29">
        <v>45229</v>
      </c>
      <c r="AR631" s="17">
        <f t="shared" si="210"/>
        <v>0</v>
      </c>
      <c r="AS631" s="17"/>
      <c r="AT631" s="17">
        <v>27.35802</v>
      </c>
      <c r="AU631" s="17">
        <f t="shared" si="211"/>
        <v>27.35802</v>
      </c>
      <c r="AV631" s="17">
        <f t="shared" si="205"/>
        <v>0</v>
      </c>
      <c r="AW631" s="17" t="str">
        <f t="shared" si="212"/>
        <v>SFA</v>
      </c>
      <c r="AX631" s="22">
        <v>44949</v>
      </c>
      <c r="AY631" s="22"/>
      <c r="AZ631" s="1" t="s">
        <v>110</v>
      </c>
      <c r="BA631" s="22" t="str">
        <f t="shared" si="209"/>
        <v>MARINE CARGO / GIT</v>
      </c>
      <c r="BB631" s="54"/>
      <c r="BC631" s="22"/>
      <c r="BD631" s="1"/>
    </row>
    <row r="632" spans="1:56" ht="14.25" customHeight="1" x14ac:dyDescent="0.2">
      <c r="A632" s="1" t="s">
        <v>667</v>
      </c>
      <c r="B632" s="1" t="s">
        <v>57</v>
      </c>
      <c r="C632" s="13">
        <v>44869</v>
      </c>
      <c r="D632" s="50">
        <v>44855</v>
      </c>
      <c r="E632" s="50">
        <v>44853</v>
      </c>
      <c r="F632" s="13">
        <v>45217</v>
      </c>
      <c r="G632" s="14" t="str">
        <f t="shared" si="199"/>
        <v>000-631/AIB RDC/2022</v>
      </c>
      <c r="H632" s="1">
        <v>0</v>
      </c>
      <c r="I632" s="1" t="s">
        <v>74</v>
      </c>
      <c r="J632" s="1" t="s">
        <v>965</v>
      </c>
      <c r="K632" s="1" t="s">
        <v>228</v>
      </c>
      <c r="L632" s="1"/>
      <c r="M632" s="1" t="s">
        <v>105</v>
      </c>
      <c r="N632" s="1" t="s">
        <v>106</v>
      </c>
      <c r="O632" s="1" t="s">
        <v>64</v>
      </c>
      <c r="P632" s="1" t="s">
        <v>65</v>
      </c>
      <c r="Q632" s="1" t="s">
        <v>130</v>
      </c>
      <c r="R632" s="1" t="s">
        <v>130</v>
      </c>
      <c r="S632" s="17">
        <v>44577.61</v>
      </c>
      <c r="T632" s="17">
        <v>124.12</v>
      </c>
      <c r="U632" s="17">
        <v>0</v>
      </c>
      <c r="V632" s="17">
        <v>0</v>
      </c>
      <c r="W632" s="17">
        <v>1.55</v>
      </c>
      <c r="X632" s="17">
        <v>103.64</v>
      </c>
      <c r="Y632" s="17">
        <v>16.829999999999998</v>
      </c>
      <c r="Z632" s="18">
        <f t="shared" si="200"/>
        <v>2.7843574386334307E-3</v>
      </c>
      <c r="AA632" s="19">
        <v>0.15</v>
      </c>
      <c r="AB632" s="17">
        <f t="shared" si="215"/>
        <v>15.545999999999999</v>
      </c>
      <c r="AC632" s="17">
        <v>0</v>
      </c>
      <c r="AD632" s="17">
        <v>0</v>
      </c>
      <c r="AE632" s="17">
        <f t="shared" si="201"/>
        <v>15.545999999999999</v>
      </c>
      <c r="AF632" s="17">
        <f t="shared" si="214"/>
        <v>2.4873599999999998</v>
      </c>
      <c r="AG632" s="17">
        <f t="shared" si="207"/>
        <v>18.033359999999998</v>
      </c>
      <c r="AH632" s="17">
        <f t="shared" si="213"/>
        <v>0.31091999999999997</v>
      </c>
      <c r="AI632" s="17"/>
      <c r="AJ632" s="17">
        <f t="shared" si="202"/>
        <v>0.31091999999999997</v>
      </c>
      <c r="AK632" s="20"/>
      <c r="AL632" s="17">
        <f t="shared" si="203"/>
        <v>15.23508</v>
      </c>
      <c r="AM632" s="17" t="s">
        <v>108</v>
      </c>
      <c r="AN632" s="21">
        <v>0.4</v>
      </c>
      <c r="AO632" s="17">
        <f t="shared" si="204"/>
        <v>6.0940320000000003</v>
      </c>
      <c r="AP632" s="30">
        <v>6.0940320000000003</v>
      </c>
      <c r="AQ632" s="29">
        <v>45229</v>
      </c>
      <c r="AR632" s="17">
        <f t="shared" si="210"/>
        <v>0</v>
      </c>
      <c r="AS632" s="17"/>
      <c r="AT632" s="17">
        <v>18.033359999999998</v>
      </c>
      <c r="AU632" s="17">
        <f t="shared" si="211"/>
        <v>18.033359999999998</v>
      </c>
      <c r="AV632" s="17">
        <f t="shared" si="205"/>
        <v>0</v>
      </c>
      <c r="AW632" s="17" t="str">
        <f t="shared" si="212"/>
        <v>SFA</v>
      </c>
      <c r="AX632" s="22">
        <v>44949</v>
      </c>
      <c r="AY632" s="22"/>
      <c r="AZ632" s="1" t="s">
        <v>110</v>
      </c>
      <c r="BA632" s="22" t="str">
        <f t="shared" si="209"/>
        <v>MARINE CARGO / GIT</v>
      </c>
      <c r="BB632" s="54"/>
      <c r="BC632" s="22"/>
      <c r="BD632" s="1"/>
    </row>
    <row r="633" spans="1:56" ht="14.25" customHeight="1" x14ac:dyDescent="0.2">
      <c r="A633" s="1" t="s">
        <v>667</v>
      </c>
      <c r="B633" s="1" t="s">
        <v>57</v>
      </c>
      <c r="C633" s="13">
        <v>44869</v>
      </c>
      <c r="D633" s="50">
        <v>44855</v>
      </c>
      <c r="E633" s="50">
        <v>44853</v>
      </c>
      <c r="F633" s="13">
        <v>45217</v>
      </c>
      <c r="G633" s="14" t="str">
        <f t="shared" si="199"/>
        <v>000-632/AIB RDC/2022</v>
      </c>
      <c r="H633" s="1">
        <v>0</v>
      </c>
      <c r="I633" s="1" t="s">
        <v>74</v>
      </c>
      <c r="J633" s="1" t="s">
        <v>966</v>
      </c>
      <c r="K633" s="1" t="s">
        <v>228</v>
      </c>
      <c r="L633" s="1"/>
      <c r="M633" s="1" t="s">
        <v>105</v>
      </c>
      <c r="N633" s="1" t="s">
        <v>106</v>
      </c>
      <c r="O633" s="1" t="s">
        <v>64</v>
      </c>
      <c r="P633" s="1" t="s">
        <v>65</v>
      </c>
      <c r="Q633" s="1" t="s">
        <v>130</v>
      </c>
      <c r="R633" s="1" t="s">
        <v>130</v>
      </c>
      <c r="S633" s="17">
        <v>60731.72</v>
      </c>
      <c r="T633" s="17">
        <v>169.12</v>
      </c>
      <c r="U633" s="17">
        <v>0</v>
      </c>
      <c r="V633" s="17">
        <v>0</v>
      </c>
      <c r="W633" s="17">
        <v>2.12</v>
      </c>
      <c r="X633" s="17">
        <v>141.19999999999999</v>
      </c>
      <c r="Y633" s="17">
        <v>22.93</v>
      </c>
      <c r="Z633" s="18">
        <f t="shared" si="200"/>
        <v>2.7847062457641574E-3</v>
      </c>
      <c r="AA633" s="19">
        <v>0.15</v>
      </c>
      <c r="AB633" s="17">
        <f t="shared" si="215"/>
        <v>21.179999999999996</v>
      </c>
      <c r="AC633" s="17">
        <v>0</v>
      </c>
      <c r="AD633" s="17">
        <v>0</v>
      </c>
      <c r="AE633" s="17">
        <f t="shared" si="201"/>
        <v>21.179999999999996</v>
      </c>
      <c r="AF633" s="17">
        <f t="shared" si="214"/>
        <v>3.3887999999999994</v>
      </c>
      <c r="AG633" s="17">
        <f t="shared" si="207"/>
        <v>24.568799999999996</v>
      </c>
      <c r="AH633" s="17">
        <f t="shared" si="213"/>
        <v>0.42359999999999992</v>
      </c>
      <c r="AI633" s="17"/>
      <c r="AJ633" s="17">
        <f t="shared" si="202"/>
        <v>0.42359999999999992</v>
      </c>
      <c r="AK633" s="20"/>
      <c r="AL633" s="17">
        <f t="shared" si="203"/>
        <v>20.756399999999996</v>
      </c>
      <c r="AM633" s="17" t="s">
        <v>108</v>
      </c>
      <c r="AN633" s="21">
        <v>0.4</v>
      </c>
      <c r="AO633" s="17">
        <f t="shared" si="204"/>
        <v>8.3025599999999979</v>
      </c>
      <c r="AP633" s="30">
        <v>8.3025599999999979</v>
      </c>
      <c r="AQ633" s="29">
        <v>45229</v>
      </c>
      <c r="AR633" s="17">
        <f t="shared" si="210"/>
        <v>0</v>
      </c>
      <c r="AS633" s="17"/>
      <c r="AT633" s="17">
        <v>24.568799999999996</v>
      </c>
      <c r="AU633" s="17">
        <f t="shared" si="211"/>
        <v>24.568799999999996</v>
      </c>
      <c r="AV633" s="17">
        <f t="shared" si="205"/>
        <v>0</v>
      </c>
      <c r="AW633" s="17" t="str">
        <f t="shared" si="212"/>
        <v>SFA</v>
      </c>
      <c r="AX633" s="22">
        <v>44949</v>
      </c>
      <c r="AY633" s="22"/>
      <c r="AZ633" s="1" t="s">
        <v>110</v>
      </c>
      <c r="BA633" s="22" t="str">
        <f t="shared" si="209"/>
        <v>MARINE CARGO / GIT</v>
      </c>
      <c r="BB633" s="54"/>
      <c r="BC633" s="22"/>
      <c r="BD633" s="1"/>
    </row>
    <row r="634" spans="1:56" ht="14.25" customHeight="1" x14ac:dyDescent="0.2">
      <c r="A634" s="1" t="s">
        <v>667</v>
      </c>
      <c r="B634" s="1" t="s">
        <v>57</v>
      </c>
      <c r="C634" s="13">
        <v>44869</v>
      </c>
      <c r="D634" s="50">
        <v>44855</v>
      </c>
      <c r="E634" s="50">
        <v>44853</v>
      </c>
      <c r="F634" s="13">
        <v>45217</v>
      </c>
      <c r="G634" s="14" t="str">
        <f t="shared" si="199"/>
        <v>000-633/AIB RDC/2022</v>
      </c>
      <c r="H634" s="1">
        <v>0</v>
      </c>
      <c r="I634" s="1" t="s">
        <v>74</v>
      </c>
      <c r="J634" s="1" t="s">
        <v>967</v>
      </c>
      <c r="K634" s="1" t="s">
        <v>228</v>
      </c>
      <c r="L634" s="1"/>
      <c r="M634" s="1" t="s">
        <v>105</v>
      </c>
      <c r="N634" s="1" t="s">
        <v>106</v>
      </c>
      <c r="O634" s="1" t="s">
        <v>64</v>
      </c>
      <c r="P634" s="1" t="s">
        <v>65</v>
      </c>
      <c r="Q634" s="1" t="s">
        <v>130</v>
      </c>
      <c r="R634" s="1" t="s">
        <v>130</v>
      </c>
      <c r="S634" s="17">
        <v>66116.42</v>
      </c>
      <c r="T634" s="17">
        <v>184.11</v>
      </c>
      <c r="U634" s="17">
        <v>0</v>
      </c>
      <c r="V634" s="17">
        <v>0</v>
      </c>
      <c r="W634" s="17">
        <v>2.31</v>
      </c>
      <c r="X634" s="17">
        <v>153.72</v>
      </c>
      <c r="Y634" s="17">
        <v>24.96</v>
      </c>
      <c r="Z634" s="18">
        <f t="shared" si="200"/>
        <v>2.7846335297646184E-3</v>
      </c>
      <c r="AA634" s="19">
        <v>0.15</v>
      </c>
      <c r="AB634" s="17">
        <f t="shared" si="215"/>
        <v>23.058</v>
      </c>
      <c r="AC634" s="17">
        <v>0</v>
      </c>
      <c r="AD634" s="17">
        <v>0</v>
      </c>
      <c r="AE634" s="17">
        <f t="shared" si="201"/>
        <v>23.058</v>
      </c>
      <c r="AF634" s="17">
        <f t="shared" si="214"/>
        <v>3.6892800000000001</v>
      </c>
      <c r="AG634" s="17">
        <f t="shared" si="207"/>
        <v>26.74728</v>
      </c>
      <c r="AH634" s="17">
        <f t="shared" si="213"/>
        <v>0.46116000000000001</v>
      </c>
      <c r="AI634" s="17"/>
      <c r="AJ634" s="17">
        <f t="shared" si="202"/>
        <v>0.46116000000000001</v>
      </c>
      <c r="AK634" s="20"/>
      <c r="AL634" s="17">
        <f t="shared" si="203"/>
        <v>22.59684</v>
      </c>
      <c r="AM634" s="17" t="s">
        <v>108</v>
      </c>
      <c r="AN634" s="21">
        <v>0.4</v>
      </c>
      <c r="AO634" s="17">
        <f t="shared" si="204"/>
        <v>9.0387360000000001</v>
      </c>
      <c r="AP634" s="30">
        <v>9.0387360000000001</v>
      </c>
      <c r="AQ634" s="29">
        <v>45229</v>
      </c>
      <c r="AR634" s="17">
        <f t="shared" si="210"/>
        <v>0</v>
      </c>
      <c r="AS634" s="17"/>
      <c r="AT634" s="17">
        <v>26.74728</v>
      </c>
      <c r="AU634" s="17">
        <f t="shared" si="211"/>
        <v>26.74728</v>
      </c>
      <c r="AV634" s="17">
        <f t="shared" si="205"/>
        <v>0</v>
      </c>
      <c r="AW634" s="17" t="str">
        <f t="shared" si="212"/>
        <v>SFA</v>
      </c>
      <c r="AX634" s="22">
        <v>44949</v>
      </c>
      <c r="AY634" s="22"/>
      <c r="AZ634" s="1" t="s">
        <v>110</v>
      </c>
      <c r="BA634" s="22" t="str">
        <f t="shared" ref="BA634:BA653" si="216">O634</f>
        <v>MARINE CARGO / GIT</v>
      </c>
      <c r="BB634" s="54"/>
      <c r="BC634" s="22"/>
      <c r="BD634" s="1"/>
    </row>
    <row r="635" spans="1:56" ht="14.25" customHeight="1" x14ac:dyDescent="0.2">
      <c r="A635" s="1" t="s">
        <v>667</v>
      </c>
      <c r="B635" s="1" t="s">
        <v>57</v>
      </c>
      <c r="C635" s="13">
        <v>44869</v>
      </c>
      <c r="D635" s="50">
        <v>44855</v>
      </c>
      <c r="E635" s="50">
        <v>44853</v>
      </c>
      <c r="F635" s="13">
        <v>45217</v>
      </c>
      <c r="G635" s="14" t="str">
        <f t="shared" si="199"/>
        <v>000-634/AIB RDC/2022</v>
      </c>
      <c r="H635" s="1">
        <v>0</v>
      </c>
      <c r="I635" s="1" t="s">
        <v>74</v>
      </c>
      <c r="J635" s="1" t="s">
        <v>968</v>
      </c>
      <c r="K635" s="1" t="s">
        <v>228</v>
      </c>
      <c r="L635" s="1"/>
      <c r="M635" s="1" t="s">
        <v>105</v>
      </c>
      <c r="N635" s="1" t="s">
        <v>106</v>
      </c>
      <c r="O635" s="1" t="s">
        <v>64</v>
      </c>
      <c r="P635" s="1" t="s">
        <v>65</v>
      </c>
      <c r="Q635" s="1" t="s">
        <v>130</v>
      </c>
      <c r="R635" s="1" t="s">
        <v>130</v>
      </c>
      <c r="S635" s="17">
        <v>66116.460000000006</v>
      </c>
      <c r="T635" s="17">
        <v>220.93</v>
      </c>
      <c r="U635" s="17">
        <v>0</v>
      </c>
      <c r="V635" s="17">
        <v>0</v>
      </c>
      <c r="W635" s="17">
        <v>2.77</v>
      </c>
      <c r="X635" s="17">
        <v>184.46</v>
      </c>
      <c r="Y635" s="17">
        <v>2.77</v>
      </c>
      <c r="Z635" s="18">
        <f t="shared" si="200"/>
        <v>3.3415279644433472E-3</v>
      </c>
      <c r="AA635" s="19">
        <v>0.15</v>
      </c>
      <c r="AB635" s="17">
        <f t="shared" si="215"/>
        <v>27.669</v>
      </c>
      <c r="AC635" s="17">
        <v>0</v>
      </c>
      <c r="AD635" s="17">
        <v>0</v>
      </c>
      <c r="AE635" s="17">
        <f t="shared" si="201"/>
        <v>27.669</v>
      </c>
      <c r="AF635" s="17">
        <f t="shared" si="214"/>
        <v>4.4270399999999999</v>
      </c>
      <c r="AG635" s="17">
        <f t="shared" si="207"/>
        <v>32.096040000000002</v>
      </c>
      <c r="AH635" s="17">
        <f t="shared" si="213"/>
        <v>0.55337999999999998</v>
      </c>
      <c r="AI635" s="17"/>
      <c r="AJ635" s="17">
        <f t="shared" si="202"/>
        <v>0.55337999999999998</v>
      </c>
      <c r="AK635" s="20"/>
      <c r="AL635" s="17">
        <f t="shared" si="203"/>
        <v>27.11562</v>
      </c>
      <c r="AM635" s="17" t="s">
        <v>108</v>
      </c>
      <c r="AN635" s="21">
        <v>0.4</v>
      </c>
      <c r="AO635" s="17">
        <f t="shared" si="204"/>
        <v>10.846248000000001</v>
      </c>
      <c r="AP635" s="30">
        <v>10.846248000000001</v>
      </c>
      <c r="AQ635" s="29">
        <v>45229</v>
      </c>
      <c r="AR635" s="17">
        <f t="shared" si="210"/>
        <v>0</v>
      </c>
      <c r="AS635" s="17"/>
      <c r="AT635" s="17">
        <v>32.096040000000002</v>
      </c>
      <c r="AU635" s="17">
        <f t="shared" si="211"/>
        <v>32.096040000000002</v>
      </c>
      <c r="AV635" s="17">
        <f t="shared" si="205"/>
        <v>0</v>
      </c>
      <c r="AW635" s="17" t="str">
        <f t="shared" si="212"/>
        <v>SFA</v>
      </c>
      <c r="AX635" s="22">
        <v>44949</v>
      </c>
      <c r="AY635" s="22"/>
      <c r="AZ635" s="1" t="s">
        <v>110</v>
      </c>
      <c r="BA635" s="22" t="str">
        <f t="shared" si="216"/>
        <v>MARINE CARGO / GIT</v>
      </c>
      <c r="BB635" s="54"/>
      <c r="BC635" s="22"/>
      <c r="BD635" s="1"/>
    </row>
    <row r="636" spans="1:56" ht="14.25" customHeight="1" x14ac:dyDescent="0.2">
      <c r="A636" s="1" t="s">
        <v>667</v>
      </c>
      <c r="B636" s="1" t="s">
        <v>57</v>
      </c>
      <c r="C636" s="13">
        <v>44869</v>
      </c>
      <c r="D636" s="50">
        <v>44855</v>
      </c>
      <c r="E636" s="50">
        <v>44853</v>
      </c>
      <c r="F636" s="13">
        <v>45217</v>
      </c>
      <c r="G636" s="14" t="str">
        <f t="shared" si="199"/>
        <v>000-635/AIB RDC/2022</v>
      </c>
      <c r="H636" s="1">
        <v>0</v>
      </c>
      <c r="I636" s="1" t="s">
        <v>74</v>
      </c>
      <c r="J636" s="1" t="s">
        <v>969</v>
      </c>
      <c r="K636" s="1" t="s">
        <v>228</v>
      </c>
      <c r="L636" s="1"/>
      <c r="M636" s="1" t="s">
        <v>105</v>
      </c>
      <c r="N636" s="1" t="s">
        <v>106</v>
      </c>
      <c r="O636" s="1" t="s">
        <v>64</v>
      </c>
      <c r="P636" s="1" t="s">
        <v>65</v>
      </c>
      <c r="Q636" s="1" t="s">
        <v>130</v>
      </c>
      <c r="R636" s="1" t="s">
        <v>130</v>
      </c>
      <c r="S636" s="17">
        <v>36054.730000000003</v>
      </c>
      <c r="T636" s="17">
        <v>100.4</v>
      </c>
      <c r="U636" s="17">
        <v>0</v>
      </c>
      <c r="V636" s="17">
        <v>0</v>
      </c>
      <c r="W636" s="17">
        <v>1.26</v>
      </c>
      <c r="X636" s="17">
        <v>83.83</v>
      </c>
      <c r="Y636" s="17">
        <v>13.61</v>
      </c>
      <c r="Z636" s="18">
        <f t="shared" si="200"/>
        <v>2.784655439106048E-3</v>
      </c>
      <c r="AA636" s="19">
        <v>0.15</v>
      </c>
      <c r="AB636" s="17">
        <f t="shared" si="215"/>
        <v>12.574499999999999</v>
      </c>
      <c r="AC636" s="17">
        <v>0</v>
      </c>
      <c r="AD636" s="17">
        <v>0</v>
      </c>
      <c r="AE636" s="17">
        <f t="shared" si="201"/>
        <v>12.574499999999999</v>
      </c>
      <c r="AF636" s="17">
        <f t="shared" si="214"/>
        <v>2.0119199999999999</v>
      </c>
      <c r="AG636" s="17">
        <f t="shared" si="207"/>
        <v>14.586419999999999</v>
      </c>
      <c r="AH636" s="17">
        <f t="shared" si="213"/>
        <v>0.25148999999999999</v>
      </c>
      <c r="AI636" s="17"/>
      <c r="AJ636" s="17">
        <f t="shared" si="202"/>
        <v>0.25148999999999999</v>
      </c>
      <c r="AK636" s="20"/>
      <c r="AL636" s="17">
        <f t="shared" si="203"/>
        <v>12.323009999999998</v>
      </c>
      <c r="AM636" s="17" t="s">
        <v>108</v>
      </c>
      <c r="AN636" s="21">
        <v>0.4</v>
      </c>
      <c r="AO636" s="17">
        <f t="shared" si="204"/>
        <v>4.9292039999999995</v>
      </c>
      <c r="AP636" s="30">
        <v>4.9292039999999995</v>
      </c>
      <c r="AQ636" s="29">
        <v>45229</v>
      </c>
      <c r="AR636" s="17">
        <f t="shared" si="210"/>
        <v>0</v>
      </c>
      <c r="AS636" s="17"/>
      <c r="AT636" s="17">
        <v>14.586419999999999</v>
      </c>
      <c r="AU636" s="17">
        <f t="shared" si="211"/>
        <v>14.586419999999999</v>
      </c>
      <c r="AV636" s="17">
        <f t="shared" si="205"/>
        <v>0</v>
      </c>
      <c r="AW636" s="17" t="str">
        <f t="shared" si="212"/>
        <v>SFA</v>
      </c>
      <c r="AX636" s="22">
        <v>44949</v>
      </c>
      <c r="AY636" s="22"/>
      <c r="AZ636" s="1" t="s">
        <v>110</v>
      </c>
      <c r="BA636" s="22" t="str">
        <f t="shared" si="216"/>
        <v>MARINE CARGO / GIT</v>
      </c>
      <c r="BB636" s="54"/>
      <c r="BC636" s="22"/>
      <c r="BD636" s="1"/>
    </row>
    <row r="637" spans="1:56" ht="14.25" customHeight="1" x14ac:dyDescent="0.2">
      <c r="A637" s="1" t="s">
        <v>667</v>
      </c>
      <c r="B637" s="1" t="s">
        <v>57</v>
      </c>
      <c r="C637" s="13">
        <v>44869</v>
      </c>
      <c r="D637" s="50">
        <v>44855</v>
      </c>
      <c r="E637" s="50">
        <v>44853</v>
      </c>
      <c r="F637" s="13">
        <v>45217</v>
      </c>
      <c r="G637" s="14" t="str">
        <f t="shared" si="199"/>
        <v>000-636/AIB RDC/2022</v>
      </c>
      <c r="H637" s="1">
        <v>0</v>
      </c>
      <c r="I637" s="1" t="s">
        <v>74</v>
      </c>
      <c r="J637" s="1" t="s">
        <v>970</v>
      </c>
      <c r="K637" s="1" t="s">
        <v>228</v>
      </c>
      <c r="L637" s="1"/>
      <c r="M637" s="1" t="s">
        <v>105</v>
      </c>
      <c r="N637" s="1" t="s">
        <v>106</v>
      </c>
      <c r="O637" s="1" t="s">
        <v>64</v>
      </c>
      <c r="P637" s="1" t="s">
        <v>65</v>
      </c>
      <c r="Q637" s="1" t="s">
        <v>130</v>
      </c>
      <c r="R637" s="1" t="s">
        <v>130</v>
      </c>
      <c r="S637" s="17">
        <v>36054.730000000003</v>
      </c>
      <c r="T637" s="17">
        <v>100.4</v>
      </c>
      <c r="U637" s="17">
        <v>0</v>
      </c>
      <c r="V637" s="17">
        <v>0</v>
      </c>
      <c r="W637" s="17">
        <v>1.26</v>
      </c>
      <c r="X637" s="17">
        <v>83.83</v>
      </c>
      <c r="Y637" s="17">
        <v>13.61</v>
      </c>
      <c r="Z637" s="18">
        <f t="shared" si="200"/>
        <v>2.784655439106048E-3</v>
      </c>
      <c r="AA637" s="19">
        <v>0.15</v>
      </c>
      <c r="AB637" s="17">
        <f t="shared" si="215"/>
        <v>12.574499999999999</v>
      </c>
      <c r="AC637" s="17">
        <v>0</v>
      </c>
      <c r="AD637" s="17">
        <v>0</v>
      </c>
      <c r="AE637" s="17">
        <f t="shared" si="201"/>
        <v>12.574499999999999</v>
      </c>
      <c r="AF637" s="17">
        <f t="shared" si="214"/>
        <v>2.0119199999999999</v>
      </c>
      <c r="AG637" s="17">
        <f t="shared" si="207"/>
        <v>14.586419999999999</v>
      </c>
      <c r="AH637" s="17">
        <f t="shared" si="213"/>
        <v>0.25148999999999999</v>
      </c>
      <c r="AI637" s="17"/>
      <c r="AJ637" s="17">
        <f t="shared" si="202"/>
        <v>0.25148999999999999</v>
      </c>
      <c r="AK637" s="20"/>
      <c r="AL637" s="17">
        <f t="shared" si="203"/>
        <v>12.323009999999998</v>
      </c>
      <c r="AM637" s="17" t="s">
        <v>108</v>
      </c>
      <c r="AN637" s="21">
        <v>0.4</v>
      </c>
      <c r="AO637" s="17">
        <f t="shared" si="204"/>
        <v>4.9292039999999995</v>
      </c>
      <c r="AP637" s="30">
        <v>4.9292039999999995</v>
      </c>
      <c r="AQ637" s="29">
        <v>45229</v>
      </c>
      <c r="AR637" s="17">
        <f t="shared" si="210"/>
        <v>0</v>
      </c>
      <c r="AS637" s="17"/>
      <c r="AT637" s="17">
        <v>14.586419999999999</v>
      </c>
      <c r="AU637" s="17">
        <f t="shared" si="211"/>
        <v>14.586419999999999</v>
      </c>
      <c r="AV637" s="17">
        <f t="shared" si="205"/>
        <v>0</v>
      </c>
      <c r="AW637" s="17" t="str">
        <f t="shared" si="212"/>
        <v>SFA</v>
      </c>
      <c r="AX637" s="22">
        <v>44949</v>
      </c>
      <c r="AY637" s="22"/>
      <c r="AZ637" s="1" t="s">
        <v>110</v>
      </c>
      <c r="BA637" s="22" t="str">
        <f t="shared" si="216"/>
        <v>MARINE CARGO / GIT</v>
      </c>
      <c r="BB637" s="54"/>
      <c r="BC637" s="22"/>
      <c r="BD637" s="1"/>
    </row>
    <row r="638" spans="1:56" ht="14.25" customHeight="1" x14ac:dyDescent="0.2">
      <c r="A638" s="1" t="s">
        <v>667</v>
      </c>
      <c r="B638" s="1" t="s">
        <v>57</v>
      </c>
      <c r="C638" s="13">
        <v>44869</v>
      </c>
      <c r="D638" s="50">
        <v>44855</v>
      </c>
      <c r="E638" s="50">
        <v>44853</v>
      </c>
      <c r="F638" s="13">
        <v>45217</v>
      </c>
      <c r="G638" s="14" t="str">
        <f t="shared" si="199"/>
        <v>000-637/AIB RDC/2022</v>
      </c>
      <c r="H638" s="1">
        <v>0</v>
      </c>
      <c r="I638" s="1" t="s">
        <v>74</v>
      </c>
      <c r="J638" s="1" t="s">
        <v>971</v>
      </c>
      <c r="K638" s="1" t="s">
        <v>228</v>
      </c>
      <c r="L638" s="1"/>
      <c r="M638" s="1" t="s">
        <v>105</v>
      </c>
      <c r="N638" s="1" t="s">
        <v>106</v>
      </c>
      <c r="O638" s="1" t="s">
        <v>64</v>
      </c>
      <c r="P638" s="1" t="s">
        <v>65</v>
      </c>
      <c r="Q638" s="1" t="s">
        <v>130</v>
      </c>
      <c r="R638" s="1" t="s">
        <v>130</v>
      </c>
      <c r="S638" s="17">
        <v>6116.42</v>
      </c>
      <c r="T638" s="17">
        <v>220.93</v>
      </c>
      <c r="U638" s="17">
        <v>0</v>
      </c>
      <c r="V638" s="17">
        <v>0</v>
      </c>
      <c r="W638" s="17">
        <v>2.77</v>
      </c>
      <c r="X638" s="17">
        <v>184.46</v>
      </c>
      <c r="Y638" s="17">
        <v>29.96</v>
      </c>
      <c r="Z638" s="18">
        <f t="shared" si="200"/>
        <v>3.6120802691770676E-2</v>
      </c>
      <c r="AA638" s="19">
        <v>0.15</v>
      </c>
      <c r="AB638" s="17">
        <f t="shared" si="215"/>
        <v>27.669</v>
      </c>
      <c r="AC638" s="17">
        <v>0</v>
      </c>
      <c r="AD638" s="17">
        <v>0</v>
      </c>
      <c r="AE638" s="17">
        <f t="shared" si="201"/>
        <v>27.669</v>
      </c>
      <c r="AF638" s="17">
        <f t="shared" si="214"/>
        <v>4.4270399999999999</v>
      </c>
      <c r="AG638" s="17">
        <f t="shared" si="207"/>
        <v>32.096040000000002</v>
      </c>
      <c r="AH638" s="17">
        <f t="shared" si="213"/>
        <v>0.55337999999999998</v>
      </c>
      <c r="AI638" s="17"/>
      <c r="AJ638" s="17">
        <f t="shared" si="202"/>
        <v>0.55337999999999998</v>
      </c>
      <c r="AK638" s="20"/>
      <c r="AL638" s="17">
        <f t="shared" si="203"/>
        <v>27.11562</v>
      </c>
      <c r="AM638" s="17" t="s">
        <v>108</v>
      </c>
      <c r="AN638" s="21">
        <v>0.4</v>
      </c>
      <c r="AO638" s="17">
        <f t="shared" si="204"/>
        <v>10.846248000000001</v>
      </c>
      <c r="AP638" s="30">
        <v>10.846248000000001</v>
      </c>
      <c r="AQ638" s="29">
        <v>45229</v>
      </c>
      <c r="AR638" s="17">
        <f t="shared" si="210"/>
        <v>0</v>
      </c>
      <c r="AS638" s="17"/>
      <c r="AT638" s="17">
        <v>32.096040000000002</v>
      </c>
      <c r="AU638" s="17">
        <f t="shared" si="211"/>
        <v>32.096040000000002</v>
      </c>
      <c r="AV638" s="17">
        <f t="shared" si="205"/>
        <v>0</v>
      </c>
      <c r="AW638" s="17" t="str">
        <f t="shared" si="212"/>
        <v>SFA</v>
      </c>
      <c r="AX638" s="22">
        <v>44949</v>
      </c>
      <c r="AY638" s="22"/>
      <c r="AZ638" s="1" t="s">
        <v>110</v>
      </c>
      <c r="BA638" s="22" t="str">
        <f t="shared" si="216"/>
        <v>MARINE CARGO / GIT</v>
      </c>
      <c r="BB638" s="54"/>
      <c r="BC638" s="22"/>
      <c r="BD638" s="1"/>
    </row>
    <row r="639" spans="1:56" ht="14.25" customHeight="1" x14ac:dyDescent="0.2">
      <c r="A639" s="1" t="s">
        <v>667</v>
      </c>
      <c r="B639" s="1" t="s">
        <v>57</v>
      </c>
      <c r="C639" s="13">
        <v>44869</v>
      </c>
      <c r="D639" s="50">
        <v>44852</v>
      </c>
      <c r="E639" s="13">
        <v>44852</v>
      </c>
      <c r="F639" s="13">
        <v>45216</v>
      </c>
      <c r="G639" s="14" t="str">
        <f t="shared" si="199"/>
        <v>000-638/AIB RDC/2022</v>
      </c>
      <c r="H639" s="1">
        <v>0</v>
      </c>
      <c r="I639" s="1" t="s">
        <v>74</v>
      </c>
      <c r="J639" s="1" t="s">
        <v>972</v>
      </c>
      <c r="K639" s="1" t="s">
        <v>228</v>
      </c>
      <c r="L639" s="1"/>
      <c r="M639" s="1" t="s">
        <v>105</v>
      </c>
      <c r="N639" s="1" t="s">
        <v>106</v>
      </c>
      <c r="O639" s="1" t="s">
        <v>64</v>
      </c>
      <c r="P639" s="1" t="s">
        <v>65</v>
      </c>
      <c r="Q639" s="1" t="s">
        <v>130</v>
      </c>
      <c r="R639" s="1" t="s">
        <v>130</v>
      </c>
      <c r="S639" s="17">
        <v>75580.17</v>
      </c>
      <c r="T639" s="17">
        <v>230.95</v>
      </c>
      <c r="U639" s="17">
        <v>0</v>
      </c>
      <c r="V639" s="17">
        <v>0</v>
      </c>
      <c r="W639" s="17">
        <v>20</v>
      </c>
      <c r="X639" s="17">
        <v>175.72</v>
      </c>
      <c r="Y639" s="17">
        <v>31.32</v>
      </c>
      <c r="Z639" s="18">
        <f t="shared" si="200"/>
        <v>3.0556956937249544E-3</v>
      </c>
      <c r="AA639" s="19">
        <v>0.15</v>
      </c>
      <c r="AB639" s="17">
        <f t="shared" si="215"/>
        <v>26.358000000000001</v>
      </c>
      <c r="AC639" s="17">
        <v>0</v>
      </c>
      <c r="AD639" s="17">
        <v>0</v>
      </c>
      <c r="AE639" s="17">
        <f t="shared" si="201"/>
        <v>26.358000000000001</v>
      </c>
      <c r="AF639" s="17">
        <f t="shared" si="214"/>
        <v>4.2172800000000006</v>
      </c>
      <c r="AG639" s="17">
        <f t="shared" si="207"/>
        <v>30.575279999999999</v>
      </c>
      <c r="AH639" s="17">
        <f t="shared" si="213"/>
        <v>0.52716000000000007</v>
      </c>
      <c r="AI639" s="17"/>
      <c r="AJ639" s="17">
        <f t="shared" si="202"/>
        <v>0.52716000000000007</v>
      </c>
      <c r="AK639" s="20"/>
      <c r="AL639" s="17">
        <f t="shared" si="203"/>
        <v>25.830840000000002</v>
      </c>
      <c r="AM639" s="17" t="s">
        <v>108</v>
      </c>
      <c r="AN639" s="21">
        <v>0.4</v>
      </c>
      <c r="AO639" s="17">
        <f t="shared" si="204"/>
        <v>10.332336000000002</v>
      </c>
      <c r="AP639" s="30">
        <v>10.332336000000002</v>
      </c>
      <c r="AQ639" s="29">
        <v>45229</v>
      </c>
      <c r="AR639" s="17">
        <f t="shared" si="210"/>
        <v>0</v>
      </c>
      <c r="AS639" s="17"/>
      <c r="AT639" s="17">
        <v>30.575279999999999</v>
      </c>
      <c r="AU639" s="17">
        <f t="shared" si="211"/>
        <v>30.575279999999999</v>
      </c>
      <c r="AV639" s="17">
        <f t="shared" si="205"/>
        <v>0</v>
      </c>
      <c r="AW639" s="17" t="str">
        <f t="shared" si="212"/>
        <v>SFA</v>
      </c>
      <c r="AX639" s="22">
        <v>44949</v>
      </c>
      <c r="AY639" s="22"/>
      <c r="AZ639" s="1" t="s">
        <v>110</v>
      </c>
      <c r="BA639" s="22" t="str">
        <f t="shared" si="216"/>
        <v>MARINE CARGO / GIT</v>
      </c>
      <c r="BB639" s="54"/>
      <c r="BC639" s="22"/>
      <c r="BD639" s="1"/>
    </row>
    <row r="640" spans="1:56" ht="14.25" customHeight="1" x14ac:dyDescent="0.2">
      <c r="A640" s="1" t="s">
        <v>667</v>
      </c>
      <c r="B640" s="1" t="s">
        <v>57</v>
      </c>
      <c r="C640" s="13">
        <v>44869</v>
      </c>
      <c r="D640" s="50">
        <v>44852</v>
      </c>
      <c r="E640" s="13">
        <v>44852</v>
      </c>
      <c r="F640" s="13">
        <v>45216</v>
      </c>
      <c r="G640" s="14" t="str">
        <f t="shared" si="199"/>
        <v>000-639/AIB RDC/2022</v>
      </c>
      <c r="H640" s="1">
        <v>0</v>
      </c>
      <c r="I640" s="1" t="s">
        <v>74</v>
      </c>
      <c r="J640" s="1" t="s">
        <v>973</v>
      </c>
      <c r="K640" s="1" t="s">
        <v>228</v>
      </c>
      <c r="L640" s="1"/>
      <c r="M640" s="1" t="s">
        <v>105</v>
      </c>
      <c r="N640" s="1" t="s">
        <v>106</v>
      </c>
      <c r="O640" s="1" t="s">
        <v>64</v>
      </c>
      <c r="P640" s="1" t="s">
        <v>65</v>
      </c>
      <c r="Q640" s="1" t="s">
        <v>130</v>
      </c>
      <c r="R640" s="1" t="s">
        <v>130</v>
      </c>
      <c r="S640" s="17">
        <v>87655.23</v>
      </c>
      <c r="T640" s="17">
        <v>264.08999999999997</v>
      </c>
      <c r="U640" s="17">
        <v>0</v>
      </c>
      <c r="V640" s="17">
        <v>0</v>
      </c>
      <c r="W640" s="17">
        <v>20</v>
      </c>
      <c r="X640" s="17">
        <v>203.8</v>
      </c>
      <c r="Y640" s="17">
        <v>35.81</v>
      </c>
      <c r="Z640" s="18">
        <f t="shared" si="200"/>
        <v>3.0128265021950201E-3</v>
      </c>
      <c r="AA640" s="19">
        <v>0.15</v>
      </c>
      <c r="AB640" s="17">
        <f t="shared" si="215"/>
        <v>30.57</v>
      </c>
      <c r="AC640" s="17">
        <v>0</v>
      </c>
      <c r="AD640" s="17">
        <v>0</v>
      </c>
      <c r="AE640" s="17">
        <f t="shared" si="201"/>
        <v>30.57</v>
      </c>
      <c r="AF640" s="17">
        <f t="shared" si="214"/>
        <v>4.8912000000000004</v>
      </c>
      <c r="AG640" s="17">
        <f t="shared" si="207"/>
        <v>35.461199999999998</v>
      </c>
      <c r="AH640" s="17">
        <f t="shared" si="213"/>
        <v>0.61140000000000005</v>
      </c>
      <c r="AI640" s="17"/>
      <c r="AJ640" s="17">
        <f t="shared" si="202"/>
        <v>0.61140000000000005</v>
      </c>
      <c r="AK640" s="20"/>
      <c r="AL640" s="17">
        <f t="shared" si="203"/>
        <v>29.958600000000001</v>
      </c>
      <c r="AM640" s="17" t="s">
        <v>108</v>
      </c>
      <c r="AN640" s="21">
        <v>0.4</v>
      </c>
      <c r="AO640" s="17">
        <f t="shared" si="204"/>
        <v>11.983440000000002</v>
      </c>
      <c r="AP640" s="30">
        <v>11.983440000000002</v>
      </c>
      <c r="AQ640" s="29">
        <v>45229</v>
      </c>
      <c r="AR640" s="17">
        <f t="shared" si="210"/>
        <v>0</v>
      </c>
      <c r="AS640" s="17"/>
      <c r="AT640" s="17">
        <v>35.461199999999998</v>
      </c>
      <c r="AU640" s="17">
        <f t="shared" si="211"/>
        <v>35.461199999999998</v>
      </c>
      <c r="AV640" s="17">
        <f t="shared" si="205"/>
        <v>0</v>
      </c>
      <c r="AW640" s="17" t="str">
        <f t="shared" si="212"/>
        <v>SFA</v>
      </c>
      <c r="AX640" s="22">
        <v>44949</v>
      </c>
      <c r="AY640" s="22"/>
      <c r="AZ640" s="1" t="s">
        <v>110</v>
      </c>
      <c r="BA640" s="22" t="str">
        <f t="shared" si="216"/>
        <v>MARINE CARGO / GIT</v>
      </c>
      <c r="BB640" s="54"/>
      <c r="BC640" s="22"/>
      <c r="BD640" s="1"/>
    </row>
    <row r="641" spans="1:56" ht="14.25" customHeight="1" x14ac:dyDescent="0.2">
      <c r="A641" s="1" t="s">
        <v>667</v>
      </c>
      <c r="B641" s="1" t="s">
        <v>57</v>
      </c>
      <c r="C641" s="13">
        <v>44869</v>
      </c>
      <c r="D641" s="50">
        <v>44852</v>
      </c>
      <c r="E641" s="13">
        <v>44852</v>
      </c>
      <c r="F641" s="13">
        <v>45216</v>
      </c>
      <c r="G641" s="14" t="str">
        <f t="shared" si="199"/>
        <v>000-640/AIB RDC/2022</v>
      </c>
      <c r="H641" s="1">
        <v>0</v>
      </c>
      <c r="I641" s="1" t="s">
        <v>74</v>
      </c>
      <c r="J641" s="1" t="s">
        <v>974</v>
      </c>
      <c r="K641" s="1" t="s">
        <v>228</v>
      </c>
      <c r="L641" s="1"/>
      <c r="M641" s="1" t="s">
        <v>105</v>
      </c>
      <c r="N641" s="1" t="s">
        <v>106</v>
      </c>
      <c r="O641" s="1" t="s">
        <v>64</v>
      </c>
      <c r="P641" s="1" t="s">
        <v>65</v>
      </c>
      <c r="Q641" s="1" t="s">
        <v>130</v>
      </c>
      <c r="R641" s="1" t="s">
        <v>130</v>
      </c>
      <c r="S641" s="17">
        <v>66116.42</v>
      </c>
      <c r="T641" s="17">
        <v>204.99</v>
      </c>
      <c r="U641" s="17">
        <v>0</v>
      </c>
      <c r="V641" s="17">
        <v>0</v>
      </c>
      <c r="W641" s="17">
        <v>20</v>
      </c>
      <c r="X641" s="17">
        <v>153.72999999999999</v>
      </c>
      <c r="Y641" s="17">
        <v>27.8</v>
      </c>
      <c r="Z641" s="18">
        <f t="shared" si="200"/>
        <v>3.100440102473788E-3</v>
      </c>
      <c r="AA641" s="19">
        <v>0.15</v>
      </c>
      <c r="AB641" s="17">
        <f t="shared" si="215"/>
        <v>23.059499999999996</v>
      </c>
      <c r="AC641" s="17">
        <v>0</v>
      </c>
      <c r="AD641" s="17">
        <v>0</v>
      </c>
      <c r="AE641" s="17">
        <f t="shared" si="201"/>
        <v>23.059499999999996</v>
      </c>
      <c r="AF641" s="17">
        <f t="shared" si="214"/>
        <v>3.6895199999999995</v>
      </c>
      <c r="AG641" s="17">
        <f t="shared" si="207"/>
        <v>26.749019999999994</v>
      </c>
      <c r="AH641" s="17">
        <f t="shared" si="213"/>
        <v>0.46118999999999993</v>
      </c>
      <c r="AI641" s="17"/>
      <c r="AJ641" s="17">
        <f t="shared" si="202"/>
        <v>0.46118999999999993</v>
      </c>
      <c r="AK641" s="20"/>
      <c r="AL641" s="17">
        <f t="shared" si="203"/>
        <v>22.598309999999998</v>
      </c>
      <c r="AM641" s="17" t="s">
        <v>108</v>
      </c>
      <c r="AN641" s="21">
        <v>0.4</v>
      </c>
      <c r="AO641" s="17">
        <f t="shared" si="204"/>
        <v>9.0393239999999988</v>
      </c>
      <c r="AP641" s="30">
        <v>9.0393239999999988</v>
      </c>
      <c r="AQ641" s="29">
        <v>45229</v>
      </c>
      <c r="AR641" s="17">
        <f t="shared" si="210"/>
        <v>0</v>
      </c>
      <c r="AS641" s="17"/>
      <c r="AT641" s="17">
        <v>26.749019999999994</v>
      </c>
      <c r="AU641" s="17">
        <f t="shared" si="211"/>
        <v>26.749019999999994</v>
      </c>
      <c r="AV641" s="17">
        <f t="shared" si="205"/>
        <v>0</v>
      </c>
      <c r="AW641" s="17" t="str">
        <f t="shared" si="212"/>
        <v>SFA</v>
      </c>
      <c r="AX641" s="22">
        <v>44949</v>
      </c>
      <c r="AY641" s="22"/>
      <c r="AZ641" s="1" t="s">
        <v>110</v>
      </c>
      <c r="BA641" s="22" t="str">
        <f t="shared" si="216"/>
        <v>MARINE CARGO / GIT</v>
      </c>
      <c r="BB641" s="54"/>
      <c r="BC641" s="22"/>
      <c r="BD641" s="1"/>
    </row>
    <row r="642" spans="1:56" ht="14.25" customHeight="1" x14ac:dyDescent="0.2">
      <c r="A642" s="1" t="s">
        <v>578</v>
      </c>
      <c r="B642" s="1" t="s">
        <v>57</v>
      </c>
      <c r="C642" s="13">
        <v>44739</v>
      </c>
      <c r="D642" s="13">
        <v>44740</v>
      </c>
      <c r="E642" s="13">
        <v>44729</v>
      </c>
      <c r="F642" s="13">
        <v>45093</v>
      </c>
      <c r="G642" s="14" t="str">
        <f t="shared" si="199"/>
        <v>000-641/AIB RDC/2022</v>
      </c>
      <c r="H642" s="1">
        <v>1</v>
      </c>
      <c r="I642" s="1" t="s">
        <v>115</v>
      </c>
      <c r="J642" s="1" t="s">
        <v>638</v>
      </c>
      <c r="K642" s="1" t="s">
        <v>527</v>
      </c>
      <c r="L642" s="1"/>
      <c r="M642" s="1" t="s">
        <v>105</v>
      </c>
      <c r="N642" s="1" t="s">
        <v>119</v>
      </c>
      <c r="O642" s="1" t="s">
        <v>152</v>
      </c>
      <c r="P642" s="1" t="s">
        <v>153</v>
      </c>
      <c r="Q642" s="1" t="s">
        <v>130</v>
      </c>
      <c r="R642" s="1" t="s">
        <v>130</v>
      </c>
      <c r="S642" s="17">
        <v>0</v>
      </c>
      <c r="T642" s="17">
        <v>-234.68</v>
      </c>
      <c r="U642" s="17">
        <v>0</v>
      </c>
      <c r="V642" s="17">
        <v>0</v>
      </c>
      <c r="W642" s="17">
        <v>0</v>
      </c>
      <c r="X642" s="17">
        <v>-202.31</v>
      </c>
      <c r="Y642" s="17">
        <v>-32.369999999999997</v>
      </c>
      <c r="Z642" s="18" t="e">
        <f t="shared" si="200"/>
        <v>#DIV/0!</v>
      </c>
      <c r="AA642" s="19">
        <v>0.15</v>
      </c>
      <c r="AB642" s="17">
        <f t="shared" si="215"/>
        <v>-30.346499999999999</v>
      </c>
      <c r="AC642" s="17">
        <v>0</v>
      </c>
      <c r="AD642" s="17">
        <v>0</v>
      </c>
      <c r="AE642" s="17">
        <f t="shared" si="201"/>
        <v>-30.346499999999999</v>
      </c>
      <c r="AF642" s="17">
        <f t="shared" si="214"/>
        <v>-4.8554399999999998</v>
      </c>
      <c r="AG642" s="17">
        <f t="shared" si="207"/>
        <v>-35.20194</v>
      </c>
      <c r="AH642" s="17">
        <f t="shared" si="213"/>
        <v>-0.60692999999999997</v>
      </c>
      <c r="AI642" s="17"/>
      <c r="AJ642" s="17">
        <f t="shared" si="202"/>
        <v>-0.60692999999999997</v>
      </c>
      <c r="AK642" s="20"/>
      <c r="AL642" s="17">
        <f t="shared" si="203"/>
        <v>-29.739570000000001</v>
      </c>
      <c r="AM642" s="17"/>
      <c r="AN642" s="21"/>
      <c r="AO642" s="17">
        <f t="shared" si="204"/>
        <v>0</v>
      </c>
      <c r="AP642" s="17"/>
      <c r="AQ642" s="16"/>
      <c r="AR642" s="17">
        <f t="shared" si="210"/>
        <v>0</v>
      </c>
      <c r="AS642" s="17"/>
      <c r="AT642" s="17"/>
      <c r="AU642" s="17">
        <f t="shared" si="211"/>
        <v>-35.20194</v>
      </c>
      <c r="AV642" s="84">
        <f t="shared" si="205"/>
        <v>-35.20194</v>
      </c>
      <c r="AW642" s="17" t="str">
        <f t="shared" si="212"/>
        <v>SFA</v>
      </c>
      <c r="AX642" s="22"/>
      <c r="AY642" s="22"/>
      <c r="AZ642" s="1" t="s">
        <v>68</v>
      </c>
      <c r="BA642" s="22" t="str">
        <f t="shared" si="216"/>
        <v>COMP MOTOR</v>
      </c>
      <c r="BB642" s="22"/>
      <c r="BC642" s="22"/>
      <c r="BD642" s="22"/>
    </row>
    <row r="643" spans="1:56" ht="14.25" customHeight="1" x14ac:dyDescent="0.2">
      <c r="A643" s="1" t="s">
        <v>667</v>
      </c>
      <c r="B643" s="1" t="s">
        <v>57</v>
      </c>
      <c r="C643" s="13">
        <v>44869</v>
      </c>
      <c r="D643" s="50">
        <v>44852</v>
      </c>
      <c r="E643" s="13">
        <v>44851</v>
      </c>
      <c r="F643" s="13">
        <v>45215</v>
      </c>
      <c r="G643" s="14" t="str">
        <f t="shared" si="199"/>
        <v>000-642/AIB RDC/2022</v>
      </c>
      <c r="H643" s="1">
        <v>0</v>
      </c>
      <c r="I643" s="1" t="s">
        <v>74</v>
      </c>
      <c r="J643" s="1" t="s">
        <v>976</v>
      </c>
      <c r="K643" s="1" t="s">
        <v>228</v>
      </c>
      <c r="L643" s="1"/>
      <c r="M643" s="1" t="s">
        <v>105</v>
      </c>
      <c r="N643" s="1" t="s">
        <v>106</v>
      </c>
      <c r="O643" s="1" t="s">
        <v>64</v>
      </c>
      <c r="P643" s="1" t="s">
        <v>65</v>
      </c>
      <c r="Q643" s="1" t="s">
        <v>130</v>
      </c>
      <c r="R643" s="1" t="s">
        <v>130</v>
      </c>
      <c r="S643" s="17">
        <v>48166.04</v>
      </c>
      <c r="T643" s="17">
        <v>155.9</v>
      </c>
      <c r="U643" s="17">
        <v>0</v>
      </c>
      <c r="V643" s="17">
        <v>0</v>
      </c>
      <c r="W643" s="17">
        <v>1.95</v>
      </c>
      <c r="X643" s="17">
        <v>130.16999999999999</v>
      </c>
      <c r="Y643" s="17">
        <v>21.12</v>
      </c>
      <c r="Z643" s="18">
        <f t="shared" si="200"/>
        <v>3.2367203116552661E-3</v>
      </c>
      <c r="AA643" s="19">
        <v>0.15</v>
      </c>
      <c r="AB643" s="17">
        <f t="shared" si="215"/>
        <v>19.525499999999997</v>
      </c>
      <c r="AC643" s="17">
        <v>0</v>
      </c>
      <c r="AD643" s="17">
        <v>0</v>
      </c>
      <c r="AE643" s="17">
        <f t="shared" si="201"/>
        <v>19.525499999999997</v>
      </c>
      <c r="AF643" s="17">
        <f t="shared" si="214"/>
        <v>3.1240799999999997</v>
      </c>
      <c r="AG643" s="17">
        <f t="shared" si="207"/>
        <v>22.649579999999997</v>
      </c>
      <c r="AH643" s="17">
        <f t="shared" si="213"/>
        <v>0.39050999999999997</v>
      </c>
      <c r="AI643" s="17"/>
      <c r="AJ643" s="17">
        <f t="shared" si="202"/>
        <v>0.39050999999999997</v>
      </c>
      <c r="AK643" s="20"/>
      <c r="AL643" s="17">
        <f t="shared" si="203"/>
        <v>19.134989999999998</v>
      </c>
      <c r="AM643" s="17" t="s">
        <v>108</v>
      </c>
      <c r="AN643" s="21">
        <v>0.4</v>
      </c>
      <c r="AO643" s="17">
        <f t="shared" si="204"/>
        <v>7.6539959999999994</v>
      </c>
      <c r="AP643" s="30">
        <v>7.6539959999999994</v>
      </c>
      <c r="AQ643" s="29">
        <v>45229</v>
      </c>
      <c r="AR643" s="17">
        <f t="shared" si="210"/>
        <v>0</v>
      </c>
      <c r="AS643" s="17"/>
      <c r="AT643" s="17">
        <v>22.649579999999997</v>
      </c>
      <c r="AU643" s="17">
        <f t="shared" si="211"/>
        <v>22.649579999999997</v>
      </c>
      <c r="AV643" s="17">
        <f t="shared" si="205"/>
        <v>0</v>
      </c>
      <c r="AW643" s="17" t="str">
        <f t="shared" si="212"/>
        <v>SFA</v>
      </c>
      <c r="AX643" s="22">
        <v>44949</v>
      </c>
      <c r="AY643" s="22"/>
      <c r="AZ643" s="1" t="s">
        <v>110</v>
      </c>
      <c r="BA643" s="22" t="str">
        <f t="shared" si="216"/>
        <v>MARINE CARGO / GIT</v>
      </c>
      <c r="BB643" s="54"/>
      <c r="BC643" s="22"/>
      <c r="BD643" s="1"/>
    </row>
    <row r="644" spans="1:56" ht="14.25" customHeight="1" x14ac:dyDescent="0.2">
      <c r="A644" s="1" t="s">
        <v>667</v>
      </c>
      <c r="B644" s="1" t="s">
        <v>57</v>
      </c>
      <c r="C644" s="13">
        <v>44869</v>
      </c>
      <c r="D644" s="50">
        <v>44852</v>
      </c>
      <c r="E644" s="13">
        <v>44852</v>
      </c>
      <c r="F644" s="13">
        <v>45216</v>
      </c>
      <c r="G644" s="14" t="str">
        <f t="shared" si="199"/>
        <v>000-643/AIB RDC/2022</v>
      </c>
      <c r="H644" s="1">
        <v>0</v>
      </c>
      <c r="I644" s="1" t="s">
        <v>74</v>
      </c>
      <c r="J644" s="1" t="s">
        <v>977</v>
      </c>
      <c r="K644" s="1" t="s">
        <v>228</v>
      </c>
      <c r="L644" s="1"/>
      <c r="M644" s="1" t="s">
        <v>105</v>
      </c>
      <c r="N644" s="1" t="s">
        <v>106</v>
      </c>
      <c r="O644" s="1" t="s">
        <v>64</v>
      </c>
      <c r="P644" s="1" t="s">
        <v>65</v>
      </c>
      <c r="Q644" s="1" t="s">
        <v>130</v>
      </c>
      <c r="R644" s="1" t="s">
        <v>130</v>
      </c>
      <c r="S644" s="17">
        <v>60731.72</v>
      </c>
      <c r="T644" s="17">
        <v>190.21</v>
      </c>
      <c r="U644" s="17">
        <v>0</v>
      </c>
      <c r="V644" s="17">
        <v>0</v>
      </c>
      <c r="W644" s="17">
        <v>20</v>
      </c>
      <c r="X644" s="17">
        <v>141.19999999999999</v>
      </c>
      <c r="Y644" s="17">
        <v>25.79</v>
      </c>
      <c r="Z644" s="18">
        <f t="shared" si="200"/>
        <v>3.1319712334839192E-3</v>
      </c>
      <c r="AA644" s="19">
        <v>0.15</v>
      </c>
      <c r="AB644" s="17">
        <f t="shared" si="215"/>
        <v>21.179999999999996</v>
      </c>
      <c r="AC644" s="17">
        <v>0</v>
      </c>
      <c r="AD644" s="17">
        <v>0</v>
      </c>
      <c r="AE644" s="17">
        <f t="shared" si="201"/>
        <v>21.179999999999996</v>
      </c>
      <c r="AF644" s="17">
        <f t="shared" si="214"/>
        <v>3.3887999999999994</v>
      </c>
      <c r="AG644" s="17">
        <f t="shared" si="207"/>
        <v>24.568799999999996</v>
      </c>
      <c r="AH644" s="17">
        <f t="shared" si="213"/>
        <v>0.42359999999999992</v>
      </c>
      <c r="AI644" s="17"/>
      <c r="AJ644" s="17">
        <f t="shared" si="202"/>
        <v>0.42359999999999992</v>
      </c>
      <c r="AK644" s="20"/>
      <c r="AL644" s="17">
        <f t="shared" si="203"/>
        <v>20.756399999999996</v>
      </c>
      <c r="AM644" s="17" t="s">
        <v>108</v>
      </c>
      <c r="AN644" s="21">
        <v>0.4</v>
      </c>
      <c r="AO644" s="17">
        <f t="shared" si="204"/>
        <v>8.3025599999999979</v>
      </c>
      <c r="AP644" s="30">
        <v>8.3025599999999979</v>
      </c>
      <c r="AQ644" s="29">
        <v>45229</v>
      </c>
      <c r="AR644" s="17">
        <f t="shared" si="210"/>
        <v>0</v>
      </c>
      <c r="AS644" s="17"/>
      <c r="AT644" s="17">
        <v>24.568799999999996</v>
      </c>
      <c r="AU644" s="17">
        <f t="shared" ref="AU644:AU675" si="217">AG644</f>
        <v>24.568799999999996</v>
      </c>
      <c r="AV644" s="17">
        <f t="shared" si="205"/>
        <v>0</v>
      </c>
      <c r="AW644" s="17" t="str">
        <f t="shared" si="212"/>
        <v>SFA</v>
      </c>
      <c r="AX644" s="22">
        <v>44949</v>
      </c>
      <c r="AY644" s="22"/>
      <c r="AZ644" s="1" t="s">
        <v>110</v>
      </c>
      <c r="BA644" s="22" t="str">
        <f t="shared" si="216"/>
        <v>MARINE CARGO / GIT</v>
      </c>
      <c r="BB644" s="54"/>
      <c r="BC644" s="22"/>
      <c r="BD644" s="1"/>
    </row>
    <row r="645" spans="1:56" ht="14.25" customHeight="1" x14ac:dyDescent="0.2">
      <c r="A645" s="1" t="s">
        <v>667</v>
      </c>
      <c r="B645" s="1" t="s">
        <v>57</v>
      </c>
      <c r="C645" s="13">
        <v>44869</v>
      </c>
      <c r="D645" s="50">
        <v>44852</v>
      </c>
      <c r="E645" s="13">
        <v>44852</v>
      </c>
      <c r="F645" s="13">
        <v>45216</v>
      </c>
      <c r="G645" s="14" t="str">
        <f t="shared" si="199"/>
        <v>000-644/AIB RDC/2022</v>
      </c>
      <c r="H645" s="1">
        <v>0</v>
      </c>
      <c r="I645" s="1" t="s">
        <v>74</v>
      </c>
      <c r="J645" s="1" t="s">
        <v>978</v>
      </c>
      <c r="K645" s="1" t="s">
        <v>228</v>
      </c>
      <c r="L645" s="1"/>
      <c r="M645" s="1" t="s">
        <v>105</v>
      </c>
      <c r="N645" s="1" t="s">
        <v>106</v>
      </c>
      <c r="O645" s="1" t="s">
        <v>64</v>
      </c>
      <c r="P645" s="1" t="s">
        <v>65</v>
      </c>
      <c r="Q645" s="1" t="s">
        <v>130</v>
      </c>
      <c r="R645" s="1" t="s">
        <v>130</v>
      </c>
      <c r="S645" s="17">
        <v>87555.23</v>
      </c>
      <c r="T645" s="17">
        <v>264.08999999999997</v>
      </c>
      <c r="U645" s="17">
        <v>0</v>
      </c>
      <c r="V645" s="17">
        <v>0</v>
      </c>
      <c r="W645" s="17">
        <v>20</v>
      </c>
      <c r="X645" s="17">
        <v>203.8</v>
      </c>
      <c r="Y645" s="17">
        <v>35.81</v>
      </c>
      <c r="Z645" s="18">
        <f t="shared" si="200"/>
        <v>3.0162675604872491E-3</v>
      </c>
      <c r="AA645" s="19">
        <v>0.15</v>
      </c>
      <c r="AB645" s="17">
        <f t="shared" si="215"/>
        <v>30.57</v>
      </c>
      <c r="AC645" s="17">
        <v>0</v>
      </c>
      <c r="AD645" s="17">
        <v>0</v>
      </c>
      <c r="AE645" s="17">
        <f t="shared" si="201"/>
        <v>30.57</v>
      </c>
      <c r="AF645" s="17">
        <f t="shared" si="214"/>
        <v>4.8912000000000004</v>
      </c>
      <c r="AG645" s="17">
        <f t="shared" si="207"/>
        <v>35.461199999999998</v>
      </c>
      <c r="AH645" s="17">
        <f t="shared" si="213"/>
        <v>0.61140000000000005</v>
      </c>
      <c r="AI645" s="17"/>
      <c r="AJ645" s="17">
        <f t="shared" si="202"/>
        <v>0.61140000000000005</v>
      </c>
      <c r="AK645" s="20"/>
      <c r="AL645" s="17">
        <f t="shared" si="203"/>
        <v>29.958600000000001</v>
      </c>
      <c r="AM645" s="17" t="s">
        <v>108</v>
      </c>
      <c r="AN645" s="21">
        <v>0.4</v>
      </c>
      <c r="AO645" s="17">
        <f t="shared" si="204"/>
        <v>11.983440000000002</v>
      </c>
      <c r="AP645" s="30">
        <v>11.983440000000002</v>
      </c>
      <c r="AQ645" s="29">
        <v>45229</v>
      </c>
      <c r="AR645" s="17">
        <f t="shared" si="210"/>
        <v>0</v>
      </c>
      <c r="AS645" s="17"/>
      <c r="AT645" s="17">
        <v>35.461199999999998</v>
      </c>
      <c r="AU645" s="17">
        <f t="shared" si="217"/>
        <v>35.461199999999998</v>
      </c>
      <c r="AV645" s="17">
        <f t="shared" si="205"/>
        <v>0</v>
      </c>
      <c r="AW645" s="17" t="str">
        <f t="shared" si="212"/>
        <v>SFA</v>
      </c>
      <c r="AX645" s="22">
        <v>44949</v>
      </c>
      <c r="AY645" s="22"/>
      <c r="AZ645" s="1" t="s">
        <v>110</v>
      </c>
      <c r="BA645" s="22" t="str">
        <f t="shared" si="216"/>
        <v>MARINE CARGO / GIT</v>
      </c>
      <c r="BB645" s="54"/>
      <c r="BC645" s="22"/>
      <c r="BD645" s="1"/>
    </row>
    <row r="646" spans="1:56" ht="14.25" customHeight="1" x14ac:dyDescent="0.2">
      <c r="A646" s="1" t="s">
        <v>667</v>
      </c>
      <c r="B646" s="1" t="s">
        <v>57</v>
      </c>
      <c r="C646" s="13">
        <v>44869</v>
      </c>
      <c r="D646" s="50">
        <v>44852</v>
      </c>
      <c r="E646" s="13">
        <v>44852</v>
      </c>
      <c r="F646" s="13">
        <v>45216</v>
      </c>
      <c r="G646" s="14" t="str">
        <f t="shared" si="199"/>
        <v>000-645/AIB RDC/2022</v>
      </c>
      <c r="H646" s="1">
        <v>0</v>
      </c>
      <c r="I646" s="1" t="s">
        <v>74</v>
      </c>
      <c r="J646" s="1" t="s">
        <v>979</v>
      </c>
      <c r="K646" s="1" t="s">
        <v>228</v>
      </c>
      <c r="L646" s="1"/>
      <c r="M646" s="1" t="s">
        <v>105</v>
      </c>
      <c r="N646" s="1" t="s">
        <v>106</v>
      </c>
      <c r="O646" s="1" t="s">
        <v>64</v>
      </c>
      <c r="P646" s="1" t="s">
        <v>65</v>
      </c>
      <c r="Q646" s="1" t="s">
        <v>130</v>
      </c>
      <c r="R646" s="1" t="s">
        <v>130</v>
      </c>
      <c r="S646" s="17">
        <v>140469.06</v>
      </c>
      <c r="T646" s="17">
        <v>409.04</v>
      </c>
      <c r="U646" s="17">
        <v>0</v>
      </c>
      <c r="V646" s="17">
        <v>0</v>
      </c>
      <c r="W646" s="17">
        <v>20</v>
      </c>
      <c r="X646" s="17">
        <v>326.64999999999998</v>
      </c>
      <c r="Y646" s="17">
        <v>55.46</v>
      </c>
      <c r="Z646" s="18">
        <f t="shared" si="200"/>
        <v>2.9119579785043055E-3</v>
      </c>
      <c r="AA646" s="19">
        <v>0.15</v>
      </c>
      <c r="AB646" s="17">
        <f t="shared" si="215"/>
        <v>48.997499999999995</v>
      </c>
      <c r="AC646" s="17">
        <v>0</v>
      </c>
      <c r="AD646" s="17">
        <v>0</v>
      </c>
      <c r="AE646" s="17">
        <f t="shared" si="201"/>
        <v>48.997499999999995</v>
      </c>
      <c r="AF646" s="17">
        <f t="shared" si="214"/>
        <v>7.839599999999999</v>
      </c>
      <c r="AG646" s="17">
        <f t="shared" si="207"/>
        <v>56.837099999999992</v>
      </c>
      <c r="AH646" s="17">
        <f t="shared" si="213"/>
        <v>0.97994999999999988</v>
      </c>
      <c r="AI646" s="17"/>
      <c r="AJ646" s="17">
        <f t="shared" si="202"/>
        <v>0.97994999999999988</v>
      </c>
      <c r="AK646" s="20"/>
      <c r="AL646" s="17">
        <f t="shared" si="203"/>
        <v>48.017549999999993</v>
      </c>
      <c r="AM646" s="17" t="s">
        <v>108</v>
      </c>
      <c r="AN646" s="21">
        <v>0.4</v>
      </c>
      <c r="AO646" s="17">
        <f t="shared" si="204"/>
        <v>19.20702</v>
      </c>
      <c r="AP646" s="30">
        <v>19.20702</v>
      </c>
      <c r="AQ646" s="29">
        <v>45229</v>
      </c>
      <c r="AR646" s="17">
        <f t="shared" si="210"/>
        <v>0</v>
      </c>
      <c r="AS646" s="17"/>
      <c r="AT646" s="17">
        <v>56.837099999999992</v>
      </c>
      <c r="AU646" s="17">
        <f t="shared" si="217"/>
        <v>56.837099999999992</v>
      </c>
      <c r="AV646" s="17">
        <f t="shared" si="205"/>
        <v>0</v>
      </c>
      <c r="AW646" s="17" t="str">
        <f t="shared" si="212"/>
        <v>SFA</v>
      </c>
      <c r="AX646" s="22">
        <v>44949</v>
      </c>
      <c r="AY646" s="22"/>
      <c r="AZ646" s="1" t="s">
        <v>110</v>
      </c>
      <c r="BA646" s="22" t="str">
        <f t="shared" si="216"/>
        <v>MARINE CARGO / GIT</v>
      </c>
      <c r="BB646" s="54"/>
      <c r="BC646" s="22"/>
      <c r="BD646" s="1"/>
    </row>
    <row r="647" spans="1:56" ht="14.25" customHeight="1" x14ac:dyDescent="0.2">
      <c r="A647" s="28" t="s">
        <v>667</v>
      </c>
      <c r="B647" s="28" t="s">
        <v>57</v>
      </c>
      <c r="C647" s="36">
        <v>44869</v>
      </c>
      <c r="D647" s="51">
        <v>44855</v>
      </c>
      <c r="E647" s="51">
        <v>44855</v>
      </c>
      <c r="F647" s="51">
        <v>44857</v>
      </c>
      <c r="G647" s="37" t="str">
        <f t="shared" si="199"/>
        <v>000-646/AIB RDC/2022</v>
      </c>
      <c r="H647" s="28">
        <v>0</v>
      </c>
      <c r="I647" s="28" t="s">
        <v>74</v>
      </c>
      <c r="J647" s="28" t="s">
        <v>980</v>
      </c>
      <c r="K647" s="28" t="s">
        <v>536</v>
      </c>
      <c r="L647" s="28"/>
      <c r="M647" s="28" t="s">
        <v>105</v>
      </c>
      <c r="N647" s="28" t="s">
        <v>106</v>
      </c>
      <c r="O647" s="28" t="s">
        <v>64</v>
      </c>
      <c r="P647" s="28" t="s">
        <v>65</v>
      </c>
      <c r="Q647" s="28" t="s">
        <v>130</v>
      </c>
      <c r="R647" s="28" t="s">
        <v>130</v>
      </c>
      <c r="S647" s="23">
        <v>57660.43</v>
      </c>
      <c r="T647" s="23">
        <v>66.290000000000006</v>
      </c>
      <c r="U647" s="23">
        <v>0</v>
      </c>
      <c r="V647" s="23">
        <v>0</v>
      </c>
      <c r="W647" s="23">
        <v>0.83</v>
      </c>
      <c r="X647" s="23">
        <v>55.35</v>
      </c>
      <c r="Y647" s="23">
        <v>8.99</v>
      </c>
      <c r="Z647" s="38">
        <f t="shared" si="200"/>
        <v>1.1496619085220143E-3</v>
      </c>
      <c r="AA647" s="39">
        <v>0.15</v>
      </c>
      <c r="AB647" s="23">
        <f t="shared" si="215"/>
        <v>8.3025000000000002</v>
      </c>
      <c r="AC647" s="23">
        <v>0</v>
      </c>
      <c r="AD647" s="23">
        <v>0</v>
      </c>
      <c r="AE647" s="23">
        <f t="shared" si="201"/>
        <v>8.3025000000000002</v>
      </c>
      <c r="AF647" s="23">
        <f t="shared" si="214"/>
        <v>1.3284</v>
      </c>
      <c r="AG647" s="23">
        <f t="shared" si="207"/>
        <v>9.6309000000000005</v>
      </c>
      <c r="AH647" s="23">
        <f t="shared" si="213"/>
        <v>0.16605</v>
      </c>
      <c r="AI647" s="23"/>
      <c r="AJ647" s="23">
        <f t="shared" si="202"/>
        <v>0.16605</v>
      </c>
      <c r="AK647" s="40"/>
      <c r="AL647" s="23">
        <f t="shared" si="203"/>
        <v>8.13645</v>
      </c>
      <c r="AM647" s="23" t="s">
        <v>108</v>
      </c>
      <c r="AN647" s="41">
        <v>0.4</v>
      </c>
      <c r="AO647" s="23">
        <f t="shared" si="204"/>
        <v>3.2545800000000003</v>
      </c>
      <c r="AP647" s="30">
        <v>3.2545800000000003</v>
      </c>
      <c r="AQ647" s="29">
        <v>45229</v>
      </c>
      <c r="AR647" s="23">
        <f t="shared" si="210"/>
        <v>0</v>
      </c>
      <c r="AS647" s="23"/>
      <c r="AT647" s="23">
        <v>9.6309000000000005</v>
      </c>
      <c r="AU647" s="23">
        <f t="shared" si="217"/>
        <v>9.6309000000000005</v>
      </c>
      <c r="AV647" s="23">
        <f t="shared" si="205"/>
        <v>0</v>
      </c>
      <c r="AW647" s="23" t="str">
        <f t="shared" si="212"/>
        <v>SFA</v>
      </c>
      <c r="AX647" s="42">
        <v>44984</v>
      </c>
      <c r="AY647" s="42"/>
      <c r="AZ647" s="28" t="s">
        <v>110</v>
      </c>
      <c r="BA647" s="42" t="str">
        <f t="shared" si="216"/>
        <v>MARINE CARGO / GIT</v>
      </c>
      <c r="BB647" s="56"/>
      <c r="BC647" s="42"/>
      <c r="BD647" s="28" t="s">
        <v>226</v>
      </c>
    </row>
    <row r="648" spans="1:56" ht="14.25" customHeight="1" x14ac:dyDescent="0.2">
      <c r="A648" s="1" t="s">
        <v>667</v>
      </c>
      <c r="B648" s="1" t="s">
        <v>57</v>
      </c>
      <c r="C648" s="13">
        <v>44869</v>
      </c>
      <c r="D648" s="50">
        <v>44855</v>
      </c>
      <c r="E648" s="50">
        <v>44855</v>
      </c>
      <c r="F648" s="50">
        <v>45219</v>
      </c>
      <c r="G648" s="14" t="str">
        <f t="shared" si="199"/>
        <v>000-647/AIB RDC/2022</v>
      </c>
      <c r="H648" s="1">
        <v>0</v>
      </c>
      <c r="I648" s="1" t="s">
        <v>74</v>
      </c>
      <c r="J648" s="24" t="s">
        <v>981</v>
      </c>
      <c r="K648" s="1" t="s">
        <v>536</v>
      </c>
      <c r="L648" s="1"/>
      <c r="M648" s="1" t="s">
        <v>105</v>
      </c>
      <c r="N648" s="1" t="s">
        <v>106</v>
      </c>
      <c r="O648" s="1" t="s">
        <v>64</v>
      </c>
      <c r="P648" s="1" t="s">
        <v>65</v>
      </c>
      <c r="Q648" s="1" t="s">
        <v>130</v>
      </c>
      <c r="R648" s="1" t="s">
        <v>130</v>
      </c>
      <c r="S648" s="17">
        <v>21872.42</v>
      </c>
      <c r="T648" s="17">
        <v>65</v>
      </c>
      <c r="U648" s="17">
        <v>0</v>
      </c>
      <c r="V648" s="17">
        <v>0</v>
      </c>
      <c r="W648" s="17">
        <v>0.81</v>
      </c>
      <c r="X648" s="17">
        <v>54.28</v>
      </c>
      <c r="Y648" s="17">
        <v>8.81</v>
      </c>
      <c r="Z648" s="18">
        <f t="shared" si="200"/>
        <v>2.971779071543067E-3</v>
      </c>
      <c r="AA648" s="19">
        <v>0.15</v>
      </c>
      <c r="AB648" s="17">
        <f t="shared" si="215"/>
        <v>8.1419999999999995</v>
      </c>
      <c r="AC648" s="17">
        <v>0</v>
      </c>
      <c r="AD648" s="17">
        <v>0</v>
      </c>
      <c r="AE648" s="17">
        <f t="shared" si="201"/>
        <v>8.1419999999999995</v>
      </c>
      <c r="AF648" s="17">
        <f t="shared" si="214"/>
        <v>1.3027199999999999</v>
      </c>
      <c r="AG648" s="17">
        <f t="shared" si="207"/>
        <v>9.4447200000000002</v>
      </c>
      <c r="AH648" s="17">
        <f t="shared" si="213"/>
        <v>0.16283999999999998</v>
      </c>
      <c r="AI648" s="17"/>
      <c r="AJ648" s="17">
        <f t="shared" si="202"/>
        <v>0.16283999999999998</v>
      </c>
      <c r="AK648" s="20"/>
      <c r="AL648" s="17">
        <f t="shared" si="203"/>
        <v>7.9791599999999994</v>
      </c>
      <c r="AM648" s="17" t="s">
        <v>108</v>
      </c>
      <c r="AN648" s="21">
        <v>0.4</v>
      </c>
      <c r="AO648" s="17">
        <f t="shared" si="204"/>
        <v>3.1916639999999998</v>
      </c>
      <c r="AP648" s="30">
        <v>3.1916639999999998</v>
      </c>
      <c r="AQ648" s="29">
        <v>45229</v>
      </c>
      <c r="AR648" s="17">
        <f t="shared" si="210"/>
        <v>0</v>
      </c>
      <c r="AS648" s="17"/>
      <c r="AT648" s="17">
        <v>9.4447200000000002</v>
      </c>
      <c r="AU648" s="17">
        <f t="shared" si="217"/>
        <v>9.4447200000000002</v>
      </c>
      <c r="AV648" s="17">
        <f t="shared" si="205"/>
        <v>0</v>
      </c>
      <c r="AW648" s="17" t="str">
        <f t="shared" si="212"/>
        <v>SFA</v>
      </c>
      <c r="AX648" s="22">
        <v>44949</v>
      </c>
      <c r="AY648" s="22"/>
      <c r="AZ648" s="1" t="s">
        <v>110</v>
      </c>
      <c r="BA648" s="22" t="str">
        <f t="shared" si="216"/>
        <v>MARINE CARGO / GIT</v>
      </c>
      <c r="BB648" s="54"/>
      <c r="BC648" s="22"/>
      <c r="BD648" s="1"/>
    </row>
    <row r="649" spans="1:56" ht="14.25" customHeight="1" x14ac:dyDescent="0.2">
      <c r="A649" s="1" t="s">
        <v>667</v>
      </c>
      <c r="B649" s="1" t="s">
        <v>57</v>
      </c>
      <c r="C649" s="13">
        <v>44869</v>
      </c>
      <c r="D649" s="50">
        <v>44848</v>
      </c>
      <c r="E649" s="13">
        <v>44847</v>
      </c>
      <c r="F649" s="13">
        <v>44850</v>
      </c>
      <c r="G649" s="14" t="str">
        <f t="shared" si="199"/>
        <v>000-648/AIB RDC/2022</v>
      </c>
      <c r="H649" s="1">
        <v>0</v>
      </c>
      <c r="I649" s="1" t="s">
        <v>74</v>
      </c>
      <c r="J649" s="24" t="s">
        <v>982</v>
      </c>
      <c r="K649" s="1" t="s">
        <v>612</v>
      </c>
      <c r="L649" s="1"/>
      <c r="M649" s="1" t="s">
        <v>105</v>
      </c>
      <c r="N649" s="1" t="s">
        <v>106</v>
      </c>
      <c r="O649" s="1" t="s">
        <v>64</v>
      </c>
      <c r="P649" s="1" t="s">
        <v>65</v>
      </c>
      <c r="Q649" s="1" t="s">
        <v>130</v>
      </c>
      <c r="R649" s="1" t="s">
        <v>130</v>
      </c>
      <c r="S649" s="17">
        <v>1221.57</v>
      </c>
      <c r="T649" s="17">
        <v>100.3</v>
      </c>
      <c r="U649" s="17">
        <v>0</v>
      </c>
      <c r="V649" s="17">
        <v>0</v>
      </c>
      <c r="W649" s="17">
        <v>20</v>
      </c>
      <c r="X649" s="17">
        <v>65</v>
      </c>
      <c r="Y649" s="17">
        <v>13.6</v>
      </c>
      <c r="Z649" s="18">
        <f t="shared" si="200"/>
        <v>8.210745188568809E-2</v>
      </c>
      <c r="AA649" s="19">
        <v>0.15</v>
      </c>
      <c r="AB649" s="17">
        <f t="shared" si="215"/>
        <v>9.75</v>
      </c>
      <c r="AC649" s="17">
        <v>0</v>
      </c>
      <c r="AD649" s="17">
        <v>0</v>
      </c>
      <c r="AE649" s="17">
        <f t="shared" si="201"/>
        <v>9.75</v>
      </c>
      <c r="AF649" s="17">
        <f t="shared" si="214"/>
        <v>1.56</v>
      </c>
      <c r="AG649" s="17">
        <f t="shared" si="207"/>
        <v>11.31</v>
      </c>
      <c r="AH649" s="17">
        <f t="shared" si="213"/>
        <v>0.19500000000000001</v>
      </c>
      <c r="AI649" s="17"/>
      <c r="AJ649" s="17">
        <f t="shared" si="202"/>
        <v>0.19500000000000001</v>
      </c>
      <c r="AK649" s="20"/>
      <c r="AL649" s="17">
        <f t="shared" si="203"/>
        <v>9.5549999999999997</v>
      </c>
      <c r="AM649" s="17" t="s">
        <v>108</v>
      </c>
      <c r="AN649" s="21">
        <v>0.4</v>
      </c>
      <c r="AO649" s="17">
        <f t="shared" si="204"/>
        <v>3.8220000000000001</v>
      </c>
      <c r="AP649" s="30">
        <v>3.8220000000000001</v>
      </c>
      <c r="AQ649" s="29">
        <v>45229</v>
      </c>
      <c r="AR649" s="17">
        <f t="shared" si="210"/>
        <v>0</v>
      </c>
      <c r="AS649" s="17"/>
      <c r="AT649" s="17">
        <v>11.31</v>
      </c>
      <c r="AU649" s="17">
        <f t="shared" si="217"/>
        <v>11.31</v>
      </c>
      <c r="AV649" s="17">
        <f t="shared" si="205"/>
        <v>0</v>
      </c>
      <c r="AW649" s="17" t="str">
        <f t="shared" si="212"/>
        <v>SFA</v>
      </c>
      <c r="AX649" s="22">
        <v>44949</v>
      </c>
      <c r="AY649" s="22"/>
      <c r="AZ649" s="1" t="s">
        <v>110</v>
      </c>
      <c r="BA649" s="22" t="str">
        <f t="shared" si="216"/>
        <v>MARINE CARGO / GIT</v>
      </c>
      <c r="BB649" s="54"/>
      <c r="BC649" s="22"/>
      <c r="BD649" s="1"/>
    </row>
    <row r="650" spans="1:56" ht="14.25" customHeight="1" x14ac:dyDescent="0.2">
      <c r="A650" s="1" t="s">
        <v>667</v>
      </c>
      <c r="B650" s="1" t="s">
        <v>57</v>
      </c>
      <c r="C650" s="13">
        <v>44869</v>
      </c>
      <c r="D650" s="50">
        <v>44848</v>
      </c>
      <c r="E650" s="13">
        <v>44847</v>
      </c>
      <c r="F650" s="13">
        <v>44850</v>
      </c>
      <c r="G650" s="14" t="str">
        <f t="shared" si="199"/>
        <v>000-649/AIB RDC/2022</v>
      </c>
      <c r="H650" s="1">
        <v>0</v>
      </c>
      <c r="I650" s="1" t="s">
        <v>74</v>
      </c>
      <c r="J650" s="24" t="s">
        <v>983</v>
      </c>
      <c r="K650" s="1" t="s">
        <v>612</v>
      </c>
      <c r="L650" s="1"/>
      <c r="M650" s="1" t="s">
        <v>105</v>
      </c>
      <c r="N650" s="1" t="s">
        <v>106</v>
      </c>
      <c r="O650" s="1" t="s">
        <v>64</v>
      </c>
      <c r="P650" s="1" t="s">
        <v>65</v>
      </c>
      <c r="Q650" s="1" t="s">
        <v>130</v>
      </c>
      <c r="R650" s="1" t="s">
        <v>130</v>
      </c>
      <c r="S650" s="17">
        <v>2037.63</v>
      </c>
      <c r="T650" s="17">
        <v>100.3</v>
      </c>
      <c r="U650" s="17">
        <v>0</v>
      </c>
      <c r="V650" s="17">
        <v>0</v>
      </c>
      <c r="W650" s="17">
        <v>20</v>
      </c>
      <c r="X650" s="17">
        <v>65</v>
      </c>
      <c r="Y650" s="17">
        <v>13.6</v>
      </c>
      <c r="Z650" s="18">
        <f t="shared" si="200"/>
        <v>4.9223853202004286E-2</v>
      </c>
      <c r="AA650" s="19">
        <v>0.15</v>
      </c>
      <c r="AB650" s="17">
        <f t="shared" si="215"/>
        <v>9.75</v>
      </c>
      <c r="AC650" s="17">
        <v>0</v>
      </c>
      <c r="AD650" s="17">
        <v>0</v>
      </c>
      <c r="AE650" s="17">
        <f t="shared" si="201"/>
        <v>9.75</v>
      </c>
      <c r="AF650" s="17">
        <f t="shared" ref="AF650:AF681" si="218">16%*AE650</f>
        <v>1.56</v>
      </c>
      <c r="AG650" s="17">
        <f t="shared" si="207"/>
        <v>11.31</v>
      </c>
      <c r="AH650" s="17">
        <f t="shared" si="213"/>
        <v>0.19500000000000001</v>
      </c>
      <c r="AI650" s="17"/>
      <c r="AJ650" s="17">
        <f t="shared" si="202"/>
        <v>0.19500000000000001</v>
      </c>
      <c r="AK650" s="20"/>
      <c r="AL650" s="17">
        <f t="shared" si="203"/>
        <v>9.5549999999999997</v>
      </c>
      <c r="AM650" s="17" t="s">
        <v>108</v>
      </c>
      <c r="AN650" s="21">
        <v>0.4</v>
      </c>
      <c r="AO650" s="17">
        <f t="shared" si="204"/>
        <v>3.8220000000000001</v>
      </c>
      <c r="AP650" s="30">
        <v>3.8220000000000001</v>
      </c>
      <c r="AQ650" s="29">
        <v>45229</v>
      </c>
      <c r="AR650" s="17">
        <f t="shared" si="210"/>
        <v>0</v>
      </c>
      <c r="AS650" s="17"/>
      <c r="AT650" s="17">
        <v>11.31</v>
      </c>
      <c r="AU650" s="17">
        <f t="shared" si="217"/>
        <v>11.31</v>
      </c>
      <c r="AV650" s="17">
        <f t="shared" si="205"/>
        <v>0</v>
      </c>
      <c r="AW650" s="17" t="str">
        <f t="shared" si="212"/>
        <v>SFA</v>
      </c>
      <c r="AX650" s="22">
        <v>44949</v>
      </c>
      <c r="AY650" s="22"/>
      <c r="AZ650" s="1" t="s">
        <v>110</v>
      </c>
      <c r="BA650" s="22" t="str">
        <f t="shared" si="216"/>
        <v>MARINE CARGO / GIT</v>
      </c>
      <c r="BB650" s="54"/>
      <c r="BC650" s="22"/>
      <c r="BD650" s="1"/>
    </row>
    <row r="651" spans="1:56" ht="14.25" customHeight="1" x14ac:dyDescent="0.2">
      <c r="A651" s="1" t="s">
        <v>667</v>
      </c>
      <c r="B651" s="1" t="s">
        <v>57</v>
      </c>
      <c r="C651" s="13">
        <v>44869</v>
      </c>
      <c r="D651" s="50">
        <v>44848</v>
      </c>
      <c r="E651" s="13">
        <v>44847</v>
      </c>
      <c r="F651" s="13">
        <v>44850</v>
      </c>
      <c r="G651" s="14" t="str">
        <f t="shared" si="199"/>
        <v>000-650/AIB RDC/2022</v>
      </c>
      <c r="H651" s="1">
        <v>0</v>
      </c>
      <c r="I651" s="1" t="s">
        <v>74</v>
      </c>
      <c r="J651" s="24" t="s">
        <v>984</v>
      </c>
      <c r="K651" s="1" t="s">
        <v>612</v>
      </c>
      <c r="L651" s="1"/>
      <c r="M651" s="1" t="s">
        <v>105</v>
      </c>
      <c r="N651" s="1" t="s">
        <v>106</v>
      </c>
      <c r="O651" s="1" t="s">
        <v>64</v>
      </c>
      <c r="P651" s="1" t="s">
        <v>65</v>
      </c>
      <c r="Q651" s="1" t="s">
        <v>130</v>
      </c>
      <c r="R651" s="1" t="s">
        <v>130</v>
      </c>
      <c r="S651" s="17">
        <v>2075.34</v>
      </c>
      <c r="T651" s="17">
        <v>100.3</v>
      </c>
      <c r="U651" s="17">
        <v>0</v>
      </c>
      <c r="V651" s="17">
        <v>0</v>
      </c>
      <c r="W651" s="17">
        <v>20</v>
      </c>
      <c r="X651" s="17">
        <v>65</v>
      </c>
      <c r="Y651" s="17">
        <v>13.6</v>
      </c>
      <c r="Z651" s="18">
        <f t="shared" si="200"/>
        <v>4.8329430358399102E-2</v>
      </c>
      <c r="AA651" s="19">
        <v>0.15</v>
      </c>
      <c r="AB651" s="17">
        <f t="shared" si="215"/>
        <v>9.75</v>
      </c>
      <c r="AC651" s="17">
        <v>0</v>
      </c>
      <c r="AD651" s="17">
        <v>0</v>
      </c>
      <c r="AE651" s="17">
        <f t="shared" si="201"/>
        <v>9.75</v>
      </c>
      <c r="AF651" s="17">
        <f t="shared" si="218"/>
        <v>1.56</v>
      </c>
      <c r="AG651" s="17">
        <f t="shared" si="207"/>
        <v>11.31</v>
      </c>
      <c r="AH651" s="17">
        <f t="shared" si="213"/>
        <v>0.19500000000000001</v>
      </c>
      <c r="AI651" s="17"/>
      <c r="AJ651" s="17">
        <f t="shared" si="202"/>
        <v>0.19500000000000001</v>
      </c>
      <c r="AK651" s="20"/>
      <c r="AL651" s="17">
        <f t="shared" si="203"/>
        <v>9.5549999999999997</v>
      </c>
      <c r="AM651" s="17" t="s">
        <v>108</v>
      </c>
      <c r="AN651" s="21">
        <v>0.4</v>
      </c>
      <c r="AO651" s="17">
        <f t="shared" si="204"/>
        <v>3.8220000000000001</v>
      </c>
      <c r="AP651" s="30">
        <v>3.8220000000000001</v>
      </c>
      <c r="AQ651" s="29">
        <v>45229</v>
      </c>
      <c r="AR651" s="17">
        <f t="shared" si="210"/>
        <v>0</v>
      </c>
      <c r="AS651" s="17"/>
      <c r="AT651" s="17">
        <v>11.31</v>
      </c>
      <c r="AU651" s="17">
        <f t="shared" si="217"/>
        <v>11.31</v>
      </c>
      <c r="AV651" s="17">
        <f t="shared" si="205"/>
        <v>0</v>
      </c>
      <c r="AW651" s="17" t="str">
        <f t="shared" si="212"/>
        <v>SFA</v>
      </c>
      <c r="AX651" s="22">
        <v>44949</v>
      </c>
      <c r="AY651" s="22"/>
      <c r="AZ651" s="1" t="s">
        <v>110</v>
      </c>
      <c r="BA651" s="22" t="str">
        <f t="shared" si="216"/>
        <v>MARINE CARGO / GIT</v>
      </c>
      <c r="BB651" s="54"/>
      <c r="BC651" s="22"/>
      <c r="BD651" s="1"/>
    </row>
    <row r="652" spans="1:56" ht="14.25" customHeight="1" x14ac:dyDescent="0.2">
      <c r="A652" s="28" t="s">
        <v>667</v>
      </c>
      <c r="B652" s="28" t="s">
        <v>57</v>
      </c>
      <c r="C652" s="36">
        <v>44869</v>
      </c>
      <c r="D652" s="36">
        <v>44841</v>
      </c>
      <c r="E652" s="36">
        <v>44840</v>
      </c>
      <c r="F652" s="36">
        <v>45204</v>
      </c>
      <c r="G652" s="37" t="str">
        <f t="shared" ref="G652:G715" si="219">TEXT(ROW(G652)-1,"000-000") &amp; "/AIB RDC/2022"</f>
        <v>000-651/AIB RDC/2022</v>
      </c>
      <c r="H652" s="28">
        <v>0</v>
      </c>
      <c r="I652" s="28" t="s">
        <v>74</v>
      </c>
      <c r="J652" s="28" t="s">
        <v>985</v>
      </c>
      <c r="K652" s="28" t="s">
        <v>536</v>
      </c>
      <c r="L652" s="28"/>
      <c r="M652" s="28" t="s">
        <v>105</v>
      </c>
      <c r="N652" s="28" t="s">
        <v>106</v>
      </c>
      <c r="O652" s="28" t="s">
        <v>64</v>
      </c>
      <c r="P652" s="28" t="s">
        <v>65</v>
      </c>
      <c r="Q652" s="28" t="s">
        <v>130</v>
      </c>
      <c r="R652" s="28" t="s">
        <v>130</v>
      </c>
      <c r="S652" s="23">
        <v>22268.240000000002</v>
      </c>
      <c r="T652" s="23">
        <v>108.56</v>
      </c>
      <c r="U652" s="23">
        <v>0</v>
      </c>
      <c r="V652" s="23">
        <v>0</v>
      </c>
      <c r="W652" s="23">
        <v>20</v>
      </c>
      <c r="X652" s="23">
        <v>72</v>
      </c>
      <c r="Y652" s="23">
        <v>14.72</v>
      </c>
      <c r="Z652" s="38">
        <f t="shared" ref="Z652:Z715" si="220">T652/S652</f>
        <v>4.8751046333253096E-3</v>
      </c>
      <c r="AA652" s="39">
        <v>0.15</v>
      </c>
      <c r="AB652" s="23">
        <f t="shared" si="215"/>
        <v>10.799999999999999</v>
      </c>
      <c r="AC652" s="23">
        <v>0</v>
      </c>
      <c r="AD652" s="23">
        <v>0</v>
      </c>
      <c r="AE652" s="23">
        <f t="shared" ref="AE652:AE715" si="221">SUM(AB652:AD652)</f>
        <v>10.799999999999999</v>
      </c>
      <c r="AF652" s="23">
        <f t="shared" si="218"/>
        <v>1.7279999999999998</v>
      </c>
      <c r="AG652" s="23">
        <f t="shared" si="207"/>
        <v>12.527999999999999</v>
      </c>
      <c r="AH652" s="23">
        <f t="shared" si="213"/>
        <v>0.21599999999999997</v>
      </c>
      <c r="AI652" s="23"/>
      <c r="AJ652" s="23">
        <f t="shared" ref="AJ652:AJ715" si="222">AH652-AI652</f>
        <v>0.21599999999999997</v>
      </c>
      <c r="AK652" s="40"/>
      <c r="AL652" s="23">
        <f t="shared" ref="AL652:AL715" si="223">AE652-AH652</f>
        <v>10.584</v>
      </c>
      <c r="AM652" s="23" t="s">
        <v>108</v>
      </c>
      <c r="AN652" s="41">
        <v>0.4</v>
      </c>
      <c r="AO652" s="23">
        <f t="shared" ref="AO652:AO715" si="224">AL652*AN652</f>
        <v>4.2336</v>
      </c>
      <c r="AP652" s="30">
        <v>4.2336</v>
      </c>
      <c r="AQ652" s="29">
        <v>45229</v>
      </c>
      <c r="AR652" s="23">
        <f t="shared" si="210"/>
        <v>0</v>
      </c>
      <c r="AS652" s="23"/>
      <c r="AT652" s="23">
        <v>12.527999999999999</v>
      </c>
      <c r="AU652" s="23">
        <f t="shared" si="217"/>
        <v>12.527999999999999</v>
      </c>
      <c r="AV652" s="23">
        <f t="shared" ref="AV652:AV715" si="225">AU652-AT652</f>
        <v>0</v>
      </c>
      <c r="AW652" s="23" t="str">
        <f t="shared" si="212"/>
        <v>SFA</v>
      </c>
      <c r="AX652" s="42">
        <v>44984</v>
      </c>
      <c r="AY652" s="42"/>
      <c r="AZ652" s="28" t="s">
        <v>110</v>
      </c>
      <c r="BA652" s="42" t="str">
        <f t="shared" si="216"/>
        <v>MARINE CARGO / GIT</v>
      </c>
      <c r="BB652" s="56"/>
      <c r="BC652" s="42"/>
      <c r="BD652" s="28" t="s">
        <v>226</v>
      </c>
    </row>
    <row r="653" spans="1:56" ht="14.25" customHeight="1" x14ac:dyDescent="0.2">
      <c r="A653" s="1" t="s">
        <v>654</v>
      </c>
      <c r="B653" s="1" t="s">
        <v>57</v>
      </c>
      <c r="C653" s="13">
        <v>44811</v>
      </c>
      <c r="D653" s="13">
        <v>44789</v>
      </c>
      <c r="E653" s="13">
        <v>44743</v>
      </c>
      <c r="F653" s="13">
        <v>45107</v>
      </c>
      <c r="G653" s="14" t="str">
        <f t="shared" si="219"/>
        <v>000-652/AIB RDC/2022</v>
      </c>
      <c r="H653" s="1">
        <v>1</v>
      </c>
      <c r="I653" s="1" t="s">
        <v>58</v>
      </c>
      <c r="J653" s="1">
        <v>60100007</v>
      </c>
      <c r="K653" s="1" t="s">
        <v>610</v>
      </c>
      <c r="L653" s="1"/>
      <c r="M653" s="1" t="s">
        <v>95</v>
      </c>
      <c r="N653" s="1" t="s">
        <v>102</v>
      </c>
      <c r="O653" s="1" t="s">
        <v>89</v>
      </c>
      <c r="P653" s="1" t="s">
        <v>90</v>
      </c>
      <c r="Q653" s="1" t="s">
        <v>107</v>
      </c>
      <c r="R653" s="1" t="s">
        <v>107</v>
      </c>
      <c r="S653" s="17">
        <v>0</v>
      </c>
      <c r="T653" s="17">
        <v>35100.269999999997</v>
      </c>
      <c r="U653" s="17">
        <v>4439.3100000000004</v>
      </c>
      <c r="V653" s="17">
        <v>0</v>
      </c>
      <c r="W653" s="17">
        <v>100</v>
      </c>
      <c r="X653" s="17">
        <v>25156.080000000002</v>
      </c>
      <c r="Y653" s="17">
        <v>4759.3599999999997</v>
      </c>
      <c r="Z653" s="18" t="e">
        <f t="shared" si="220"/>
        <v>#DIV/0!</v>
      </c>
      <c r="AA653" s="19">
        <v>0</v>
      </c>
      <c r="AB653" s="17">
        <f t="shared" si="215"/>
        <v>0</v>
      </c>
      <c r="AC653" s="17">
        <f>30%*U653</f>
        <v>1331.7930000000001</v>
      </c>
      <c r="AD653" s="17"/>
      <c r="AE653" s="17">
        <f t="shared" si="221"/>
        <v>1331.7930000000001</v>
      </c>
      <c r="AF653" s="17">
        <f t="shared" si="218"/>
        <v>213.08688000000004</v>
      </c>
      <c r="AG653" s="17">
        <f t="shared" si="207"/>
        <v>1544.8798800000002</v>
      </c>
      <c r="AH653" s="17">
        <f t="shared" si="213"/>
        <v>26.635860000000005</v>
      </c>
      <c r="AI653" s="17"/>
      <c r="AJ653" s="17">
        <f t="shared" si="222"/>
        <v>26.635860000000005</v>
      </c>
      <c r="AK653" s="20"/>
      <c r="AL653" s="17">
        <f t="shared" si="223"/>
        <v>1305.15714</v>
      </c>
      <c r="AM653" s="17"/>
      <c r="AN653" s="21"/>
      <c r="AO653" s="17">
        <f t="shared" si="224"/>
        <v>0</v>
      </c>
      <c r="AP653" s="17"/>
      <c r="AQ653" s="16"/>
      <c r="AR653" s="17">
        <f t="shared" si="210"/>
        <v>0</v>
      </c>
      <c r="AS653" s="17"/>
      <c r="AT653" s="17">
        <v>1530.33</v>
      </c>
      <c r="AU653" s="17">
        <f t="shared" si="217"/>
        <v>1544.8798800000002</v>
      </c>
      <c r="AV653" s="84">
        <f t="shared" si="225"/>
        <v>14.549880000000257</v>
      </c>
      <c r="AW653" s="17" t="str">
        <f t="shared" si="212"/>
        <v>RAWSUR</v>
      </c>
      <c r="AX653" s="22">
        <v>44832</v>
      </c>
      <c r="AY653" s="22"/>
      <c r="AZ653" s="1"/>
      <c r="BA653" s="22" t="str">
        <f t="shared" si="216"/>
        <v>GENERAL LIABILITY</v>
      </c>
      <c r="BB653" s="22"/>
      <c r="BC653" s="22"/>
      <c r="BD653" s="1" t="s">
        <v>806</v>
      </c>
    </row>
    <row r="654" spans="1:56" ht="14.25" customHeight="1" x14ac:dyDescent="0.2">
      <c r="A654" s="1" t="s">
        <v>992</v>
      </c>
      <c r="B654" s="1" t="s">
        <v>273</v>
      </c>
      <c r="C654" s="48">
        <v>45128</v>
      </c>
      <c r="D654" s="48">
        <v>45170</v>
      </c>
      <c r="E654" s="13">
        <v>44924</v>
      </c>
      <c r="F654" s="13">
        <v>44926</v>
      </c>
      <c r="G654" s="14" t="str">
        <f t="shared" si="219"/>
        <v>000-653/AIB RDC/2022</v>
      </c>
      <c r="H654" s="1">
        <v>2</v>
      </c>
      <c r="I654" s="1" t="s">
        <v>91</v>
      </c>
      <c r="J654" s="15">
        <v>73200013</v>
      </c>
      <c r="K654" s="1" t="s">
        <v>216</v>
      </c>
      <c r="L654" s="1" t="s">
        <v>214</v>
      </c>
      <c r="M654" s="1" t="s">
        <v>84</v>
      </c>
      <c r="N654" s="1" t="s">
        <v>85</v>
      </c>
      <c r="O654" s="1" t="s">
        <v>64</v>
      </c>
      <c r="P654" s="1" t="s">
        <v>65</v>
      </c>
      <c r="Q654" s="1" t="s">
        <v>107</v>
      </c>
      <c r="R654" s="1" t="s">
        <v>107</v>
      </c>
      <c r="S654" s="17">
        <v>166231202.53999999</v>
      </c>
      <c r="T654" s="34">
        <v>355131.53</v>
      </c>
      <c r="U654" s="34">
        <v>45128.84</v>
      </c>
      <c r="V654" s="34">
        <v>-23083.72</v>
      </c>
      <c r="W654" s="34">
        <v>100</v>
      </c>
      <c r="X654" s="34">
        <v>255730.08</v>
      </c>
      <c r="Y654" s="34">
        <v>48153.43</v>
      </c>
      <c r="Z654" s="18">
        <f t="shared" si="220"/>
        <v>2.1363710577413722E-3</v>
      </c>
      <c r="AA654" s="19">
        <v>0</v>
      </c>
      <c r="AB654" s="17">
        <f>AA654*X654</f>
        <v>0</v>
      </c>
      <c r="AC654" s="17">
        <f>30%*(U654+V654)</f>
        <v>6613.5359999999982</v>
      </c>
      <c r="AD654" s="17">
        <f>0.12551353%*X654</f>
        <v>320.97585067982402</v>
      </c>
      <c r="AE654" s="17">
        <f t="shared" si="221"/>
        <v>6934.5118506798226</v>
      </c>
      <c r="AF654" s="17">
        <f t="shared" si="218"/>
        <v>1109.5218961087717</v>
      </c>
      <c r="AG654" s="17">
        <f t="shared" si="207"/>
        <v>8044.0337467885947</v>
      </c>
      <c r="AH654" s="17">
        <f t="shared" si="213"/>
        <v>138.69023701359646</v>
      </c>
      <c r="AI654" s="17"/>
      <c r="AJ654" s="17">
        <f t="shared" si="222"/>
        <v>138.69023701359646</v>
      </c>
      <c r="AK654" s="20"/>
      <c r="AL654" s="17">
        <f t="shared" si="223"/>
        <v>6795.8216136662259</v>
      </c>
      <c r="AM654" s="30"/>
      <c r="AN654" s="80"/>
      <c r="AO654" s="17">
        <f t="shared" si="224"/>
        <v>0</v>
      </c>
      <c r="AP654" s="30"/>
      <c r="AQ654" s="33"/>
      <c r="AR654" s="17">
        <f t="shared" si="210"/>
        <v>0</v>
      </c>
      <c r="AS654" s="30"/>
      <c r="AT654" s="30">
        <v>5486.92</v>
      </c>
      <c r="AU654" s="17">
        <f t="shared" si="217"/>
        <v>8044.0337467885947</v>
      </c>
      <c r="AV654" s="84">
        <f t="shared" si="225"/>
        <v>2557.1137467885947</v>
      </c>
      <c r="AW654" s="17" t="str">
        <f t="shared" si="212"/>
        <v>RAWSUR</v>
      </c>
      <c r="AX654" s="81">
        <v>45219</v>
      </c>
      <c r="AY654" s="81"/>
      <c r="AZ654" s="2"/>
      <c r="BA654" s="1" t="s">
        <v>64</v>
      </c>
      <c r="BB654" s="82"/>
      <c r="BC654" s="81"/>
      <c r="BD654" s="2"/>
    </row>
    <row r="655" spans="1:56" ht="14.25" customHeight="1" x14ac:dyDescent="0.2">
      <c r="A655" s="28" t="s">
        <v>667</v>
      </c>
      <c r="B655" s="28" t="s">
        <v>57</v>
      </c>
      <c r="C655" s="36">
        <v>44869</v>
      </c>
      <c r="D655" s="51">
        <v>44860</v>
      </c>
      <c r="E655" s="36">
        <v>44858</v>
      </c>
      <c r="F655" s="36">
        <v>45222</v>
      </c>
      <c r="G655" s="37" t="str">
        <f t="shared" si="219"/>
        <v>000-654/AIB RDC/2022</v>
      </c>
      <c r="H655" s="28">
        <v>0</v>
      </c>
      <c r="I655" s="28" t="s">
        <v>74</v>
      </c>
      <c r="J655" s="28" t="s">
        <v>987</v>
      </c>
      <c r="K655" s="28" t="s">
        <v>263</v>
      </c>
      <c r="L655" s="28"/>
      <c r="M655" s="28" t="s">
        <v>105</v>
      </c>
      <c r="N655" s="28" t="s">
        <v>106</v>
      </c>
      <c r="O655" s="28" t="s">
        <v>64</v>
      </c>
      <c r="P655" s="28" t="s">
        <v>65</v>
      </c>
      <c r="Q655" s="28" t="s">
        <v>130</v>
      </c>
      <c r="R655" s="28" t="s">
        <v>130</v>
      </c>
      <c r="S655" s="23">
        <v>10639.05</v>
      </c>
      <c r="T655" s="23">
        <v>77.86</v>
      </c>
      <c r="U655" s="23">
        <v>0</v>
      </c>
      <c r="V655" s="23">
        <v>0</v>
      </c>
      <c r="W655" s="23">
        <v>0.98</v>
      </c>
      <c r="X655" s="23">
        <v>65</v>
      </c>
      <c r="Y655" s="23">
        <v>10.56</v>
      </c>
      <c r="Z655" s="38">
        <f t="shared" si="220"/>
        <v>7.3183225945925631E-3</v>
      </c>
      <c r="AA655" s="39">
        <v>0.15</v>
      </c>
      <c r="AB655" s="23">
        <f t="shared" ref="AB655:AB675" si="226">(AA655*X655)</f>
        <v>9.75</v>
      </c>
      <c r="AC655" s="23">
        <v>0</v>
      </c>
      <c r="AD655" s="23">
        <v>0</v>
      </c>
      <c r="AE655" s="23">
        <f t="shared" si="221"/>
        <v>9.75</v>
      </c>
      <c r="AF655" s="23">
        <f t="shared" si="218"/>
        <v>1.56</v>
      </c>
      <c r="AG655" s="23">
        <f t="shared" si="207"/>
        <v>11.31</v>
      </c>
      <c r="AH655" s="23">
        <f t="shared" si="213"/>
        <v>0.19500000000000001</v>
      </c>
      <c r="AI655" s="23"/>
      <c r="AJ655" s="23">
        <f t="shared" si="222"/>
        <v>0.19500000000000001</v>
      </c>
      <c r="AK655" s="40"/>
      <c r="AL655" s="23">
        <f t="shared" si="223"/>
        <v>9.5549999999999997</v>
      </c>
      <c r="AM655" s="23" t="s">
        <v>108</v>
      </c>
      <c r="AN655" s="41">
        <v>0.4</v>
      </c>
      <c r="AO655" s="23">
        <f t="shared" si="224"/>
        <v>3.8220000000000001</v>
      </c>
      <c r="AP655" s="30">
        <v>3.8220000000000001</v>
      </c>
      <c r="AQ655" s="29">
        <v>45229</v>
      </c>
      <c r="AR655" s="23">
        <f t="shared" si="210"/>
        <v>0</v>
      </c>
      <c r="AS655" s="23"/>
      <c r="AT655" s="23">
        <v>11.31</v>
      </c>
      <c r="AU655" s="23">
        <f t="shared" si="217"/>
        <v>11.31</v>
      </c>
      <c r="AV655" s="23">
        <f t="shared" si="225"/>
        <v>0</v>
      </c>
      <c r="AW655" s="23" t="str">
        <f t="shared" si="212"/>
        <v>SFA</v>
      </c>
      <c r="AX655" s="42">
        <v>44984</v>
      </c>
      <c r="AY655" s="42"/>
      <c r="AZ655" s="28" t="s">
        <v>110</v>
      </c>
      <c r="BA655" s="42" t="str">
        <f t="shared" ref="BA655:BA686" si="227">O655</f>
        <v>MARINE CARGO / GIT</v>
      </c>
      <c r="BB655" s="56"/>
      <c r="BC655" s="42"/>
      <c r="BD655" s="28" t="s">
        <v>226</v>
      </c>
    </row>
    <row r="656" spans="1:56" ht="14.25" customHeight="1" x14ac:dyDescent="0.2">
      <c r="A656" s="28" t="s">
        <v>667</v>
      </c>
      <c r="B656" s="28" t="s">
        <v>57</v>
      </c>
      <c r="C656" s="36">
        <v>44869</v>
      </c>
      <c r="D656" s="51">
        <v>44860</v>
      </c>
      <c r="E656" s="36">
        <v>44858</v>
      </c>
      <c r="F656" s="36">
        <v>45222</v>
      </c>
      <c r="G656" s="37" t="str">
        <f t="shared" si="219"/>
        <v>000-655/AIB RDC/2022</v>
      </c>
      <c r="H656" s="28">
        <v>0</v>
      </c>
      <c r="I656" s="28" t="s">
        <v>74</v>
      </c>
      <c r="J656" s="28" t="s">
        <v>988</v>
      </c>
      <c r="K656" s="28" t="s">
        <v>263</v>
      </c>
      <c r="L656" s="28"/>
      <c r="M656" s="28" t="s">
        <v>105</v>
      </c>
      <c r="N656" s="28" t="s">
        <v>106</v>
      </c>
      <c r="O656" s="28" t="s">
        <v>64</v>
      </c>
      <c r="P656" s="28" t="s">
        <v>65</v>
      </c>
      <c r="Q656" s="28" t="s">
        <v>130</v>
      </c>
      <c r="R656" s="28" t="s">
        <v>130</v>
      </c>
      <c r="S656" s="23">
        <v>17728.48</v>
      </c>
      <c r="T656" s="23">
        <v>77.86</v>
      </c>
      <c r="U656" s="23">
        <v>0</v>
      </c>
      <c r="V656" s="23">
        <v>0</v>
      </c>
      <c r="W656" s="23">
        <v>0.98</v>
      </c>
      <c r="X656" s="23">
        <v>65</v>
      </c>
      <c r="Y656" s="23">
        <v>10.56</v>
      </c>
      <c r="Z656" s="38">
        <f t="shared" si="220"/>
        <v>4.3918034710251526E-3</v>
      </c>
      <c r="AA656" s="39">
        <v>0.15</v>
      </c>
      <c r="AB656" s="23">
        <f t="shared" si="226"/>
        <v>9.75</v>
      </c>
      <c r="AC656" s="23">
        <v>0</v>
      </c>
      <c r="AD656" s="23">
        <v>0</v>
      </c>
      <c r="AE656" s="23">
        <f t="shared" si="221"/>
        <v>9.75</v>
      </c>
      <c r="AF656" s="23">
        <f t="shared" si="218"/>
        <v>1.56</v>
      </c>
      <c r="AG656" s="23">
        <f t="shared" si="207"/>
        <v>11.31</v>
      </c>
      <c r="AH656" s="23">
        <f t="shared" si="213"/>
        <v>0.19500000000000001</v>
      </c>
      <c r="AI656" s="23"/>
      <c r="AJ656" s="23">
        <f t="shared" si="222"/>
        <v>0.19500000000000001</v>
      </c>
      <c r="AK656" s="40"/>
      <c r="AL656" s="23">
        <f t="shared" si="223"/>
        <v>9.5549999999999997</v>
      </c>
      <c r="AM656" s="23" t="s">
        <v>108</v>
      </c>
      <c r="AN656" s="41">
        <v>0.4</v>
      </c>
      <c r="AO656" s="23">
        <f t="shared" si="224"/>
        <v>3.8220000000000001</v>
      </c>
      <c r="AP656" s="30">
        <v>3.8220000000000001</v>
      </c>
      <c r="AQ656" s="29">
        <v>45229</v>
      </c>
      <c r="AR656" s="23">
        <f t="shared" si="210"/>
        <v>0</v>
      </c>
      <c r="AS656" s="23"/>
      <c r="AT656" s="23">
        <v>11.31</v>
      </c>
      <c r="AU656" s="23">
        <f t="shared" si="217"/>
        <v>11.31</v>
      </c>
      <c r="AV656" s="23">
        <f t="shared" si="225"/>
        <v>0</v>
      </c>
      <c r="AW656" s="23" t="str">
        <f t="shared" si="212"/>
        <v>SFA</v>
      </c>
      <c r="AX656" s="42">
        <v>44984</v>
      </c>
      <c r="AY656" s="42"/>
      <c r="AZ656" s="28" t="s">
        <v>110</v>
      </c>
      <c r="BA656" s="42" t="str">
        <f t="shared" si="227"/>
        <v>MARINE CARGO / GIT</v>
      </c>
      <c r="BB656" s="56"/>
      <c r="BC656" s="42"/>
      <c r="BD656" s="28" t="s">
        <v>226</v>
      </c>
    </row>
    <row r="657" spans="1:56" ht="14.25" customHeight="1" x14ac:dyDescent="0.2">
      <c r="A657" s="1" t="s">
        <v>847</v>
      </c>
      <c r="B657" s="1" t="s">
        <v>57</v>
      </c>
      <c r="C657" s="13">
        <v>44853</v>
      </c>
      <c r="D657" s="13">
        <v>44865</v>
      </c>
      <c r="E657" s="13">
        <v>44866</v>
      </c>
      <c r="F657" s="13">
        <v>45230</v>
      </c>
      <c r="G657" s="14" t="str">
        <f t="shared" si="219"/>
        <v>000-656/AIB RDC/2022</v>
      </c>
      <c r="H657" s="1">
        <v>0</v>
      </c>
      <c r="I657" s="1" t="s">
        <v>74</v>
      </c>
      <c r="J657" s="1" t="s">
        <v>989</v>
      </c>
      <c r="K657" s="1" t="s">
        <v>197</v>
      </c>
      <c r="L657" s="1" t="s">
        <v>77</v>
      </c>
      <c r="M657" s="1" t="s">
        <v>706</v>
      </c>
      <c r="N657" s="1" t="s">
        <v>209</v>
      </c>
      <c r="O657" s="1" t="s">
        <v>747</v>
      </c>
      <c r="P657" s="1" t="s">
        <v>90</v>
      </c>
      <c r="Q657" s="1" t="s">
        <v>130</v>
      </c>
      <c r="R657" s="1" t="s">
        <v>130</v>
      </c>
      <c r="S657" s="17">
        <v>0</v>
      </c>
      <c r="T657" s="17">
        <v>7685.27</v>
      </c>
      <c r="U657" s="17">
        <v>970.59</v>
      </c>
      <c r="V657" s="17">
        <v>0</v>
      </c>
      <c r="W657" s="17">
        <v>42.35</v>
      </c>
      <c r="X657" s="17">
        <v>5500</v>
      </c>
      <c r="Y657" s="17">
        <v>1042.07</v>
      </c>
      <c r="Z657" s="18" t="e">
        <f t="shared" si="220"/>
        <v>#DIV/0!</v>
      </c>
      <c r="AA657" s="19">
        <v>0.1</v>
      </c>
      <c r="AB657" s="17">
        <f t="shared" si="226"/>
        <v>550</v>
      </c>
      <c r="AC657" s="17">
        <v>0</v>
      </c>
      <c r="AD657" s="17">
        <v>0</v>
      </c>
      <c r="AE657" s="17">
        <f t="shared" si="221"/>
        <v>550</v>
      </c>
      <c r="AF657" s="17">
        <f t="shared" si="218"/>
        <v>88</v>
      </c>
      <c r="AG657" s="17">
        <f t="shared" si="207"/>
        <v>638</v>
      </c>
      <c r="AH657" s="17">
        <f t="shared" si="213"/>
        <v>11</v>
      </c>
      <c r="AI657" s="17"/>
      <c r="AJ657" s="17">
        <f t="shared" si="222"/>
        <v>11</v>
      </c>
      <c r="AK657" s="20"/>
      <c r="AL657" s="17">
        <f t="shared" si="223"/>
        <v>539</v>
      </c>
      <c r="AM657" s="17"/>
      <c r="AN657" s="21"/>
      <c r="AO657" s="17">
        <f t="shared" si="224"/>
        <v>0</v>
      </c>
      <c r="AP657" s="27"/>
      <c r="AQ657" s="16"/>
      <c r="AR657" s="17">
        <f t="shared" si="210"/>
        <v>0</v>
      </c>
      <c r="AS657" s="17"/>
      <c r="AT657" s="17">
        <v>638</v>
      </c>
      <c r="AU657" s="17">
        <f t="shared" si="217"/>
        <v>638</v>
      </c>
      <c r="AV657" s="17">
        <f t="shared" si="225"/>
        <v>0</v>
      </c>
      <c r="AW657" s="17" t="str">
        <f t="shared" si="212"/>
        <v>SFA</v>
      </c>
      <c r="AX657" s="22">
        <v>44887</v>
      </c>
      <c r="AY657" s="22"/>
      <c r="AZ657" s="1"/>
      <c r="BA657" s="22" t="str">
        <f t="shared" si="227"/>
        <v>FIDELITY GUARANTEE</v>
      </c>
      <c r="BB657" s="54"/>
      <c r="BC657" s="22"/>
      <c r="BD657" s="22"/>
    </row>
    <row r="658" spans="1:56" ht="14.25" customHeight="1" x14ac:dyDescent="0.2">
      <c r="A658" s="1" t="s">
        <v>667</v>
      </c>
      <c r="B658" s="1" t="s">
        <v>57</v>
      </c>
      <c r="C658" s="13">
        <v>44869</v>
      </c>
      <c r="D658" s="13">
        <v>44865</v>
      </c>
      <c r="E658" s="13">
        <v>44865</v>
      </c>
      <c r="F658" s="13">
        <v>44894</v>
      </c>
      <c r="G658" s="14" t="str">
        <f t="shared" si="219"/>
        <v>000-657/AIB RDC/2022</v>
      </c>
      <c r="H658" s="1">
        <v>0</v>
      </c>
      <c r="I658" s="1" t="s">
        <v>74</v>
      </c>
      <c r="J658" s="1" t="s">
        <v>990</v>
      </c>
      <c r="K658" s="1" t="s">
        <v>991</v>
      </c>
      <c r="L658" s="1"/>
      <c r="M658" s="1" t="s">
        <v>105</v>
      </c>
      <c r="N658" s="1" t="s">
        <v>106</v>
      </c>
      <c r="O658" s="1" t="s">
        <v>64</v>
      </c>
      <c r="P658" s="1" t="s">
        <v>65</v>
      </c>
      <c r="Q658" s="1" t="s">
        <v>130</v>
      </c>
      <c r="R658" s="1" t="s">
        <v>130</v>
      </c>
      <c r="S658" s="17">
        <v>882080.25</v>
      </c>
      <c r="T658" s="17">
        <v>1977.7</v>
      </c>
      <c r="U658" s="17">
        <v>0</v>
      </c>
      <c r="V658" s="17">
        <v>0</v>
      </c>
      <c r="W658" s="17">
        <v>24.77</v>
      </c>
      <c r="X658" s="17">
        <v>1651.25</v>
      </c>
      <c r="Y658" s="17">
        <v>268.16000000000003</v>
      </c>
      <c r="Z658" s="18">
        <f t="shared" si="220"/>
        <v>2.2420862500889234E-3</v>
      </c>
      <c r="AA658" s="19">
        <v>0.15</v>
      </c>
      <c r="AB658" s="17">
        <f t="shared" si="226"/>
        <v>247.6875</v>
      </c>
      <c r="AC658" s="17">
        <v>0</v>
      </c>
      <c r="AD658" s="17">
        <v>0</v>
      </c>
      <c r="AE658" s="17">
        <f t="shared" si="221"/>
        <v>247.6875</v>
      </c>
      <c r="AF658" s="17">
        <f t="shared" si="218"/>
        <v>39.630000000000003</v>
      </c>
      <c r="AG658" s="17">
        <f t="shared" si="207"/>
        <v>287.3175</v>
      </c>
      <c r="AH658" s="17">
        <f t="shared" si="213"/>
        <v>4.9537500000000003</v>
      </c>
      <c r="AI658" s="17"/>
      <c r="AJ658" s="17">
        <f t="shared" si="222"/>
        <v>4.9537500000000003</v>
      </c>
      <c r="AK658" s="20"/>
      <c r="AL658" s="17">
        <f t="shared" si="223"/>
        <v>242.73374999999999</v>
      </c>
      <c r="AM658" s="17" t="s">
        <v>108</v>
      </c>
      <c r="AN658" s="21">
        <v>0.4</v>
      </c>
      <c r="AO658" s="17">
        <f t="shared" si="224"/>
        <v>97.093500000000006</v>
      </c>
      <c r="AP658" s="30">
        <v>97.093500000000006</v>
      </c>
      <c r="AQ658" s="29">
        <v>45229</v>
      </c>
      <c r="AR658" s="17">
        <f t="shared" si="210"/>
        <v>0</v>
      </c>
      <c r="AS658" s="17"/>
      <c r="AT658" s="17">
        <v>287.3175</v>
      </c>
      <c r="AU658" s="17">
        <f t="shared" si="217"/>
        <v>287.3175</v>
      </c>
      <c r="AV658" s="17">
        <f t="shared" si="225"/>
        <v>0</v>
      </c>
      <c r="AW658" s="17" t="str">
        <f t="shared" si="212"/>
        <v>SFA</v>
      </c>
      <c r="AX658" s="22">
        <v>44911</v>
      </c>
      <c r="AY658" s="22"/>
      <c r="AZ658" s="1" t="s">
        <v>110</v>
      </c>
      <c r="BA658" s="22" t="str">
        <f t="shared" si="227"/>
        <v>MARINE CARGO / GIT</v>
      </c>
      <c r="BB658" s="54"/>
      <c r="BC658" s="22"/>
      <c r="BD658" s="22"/>
    </row>
    <row r="659" spans="1:56" ht="14.25" customHeight="1" x14ac:dyDescent="0.2">
      <c r="A659" s="1" t="s">
        <v>992</v>
      </c>
      <c r="B659" s="1" t="s">
        <v>57</v>
      </c>
      <c r="C659" s="13">
        <v>44872</v>
      </c>
      <c r="D659" s="13">
        <v>44861</v>
      </c>
      <c r="E659" s="13">
        <v>44918</v>
      </c>
      <c r="F659" s="13">
        <v>44932</v>
      </c>
      <c r="G659" s="14" t="str">
        <f t="shared" si="219"/>
        <v>000-658/AIB RDC/2022</v>
      </c>
      <c r="H659" s="1">
        <v>0</v>
      </c>
      <c r="I659" s="1" t="s">
        <v>74</v>
      </c>
      <c r="J659" s="1" t="s">
        <v>993</v>
      </c>
      <c r="K659" s="1" t="s">
        <v>994</v>
      </c>
      <c r="L659" s="1" t="s">
        <v>94</v>
      </c>
      <c r="M659" s="1" t="s">
        <v>95</v>
      </c>
      <c r="N659" s="1" t="s">
        <v>102</v>
      </c>
      <c r="O659" s="1" t="s">
        <v>240</v>
      </c>
      <c r="P659" s="1" t="s">
        <v>98</v>
      </c>
      <c r="Q659" s="1" t="s">
        <v>107</v>
      </c>
      <c r="R659" s="1" t="s">
        <v>107</v>
      </c>
      <c r="S659" s="17">
        <v>30000</v>
      </c>
      <c r="T659" s="17">
        <v>41.3</v>
      </c>
      <c r="U659" s="17">
        <v>0</v>
      </c>
      <c r="V659" s="17">
        <v>0</v>
      </c>
      <c r="W659" s="17">
        <v>2</v>
      </c>
      <c r="X659" s="17">
        <v>33</v>
      </c>
      <c r="Y659" s="17">
        <v>5.6</v>
      </c>
      <c r="Z659" s="18">
        <f t="shared" si="220"/>
        <v>1.3766666666666667E-3</v>
      </c>
      <c r="AA659" s="19">
        <v>0.2</v>
      </c>
      <c r="AB659" s="17">
        <f t="shared" si="226"/>
        <v>6.6000000000000005</v>
      </c>
      <c r="AC659" s="17">
        <v>0</v>
      </c>
      <c r="AD659" s="17">
        <v>0</v>
      </c>
      <c r="AE659" s="17">
        <f t="shared" si="221"/>
        <v>6.6000000000000005</v>
      </c>
      <c r="AF659" s="17">
        <f t="shared" si="218"/>
        <v>1.056</v>
      </c>
      <c r="AG659" s="17">
        <f t="shared" si="207"/>
        <v>7.6560000000000006</v>
      </c>
      <c r="AH659" s="17">
        <f t="shared" si="213"/>
        <v>0.13200000000000001</v>
      </c>
      <c r="AI659" s="17"/>
      <c r="AJ659" s="17">
        <f t="shared" si="222"/>
        <v>0.13200000000000001</v>
      </c>
      <c r="AK659" s="20"/>
      <c r="AL659" s="17">
        <f t="shared" si="223"/>
        <v>6.4680000000000009</v>
      </c>
      <c r="AM659" s="17"/>
      <c r="AN659" s="21"/>
      <c r="AO659" s="17">
        <f t="shared" si="224"/>
        <v>0</v>
      </c>
      <c r="AP659" s="27"/>
      <c r="AQ659" s="16"/>
      <c r="AR659" s="17">
        <f t="shared" si="210"/>
        <v>0</v>
      </c>
      <c r="AS659" s="17"/>
      <c r="AT659" s="17">
        <v>7.6560000000000006</v>
      </c>
      <c r="AU659" s="17">
        <f t="shared" si="217"/>
        <v>7.6560000000000006</v>
      </c>
      <c r="AV659" s="17">
        <f t="shared" si="225"/>
        <v>0</v>
      </c>
      <c r="AW659" s="17" t="str">
        <f t="shared" si="212"/>
        <v>RAWSUR</v>
      </c>
      <c r="AX659" s="22">
        <v>44994</v>
      </c>
      <c r="AY659" s="22"/>
      <c r="AZ659" s="1" t="s">
        <v>110</v>
      </c>
      <c r="BA659" s="22" t="str">
        <f t="shared" si="227"/>
        <v>TRAVEL</v>
      </c>
      <c r="BB659" s="54"/>
      <c r="BC659" s="22"/>
      <c r="BD659" s="22"/>
    </row>
    <row r="660" spans="1:56" ht="14.25" customHeight="1" x14ac:dyDescent="0.2">
      <c r="A660" s="1" t="s">
        <v>667</v>
      </c>
      <c r="B660" s="1" t="s">
        <v>57</v>
      </c>
      <c r="C660" s="13">
        <v>44872</v>
      </c>
      <c r="D660" s="13">
        <v>44841</v>
      </c>
      <c r="E660" s="13">
        <v>44856</v>
      </c>
      <c r="F660" s="13">
        <v>44876</v>
      </c>
      <c r="G660" s="14" t="str">
        <f t="shared" si="219"/>
        <v>000-659/AIB RDC/2022</v>
      </c>
      <c r="H660" s="1">
        <v>0</v>
      </c>
      <c r="I660" s="1" t="s">
        <v>74</v>
      </c>
      <c r="J660" s="1" t="s">
        <v>995</v>
      </c>
      <c r="K660" s="1" t="s">
        <v>996</v>
      </c>
      <c r="L660" s="1" t="s">
        <v>94</v>
      </c>
      <c r="M660" s="1" t="s">
        <v>95</v>
      </c>
      <c r="N660" s="1" t="s">
        <v>102</v>
      </c>
      <c r="O660" s="1" t="s">
        <v>240</v>
      </c>
      <c r="P660" s="1" t="s">
        <v>98</v>
      </c>
      <c r="Q660" s="1" t="s">
        <v>86</v>
      </c>
      <c r="R660" s="1" t="s">
        <v>86</v>
      </c>
      <c r="S660" s="17">
        <v>0</v>
      </c>
      <c r="T660" s="17">
        <v>52.15</v>
      </c>
      <c r="U660" s="17">
        <v>0</v>
      </c>
      <c r="V660" s="17">
        <v>0</v>
      </c>
      <c r="W660" s="17">
        <v>0.88</v>
      </c>
      <c r="X660" s="17">
        <v>44.08</v>
      </c>
      <c r="Y660" s="17">
        <v>7.19</v>
      </c>
      <c r="Z660" s="18" t="e">
        <f t="shared" si="220"/>
        <v>#DIV/0!</v>
      </c>
      <c r="AA660" s="19">
        <v>0.2</v>
      </c>
      <c r="AB660" s="17">
        <f t="shared" si="226"/>
        <v>8.8160000000000007</v>
      </c>
      <c r="AC660" s="17">
        <v>0</v>
      </c>
      <c r="AD660" s="17">
        <v>0</v>
      </c>
      <c r="AE660" s="17">
        <f t="shared" si="221"/>
        <v>8.8160000000000007</v>
      </c>
      <c r="AF660" s="17">
        <f t="shared" si="218"/>
        <v>1.41056</v>
      </c>
      <c r="AG660" s="17">
        <f t="shared" si="207"/>
        <v>10.226560000000001</v>
      </c>
      <c r="AH660" s="17">
        <f t="shared" si="213"/>
        <v>0.17632</v>
      </c>
      <c r="AI660" s="17"/>
      <c r="AJ660" s="17">
        <f t="shared" si="222"/>
        <v>0.17632</v>
      </c>
      <c r="AK660" s="20"/>
      <c r="AL660" s="17">
        <f t="shared" si="223"/>
        <v>8.6396800000000002</v>
      </c>
      <c r="AM660" s="17"/>
      <c r="AN660" s="21"/>
      <c r="AO660" s="17">
        <f t="shared" si="224"/>
        <v>0</v>
      </c>
      <c r="AP660" s="27"/>
      <c r="AQ660" s="16"/>
      <c r="AR660" s="17">
        <f t="shared" si="210"/>
        <v>0</v>
      </c>
      <c r="AS660" s="17"/>
      <c r="AT660" s="17">
        <v>10.226560000000001</v>
      </c>
      <c r="AU660" s="17">
        <f t="shared" si="217"/>
        <v>10.226560000000001</v>
      </c>
      <c r="AV660" s="17">
        <f t="shared" si="225"/>
        <v>0</v>
      </c>
      <c r="AW660" s="17" t="str">
        <f t="shared" si="212"/>
        <v>SUNU</v>
      </c>
      <c r="AX660" s="22">
        <v>44888</v>
      </c>
      <c r="AY660" s="22"/>
      <c r="AZ660" s="1" t="s">
        <v>110</v>
      </c>
      <c r="BA660" s="22" t="str">
        <f t="shared" si="227"/>
        <v>TRAVEL</v>
      </c>
      <c r="BB660" s="54"/>
      <c r="BC660" s="22"/>
      <c r="BD660" s="22"/>
    </row>
    <row r="661" spans="1:56" ht="14.25" customHeight="1" x14ac:dyDescent="0.2">
      <c r="A661" s="1" t="s">
        <v>773</v>
      </c>
      <c r="B661" s="1" t="s">
        <v>57</v>
      </c>
      <c r="C661" s="13">
        <v>44840</v>
      </c>
      <c r="D661" s="13">
        <v>44858</v>
      </c>
      <c r="E661" s="13">
        <v>44834</v>
      </c>
      <c r="F661" s="13">
        <v>45198</v>
      </c>
      <c r="G661" s="14" t="str">
        <f t="shared" si="219"/>
        <v>000-660/AIB RDC/2022</v>
      </c>
      <c r="H661" s="1">
        <v>0</v>
      </c>
      <c r="I661" s="1" t="s">
        <v>74</v>
      </c>
      <c r="J661" s="1" t="s">
        <v>997</v>
      </c>
      <c r="K661" s="1" t="s">
        <v>680</v>
      </c>
      <c r="L661" s="1" t="s">
        <v>214</v>
      </c>
      <c r="M661" s="1" t="s">
        <v>84</v>
      </c>
      <c r="N661" s="1" t="s">
        <v>85</v>
      </c>
      <c r="O661" s="1" t="s">
        <v>129</v>
      </c>
      <c r="P661" s="1" t="s">
        <v>90</v>
      </c>
      <c r="Q661" s="1" t="s">
        <v>130</v>
      </c>
      <c r="R661" s="1" t="s">
        <v>130</v>
      </c>
      <c r="S661" s="17">
        <v>1000000</v>
      </c>
      <c r="T661" s="17">
        <v>8218.7099999999991</v>
      </c>
      <c r="U661" s="17">
        <v>1038.06</v>
      </c>
      <c r="V661" s="17">
        <v>0</v>
      </c>
      <c r="W661" s="17">
        <v>44.6</v>
      </c>
      <c r="X661" s="17">
        <v>5882.35</v>
      </c>
      <c r="Y661" s="17">
        <v>1114.4000000000001</v>
      </c>
      <c r="Z661" s="18">
        <f t="shared" si="220"/>
        <v>8.2187099999999989E-3</v>
      </c>
      <c r="AA661" s="19">
        <v>0.15</v>
      </c>
      <c r="AB661" s="17">
        <f t="shared" si="226"/>
        <v>882.35250000000008</v>
      </c>
      <c r="AC661" s="17">
        <v>0</v>
      </c>
      <c r="AD661" s="17">
        <v>0</v>
      </c>
      <c r="AE661" s="17">
        <f t="shared" si="221"/>
        <v>882.35250000000008</v>
      </c>
      <c r="AF661" s="17">
        <f t="shared" si="218"/>
        <v>141.17640000000003</v>
      </c>
      <c r="AG661" s="17">
        <f t="shared" si="207"/>
        <v>1023.5289000000001</v>
      </c>
      <c r="AH661" s="17">
        <f t="shared" si="213"/>
        <v>17.647050000000004</v>
      </c>
      <c r="AI661" s="17"/>
      <c r="AJ661" s="17">
        <f t="shared" si="222"/>
        <v>17.647050000000004</v>
      </c>
      <c r="AK661" s="20"/>
      <c r="AL661" s="17">
        <f t="shared" si="223"/>
        <v>864.70545000000004</v>
      </c>
      <c r="AM661" s="17" t="s">
        <v>937</v>
      </c>
      <c r="AN661" s="21"/>
      <c r="AO661" s="17">
        <f t="shared" si="224"/>
        <v>0</v>
      </c>
      <c r="AP661" s="27"/>
      <c r="AQ661" s="16"/>
      <c r="AR661" s="17">
        <f t="shared" si="210"/>
        <v>0</v>
      </c>
      <c r="AS661" s="17"/>
      <c r="AT661" s="17">
        <v>1023.5289000000001</v>
      </c>
      <c r="AU661" s="17">
        <f t="shared" si="217"/>
        <v>1023.5289000000001</v>
      </c>
      <c r="AV661" s="17">
        <f t="shared" si="225"/>
        <v>0</v>
      </c>
      <c r="AW661" s="17" t="str">
        <f t="shared" si="212"/>
        <v>SFA</v>
      </c>
      <c r="AX661" s="22">
        <v>44887</v>
      </c>
      <c r="AY661" s="22"/>
      <c r="AZ661" s="1"/>
      <c r="BA661" s="22" t="str">
        <f t="shared" si="227"/>
        <v>D&amp;O</v>
      </c>
      <c r="BB661" s="54"/>
      <c r="BC661" s="22"/>
      <c r="BD661" s="22"/>
    </row>
    <row r="662" spans="1:56" ht="14.25" customHeight="1" x14ac:dyDescent="0.2">
      <c r="A662" s="28" t="s">
        <v>667</v>
      </c>
      <c r="B662" s="28" t="s">
        <v>273</v>
      </c>
      <c r="C662" s="36">
        <v>44865</v>
      </c>
      <c r="D662" s="36">
        <v>44866</v>
      </c>
      <c r="E662" s="36">
        <v>44862</v>
      </c>
      <c r="F662" s="36">
        <v>45213</v>
      </c>
      <c r="G662" s="37" t="str">
        <f t="shared" si="219"/>
        <v>000-661/AIB RDC/2022</v>
      </c>
      <c r="H662" s="28">
        <v>3</v>
      </c>
      <c r="I662" s="28" t="s">
        <v>115</v>
      </c>
      <c r="J662" s="28" t="s">
        <v>999</v>
      </c>
      <c r="K662" s="28" t="s">
        <v>300</v>
      </c>
      <c r="L662" s="28" t="s">
        <v>214</v>
      </c>
      <c r="M662" s="28" t="s">
        <v>84</v>
      </c>
      <c r="N662" s="28" t="s">
        <v>85</v>
      </c>
      <c r="O662" s="28" t="s">
        <v>73</v>
      </c>
      <c r="P662" s="28" t="s">
        <v>73</v>
      </c>
      <c r="Q662" s="28" t="s">
        <v>130</v>
      </c>
      <c r="R662" s="28" t="s">
        <v>130</v>
      </c>
      <c r="S662" s="23">
        <v>0</v>
      </c>
      <c r="T662" s="23">
        <v>-1189.3800000000001</v>
      </c>
      <c r="U662" s="23">
        <v>0</v>
      </c>
      <c r="V662" s="23">
        <v>0</v>
      </c>
      <c r="W662" s="23">
        <v>0</v>
      </c>
      <c r="X662" s="23">
        <v>-1025.33</v>
      </c>
      <c r="Y662" s="23">
        <v>-164.05</v>
      </c>
      <c r="Z662" s="38" t="e">
        <f t="shared" si="220"/>
        <v>#DIV/0!</v>
      </c>
      <c r="AA662" s="39">
        <v>0.1</v>
      </c>
      <c r="AB662" s="23">
        <f t="shared" si="226"/>
        <v>-102.533</v>
      </c>
      <c r="AC662" s="23">
        <v>0</v>
      </c>
      <c r="AD662" s="23">
        <v>0</v>
      </c>
      <c r="AE662" s="23">
        <f t="shared" si="221"/>
        <v>-102.533</v>
      </c>
      <c r="AF662" s="23">
        <f t="shared" si="218"/>
        <v>-16.405280000000001</v>
      </c>
      <c r="AG662" s="23">
        <f t="shared" ref="AG662:AG725" si="228">AF662+AE662</f>
        <v>-118.93828000000001</v>
      </c>
      <c r="AH662" s="23">
        <f t="shared" si="213"/>
        <v>-2.0506600000000001</v>
      </c>
      <c r="AI662" s="23"/>
      <c r="AJ662" s="23">
        <f t="shared" si="222"/>
        <v>-2.0506600000000001</v>
      </c>
      <c r="AK662" s="40"/>
      <c r="AL662" s="23">
        <f t="shared" si="223"/>
        <v>-100.48234000000001</v>
      </c>
      <c r="AM662" s="23"/>
      <c r="AN662" s="41"/>
      <c r="AO662" s="23">
        <f t="shared" si="224"/>
        <v>0</v>
      </c>
      <c r="AP662" s="55"/>
      <c r="AQ662" s="29"/>
      <c r="AR662" s="23">
        <f t="shared" si="210"/>
        <v>0</v>
      </c>
      <c r="AS662" s="23"/>
      <c r="AT662" s="23"/>
      <c r="AU662" s="23">
        <f t="shared" si="217"/>
        <v>-118.93828000000001</v>
      </c>
      <c r="AV662" s="85">
        <f t="shared" si="225"/>
        <v>-118.93828000000001</v>
      </c>
      <c r="AW662" s="23" t="str">
        <f t="shared" si="212"/>
        <v>SFA</v>
      </c>
      <c r="AX662" s="42"/>
      <c r="AY662" s="42"/>
      <c r="AZ662" s="28"/>
      <c r="BA662" s="42" t="str">
        <f t="shared" si="227"/>
        <v>MOTOR TPL</v>
      </c>
      <c r="BB662" s="56"/>
      <c r="BC662" s="42"/>
      <c r="BD662" s="42"/>
    </row>
    <row r="663" spans="1:56" ht="14.25" customHeight="1" x14ac:dyDescent="0.2">
      <c r="A663" s="1" t="s">
        <v>667</v>
      </c>
      <c r="B663" s="1" t="s">
        <v>57</v>
      </c>
      <c r="C663" s="13">
        <v>44842</v>
      </c>
      <c r="D663" s="13">
        <v>44854</v>
      </c>
      <c r="E663" s="13">
        <v>44839</v>
      </c>
      <c r="F663" s="13">
        <v>45203</v>
      </c>
      <c r="G663" s="14" t="str">
        <f t="shared" si="219"/>
        <v>000-662/AIB RDC/2022</v>
      </c>
      <c r="H663" s="1">
        <v>1</v>
      </c>
      <c r="I663" s="1" t="s">
        <v>58</v>
      </c>
      <c r="J663" s="1" t="s">
        <v>998</v>
      </c>
      <c r="K663" s="1" t="s">
        <v>331</v>
      </c>
      <c r="L663" s="1"/>
      <c r="M663" s="1" t="s">
        <v>84</v>
      </c>
      <c r="N663" s="1" t="s">
        <v>85</v>
      </c>
      <c r="O663" s="1" t="s">
        <v>172</v>
      </c>
      <c r="P663" s="1" t="s">
        <v>90</v>
      </c>
      <c r="Q663" s="1" t="s">
        <v>86</v>
      </c>
      <c r="R663" s="1" t="s">
        <v>86</v>
      </c>
      <c r="S663" s="17">
        <v>0</v>
      </c>
      <c r="T663" s="17">
        <v>18364.830000000002</v>
      </c>
      <c r="U663" s="17">
        <v>0</v>
      </c>
      <c r="V663" s="17">
        <v>0</v>
      </c>
      <c r="W663" s="17">
        <v>156.75</v>
      </c>
      <c r="X663" s="17">
        <v>15675</v>
      </c>
      <c r="Y663" s="17">
        <v>2533.08</v>
      </c>
      <c r="Z663" s="18" t="e">
        <f t="shared" si="220"/>
        <v>#DIV/0!</v>
      </c>
      <c r="AA663" s="19">
        <v>0.1</v>
      </c>
      <c r="AB663" s="17">
        <f t="shared" si="226"/>
        <v>1567.5</v>
      </c>
      <c r="AC663" s="17">
        <v>0</v>
      </c>
      <c r="AD663" s="17">
        <v>0</v>
      </c>
      <c r="AE663" s="17">
        <f t="shared" si="221"/>
        <v>1567.5</v>
      </c>
      <c r="AF663" s="17">
        <f t="shared" si="218"/>
        <v>250.8</v>
      </c>
      <c r="AG663" s="17">
        <f t="shared" si="228"/>
        <v>1818.3</v>
      </c>
      <c r="AH663" s="17">
        <f t="shared" si="213"/>
        <v>31.35</v>
      </c>
      <c r="AI663" s="17">
        <v>0</v>
      </c>
      <c r="AJ663" s="17">
        <f t="shared" si="222"/>
        <v>31.35</v>
      </c>
      <c r="AK663" s="20"/>
      <c r="AL663" s="17">
        <f t="shared" si="223"/>
        <v>1536.15</v>
      </c>
      <c r="AM663" s="17" t="s">
        <v>198</v>
      </c>
      <c r="AN663" s="21">
        <v>0</v>
      </c>
      <c r="AO663" s="17">
        <f t="shared" si="224"/>
        <v>0</v>
      </c>
      <c r="AP663" s="27"/>
      <c r="AQ663" s="16"/>
      <c r="AR663" s="17">
        <f t="shared" si="210"/>
        <v>0</v>
      </c>
      <c r="AS663" s="17"/>
      <c r="AT663" s="17">
        <v>1818.3</v>
      </c>
      <c r="AU663" s="17">
        <f t="shared" si="217"/>
        <v>1818.3</v>
      </c>
      <c r="AV663" s="17">
        <f t="shared" si="225"/>
        <v>0</v>
      </c>
      <c r="AW663" s="17" t="str">
        <f t="shared" si="212"/>
        <v>SUNU</v>
      </c>
      <c r="AX663" s="22">
        <v>44888</v>
      </c>
      <c r="AY663" s="22"/>
      <c r="AZ663" s="1"/>
      <c r="BA663" s="22" t="str">
        <f t="shared" si="227"/>
        <v>PUBLIC LIABILITY</v>
      </c>
      <c r="BB663" s="54"/>
      <c r="BC663" s="22"/>
      <c r="BD663" s="22"/>
    </row>
    <row r="664" spans="1:56" ht="14.25" customHeight="1" x14ac:dyDescent="0.2">
      <c r="A664" s="1" t="s">
        <v>667</v>
      </c>
      <c r="B664" s="1" t="s">
        <v>57</v>
      </c>
      <c r="C664" s="13">
        <v>44813</v>
      </c>
      <c r="D664" s="13">
        <v>44845</v>
      </c>
      <c r="E664" s="13">
        <v>44849</v>
      </c>
      <c r="F664" s="13">
        <v>45213</v>
      </c>
      <c r="G664" s="14" t="str">
        <f t="shared" si="219"/>
        <v>000-663/AIB RDC/2022</v>
      </c>
      <c r="H664" s="1">
        <v>0</v>
      </c>
      <c r="I664" s="1" t="s">
        <v>74</v>
      </c>
      <c r="J664" s="1" t="s">
        <v>999</v>
      </c>
      <c r="K664" s="1" t="s">
        <v>300</v>
      </c>
      <c r="L664" s="1" t="s">
        <v>214</v>
      </c>
      <c r="M664" s="1" t="s">
        <v>84</v>
      </c>
      <c r="N664" s="1" t="s">
        <v>85</v>
      </c>
      <c r="O664" s="1" t="s">
        <v>73</v>
      </c>
      <c r="P664" s="1" t="s">
        <v>73</v>
      </c>
      <c r="Q664" s="1" t="s">
        <v>130</v>
      </c>
      <c r="R664" s="1" t="s">
        <v>130</v>
      </c>
      <c r="S664" s="17">
        <v>0</v>
      </c>
      <c r="T664" s="17">
        <v>181008.38</v>
      </c>
      <c r="U664" s="17">
        <v>0</v>
      </c>
      <c r="V664" s="17">
        <v>0</v>
      </c>
      <c r="W664" s="17">
        <v>2262.94</v>
      </c>
      <c r="X664" s="17">
        <v>151134</v>
      </c>
      <c r="Y664" s="17">
        <v>24543.51</v>
      </c>
      <c r="Z664" s="18" t="e">
        <f t="shared" si="220"/>
        <v>#DIV/0!</v>
      </c>
      <c r="AA664" s="19">
        <v>0.1</v>
      </c>
      <c r="AB664" s="17">
        <f t="shared" si="226"/>
        <v>15113.400000000001</v>
      </c>
      <c r="AC664" s="17">
        <v>0</v>
      </c>
      <c r="AD664" s="17">
        <v>0</v>
      </c>
      <c r="AE664" s="17">
        <f t="shared" si="221"/>
        <v>15113.400000000001</v>
      </c>
      <c r="AF664" s="17">
        <f t="shared" si="218"/>
        <v>2418.1440000000002</v>
      </c>
      <c r="AG664" s="17">
        <f t="shared" si="228"/>
        <v>17531.544000000002</v>
      </c>
      <c r="AH664" s="17">
        <f t="shared" si="213"/>
        <v>302.26800000000003</v>
      </c>
      <c r="AI664" s="17"/>
      <c r="AJ664" s="17">
        <f t="shared" si="222"/>
        <v>302.26800000000003</v>
      </c>
      <c r="AK664" s="20"/>
      <c r="AL664" s="17">
        <f t="shared" si="223"/>
        <v>14811.132000000001</v>
      </c>
      <c r="AM664" s="17"/>
      <c r="AN664" s="21"/>
      <c r="AO664" s="17">
        <f t="shared" si="224"/>
        <v>0</v>
      </c>
      <c r="AP664" s="27"/>
      <c r="AQ664" s="16"/>
      <c r="AR664" s="17">
        <f t="shared" si="210"/>
        <v>0</v>
      </c>
      <c r="AS664" s="17"/>
      <c r="AT664" s="17">
        <v>17531.544000000002</v>
      </c>
      <c r="AU664" s="17">
        <f t="shared" si="217"/>
        <v>17531.544000000002</v>
      </c>
      <c r="AV664" s="17">
        <f t="shared" si="225"/>
        <v>0</v>
      </c>
      <c r="AW664" s="17" t="str">
        <f t="shared" si="212"/>
        <v>SFA</v>
      </c>
      <c r="AX664" s="22">
        <v>44887</v>
      </c>
      <c r="AY664" s="22"/>
      <c r="AZ664" s="1"/>
      <c r="BA664" s="22" t="str">
        <f t="shared" si="227"/>
        <v>MOTOR TPL</v>
      </c>
      <c r="BB664" s="54"/>
      <c r="BC664" s="22"/>
      <c r="BD664" s="22"/>
    </row>
    <row r="665" spans="1:56" ht="14.25" customHeight="1" x14ac:dyDescent="0.2">
      <c r="A665" s="1"/>
      <c r="B665" s="1" t="s">
        <v>273</v>
      </c>
      <c r="C665" s="13"/>
      <c r="D665" s="13"/>
      <c r="E665" s="13"/>
      <c r="F665" s="13"/>
      <c r="G665" s="14" t="str">
        <f t="shared" si="219"/>
        <v>000-664/AIB RDC/2022</v>
      </c>
      <c r="H665" s="1"/>
      <c r="I665" s="1" t="s">
        <v>115</v>
      </c>
      <c r="J665" s="1" t="s">
        <v>299</v>
      </c>
      <c r="K665" s="1" t="s">
        <v>300</v>
      </c>
      <c r="L665" s="1" t="s">
        <v>214</v>
      </c>
      <c r="M665" s="1" t="s">
        <v>84</v>
      </c>
      <c r="N665" s="1" t="s">
        <v>85</v>
      </c>
      <c r="O665" s="1" t="s">
        <v>73</v>
      </c>
      <c r="P665" s="1" t="s">
        <v>73</v>
      </c>
      <c r="Q665" s="1" t="s">
        <v>130</v>
      </c>
      <c r="R665" s="1" t="s">
        <v>130</v>
      </c>
      <c r="S665" s="17">
        <v>0</v>
      </c>
      <c r="T665" s="17">
        <v>-12608.04</v>
      </c>
      <c r="U665" s="17">
        <v>0</v>
      </c>
      <c r="V665" s="17">
        <v>0</v>
      </c>
      <c r="W665" s="17">
        <v>0</v>
      </c>
      <c r="X665" s="17">
        <v>-10869</v>
      </c>
      <c r="Y665" s="17">
        <v>-1739.04</v>
      </c>
      <c r="Z665" s="18" t="e">
        <f t="shared" si="220"/>
        <v>#DIV/0!</v>
      </c>
      <c r="AA665" s="19">
        <v>0</v>
      </c>
      <c r="AB665" s="17">
        <f t="shared" si="226"/>
        <v>0</v>
      </c>
      <c r="AC665" s="17">
        <v>0</v>
      </c>
      <c r="AD665" s="17">
        <v>0</v>
      </c>
      <c r="AE665" s="17">
        <f t="shared" si="221"/>
        <v>0</v>
      </c>
      <c r="AF665" s="17">
        <f t="shared" si="218"/>
        <v>0</v>
      </c>
      <c r="AG665" s="17">
        <f t="shared" si="228"/>
        <v>0</v>
      </c>
      <c r="AH665" s="17">
        <f t="shared" si="213"/>
        <v>0</v>
      </c>
      <c r="AI665" s="17"/>
      <c r="AJ665" s="17">
        <f t="shared" si="222"/>
        <v>0</v>
      </c>
      <c r="AK665" s="20"/>
      <c r="AL665" s="17">
        <f t="shared" si="223"/>
        <v>0</v>
      </c>
      <c r="AM665" s="17"/>
      <c r="AN665" s="21"/>
      <c r="AO665" s="17">
        <f t="shared" si="224"/>
        <v>0</v>
      </c>
      <c r="AP665" s="27"/>
      <c r="AQ665" s="16"/>
      <c r="AR665" s="17">
        <f t="shared" si="210"/>
        <v>0</v>
      </c>
      <c r="AS665" s="17"/>
      <c r="AT665" s="17"/>
      <c r="AU665" s="17">
        <f t="shared" si="217"/>
        <v>0</v>
      </c>
      <c r="AV665" s="17">
        <f t="shared" si="225"/>
        <v>0</v>
      </c>
      <c r="AW665" s="17" t="str">
        <f t="shared" si="212"/>
        <v>SFA</v>
      </c>
      <c r="AX665" s="22"/>
      <c r="AY665" s="22"/>
      <c r="AZ665" s="1"/>
      <c r="BA665" s="22" t="str">
        <f t="shared" si="227"/>
        <v>MOTOR TPL</v>
      </c>
      <c r="BB665" s="54"/>
      <c r="BC665" s="22"/>
      <c r="BD665" s="22"/>
    </row>
    <row r="666" spans="1:56" ht="14.25" customHeight="1" x14ac:dyDescent="0.2">
      <c r="A666" s="1" t="s">
        <v>847</v>
      </c>
      <c r="B666" s="1" t="s">
        <v>57</v>
      </c>
      <c r="C666" s="13">
        <v>44852</v>
      </c>
      <c r="D666" s="13">
        <v>44865</v>
      </c>
      <c r="E666" s="13">
        <v>44877</v>
      </c>
      <c r="F666" s="13">
        <v>45213</v>
      </c>
      <c r="G666" s="14" t="str">
        <f t="shared" si="219"/>
        <v>000-665/AIB RDC/2022</v>
      </c>
      <c r="H666" s="1">
        <v>1</v>
      </c>
      <c r="I666" s="1" t="s">
        <v>91</v>
      </c>
      <c r="J666" s="1" t="s">
        <v>999</v>
      </c>
      <c r="K666" s="1" t="s">
        <v>300</v>
      </c>
      <c r="L666" s="1" t="s">
        <v>214</v>
      </c>
      <c r="M666" s="1" t="s">
        <v>84</v>
      </c>
      <c r="N666" s="1" t="s">
        <v>85</v>
      </c>
      <c r="O666" s="1" t="s">
        <v>73</v>
      </c>
      <c r="P666" s="1" t="s">
        <v>73</v>
      </c>
      <c r="Q666" s="1" t="s">
        <v>130</v>
      </c>
      <c r="R666" s="1" t="s">
        <v>130</v>
      </c>
      <c r="S666" s="17">
        <v>0</v>
      </c>
      <c r="T666" s="17">
        <v>5337.67</v>
      </c>
      <c r="U666" s="17">
        <v>0</v>
      </c>
      <c r="V666" s="17">
        <v>0</v>
      </c>
      <c r="W666" s="17">
        <v>66.819999999999993</v>
      </c>
      <c r="X666" s="17">
        <v>4456.6400000000003</v>
      </c>
      <c r="Y666" s="17">
        <v>723.75</v>
      </c>
      <c r="Z666" s="18" t="e">
        <f t="shared" si="220"/>
        <v>#DIV/0!</v>
      </c>
      <c r="AA666" s="19">
        <v>0.1</v>
      </c>
      <c r="AB666" s="17">
        <f t="shared" si="226"/>
        <v>445.66400000000004</v>
      </c>
      <c r="AC666" s="17">
        <v>0</v>
      </c>
      <c r="AD666" s="17">
        <v>0</v>
      </c>
      <c r="AE666" s="17">
        <f t="shared" si="221"/>
        <v>445.66400000000004</v>
      </c>
      <c r="AF666" s="17">
        <f t="shared" si="218"/>
        <v>71.306240000000003</v>
      </c>
      <c r="AG666" s="17">
        <f t="shared" si="228"/>
        <v>516.9702400000001</v>
      </c>
      <c r="AH666" s="17">
        <f t="shared" si="213"/>
        <v>8.9132800000000003</v>
      </c>
      <c r="AI666" s="17"/>
      <c r="AJ666" s="17">
        <f t="shared" si="222"/>
        <v>8.9132800000000003</v>
      </c>
      <c r="AK666" s="20"/>
      <c r="AL666" s="17">
        <f t="shared" si="223"/>
        <v>436.75072000000006</v>
      </c>
      <c r="AM666" s="17"/>
      <c r="AN666" s="21"/>
      <c r="AO666" s="17">
        <f t="shared" si="224"/>
        <v>0</v>
      </c>
      <c r="AP666" s="27"/>
      <c r="AQ666" s="16"/>
      <c r="AR666" s="17">
        <f t="shared" si="210"/>
        <v>0</v>
      </c>
      <c r="AS666" s="17"/>
      <c r="AT666" s="17">
        <v>516.9702400000001</v>
      </c>
      <c r="AU666" s="17">
        <f t="shared" si="217"/>
        <v>516.9702400000001</v>
      </c>
      <c r="AV666" s="17">
        <f t="shared" si="225"/>
        <v>0</v>
      </c>
      <c r="AW666" s="17" t="str">
        <f t="shared" si="212"/>
        <v>SFA</v>
      </c>
      <c r="AX666" s="22">
        <v>44911</v>
      </c>
      <c r="AY666" s="22"/>
      <c r="AZ666" s="1"/>
      <c r="BA666" s="22" t="str">
        <f t="shared" si="227"/>
        <v>MOTOR TPL</v>
      </c>
      <c r="BB666" s="54"/>
      <c r="BC666" s="22"/>
      <c r="BD666" s="22"/>
    </row>
    <row r="667" spans="1:56" ht="14.25" customHeight="1" x14ac:dyDescent="0.2">
      <c r="A667" s="1" t="s">
        <v>667</v>
      </c>
      <c r="B667" s="1" t="s">
        <v>57</v>
      </c>
      <c r="C667" s="13">
        <v>44865</v>
      </c>
      <c r="D667" s="13">
        <v>44869</v>
      </c>
      <c r="E667" s="13">
        <v>44862</v>
      </c>
      <c r="F667" s="13">
        <v>45213</v>
      </c>
      <c r="G667" s="14" t="str">
        <f t="shared" si="219"/>
        <v>000-666/AIB RDC/2022</v>
      </c>
      <c r="H667" s="1">
        <v>2</v>
      </c>
      <c r="I667" s="1" t="s">
        <v>91</v>
      </c>
      <c r="J667" s="1" t="s">
        <v>999</v>
      </c>
      <c r="K667" s="1" t="s">
        <v>300</v>
      </c>
      <c r="L667" s="1" t="s">
        <v>214</v>
      </c>
      <c r="M667" s="1" t="s">
        <v>84</v>
      </c>
      <c r="N667" s="1" t="s">
        <v>85</v>
      </c>
      <c r="O667" s="1" t="s">
        <v>73</v>
      </c>
      <c r="P667" s="1" t="s">
        <v>73</v>
      </c>
      <c r="Q667" s="1" t="s">
        <v>130</v>
      </c>
      <c r="R667" s="1" t="s">
        <v>130</v>
      </c>
      <c r="S667" s="17">
        <v>0</v>
      </c>
      <c r="T667" s="17">
        <v>1483.66</v>
      </c>
      <c r="U667" s="17">
        <v>0</v>
      </c>
      <c r="V667" s="17">
        <v>0</v>
      </c>
      <c r="W667" s="17">
        <v>18.57</v>
      </c>
      <c r="X667" s="17">
        <v>1238.78</v>
      </c>
      <c r="Y667" s="17">
        <v>201.17</v>
      </c>
      <c r="Z667" s="18" t="e">
        <f t="shared" si="220"/>
        <v>#DIV/0!</v>
      </c>
      <c r="AA667" s="19">
        <v>0.1</v>
      </c>
      <c r="AB667" s="17">
        <f t="shared" si="226"/>
        <v>123.878</v>
      </c>
      <c r="AC667" s="17">
        <v>0</v>
      </c>
      <c r="AD667" s="17">
        <v>0</v>
      </c>
      <c r="AE667" s="17">
        <f t="shared" si="221"/>
        <v>123.878</v>
      </c>
      <c r="AF667" s="17">
        <f t="shared" si="218"/>
        <v>19.82048</v>
      </c>
      <c r="AG667" s="17">
        <f t="shared" si="228"/>
        <v>143.69847999999999</v>
      </c>
      <c r="AH667" s="17">
        <f t="shared" si="213"/>
        <v>2.47756</v>
      </c>
      <c r="AI667" s="17"/>
      <c r="AJ667" s="17">
        <f t="shared" si="222"/>
        <v>2.47756</v>
      </c>
      <c r="AK667" s="20"/>
      <c r="AL667" s="17">
        <f t="shared" si="223"/>
        <v>121.40044</v>
      </c>
      <c r="AM667" s="17"/>
      <c r="AN667" s="21"/>
      <c r="AO667" s="17">
        <f t="shared" si="224"/>
        <v>0</v>
      </c>
      <c r="AP667" s="27"/>
      <c r="AQ667" s="16"/>
      <c r="AR667" s="17">
        <f t="shared" si="210"/>
        <v>0</v>
      </c>
      <c r="AS667" s="17"/>
      <c r="AT667" s="17">
        <v>143.69847999999999</v>
      </c>
      <c r="AU667" s="17">
        <f t="shared" si="217"/>
        <v>143.69847999999999</v>
      </c>
      <c r="AV667" s="17">
        <f t="shared" si="225"/>
        <v>0</v>
      </c>
      <c r="AW667" s="17" t="str">
        <f t="shared" si="212"/>
        <v>SFA</v>
      </c>
      <c r="AX667" s="22">
        <v>44949</v>
      </c>
      <c r="AY667" s="22"/>
      <c r="AZ667" s="1"/>
      <c r="BA667" s="22" t="str">
        <f t="shared" si="227"/>
        <v>MOTOR TPL</v>
      </c>
      <c r="BB667" s="54"/>
      <c r="BC667" s="22"/>
      <c r="BD667" s="22"/>
    </row>
    <row r="668" spans="1:56" ht="14.25" customHeight="1" x14ac:dyDescent="0.2">
      <c r="A668" s="28" t="s">
        <v>847</v>
      </c>
      <c r="B668" s="28" t="s">
        <v>273</v>
      </c>
      <c r="C668" s="36">
        <v>44869</v>
      </c>
      <c r="D668" s="36">
        <v>44869</v>
      </c>
      <c r="E668" s="36">
        <v>44869</v>
      </c>
      <c r="F668" s="36">
        <v>45213</v>
      </c>
      <c r="G668" s="37" t="str">
        <f t="shared" si="219"/>
        <v>000-667/AIB RDC/2022</v>
      </c>
      <c r="H668" s="28">
        <v>5</v>
      </c>
      <c r="I668" s="28" t="s">
        <v>115</v>
      </c>
      <c r="J668" s="28" t="s">
        <v>999</v>
      </c>
      <c r="K668" s="28" t="s">
        <v>300</v>
      </c>
      <c r="L668" s="28" t="s">
        <v>214</v>
      </c>
      <c r="M668" s="28" t="s">
        <v>84</v>
      </c>
      <c r="N668" s="28" t="s">
        <v>85</v>
      </c>
      <c r="O668" s="28" t="s">
        <v>73</v>
      </c>
      <c r="P668" s="28" t="s">
        <v>73</v>
      </c>
      <c r="Q668" s="28" t="s">
        <v>130</v>
      </c>
      <c r="R668" s="28" t="s">
        <v>130</v>
      </c>
      <c r="S668" s="23">
        <v>0</v>
      </c>
      <c r="T668" s="23">
        <v>-2329.91</v>
      </c>
      <c r="U668" s="23">
        <v>0</v>
      </c>
      <c r="V668" s="23">
        <v>0</v>
      </c>
      <c r="W668" s="23">
        <v>0</v>
      </c>
      <c r="X668" s="23">
        <v>-2008.55</v>
      </c>
      <c r="Y668" s="23">
        <v>-321.36</v>
      </c>
      <c r="Z668" s="38" t="e">
        <f t="shared" si="220"/>
        <v>#DIV/0!</v>
      </c>
      <c r="AA668" s="39">
        <v>0.1</v>
      </c>
      <c r="AB668" s="23">
        <f t="shared" si="226"/>
        <v>-200.85500000000002</v>
      </c>
      <c r="AC668" s="23">
        <v>0</v>
      </c>
      <c r="AD668" s="23">
        <v>0</v>
      </c>
      <c r="AE668" s="23">
        <f t="shared" si="221"/>
        <v>-200.85500000000002</v>
      </c>
      <c r="AF668" s="23">
        <f t="shared" si="218"/>
        <v>-32.136800000000001</v>
      </c>
      <c r="AG668" s="23">
        <f t="shared" si="228"/>
        <v>-232.99180000000001</v>
      </c>
      <c r="AH668" s="23">
        <f t="shared" si="213"/>
        <v>-4.0171000000000001</v>
      </c>
      <c r="AI668" s="23"/>
      <c r="AJ668" s="23">
        <f t="shared" si="222"/>
        <v>-4.0171000000000001</v>
      </c>
      <c r="AK668" s="40"/>
      <c r="AL668" s="23">
        <f t="shared" si="223"/>
        <v>-196.83790000000002</v>
      </c>
      <c r="AM668" s="23"/>
      <c r="AN668" s="41"/>
      <c r="AO668" s="23">
        <f t="shared" si="224"/>
        <v>0</v>
      </c>
      <c r="AP668" s="55"/>
      <c r="AQ668" s="29"/>
      <c r="AR668" s="23">
        <f t="shared" si="210"/>
        <v>0</v>
      </c>
      <c r="AS668" s="23"/>
      <c r="AT668" s="23"/>
      <c r="AU668" s="23">
        <f t="shared" si="217"/>
        <v>-232.99180000000001</v>
      </c>
      <c r="AV668" s="85">
        <f t="shared" si="225"/>
        <v>-232.99180000000001</v>
      </c>
      <c r="AW668" s="23" t="str">
        <f t="shared" si="212"/>
        <v>SFA</v>
      </c>
      <c r="AX668" s="42"/>
      <c r="AY668" s="42"/>
      <c r="AZ668" s="28"/>
      <c r="BA668" s="42" t="str">
        <f t="shared" si="227"/>
        <v>MOTOR TPL</v>
      </c>
      <c r="BB668" s="56"/>
      <c r="BC668" s="42"/>
      <c r="BD668" s="42"/>
    </row>
    <row r="669" spans="1:56" ht="14.25" customHeight="1" x14ac:dyDescent="0.2">
      <c r="A669" s="1" t="s">
        <v>667</v>
      </c>
      <c r="B669" s="1" t="s">
        <v>57</v>
      </c>
      <c r="C669" s="13">
        <v>44820</v>
      </c>
      <c r="D669" s="13">
        <v>44844</v>
      </c>
      <c r="E669" s="13">
        <v>44844</v>
      </c>
      <c r="F669" s="13">
        <v>45208</v>
      </c>
      <c r="G669" s="14" t="str">
        <f t="shared" si="219"/>
        <v>000-668/AIB RDC/2022</v>
      </c>
      <c r="H669" s="1">
        <v>0</v>
      </c>
      <c r="I669" s="1" t="s">
        <v>74</v>
      </c>
      <c r="J669" s="1" t="s">
        <v>1000</v>
      </c>
      <c r="K669" s="1" t="s">
        <v>455</v>
      </c>
      <c r="L669" s="16" t="s">
        <v>137</v>
      </c>
      <c r="M669" s="1" t="s">
        <v>84</v>
      </c>
      <c r="N669" s="1" t="s">
        <v>85</v>
      </c>
      <c r="O669" s="1" t="s">
        <v>73</v>
      </c>
      <c r="P669" s="1" t="s">
        <v>73</v>
      </c>
      <c r="Q669" s="1" t="s">
        <v>130</v>
      </c>
      <c r="R669" s="16" t="s">
        <v>130</v>
      </c>
      <c r="S669" s="17">
        <v>0</v>
      </c>
      <c r="T669" s="17">
        <v>1234.82</v>
      </c>
      <c r="U669" s="17">
        <v>0</v>
      </c>
      <c r="V669" s="17">
        <v>0</v>
      </c>
      <c r="W669" s="17">
        <v>15.47</v>
      </c>
      <c r="X669" s="17">
        <v>1031</v>
      </c>
      <c r="Y669" s="17">
        <v>167.43</v>
      </c>
      <c r="Z669" s="18" t="e">
        <f t="shared" si="220"/>
        <v>#DIV/0!</v>
      </c>
      <c r="AA669" s="19">
        <v>0.1</v>
      </c>
      <c r="AB669" s="17">
        <f t="shared" si="226"/>
        <v>103.10000000000001</v>
      </c>
      <c r="AC669" s="17">
        <v>0</v>
      </c>
      <c r="AD669" s="17">
        <v>0</v>
      </c>
      <c r="AE669" s="17">
        <f t="shared" si="221"/>
        <v>103.10000000000001</v>
      </c>
      <c r="AF669" s="17">
        <f t="shared" si="218"/>
        <v>16.496000000000002</v>
      </c>
      <c r="AG669" s="17">
        <f t="shared" si="228"/>
        <v>119.596</v>
      </c>
      <c r="AH669" s="17">
        <f t="shared" si="213"/>
        <v>2.0620000000000003</v>
      </c>
      <c r="AI669" s="17"/>
      <c r="AJ669" s="17">
        <f t="shared" si="222"/>
        <v>2.0620000000000003</v>
      </c>
      <c r="AK669" s="20"/>
      <c r="AL669" s="17">
        <f t="shared" si="223"/>
        <v>101.03800000000001</v>
      </c>
      <c r="AM669" s="17"/>
      <c r="AN669" s="21"/>
      <c r="AO669" s="17">
        <f t="shared" si="224"/>
        <v>0</v>
      </c>
      <c r="AP669" s="27"/>
      <c r="AQ669" s="16"/>
      <c r="AR669" s="17">
        <f t="shared" si="210"/>
        <v>0</v>
      </c>
      <c r="AS669" s="17"/>
      <c r="AT669" s="17">
        <v>119.596</v>
      </c>
      <c r="AU669" s="17">
        <f t="shared" si="217"/>
        <v>119.596</v>
      </c>
      <c r="AV669" s="17">
        <f t="shared" si="225"/>
        <v>0</v>
      </c>
      <c r="AW669" s="17" t="str">
        <f t="shared" si="212"/>
        <v>SFA</v>
      </c>
      <c r="AX669" s="22">
        <v>44887</v>
      </c>
      <c r="AY669" s="22"/>
      <c r="AZ669" s="1"/>
      <c r="BA669" s="22" t="str">
        <f t="shared" si="227"/>
        <v>MOTOR TPL</v>
      </c>
      <c r="BB669" s="54"/>
      <c r="BC669" s="22"/>
      <c r="BD669" s="22"/>
    </row>
    <row r="670" spans="1:56" ht="14.25" customHeight="1" x14ac:dyDescent="0.2">
      <c r="A670" s="1" t="s">
        <v>578</v>
      </c>
      <c r="B670" s="1" t="s">
        <v>57</v>
      </c>
      <c r="C670" s="13">
        <v>44729</v>
      </c>
      <c r="D670" s="13">
        <v>44743</v>
      </c>
      <c r="E670" s="13">
        <v>44736</v>
      </c>
      <c r="F670" s="13">
        <v>44848</v>
      </c>
      <c r="G670" s="14" t="str">
        <f t="shared" si="219"/>
        <v>000-669/AIB RDC/2022</v>
      </c>
      <c r="H670" s="1">
        <v>11</v>
      </c>
      <c r="I670" s="1" t="s">
        <v>115</v>
      </c>
      <c r="J670" s="1" t="s">
        <v>299</v>
      </c>
      <c r="K670" s="1" t="s">
        <v>300</v>
      </c>
      <c r="L670" s="1" t="s">
        <v>214</v>
      </c>
      <c r="M670" s="1" t="s">
        <v>62</v>
      </c>
      <c r="N670" s="1" t="s">
        <v>209</v>
      </c>
      <c r="O670" s="1" t="s">
        <v>73</v>
      </c>
      <c r="P670" s="1" t="s">
        <v>73</v>
      </c>
      <c r="Q670" s="1" t="s">
        <v>130</v>
      </c>
      <c r="R670" s="1" t="s">
        <v>130</v>
      </c>
      <c r="S670" s="17">
        <v>0</v>
      </c>
      <c r="T670" s="17">
        <v>-2571.36</v>
      </c>
      <c r="U670" s="17">
        <v>0</v>
      </c>
      <c r="V670" s="17">
        <v>0</v>
      </c>
      <c r="W670" s="17">
        <v>0</v>
      </c>
      <c r="X670" s="17">
        <v>-2216.69</v>
      </c>
      <c r="Y670" s="17">
        <v>-354.67</v>
      </c>
      <c r="Z670" s="18" t="e">
        <f t="shared" si="220"/>
        <v>#DIV/0!</v>
      </c>
      <c r="AA670" s="19">
        <v>0.1</v>
      </c>
      <c r="AB670" s="17">
        <f t="shared" si="226"/>
        <v>-221.66900000000001</v>
      </c>
      <c r="AC670" s="17">
        <v>0</v>
      </c>
      <c r="AD670" s="17">
        <v>0</v>
      </c>
      <c r="AE670" s="17">
        <f t="shared" si="221"/>
        <v>-221.66900000000001</v>
      </c>
      <c r="AF670" s="17">
        <f t="shared" si="218"/>
        <v>-35.467040000000004</v>
      </c>
      <c r="AG670" s="17">
        <f t="shared" si="228"/>
        <v>-257.13604000000004</v>
      </c>
      <c r="AH670" s="17">
        <f t="shared" si="213"/>
        <v>-4.4333800000000005</v>
      </c>
      <c r="AI670" s="17"/>
      <c r="AJ670" s="17">
        <f t="shared" si="222"/>
        <v>-4.4333800000000005</v>
      </c>
      <c r="AK670" s="20"/>
      <c r="AL670" s="17">
        <f t="shared" si="223"/>
        <v>-217.23562000000001</v>
      </c>
      <c r="AM670" s="17"/>
      <c r="AN670" s="21"/>
      <c r="AO670" s="17">
        <f t="shared" si="224"/>
        <v>0</v>
      </c>
      <c r="AP670" s="17"/>
      <c r="AQ670" s="16"/>
      <c r="AR670" s="17">
        <f t="shared" si="210"/>
        <v>0</v>
      </c>
      <c r="AS670" s="17"/>
      <c r="AT670" s="17"/>
      <c r="AU670" s="17">
        <f t="shared" si="217"/>
        <v>-257.13604000000004</v>
      </c>
      <c r="AV670" s="84">
        <f t="shared" si="225"/>
        <v>-257.13604000000004</v>
      </c>
      <c r="AW670" s="17" t="str">
        <f t="shared" si="212"/>
        <v>SFA</v>
      </c>
      <c r="AX670" s="22"/>
      <c r="AY670" s="22"/>
      <c r="AZ670" s="1" t="s">
        <v>68</v>
      </c>
      <c r="BA670" s="22" t="str">
        <f t="shared" si="227"/>
        <v>MOTOR TPL</v>
      </c>
      <c r="BB670" s="22"/>
      <c r="BC670" s="1" t="s">
        <v>130</v>
      </c>
      <c r="BD670" s="1"/>
    </row>
    <row r="671" spans="1:56" ht="14.25" customHeight="1" x14ac:dyDescent="0.2">
      <c r="A671" s="1" t="s">
        <v>667</v>
      </c>
      <c r="B671" s="1" t="s">
        <v>57</v>
      </c>
      <c r="C671" s="13">
        <v>44846</v>
      </c>
      <c r="D671" s="13">
        <v>44871</v>
      </c>
      <c r="E671" s="13">
        <v>44861</v>
      </c>
      <c r="F671" s="13">
        <v>44926</v>
      </c>
      <c r="G671" s="14" t="str">
        <f t="shared" si="219"/>
        <v>000-670/AIB RDC/2022</v>
      </c>
      <c r="H671" s="1">
        <v>1</v>
      </c>
      <c r="I671" s="1" t="s">
        <v>91</v>
      </c>
      <c r="J671" s="1" t="s">
        <v>1001</v>
      </c>
      <c r="K671" s="16" t="s">
        <v>82</v>
      </c>
      <c r="L671" s="1" t="s">
        <v>516</v>
      </c>
      <c r="M671" s="1" t="s">
        <v>84</v>
      </c>
      <c r="N671" s="1" t="s">
        <v>85</v>
      </c>
      <c r="O671" s="1" t="s">
        <v>64</v>
      </c>
      <c r="P671" s="1" t="s">
        <v>65</v>
      </c>
      <c r="Q671" s="1" t="s">
        <v>86</v>
      </c>
      <c r="R671" s="1" t="s">
        <v>86</v>
      </c>
      <c r="S671" s="17">
        <v>2305245</v>
      </c>
      <c r="T671" s="17">
        <v>4866.88</v>
      </c>
      <c r="U671" s="17">
        <v>0</v>
      </c>
      <c r="V671" s="17">
        <v>0</v>
      </c>
      <c r="W671" s="17">
        <v>41.54</v>
      </c>
      <c r="X671" s="17">
        <v>4154.04</v>
      </c>
      <c r="Y671" s="17">
        <v>671.3</v>
      </c>
      <c r="Z671" s="18">
        <f t="shared" si="220"/>
        <v>2.1112202824428638E-3</v>
      </c>
      <c r="AA671" s="19">
        <v>0.15</v>
      </c>
      <c r="AB671" s="17">
        <f t="shared" si="226"/>
        <v>623.10599999999999</v>
      </c>
      <c r="AC671" s="17">
        <v>0</v>
      </c>
      <c r="AD671" s="17">
        <v>0</v>
      </c>
      <c r="AE671" s="17">
        <f t="shared" si="221"/>
        <v>623.10599999999999</v>
      </c>
      <c r="AF671" s="17">
        <f t="shared" si="218"/>
        <v>99.696960000000004</v>
      </c>
      <c r="AG671" s="17">
        <f t="shared" si="228"/>
        <v>722.80295999999998</v>
      </c>
      <c r="AH671" s="17">
        <f t="shared" si="213"/>
        <v>12.462120000000001</v>
      </c>
      <c r="AI671" s="17">
        <v>0</v>
      </c>
      <c r="AJ671" s="17">
        <f t="shared" si="222"/>
        <v>12.462120000000001</v>
      </c>
      <c r="AK671" s="20"/>
      <c r="AL671" s="17">
        <f t="shared" si="223"/>
        <v>610.64387999999997</v>
      </c>
      <c r="AM671" s="17" t="s">
        <v>87</v>
      </c>
      <c r="AN671" s="21">
        <v>0.35</v>
      </c>
      <c r="AO671" s="17">
        <f t="shared" si="224"/>
        <v>213.72535799999997</v>
      </c>
      <c r="AP671" s="27"/>
      <c r="AQ671" s="16"/>
      <c r="AR671" s="17">
        <f t="shared" si="210"/>
        <v>213.72535799999997</v>
      </c>
      <c r="AS671" s="17"/>
      <c r="AT671" s="17">
        <v>722.80295999999998</v>
      </c>
      <c r="AU671" s="17">
        <f t="shared" si="217"/>
        <v>722.80295999999998</v>
      </c>
      <c r="AV671" s="17">
        <f t="shared" si="225"/>
        <v>0</v>
      </c>
      <c r="AW671" s="17" t="str">
        <f t="shared" si="212"/>
        <v>SUNU</v>
      </c>
      <c r="AX671" s="22">
        <v>44918</v>
      </c>
      <c r="AY671" s="22"/>
      <c r="AZ671" s="1" t="s">
        <v>68</v>
      </c>
      <c r="BA671" s="22" t="str">
        <f t="shared" si="227"/>
        <v>MARINE CARGO / GIT</v>
      </c>
      <c r="BB671" s="54"/>
      <c r="BC671" s="22"/>
      <c r="BD671" s="22"/>
    </row>
    <row r="672" spans="1:56" ht="14.25" customHeight="1" x14ac:dyDescent="0.2">
      <c r="A672" s="1" t="s">
        <v>667</v>
      </c>
      <c r="B672" s="1" t="s">
        <v>57</v>
      </c>
      <c r="C672" s="13">
        <v>44848</v>
      </c>
      <c r="D672" s="13">
        <v>44848</v>
      </c>
      <c r="E672" s="13">
        <v>44844</v>
      </c>
      <c r="F672" s="13">
        <v>44844</v>
      </c>
      <c r="G672" s="14" t="str">
        <f t="shared" si="219"/>
        <v>000-671/AIB RDC/2022</v>
      </c>
      <c r="H672" s="1">
        <v>2</v>
      </c>
      <c r="I672" s="1" t="s">
        <v>115</v>
      </c>
      <c r="J672" s="1" t="s">
        <v>1002</v>
      </c>
      <c r="K672" s="1" t="s">
        <v>287</v>
      </c>
      <c r="L672" s="1" t="s">
        <v>288</v>
      </c>
      <c r="M672" s="1" t="s">
        <v>84</v>
      </c>
      <c r="N672" s="1" t="s">
        <v>85</v>
      </c>
      <c r="O672" s="1" t="s">
        <v>64</v>
      </c>
      <c r="P672" s="1" t="s">
        <v>65</v>
      </c>
      <c r="Q672" s="1" t="s">
        <v>130</v>
      </c>
      <c r="R672" s="1" t="s">
        <v>130</v>
      </c>
      <c r="S672" s="17">
        <v>0</v>
      </c>
      <c r="T672" s="17">
        <v>-3967.03</v>
      </c>
      <c r="U672" s="17">
        <v>0</v>
      </c>
      <c r="V672" s="17">
        <v>0</v>
      </c>
      <c r="W672" s="17">
        <v>0</v>
      </c>
      <c r="X672" s="17">
        <v>-3419.85</v>
      </c>
      <c r="Y672" s="17">
        <v>-547.17999999999995</v>
      </c>
      <c r="Z672" s="18" t="e">
        <f t="shared" si="220"/>
        <v>#DIV/0!</v>
      </c>
      <c r="AA672" s="19">
        <v>0.15</v>
      </c>
      <c r="AB672" s="17">
        <f t="shared" si="226"/>
        <v>-512.97749999999996</v>
      </c>
      <c r="AC672" s="17">
        <v>0</v>
      </c>
      <c r="AD672" s="17">
        <v>0</v>
      </c>
      <c r="AE672" s="17">
        <f t="shared" si="221"/>
        <v>-512.97749999999996</v>
      </c>
      <c r="AF672" s="17">
        <f t="shared" si="218"/>
        <v>-82.076399999999992</v>
      </c>
      <c r="AG672" s="17">
        <f t="shared" si="228"/>
        <v>-595.0539</v>
      </c>
      <c r="AH672" s="17">
        <f t="shared" si="213"/>
        <v>-10.259549999999999</v>
      </c>
      <c r="AI672" s="17">
        <v>0</v>
      </c>
      <c r="AJ672" s="17">
        <f t="shared" si="222"/>
        <v>-10.259549999999999</v>
      </c>
      <c r="AK672" s="20"/>
      <c r="AL672" s="17">
        <f t="shared" si="223"/>
        <v>-502.71794999999997</v>
      </c>
      <c r="AM672" s="17" t="s">
        <v>289</v>
      </c>
      <c r="AN672" s="21">
        <v>0.5</v>
      </c>
      <c r="AO672" s="17">
        <f t="shared" si="224"/>
        <v>-251.35897499999999</v>
      </c>
      <c r="AP672" s="17">
        <v>-251.35897499999999</v>
      </c>
      <c r="AQ672" s="16">
        <v>45086</v>
      </c>
      <c r="AR672" s="17">
        <f t="shared" si="210"/>
        <v>0</v>
      </c>
      <c r="AS672" s="17" t="s">
        <v>884</v>
      </c>
      <c r="AT672" s="17">
        <v>-595.0539</v>
      </c>
      <c r="AU672" s="17">
        <f t="shared" si="217"/>
        <v>-595.0539</v>
      </c>
      <c r="AV672" s="17">
        <f t="shared" si="225"/>
        <v>0</v>
      </c>
      <c r="AW672" s="17" t="str">
        <f t="shared" si="212"/>
        <v>SFA</v>
      </c>
      <c r="AX672" s="22">
        <v>44949</v>
      </c>
      <c r="AY672" s="22"/>
      <c r="AZ672" s="1" t="s">
        <v>68</v>
      </c>
      <c r="BA672" s="22" t="str">
        <f t="shared" si="227"/>
        <v>MARINE CARGO / GIT</v>
      </c>
      <c r="BB672" s="54"/>
      <c r="BC672" s="22"/>
      <c r="BD672" s="22"/>
    </row>
    <row r="673" spans="1:56" ht="14.25" customHeight="1" x14ac:dyDescent="0.2">
      <c r="A673" s="1" t="s">
        <v>667</v>
      </c>
      <c r="B673" s="1" t="s">
        <v>57</v>
      </c>
      <c r="C673" s="13">
        <v>44847</v>
      </c>
      <c r="D673" s="13">
        <v>44853</v>
      </c>
      <c r="E673" s="13">
        <v>44845</v>
      </c>
      <c r="F673" s="13">
        <v>45209</v>
      </c>
      <c r="G673" s="14" t="str">
        <f t="shared" si="219"/>
        <v>000-672/AIB RDC/2022</v>
      </c>
      <c r="H673" s="1">
        <v>3</v>
      </c>
      <c r="I673" s="1" t="s">
        <v>58</v>
      </c>
      <c r="J673" s="24" t="s">
        <v>1003</v>
      </c>
      <c r="K673" s="1" t="s">
        <v>287</v>
      </c>
      <c r="L673" s="1" t="s">
        <v>288</v>
      </c>
      <c r="M673" s="1" t="s">
        <v>84</v>
      </c>
      <c r="N673" s="1" t="s">
        <v>85</v>
      </c>
      <c r="O673" s="1" t="s">
        <v>64</v>
      </c>
      <c r="P673" s="1" t="s">
        <v>65</v>
      </c>
      <c r="Q673" s="1" t="s">
        <v>130</v>
      </c>
      <c r="R673" s="1" t="s">
        <v>130</v>
      </c>
      <c r="S673" s="17">
        <v>23000000</v>
      </c>
      <c r="T673" s="17">
        <v>37313.160000000003</v>
      </c>
      <c r="U673" s="17">
        <v>0</v>
      </c>
      <c r="V673" s="17">
        <v>0</v>
      </c>
      <c r="W673" s="17">
        <v>157.32</v>
      </c>
      <c r="X673" s="17">
        <v>31464</v>
      </c>
      <c r="Y673" s="17">
        <v>5059.41</v>
      </c>
      <c r="Z673" s="18">
        <f t="shared" si="220"/>
        <v>1.6223113043478262E-3</v>
      </c>
      <c r="AA673" s="19">
        <v>0.15</v>
      </c>
      <c r="AB673" s="17">
        <f t="shared" si="226"/>
        <v>4719.5999999999995</v>
      </c>
      <c r="AC673" s="17">
        <v>0</v>
      </c>
      <c r="AD673" s="17">
        <v>0</v>
      </c>
      <c r="AE673" s="17">
        <f t="shared" si="221"/>
        <v>4719.5999999999995</v>
      </c>
      <c r="AF673" s="17">
        <f t="shared" si="218"/>
        <v>755.13599999999997</v>
      </c>
      <c r="AG673" s="17">
        <f t="shared" si="228"/>
        <v>5474.735999999999</v>
      </c>
      <c r="AH673" s="17">
        <f t="shared" si="213"/>
        <v>94.391999999999996</v>
      </c>
      <c r="AI673" s="17">
        <v>0</v>
      </c>
      <c r="AJ673" s="17">
        <f t="shared" si="222"/>
        <v>94.391999999999996</v>
      </c>
      <c r="AK673" s="20"/>
      <c r="AL673" s="17">
        <f t="shared" si="223"/>
        <v>4625.2079999999996</v>
      </c>
      <c r="AM673" s="17" t="s">
        <v>289</v>
      </c>
      <c r="AN673" s="21">
        <v>0.5</v>
      </c>
      <c r="AO673" s="17">
        <f t="shared" si="224"/>
        <v>2312.6039999999998</v>
      </c>
      <c r="AP673" s="17">
        <v>2312.6039999999998</v>
      </c>
      <c r="AQ673" s="16">
        <v>45086</v>
      </c>
      <c r="AR673" s="17">
        <f t="shared" ref="AR673:AR736" si="229">AO673-AP673</f>
        <v>0</v>
      </c>
      <c r="AS673" s="17" t="s">
        <v>884</v>
      </c>
      <c r="AT673" s="17">
        <v>5474.735999999999</v>
      </c>
      <c r="AU673" s="17">
        <f t="shared" si="217"/>
        <v>5474.735999999999</v>
      </c>
      <c r="AV673" s="17">
        <f t="shared" si="225"/>
        <v>0</v>
      </c>
      <c r="AW673" s="17" t="str">
        <f t="shared" si="212"/>
        <v>SFA</v>
      </c>
      <c r="AX673" s="22">
        <v>44949</v>
      </c>
      <c r="AY673" s="22"/>
      <c r="AZ673" s="1"/>
      <c r="BA673" s="22" t="str">
        <f t="shared" si="227"/>
        <v>MARINE CARGO / GIT</v>
      </c>
      <c r="BB673" s="54"/>
      <c r="BC673" s="22"/>
      <c r="BD673" s="22"/>
    </row>
    <row r="674" spans="1:56" ht="14.25" customHeight="1" x14ac:dyDescent="0.2">
      <c r="A674" s="1" t="s">
        <v>847</v>
      </c>
      <c r="B674" s="1" t="s">
        <v>57</v>
      </c>
      <c r="C674" s="13">
        <v>44853</v>
      </c>
      <c r="D674" s="13">
        <v>44872</v>
      </c>
      <c r="E674" s="13">
        <v>44871</v>
      </c>
      <c r="F674" s="13">
        <v>44926</v>
      </c>
      <c r="G674" s="14" t="str">
        <f t="shared" si="219"/>
        <v>000-673/AIB RDC/2022</v>
      </c>
      <c r="H674" s="1">
        <v>1</v>
      </c>
      <c r="I674" s="1" t="s">
        <v>217</v>
      </c>
      <c r="J674" s="1" t="s">
        <v>1004</v>
      </c>
      <c r="K674" s="1" t="s">
        <v>1005</v>
      </c>
      <c r="L674" s="1"/>
      <c r="M674" s="1" t="s">
        <v>84</v>
      </c>
      <c r="N674" s="1" t="s">
        <v>85</v>
      </c>
      <c r="O674" s="1" t="s">
        <v>1006</v>
      </c>
      <c r="P674" s="1" t="s">
        <v>71</v>
      </c>
      <c r="Q674" s="1" t="s">
        <v>79</v>
      </c>
      <c r="R674" s="1" t="s">
        <v>79</v>
      </c>
      <c r="S674" s="17">
        <v>73442</v>
      </c>
      <c r="T674" s="17">
        <v>190.88</v>
      </c>
      <c r="U674" s="17">
        <v>0</v>
      </c>
      <c r="V674" s="17">
        <v>0</v>
      </c>
      <c r="W674" s="17">
        <v>20</v>
      </c>
      <c r="X674" s="17">
        <v>141.76</v>
      </c>
      <c r="Y674" s="17">
        <v>25.88</v>
      </c>
      <c r="Z674" s="18">
        <f t="shared" si="220"/>
        <v>2.5990577598649272E-3</v>
      </c>
      <c r="AA674" s="19">
        <v>0.15</v>
      </c>
      <c r="AB674" s="17">
        <f t="shared" si="226"/>
        <v>21.263999999999999</v>
      </c>
      <c r="AC674" s="17">
        <v>0</v>
      </c>
      <c r="AD674" s="17">
        <v>0</v>
      </c>
      <c r="AE674" s="17">
        <f t="shared" si="221"/>
        <v>21.263999999999999</v>
      </c>
      <c r="AF674" s="17">
        <f t="shared" si="218"/>
        <v>3.4022399999999999</v>
      </c>
      <c r="AG674" s="17">
        <f t="shared" si="228"/>
        <v>24.666239999999998</v>
      </c>
      <c r="AH674" s="17">
        <f t="shared" si="213"/>
        <v>0.42527999999999999</v>
      </c>
      <c r="AI674" s="17"/>
      <c r="AJ674" s="17">
        <f t="shared" si="222"/>
        <v>0.42527999999999999</v>
      </c>
      <c r="AK674" s="20"/>
      <c r="AL674" s="17">
        <f t="shared" si="223"/>
        <v>20.838719999999999</v>
      </c>
      <c r="AM674" s="17"/>
      <c r="AN674" s="21"/>
      <c r="AO674" s="17">
        <f t="shared" si="224"/>
        <v>0</v>
      </c>
      <c r="AP674" s="27"/>
      <c r="AQ674" s="16"/>
      <c r="AR674" s="17">
        <f t="shared" si="229"/>
        <v>0</v>
      </c>
      <c r="AS674" s="17"/>
      <c r="AT674" s="17">
        <v>24.666239999999998</v>
      </c>
      <c r="AU674" s="17">
        <f t="shared" si="217"/>
        <v>24.666239999999998</v>
      </c>
      <c r="AV674" s="17">
        <f t="shared" si="225"/>
        <v>0</v>
      </c>
      <c r="AW674" s="17" t="str">
        <f t="shared" si="212"/>
        <v>MAYFAIR</v>
      </c>
      <c r="AX674" s="22">
        <v>44914</v>
      </c>
      <c r="AY674" s="22"/>
      <c r="AZ674" s="1" t="s">
        <v>145</v>
      </c>
      <c r="BA674" s="22" t="str">
        <f t="shared" si="227"/>
        <v>Fire</v>
      </c>
      <c r="BB674" s="54"/>
      <c r="BC674" s="22"/>
      <c r="BD674" s="22"/>
    </row>
    <row r="675" spans="1:56" ht="14.25" customHeight="1" x14ac:dyDescent="0.2">
      <c r="A675" s="1" t="s">
        <v>773</v>
      </c>
      <c r="B675" s="1" t="s">
        <v>57</v>
      </c>
      <c r="C675" s="13">
        <v>44830</v>
      </c>
      <c r="D675" s="13">
        <v>44838</v>
      </c>
      <c r="E675" s="13">
        <v>44805</v>
      </c>
      <c r="F675" s="13">
        <v>44926</v>
      </c>
      <c r="G675" s="14" t="str">
        <f t="shared" si="219"/>
        <v>000-674/AIB RDC/2022</v>
      </c>
      <c r="H675" s="1">
        <v>5</v>
      </c>
      <c r="I675" s="1" t="s">
        <v>217</v>
      </c>
      <c r="J675" s="1" t="s">
        <v>373</v>
      </c>
      <c r="K675" s="16" t="s">
        <v>374</v>
      </c>
      <c r="L675" s="1"/>
      <c r="M675" s="1" t="s">
        <v>84</v>
      </c>
      <c r="N675" s="1" t="s">
        <v>85</v>
      </c>
      <c r="O675" s="1" t="s">
        <v>1006</v>
      </c>
      <c r="P675" s="1" t="s">
        <v>71</v>
      </c>
      <c r="Q675" s="1" t="s">
        <v>66</v>
      </c>
      <c r="R675" s="1" t="s">
        <v>66</v>
      </c>
      <c r="S675" s="17">
        <v>565500</v>
      </c>
      <c r="T675" s="17">
        <v>562.6</v>
      </c>
      <c r="U675" s="17">
        <v>0</v>
      </c>
      <c r="V675" s="17">
        <v>0</v>
      </c>
      <c r="W675" s="17">
        <v>10</v>
      </c>
      <c r="X675" s="17">
        <v>475</v>
      </c>
      <c r="Y675" s="17">
        <v>77.599999999999994</v>
      </c>
      <c r="Z675" s="18">
        <f t="shared" si="220"/>
        <v>9.9487179487179494E-4</v>
      </c>
      <c r="AA675" s="19">
        <v>0.1</v>
      </c>
      <c r="AB675" s="17">
        <f t="shared" si="226"/>
        <v>47.5</v>
      </c>
      <c r="AC675" s="17">
        <v>0</v>
      </c>
      <c r="AD675" s="17">
        <v>0</v>
      </c>
      <c r="AE675" s="17">
        <f t="shared" si="221"/>
        <v>47.5</v>
      </c>
      <c r="AF675" s="17">
        <f t="shared" si="218"/>
        <v>7.6000000000000005</v>
      </c>
      <c r="AG675" s="17">
        <f t="shared" si="228"/>
        <v>55.1</v>
      </c>
      <c r="AH675" s="17">
        <f t="shared" si="213"/>
        <v>0.95000000000000007</v>
      </c>
      <c r="AI675" s="17">
        <v>0</v>
      </c>
      <c r="AJ675" s="17">
        <f t="shared" si="222"/>
        <v>0.95000000000000007</v>
      </c>
      <c r="AK675" s="20"/>
      <c r="AL675" s="17">
        <f t="shared" si="223"/>
        <v>46.55</v>
      </c>
      <c r="AM675" s="17" t="s">
        <v>87</v>
      </c>
      <c r="AN675" s="21">
        <v>0.35</v>
      </c>
      <c r="AO675" s="17">
        <f t="shared" si="224"/>
        <v>16.292499999999997</v>
      </c>
      <c r="AP675" s="27"/>
      <c r="AQ675" s="16"/>
      <c r="AR675" s="17">
        <f t="shared" si="229"/>
        <v>16.292499999999997</v>
      </c>
      <c r="AS675" s="17"/>
      <c r="AT675" s="17">
        <v>55.1</v>
      </c>
      <c r="AU675" s="17">
        <f t="shared" si="217"/>
        <v>55.1</v>
      </c>
      <c r="AV675" s="17">
        <f t="shared" si="225"/>
        <v>0</v>
      </c>
      <c r="AW675" s="17" t="str">
        <f t="shared" si="212"/>
        <v>ACTIVA</v>
      </c>
      <c r="AX675" s="22">
        <v>44894</v>
      </c>
      <c r="AY675" s="22"/>
      <c r="AZ675" s="1" t="s">
        <v>145</v>
      </c>
      <c r="BA675" s="22" t="str">
        <f t="shared" si="227"/>
        <v>Fire</v>
      </c>
      <c r="BB675" s="54"/>
      <c r="BC675" s="22"/>
      <c r="BD675" s="22"/>
    </row>
    <row r="676" spans="1:56" ht="14.25" customHeight="1" x14ac:dyDescent="0.2">
      <c r="A676" s="1" t="s">
        <v>667</v>
      </c>
      <c r="B676" s="1" t="s">
        <v>57</v>
      </c>
      <c r="C676" s="13">
        <v>44855</v>
      </c>
      <c r="D676" s="13">
        <v>44855</v>
      </c>
      <c r="E676" s="13">
        <v>44855</v>
      </c>
      <c r="F676" s="13">
        <v>44926</v>
      </c>
      <c r="G676" s="14" t="str">
        <f t="shared" si="219"/>
        <v>000-675/AIB RDC/2022</v>
      </c>
      <c r="H676" s="1">
        <v>1</v>
      </c>
      <c r="I676" s="1" t="s">
        <v>91</v>
      </c>
      <c r="J676" s="1" t="s">
        <v>155</v>
      </c>
      <c r="K676" s="1" t="s">
        <v>150</v>
      </c>
      <c r="L676" s="16" t="s">
        <v>151</v>
      </c>
      <c r="M676" s="1" t="s">
        <v>84</v>
      </c>
      <c r="N676" s="1" t="s">
        <v>85</v>
      </c>
      <c r="O676" s="1" t="s">
        <v>70</v>
      </c>
      <c r="P676" s="1" t="s">
        <v>71</v>
      </c>
      <c r="Q676" s="1" t="s">
        <v>79</v>
      </c>
      <c r="R676" s="1" t="s">
        <v>79</v>
      </c>
      <c r="S676" s="17">
        <v>1077042</v>
      </c>
      <c r="T676" s="17">
        <v>287</v>
      </c>
      <c r="U676" s="17">
        <v>0</v>
      </c>
      <c r="V676" s="17">
        <v>0</v>
      </c>
      <c r="W676" s="17">
        <v>20</v>
      </c>
      <c r="X676" s="17">
        <v>261</v>
      </c>
      <c r="Y676" s="17">
        <v>0</v>
      </c>
      <c r="Z676" s="18">
        <f t="shared" si="220"/>
        <v>2.6647057403518152E-4</v>
      </c>
      <c r="AA676" s="19">
        <v>0.15</v>
      </c>
      <c r="AB676" s="17">
        <f>AA676*X676</f>
        <v>39.15</v>
      </c>
      <c r="AC676" s="17">
        <v>0</v>
      </c>
      <c r="AD676" s="17">
        <v>0</v>
      </c>
      <c r="AE676" s="17">
        <f t="shared" si="221"/>
        <v>39.15</v>
      </c>
      <c r="AF676" s="17">
        <f t="shared" si="218"/>
        <v>6.2640000000000002</v>
      </c>
      <c r="AG676" s="17">
        <f t="shared" si="228"/>
        <v>45.414000000000001</v>
      </c>
      <c r="AH676" s="17">
        <f t="shared" si="213"/>
        <v>0.78300000000000003</v>
      </c>
      <c r="AI676" s="17">
        <v>0</v>
      </c>
      <c r="AJ676" s="17">
        <f t="shared" si="222"/>
        <v>0.78300000000000003</v>
      </c>
      <c r="AK676" s="20"/>
      <c r="AL676" s="17">
        <f t="shared" si="223"/>
        <v>38.366999999999997</v>
      </c>
      <c r="AM676" s="17" t="s">
        <v>87</v>
      </c>
      <c r="AN676" s="21">
        <v>0.35</v>
      </c>
      <c r="AO676" s="17">
        <f t="shared" si="224"/>
        <v>13.428449999999998</v>
      </c>
      <c r="AP676" s="27"/>
      <c r="AQ676" s="16"/>
      <c r="AR676" s="17">
        <f t="shared" si="229"/>
        <v>13.428449999999998</v>
      </c>
      <c r="AS676" s="17"/>
      <c r="AT676" s="17">
        <v>45.414000000000001</v>
      </c>
      <c r="AU676" s="17">
        <f t="shared" ref="AU676:AU707" si="230">AG676</f>
        <v>45.414000000000001</v>
      </c>
      <c r="AV676" s="17">
        <f t="shared" si="225"/>
        <v>0</v>
      </c>
      <c r="AW676" s="17" t="str">
        <f t="shared" si="212"/>
        <v>MAYFAIR</v>
      </c>
      <c r="AX676" s="22">
        <v>44882</v>
      </c>
      <c r="AY676" s="22"/>
      <c r="AZ676" s="1" t="s">
        <v>68</v>
      </c>
      <c r="BA676" s="22" t="str">
        <f t="shared" si="227"/>
        <v>FIRE</v>
      </c>
      <c r="BB676" s="54"/>
      <c r="BC676" s="22"/>
      <c r="BD676" s="22"/>
    </row>
    <row r="677" spans="1:56" ht="14.25" customHeight="1" x14ac:dyDescent="0.2">
      <c r="A677" s="28" t="s">
        <v>667</v>
      </c>
      <c r="B677" s="28" t="s">
        <v>273</v>
      </c>
      <c r="C677" s="36">
        <v>44855</v>
      </c>
      <c r="D677" s="36">
        <v>44855</v>
      </c>
      <c r="E677" s="36">
        <v>44848</v>
      </c>
      <c r="F677" s="36">
        <v>44957</v>
      </c>
      <c r="G677" s="37" t="str">
        <f t="shared" si="219"/>
        <v>000-676/AIB RDC/2022</v>
      </c>
      <c r="H677" s="28">
        <v>22</v>
      </c>
      <c r="I677" s="28" t="s">
        <v>91</v>
      </c>
      <c r="J677" s="28" t="s">
        <v>284</v>
      </c>
      <c r="K677" s="28" t="s">
        <v>285</v>
      </c>
      <c r="L677" s="28" t="s">
        <v>83</v>
      </c>
      <c r="M677" s="28" t="s">
        <v>84</v>
      </c>
      <c r="N677" s="28" t="s">
        <v>694</v>
      </c>
      <c r="O677" s="28" t="s">
        <v>152</v>
      </c>
      <c r="P677" s="28" t="s">
        <v>153</v>
      </c>
      <c r="Q677" s="28" t="s">
        <v>66</v>
      </c>
      <c r="R677" s="28" t="s">
        <v>66</v>
      </c>
      <c r="S677" s="23">
        <v>516470</v>
      </c>
      <c r="T677" s="23">
        <v>6503.63</v>
      </c>
      <c r="U677" s="23">
        <v>0</v>
      </c>
      <c r="V677" s="23">
        <v>0</v>
      </c>
      <c r="W677" s="23">
        <v>55.51</v>
      </c>
      <c r="X677" s="23">
        <v>5551.07</v>
      </c>
      <c r="Y677" s="23">
        <v>897.05</v>
      </c>
      <c r="Z677" s="38">
        <f t="shared" si="220"/>
        <v>1.2592464228319167E-2</v>
      </c>
      <c r="AA677" s="39">
        <v>0.14559180372067901</v>
      </c>
      <c r="AB677" s="23">
        <f>(AA677*X677)</f>
        <v>808.19029387974956</v>
      </c>
      <c r="AC677" s="23">
        <v>0</v>
      </c>
      <c r="AD677" s="57">
        <f>3%*X677</f>
        <v>166.53209999999999</v>
      </c>
      <c r="AE677" s="23">
        <f t="shared" si="221"/>
        <v>974.72239387974957</v>
      </c>
      <c r="AF677" s="23">
        <f t="shared" si="218"/>
        <v>155.95558302075995</v>
      </c>
      <c r="AG677" s="23">
        <f t="shared" si="228"/>
        <v>1130.6779769005095</v>
      </c>
      <c r="AH677" s="23">
        <f t="shared" si="213"/>
        <v>19.494447877594993</v>
      </c>
      <c r="AI677" s="23">
        <v>0</v>
      </c>
      <c r="AJ677" s="23">
        <f t="shared" si="222"/>
        <v>19.494447877594993</v>
      </c>
      <c r="AK677" s="40"/>
      <c r="AL677" s="23">
        <f t="shared" si="223"/>
        <v>955.22794600215457</v>
      </c>
      <c r="AM677" s="23" t="s">
        <v>198</v>
      </c>
      <c r="AN677" s="41"/>
      <c r="AO677" s="23">
        <f t="shared" si="224"/>
        <v>0</v>
      </c>
      <c r="AP677" s="55"/>
      <c r="AQ677" s="29"/>
      <c r="AR677" s="23">
        <f t="shared" si="229"/>
        <v>0</v>
      </c>
      <c r="AS677" s="23"/>
      <c r="AT677" s="23">
        <v>1130.6779769005095</v>
      </c>
      <c r="AU677" s="23">
        <f t="shared" si="230"/>
        <v>1130.6779769005095</v>
      </c>
      <c r="AV677" s="23">
        <f t="shared" si="225"/>
        <v>0</v>
      </c>
      <c r="AW677" s="23" t="str">
        <f t="shared" si="212"/>
        <v>ACTIVA</v>
      </c>
      <c r="AX677" s="42">
        <v>45152</v>
      </c>
      <c r="AY677" s="42"/>
      <c r="AZ677" s="28" t="s">
        <v>68</v>
      </c>
      <c r="BA677" s="42" t="str">
        <f t="shared" si="227"/>
        <v>COMP MOTOR</v>
      </c>
      <c r="BB677" s="23"/>
      <c r="BC677" s="42"/>
      <c r="BD677" s="28" t="s">
        <v>591</v>
      </c>
    </row>
    <row r="678" spans="1:56" ht="14.25" customHeight="1" x14ac:dyDescent="0.2">
      <c r="A678" s="1" t="s">
        <v>667</v>
      </c>
      <c r="B678" s="1" t="s">
        <v>57</v>
      </c>
      <c r="C678" s="13">
        <v>44858</v>
      </c>
      <c r="D678" s="13">
        <v>44859</v>
      </c>
      <c r="E678" s="13">
        <v>44860</v>
      </c>
      <c r="F678" s="13">
        <v>45224</v>
      </c>
      <c r="G678" s="14" t="str">
        <f t="shared" si="219"/>
        <v>000-677/AIB RDC/2022</v>
      </c>
      <c r="H678" s="1">
        <v>0</v>
      </c>
      <c r="I678" s="1" t="s">
        <v>74</v>
      </c>
      <c r="J678" s="1" t="s">
        <v>1007</v>
      </c>
      <c r="K678" s="1" t="s">
        <v>1008</v>
      </c>
      <c r="L678" s="1" t="s">
        <v>83</v>
      </c>
      <c r="M678" s="1" t="s">
        <v>84</v>
      </c>
      <c r="N678" s="1" t="s">
        <v>85</v>
      </c>
      <c r="O678" s="1" t="s">
        <v>152</v>
      </c>
      <c r="P678" s="1" t="s">
        <v>153</v>
      </c>
      <c r="Q678" s="1" t="s">
        <v>130</v>
      </c>
      <c r="R678" s="1" t="s">
        <v>130</v>
      </c>
      <c r="S678" s="17">
        <v>40000</v>
      </c>
      <c r="T678" s="17">
        <v>2484.0300000000002</v>
      </c>
      <c r="U678" s="17">
        <v>0</v>
      </c>
      <c r="V678" s="17">
        <v>0</v>
      </c>
      <c r="W678" s="17">
        <v>31.11</v>
      </c>
      <c r="X678" s="17">
        <v>2074</v>
      </c>
      <c r="Y678" s="17">
        <v>336.82</v>
      </c>
      <c r="Z678" s="18">
        <f t="shared" si="220"/>
        <v>6.2100750000000003E-2</v>
      </c>
      <c r="AA678" s="19">
        <v>0.15</v>
      </c>
      <c r="AB678" s="17">
        <f>(AA678*X678)</f>
        <v>311.09999999999997</v>
      </c>
      <c r="AC678" s="17">
        <v>0</v>
      </c>
      <c r="AD678" s="17">
        <v>0</v>
      </c>
      <c r="AE678" s="17">
        <f t="shared" si="221"/>
        <v>311.09999999999997</v>
      </c>
      <c r="AF678" s="17">
        <f t="shared" si="218"/>
        <v>49.775999999999996</v>
      </c>
      <c r="AG678" s="17">
        <f t="shared" si="228"/>
        <v>360.87599999999998</v>
      </c>
      <c r="AH678" s="17">
        <f t="shared" si="213"/>
        <v>6.2219999999999995</v>
      </c>
      <c r="AI678" s="17">
        <v>0</v>
      </c>
      <c r="AJ678" s="17">
        <f t="shared" si="222"/>
        <v>6.2219999999999995</v>
      </c>
      <c r="AK678" s="20"/>
      <c r="AL678" s="17">
        <f t="shared" si="223"/>
        <v>304.87799999999999</v>
      </c>
      <c r="AM678" s="17"/>
      <c r="AN678" s="21"/>
      <c r="AO678" s="17">
        <f t="shared" si="224"/>
        <v>0</v>
      </c>
      <c r="AP678" s="27"/>
      <c r="AQ678" s="16"/>
      <c r="AR678" s="17">
        <f t="shared" si="229"/>
        <v>0</v>
      </c>
      <c r="AS678" s="17"/>
      <c r="AT678" s="17">
        <v>360.87599999999998</v>
      </c>
      <c r="AU678" s="17">
        <f t="shared" si="230"/>
        <v>360.87599999999998</v>
      </c>
      <c r="AV678" s="17">
        <f t="shared" si="225"/>
        <v>0</v>
      </c>
      <c r="AW678" s="17" t="str">
        <f t="shared" si="212"/>
        <v>SFA</v>
      </c>
      <c r="AX678" s="22">
        <v>44911</v>
      </c>
      <c r="AY678" s="22"/>
      <c r="AZ678" s="1"/>
      <c r="BA678" s="22" t="str">
        <f t="shared" si="227"/>
        <v>COMP MOTOR</v>
      </c>
      <c r="BB678" s="54"/>
      <c r="BC678" s="22"/>
      <c r="BD678" s="22"/>
    </row>
    <row r="679" spans="1:56" ht="14.25" customHeight="1" x14ac:dyDescent="0.2">
      <c r="A679" s="1" t="s">
        <v>667</v>
      </c>
      <c r="B679" s="1" t="s">
        <v>57</v>
      </c>
      <c r="C679" s="13">
        <v>44859</v>
      </c>
      <c r="D679" s="13">
        <v>44863</v>
      </c>
      <c r="E679" s="13">
        <v>44860</v>
      </c>
      <c r="F679" s="13">
        <v>45224</v>
      </c>
      <c r="G679" s="14" t="str">
        <f t="shared" si="219"/>
        <v>000-678/AIB RDC/2022</v>
      </c>
      <c r="H679" s="1">
        <v>0</v>
      </c>
      <c r="I679" s="1" t="s">
        <v>74</v>
      </c>
      <c r="J679" s="1" t="s">
        <v>1009</v>
      </c>
      <c r="K679" s="1" t="s">
        <v>1010</v>
      </c>
      <c r="L679" s="1" t="s">
        <v>1011</v>
      </c>
      <c r="M679" s="1" t="s">
        <v>84</v>
      </c>
      <c r="N679" s="1" t="s">
        <v>85</v>
      </c>
      <c r="O679" s="1" t="s">
        <v>1006</v>
      </c>
      <c r="P679" s="1" t="s">
        <v>71</v>
      </c>
      <c r="Q679" s="1" t="s">
        <v>130</v>
      </c>
      <c r="R679" s="1" t="s">
        <v>130</v>
      </c>
      <c r="S679" s="17">
        <v>455000</v>
      </c>
      <c r="T679" s="17">
        <v>746.91</v>
      </c>
      <c r="U679" s="17">
        <v>0</v>
      </c>
      <c r="V679" s="17">
        <v>0</v>
      </c>
      <c r="W679" s="17">
        <v>39.76</v>
      </c>
      <c r="X679" s="17">
        <v>593.21</v>
      </c>
      <c r="Y679" s="17">
        <v>101.28</v>
      </c>
      <c r="Z679" s="18">
        <f t="shared" si="220"/>
        <v>1.6415604395604395E-3</v>
      </c>
      <c r="AA679" s="19">
        <v>0.1</v>
      </c>
      <c r="AB679" s="17">
        <f>(AA679*X679)</f>
        <v>59.321000000000005</v>
      </c>
      <c r="AC679" s="17">
        <v>0</v>
      </c>
      <c r="AD679" s="17">
        <v>0</v>
      </c>
      <c r="AE679" s="17">
        <f t="shared" si="221"/>
        <v>59.321000000000005</v>
      </c>
      <c r="AF679" s="17">
        <f t="shared" si="218"/>
        <v>9.4913600000000002</v>
      </c>
      <c r="AG679" s="17">
        <f t="shared" si="228"/>
        <v>68.812360000000012</v>
      </c>
      <c r="AH679" s="17">
        <f t="shared" si="213"/>
        <v>1.18642</v>
      </c>
      <c r="AI679" s="17">
        <v>0</v>
      </c>
      <c r="AJ679" s="17">
        <f t="shared" si="222"/>
        <v>1.18642</v>
      </c>
      <c r="AK679" s="20"/>
      <c r="AL679" s="17">
        <f t="shared" si="223"/>
        <v>58.134580000000007</v>
      </c>
      <c r="AM679" s="17"/>
      <c r="AN679" s="21"/>
      <c r="AO679" s="17">
        <f t="shared" si="224"/>
        <v>0</v>
      </c>
      <c r="AP679" s="27"/>
      <c r="AQ679" s="16"/>
      <c r="AR679" s="17">
        <f t="shared" si="229"/>
        <v>0</v>
      </c>
      <c r="AS679" s="17"/>
      <c r="AT679" s="17">
        <v>68.812360000000012</v>
      </c>
      <c r="AU679" s="17">
        <f t="shared" si="230"/>
        <v>68.812360000000012</v>
      </c>
      <c r="AV679" s="17">
        <f t="shared" si="225"/>
        <v>0</v>
      </c>
      <c r="AW679" s="17" t="str">
        <f t="shared" si="212"/>
        <v>SFA</v>
      </c>
      <c r="AX679" s="22">
        <v>44887</v>
      </c>
      <c r="AY679" s="22"/>
      <c r="AZ679" s="1"/>
      <c r="BA679" s="22" t="str">
        <f t="shared" si="227"/>
        <v>Fire</v>
      </c>
      <c r="BB679" s="54"/>
      <c r="BC679" s="22"/>
      <c r="BD679" s="22"/>
    </row>
    <row r="680" spans="1:56" ht="14.25" customHeight="1" x14ac:dyDescent="0.2">
      <c r="A680" s="1" t="s">
        <v>56</v>
      </c>
      <c r="B680" s="1" t="s">
        <v>57</v>
      </c>
      <c r="C680" s="13">
        <v>44873</v>
      </c>
      <c r="D680" s="13">
        <v>44835</v>
      </c>
      <c r="E680" s="13">
        <v>44562</v>
      </c>
      <c r="F680" s="13">
        <v>44926</v>
      </c>
      <c r="G680" s="14" t="str">
        <f t="shared" si="219"/>
        <v>000-679/AIB RDC/2022</v>
      </c>
      <c r="H680" s="1">
        <v>3</v>
      </c>
      <c r="I680" s="1" t="s">
        <v>91</v>
      </c>
      <c r="J680" s="1" t="s">
        <v>170</v>
      </c>
      <c r="K680" s="1" t="s">
        <v>117</v>
      </c>
      <c r="L680" s="16" t="s">
        <v>118</v>
      </c>
      <c r="M680" s="16" t="s">
        <v>84</v>
      </c>
      <c r="N680" s="16" t="s">
        <v>85</v>
      </c>
      <c r="O680" s="16" t="s">
        <v>70</v>
      </c>
      <c r="P680" s="16" t="s">
        <v>71</v>
      </c>
      <c r="Q680" s="16" t="s">
        <v>66</v>
      </c>
      <c r="R680" s="1" t="s">
        <v>66</v>
      </c>
      <c r="S680" s="17">
        <v>0</v>
      </c>
      <c r="T680" s="17">
        <v>99969.5</v>
      </c>
      <c r="U680" s="17">
        <v>0</v>
      </c>
      <c r="V680" s="17">
        <v>0</v>
      </c>
      <c r="W680" s="17">
        <v>853.27</v>
      </c>
      <c r="X680" s="17">
        <v>85327.33</v>
      </c>
      <c r="Y680" s="17">
        <v>13788.9</v>
      </c>
      <c r="Z680" s="18" t="e">
        <f t="shared" si="220"/>
        <v>#DIV/0!</v>
      </c>
      <c r="AA680" s="19">
        <v>0.05</v>
      </c>
      <c r="AB680" s="17">
        <f>AA680*X680</f>
        <v>4266.3665000000001</v>
      </c>
      <c r="AC680" s="17">
        <v>0</v>
      </c>
      <c r="AD680" s="17">
        <v>0</v>
      </c>
      <c r="AE680" s="17">
        <f t="shared" si="221"/>
        <v>4266.3665000000001</v>
      </c>
      <c r="AF680" s="17">
        <f t="shared" si="218"/>
        <v>682.61864000000003</v>
      </c>
      <c r="AG680" s="17">
        <f t="shared" si="228"/>
        <v>4948.9851399999998</v>
      </c>
      <c r="AH680" s="17">
        <f t="shared" si="213"/>
        <v>85.327330000000003</v>
      </c>
      <c r="AI680" s="17"/>
      <c r="AJ680" s="17">
        <f t="shared" si="222"/>
        <v>85.327330000000003</v>
      </c>
      <c r="AK680" s="20"/>
      <c r="AL680" s="17">
        <f t="shared" si="223"/>
        <v>4181.03917</v>
      </c>
      <c r="AM680" s="17"/>
      <c r="AN680" s="21"/>
      <c r="AO680" s="17">
        <f t="shared" si="224"/>
        <v>0</v>
      </c>
      <c r="AP680" s="27"/>
      <c r="AQ680" s="16"/>
      <c r="AR680" s="17">
        <f t="shared" si="229"/>
        <v>0</v>
      </c>
      <c r="AS680" s="17"/>
      <c r="AT680" s="17">
        <v>4948.9851399999998</v>
      </c>
      <c r="AU680" s="17">
        <f t="shared" si="230"/>
        <v>4948.9851399999998</v>
      </c>
      <c r="AV680" s="17">
        <f t="shared" si="225"/>
        <v>0</v>
      </c>
      <c r="AW680" s="17" t="str">
        <f t="shared" ref="AW680:AW743" si="231">Q680</f>
        <v>ACTIVA</v>
      </c>
      <c r="AX680" s="22">
        <v>44894</v>
      </c>
      <c r="AY680" s="22"/>
      <c r="AZ680" s="1" t="s">
        <v>68</v>
      </c>
      <c r="BA680" s="22" t="str">
        <f t="shared" si="227"/>
        <v>FIRE</v>
      </c>
      <c r="BB680" s="54"/>
      <c r="BC680" s="22"/>
      <c r="BD680" s="22"/>
    </row>
    <row r="681" spans="1:56" ht="14.25" customHeight="1" x14ac:dyDescent="0.2">
      <c r="A681" s="1" t="s">
        <v>667</v>
      </c>
      <c r="B681" s="1" t="s">
        <v>57</v>
      </c>
      <c r="C681" s="13">
        <v>44874</v>
      </c>
      <c r="D681" s="13">
        <v>44848</v>
      </c>
      <c r="E681" s="13">
        <v>44848</v>
      </c>
      <c r="F681" s="13">
        <v>45212</v>
      </c>
      <c r="G681" s="14" t="str">
        <f t="shared" si="219"/>
        <v>000-680/AIB RDC/2022</v>
      </c>
      <c r="H681" s="1">
        <v>0</v>
      </c>
      <c r="I681" s="1" t="s">
        <v>74</v>
      </c>
      <c r="J681" s="1" t="s">
        <v>1012</v>
      </c>
      <c r="K681" s="1" t="s">
        <v>246</v>
      </c>
      <c r="L681" s="16"/>
      <c r="M681" s="1" t="s">
        <v>95</v>
      </c>
      <c r="N681" s="1" t="s">
        <v>102</v>
      </c>
      <c r="O681" s="1" t="s">
        <v>152</v>
      </c>
      <c r="P681" s="1" t="s">
        <v>153</v>
      </c>
      <c r="Q681" s="1" t="s">
        <v>66</v>
      </c>
      <c r="R681" s="1" t="s">
        <v>66</v>
      </c>
      <c r="S681" s="17">
        <v>0</v>
      </c>
      <c r="T681" s="17">
        <v>4142.8599999999997</v>
      </c>
      <c r="U681" s="17">
        <v>0</v>
      </c>
      <c r="V681" s="17">
        <v>0</v>
      </c>
      <c r="W681" s="17">
        <v>35.36</v>
      </c>
      <c r="X681" s="17">
        <v>3536.07</v>
      </c>
      <c r="Y681" s="17">
        <v>571.42999999999995</v>
      </c>
      <c r="Z681" s="18" t="e">
        <f t="shared" si="220"/>
        <v>#DIV/0!</v>
      </c>
      <c r="AA681" s="19">
        <v>0.14875836734001299</v>
      </c>
      <c r="AB681" s="17">
        <f t="shared" ref="AB681:AB688" si="232">(AA681*X681)</f>
        <v>526.01999999999975</v>
      </c>
      <c r="AC681" s="17">
        <v>0</v>
      </c>
      <c r="AD681" s="17">
        <v>0</v>
      </c>
      <c r="AE681" s="17">
        <f t="shared" si="221"/>
        <v>526.01999999999975</v>
      </c>
      <c r="AF681" s="17">
        <f t="shared" si="218"/>
        <v>84.163199999999961</v>
      </c>
      <c r="AG681" s="17">
        <f t="shared" si="228"/>
        <v>610.18319999999972</v>
      </c>
      <c r="AH681" s="17">
        <f t="shared" ref="AH681:AH744" si="233">2%*AE681</f>
        <v>10.520399999999995</v>
      </c>
      <c r="AI681" s="17">
        <v>0</v>
      </c>
      <c r="AJ681" s="17">
        <f t="shared" si="222"/>
        <v>10.520399999999995</v>
      </c>
      <c r="AK681" s="20"/>
      <c r="AL681" s="17">
        <f t="shared" si="223"/>
        <v>515.49959999999976</v>
      </c>
      <c r="AM681" s="17"/>
      <c r="AN681" s="21"/>
      <c r="AO681" s="17">
        <f t="shared" si="224"/>
        <v>0</v>
      </c>
      <c r="AP681" s="27"/>
      <c r="AQ681" s="16"/>
      <c r="AR681" s="17">
        <f t="shared" si="229"/>
        <v>0</v>
      </c>
      <c r="AS681" s="17"/>
      <c r="AT681" s="17">
        <v>610.18319999999972</v>
      </c>
      <c r="AU681" s="17">
        <f t="shared" si="230"/>
        <v>610.18319999999972</v>
      </c>
      <c r="AV681" s="17">
        <f t="shared" si="225"/>
        <v>0</v>
      </c>
      <c r="AW681" s="17" t="str">
        <f t="shared" si="231"/>
        <v>ACTIVA</v>
      </c>
      <c r="AX681" s="22">
        <v>44894</v>
      </c>
      <c r="AY681" s="22"/>
      <c r="AZ681" s="1"/>
      <c r="BA681" s="22" t="str">
        <f t="shared" si="227"/>
        <v>COMP MOTOR</v>
      </c>
      <c r="BB681" s="54"/>
      <c r="BC681" s="22"/>
      <c r="BD681" s="22"/>
    </row>
    <row r="682" spans="1:56" ht="14.25" customHeight="1" x14ac:dyDescent="0.2">
      <c r="A682" s="1" t="s">
        <v>847</v>
      </c>
      <c r="B682" s="1" t="s">
        <v>57</v>
      </c>
      <c r="C682" s="13">
        <v>44874</v>
      </c>
      <c r="D682" s="13">
        <v>44869</v>
      </c>
      <c r="E682" s="13">
        <v>44870</v>
      </c>
      <c r="F682" s="13">
        <v>45234</v>
      </c>
      <c r="G682" s="14" t="str">
        <f t="shared" si="219"/>
        <v>000-681/AIB RDC/2022</v>
      </c>
      <c r="H682" s="1">
        <v>1</v>
      </c>
      <c r="I682" s="1" t="s">
        <v>58</v>
      </c>
      <c r="J682" s="1" t="s">
        <v>1013</v>
      </c>
      <c r="K682" s="1" t="s">
        <v>1014</v>
      </c>
      <c r="L682" s="16"/>
      <c r="M682" s="1" t="s">
        <v>105</v>
      </c>
      <c r="N682" s="1" t="s">
        <v>184</v>
      </c>
      <c r="O682" s="1" t="s">
        <v>73</v>
      </c>
      <c r="P682" s="1" t="s">
        <v>73</v>
      </c>
      <c r="Q682" s="1" t="s">
        <v>66</v>
      </c>
      <c r="R682" s="1" t="s">
        <v>66</v>
      </c>
      <c r="S682" s="17">
        <v>0</v>
      </c>
      <c r="T682" s="17">
        <v>451.24</v>
      </c>
      <c r="U682" s="17">
        <v>0</v>
      </c>
      <c r="V682" s="17">
        <v>0</v>
      </c>
      <c r="W682" s="17">
        <v>10</v>
      </c>
      <c r="X682" s="17">
        <v>379</v>
      </c>
      <c r="Y682" s="17">
        <v>62.24</v>
      </c>
      <c r="Z682" s="18" t="e">
        <f t="shared" si="220"/>
        <v>#DIV/0!</v>
      </c>
      <c r="AA682" s="19">
        <v>0.1</v>
      </c>
      <c r="AB682" s="17">
        <f t="shared" si="232"/>
        <v>37.9</v>
      </c>
      <c r="AC682" s="17"/>
      <c r="AD682" s="17"/>
      <c r="AE682" s="17">
        <f t="shared" si="221"/>
        <v>37.9</v>
      </c>
      <c r="AF682" s="17">
        <f t="shared" ref="AF682:AF713" si="234">16%*AE682</f>
        <v>6.0640000000000001</v>
      </c>
      <c r="AG682" s="17">
        <f t="shared" si="228"/>
        <v>43.963999999999999</v>
      </c>
      <c r="AH682" s="17">
        <f t="shared" si="233"/>
        <v>0.75800000000000001</v>
      </c>
      <c r="AI682" s="17"/>
      <c r="AJ682" s="17">
        <f t="shared" si="222"/>
        <v>0.75800000000000001</v>
      </c>
      <c r="AK682" s="20"/>
      <c r="AL682" s="17">
        <f t="shared" si="223"/>
        <v>37.141999999999996</v>
      </c>
      <c r="AM682" s="17"/>
      <c r="AN682" s="21"/>
      <c r="AO682" s="17">
        <f t="shared" si="224"/>
        <v>0</v>
      </c>
      <c r="AP682" s="27"/>
      <c r="AQ682" s="16"/>
      <c r="AR682" s="17">
        <f t="shared" si="229"/>
        <v>0</v>
      </c>
      <c r="AS682" s="17"/>
      <c r="AT682" s="17">
        <v>43.963999999999999</v>
      </c>
      <c r="AU682" s="17">
        <f t="shared" si="230"/>
        <v>43.963999999999999</v>
      </c>
      <c r="AV682" s="17">
        <f t="shared" si="225"/>
        <v>0</v>
      </c>
      <c r="AW682" s="17" t="str">
        <f t="shared" si="231"/>
        <v>ACTIVA</v>
      </c>
      <c r="AX682" s="22">
        <v>44894</v>
      </c>
      <c r="AY682" s="22"/>
      <c r="AZ682" s="1"/>
      <c r="BA682" s="22" t="str">
        <f t="shared" si="227"/>
        <v>MOTOR TPL</v>
      </c>
      <c r="BB682" s="54"/>
      <c r="BC682" s="22"/>
      <c r="BD682" s="22"/>
    </row>
    <row r="683" spans="1:56" ht="14.25" customHeight="1" x14ac:dyDescent="0.2">
      <c r="A683" s="1" t="s">
        <v>667</v>
      </c>
      <c r="B683" s="1" t="s">
        <v>57</v>
      </c>
      <c r="C683" s="13">
        <v>44873</v>
      </c>
      <c r="D683" s="13">
        <v>44859</v>
      </c>
      <c r="E683" s="13">
        <v>44855</v>
      </c>
      <c r="F683" s="13">
        <v>45219</v>
      </c>
      <c r="G683" s="14" t="str">
        <f t="shared" si="219"/>
        <v>000-682/AIB RDC/2022</v>
      </c>
      <c r="H683" s="1">
        <v>0</v>
      </c>
      <c r="I683" s="1" t="s">
        <v>74</v>
      </c>
      <c r="J683" s="24" t="s">
        <v>1015</v>
      </c>
      <c r="K683" s="1" t="s">
        <v>783</v>
      </c>
      <c r="L683" s="1" t="s">
        <v>214</v>
      </c>
      <c r="M683" s="16" t="s">
        <v>84</v>
      </c>
      <c r="N683" s="1" t="s">
        <v>85</v>
      </c>
      <c r="O683" s="1" t="s">
        <v>70</v>
      </c>
      <c r="P683" s="1" t="s">
        <v>71</v>
      </c>
      <c r="Q683" s="1" t="s">
        <v>130</v>
      </c>
      <c r="R683" s="1" t="s">
        <v>130</v>
      </c>
      <c r="S683" s="17">
        <v>0</v>
      </c>
      <c r="T683" s="17">
        <v>2881.68</v>
      </c>
      <c r="U683" s="17">
        <v>0</v>
      </c>
      <c r="V683" s="17">
        <v>0</v>
      </c>
      <c r="W683" s="17">
        <v>22.1</v>
      </c>
      <c r="X683" s="17">
        <v>2420</v>
      </c>
      <c r="Y683" s="17">
        <v>390.74</v>
      </c>
      <c r="Z683" s="18" t="e">
        <f t="shared" si="220"/>
        <v>#DIV/0!</v>
      </c>
      <c r="AA683" s="19">
        <v>0.1</v>
      </c>
      <c r="AB683" s="17">
        <f t="shared" si="232"/>
        <v>242</v>
      </c>
      <c r="AC683" s="17">
        <v>0</v>
      </c>
      <c r="AD683" s="17">
        <v>0</v>
      </c>
      <c r="AE683" s="17">
        <f t="shared" si="221"/>
        <v>242</v>
      </c>
      <c r="AF683" s="17">
        <f t="shared" si="234"/>
        <v>38.72</v>
      </c>
      <c r="AG683" s="17">
        <f t="shared" si="228"/>
        <v>280.72000000000003</v>
      </c>
      <c r="AH683" s="17">
        <f t="shared" si="233"/>
        <v>4.84</v>
      </c>
      <c r="AI683" s="17"/>
      <c r="AJ683" s="17">
        <f t="shared" si="222"/>
        <v>4.84</v>
      </c>
      <c r="AK683" s="20"/>
      <c r="AL683" s="17">
        <f t="shared" si="223"/>
        <v>237.16</v>
      </c>
      <c r="AM683" s="17"/>
      <c r="AN683" s="21"/>
      <c r="AO683" s="17">
        <f t="shared" si="224"/>
        <v>0</v>
      </c>
      <c r="AP683" s="27"/>
      <c r="AQ683" s="16"/>
      <c r="AR683" s="17">
        <f t="shared" si="229"/>
        <v>0</v>
      </c>
      <c r="AS683" s="17"/>
      <c r="AT683" s="17">
        <v>280.72000000000003</v>
      </c>
      <c r="AU683" s="17">
        <f t="shared" si="230"/>
        <v>280.72000000000003</v>
      </c>
      <c r="AV683" s="17">
        <f t="shared" si="225"/>
        <v>0</v>
      </c>
      <c r="AW683" s="17" t="str">
        <f t="shared" si="231"/>
        <v>SFA</v>
      </c>
      <c r="AX683" s="22">
        <v>44887</v>
      </c>
      <c r="AY683" s="22"/>
      <c r="AZ683" s="1"/>
      <c r="BA683" s="22" t="str">
        <f t="shared" si="227"/>
        <v>FIRE</v>
      </c>
      <c r="BB683" s="54"/>
      <c r="BC683" s="22"/>
      <c r="BD683" s="22"/>
    </row>
    <row r="684" spans="1:56" ht="14.25" customHeight="1" x14ac:dyDescent="0.2">
      <c r="A684" s="1" t="s">
        <v>773</v>
      </c>
      <c r="B684" s="1" t="s">
        <v>57</v>
      </c>
      <c r="C684" s="13">
        <v>44873</v>
      </c>
      <c r="D684" s="13">
        <v>44862</v>
      </c>
      <c r="E684" s="13">
        <v>44819</v>
      </c>
      <c r="F684" s="13">
        <v>44910</v>
      </c>
      <c r="G684" s="14" t="str">
        <f t="shared" si="219"/>
        <v>000-683/AIB RDC/2022</v>
      </c>
      <c r="H684" s="1">
        <v>0</v>
      </c>
      <c r="I684" s="1" t="s">
        <v>74</v>
      </c>
      <c r="J684" s="24" t="s">
        <v>1016</v>
      </c>
      <c r="K684" s="1" t="s">
        <v>647</v>
      </c>
      <c r="L684" s="1"/>
      <c r="M684" s="1" t="s">
        <v>95</v>
      </c>
      <c r="N684" s="1" t="s">
        <v>85</v>
      </c>
      <c r="O684" s="1" t="s">
        <v>240</v>
      </c>
      <c r="P684" s="1" t="s">
        <v>98</v>
      </c>
      <c r="Q684" s="1" t="s">
        <v>130</v>
      </c>
      <c r="R684" s="1" t="s">
        <v>130</v>
      </c>
      <c r="S684" s="17">
        <v>0</v>
      </c>
      <c r="T684" s="17">
        <v>189.28</v>
      </c>
      <c r="U684" s="17">
        <v>0</v>
      </c>
      <c r="V684" s="17">
        <v>0</v>
      </c>
      <c r="W684" s="17">
        <v>0</v>
      </c>
      <c r="X684" s="17">
        <v>185.57</v>
      </c>
      <c r="Y684" s="17">
        <v>0</v>
      </c>
      <c r="Z684" s="18" t="e">
        <f t="shared" si="220"/>
        <v>#DIV/0!</v>
      </c>
      <c r="AA684" s="19">
        <v>0.05</v>
      </c>
      <c r="AB684" s="17">
        <f t="shared" si="232"/>
        <v>9.2784999999999993</v>
      </c>
      <c r="AC684" s="17">
        <v>0</v>
      </c>
      <c r="AD684" s="17">
        <v>0</v>
      </c>
      <c r="AE684" s="17">
        <f t="shared" si="221"/>
        <v>9.2784999999999993</v>
      </c>
      <c r="AF684" s="17">
        <f t="shared" si="234"/>
        <v>1.4845599999999999</v>
      </c>
      <c r="AG684" s="17">
        <f t="shared" si="228"/>
        <v>10.763059999999999</v>
      </c>
      <c r="AH684" s="17">
        <f t="shared" si="233"/>
        <v>0.18556999999999998</v>
      </c>
      <c r="AI684" s="17"/>
      <c r="AJ684" s="17">
        <f t="shared" si="222"/>
        <v>0.18556999999999998</v>
      </c>
      <c r="AK684" s="20"/>
      <c r="AL684" s="17">
        <f t="shared" si="223"/>
        <v>9.0929299999999991</v>
      </c>
      <c r="AM684" s="17"/>
      <c r="AN684" s="21"/>
      <c r="AO684" s="17">
        <f t="shared" si="224"/>
        <v>0</v>
      </c>
      <c r="AP684" s="27"/>
      <c r="AQ684" s="16"/>
      <c r="AR684" s="17">
        <f t="shared" si="229"/>
        <v>0</v>
      </c>
      <c r="AS684" s="17"/>
      <c r="AT684" s="17">
        <v>10.763059999999999</v>
      </c>
      <c r="AU684" s="17">
        <f t="shared" si="230"/>
        <v>10.763059999999999</v>
      </c>
      <c r="AV684" s="17">
        <f t="shared" si="225"/>
        <v>0</v>
      </c>
      <c r="AW684" s="17" t="str">
        <f t="shared" si="231"/>
        <v>SFA</v>
      </c>
      <c r="AX684" s="22">
        <v>44887</v>
      </c>
      <c r="AY684" s="22"/>
      <c r="AZ684" s="1" t="s">
        <v>110</v>
      </c>
      <c r="BA684" s="22" t="str">
        <f t="shared" si="227"/>
        <v>TRAVEL</v>
      </c>
      <c r="BB684" s="54"/>
      <c r="BC684" s="22"/>
      <c r="BD684" s="22"/>
    </row>
    <row r="685" spans="1:56" ht="14.25" customHeight="1" x14ac:dyDescent="0.2">
      <c r="A685" s="1" t="s">
        <v>439</v>
      </c>
      <c r="B685" s="1" t="s">
        <v>57</v>
      </c>
      <c r="C685" s="13">
        <v>44873</v>
      </c>
      <c r="D685" s="13">
        <v>44863</v>
      </c>
      <c r="E685" s="13">
        <v>44800</v>
      </c>
      <c r="F685" s="13">
        <v>44834</v>
      </c>
      <c r="G685" s="14" t="str">
        <f t="shared" si="219"/>
        <v>000-684/AIB RDC/2022</v>
      </c>
      <c r="H685" s="1">
        <v>1</v>
      </c>
      <c r="I685" s="1" t="s">
        <v>217</v>
      </c>
      <c r="J685" s="1" t="s">
        <v>1017</v>
      </c>
      <c r="K685" s="1" t="s">
        <v>1018</v>
      </c>
      <c r="L685" s="1"/>
      <c r="M685" s="1" t="s">
        <v>84</v>
      </c>
      <c r="N685" s="1" t="s">
        <v>85</v>
      </c>
      <c r="O685" s="1" t="s">
        <v>70</v>
      </c>
      <c r="P685" s="1" t="s">
        <v>71</v>
      </c>
      <c r="Q685" s="1" t="s">
        <v>130</v>
      </c>
      <c r="R685" s="1" t="s">
        <v>130</v>
      </c>
      <c r="S685" s="17">
        <v>0</v>
      </c>
      <c r="T685" s="17">
        <v>5035.3599999999997</v>
      </c>
      <c r="U685" s="17">
        <v>73.45</v>
      </c>
      <c r="V685" s="17">
        <v>0</v>
      </c>
      <c r="W685" s="17">
        <v>30.81</v>
      </c>
      <c r="X685" s="17">
        <v>4163</v>
      </c>
      <c r="Y685" s="17">
        <v>682.76</v>
      </c>
      <c r="Z685" s="18" t="e">
        <f t="shared" si="220"/>
        <v>#DIV/0!</v>
      </c>
      <c r="AA685" s="19">
        <v>0.1</v>
      </c>
      <c r="AB685" s="17">
        <f t="shared" si="232"/>
        <v>416.3</v>
      </c>
      <c r="AC685" s="17">
        <v>0</v>
      </c>
      <c r="AD685" s="17">
        <v>0</v>
      </c>
      <c r="AE685" s="17">
        <f t="shared" si="221"/>
        <v>416.3</v>
      </c>
      <c r="AF685" s="17">
        <f t="shared" si="234"/>
        <v>66.608000000000004</v>
      </c>
      <c r="AG685" s="17">
        <f t="shared" si="228"/>
        <v>482.90800000000002</v>
      </c>
      <c r="AH685" s="17">
        <f t="shared" si="233"/>
        <v>8.3260000000000005</v>
      </c>
      <c r="AI685" s="17"/>
      <c r="AJ685" s="17">
        <f t="shared" si="222"/>
        <v>8.3260000000000005</v>
      </c>
      <c r="AK685" s="20"/>
      <c r="AL685" s="17">
        <f t="shared" si="223"/>
        <v>407.97399999999999</v>
      </c>
      <c r="AM685" s="17"/>
      <c r="AN685" s="21"/>
      <c r="AO685" s="17">
        <f t="shared" si="224"/>
        <v>0</v>
      </c>
      <c r="AP685" s="27"/>
      <c r="AQ685" s="16"/>
      <c r="AR685" s="17">
        <f t="shared" si="229"/>
        <v>0</v>
      </c>
      <c r="AS685" s="17"/>
      <c r="AT685" s="17">
        <v>482.90800000000002</v>
      </c>
      <c r="AU685" s="17">
        <f t="shared" si="230"/>
        <v>482.90800000000002</v>
      </c>
      <c r="AV685" s="17">
        <f t="shared" si="225"/>
        <v>0</v>
      </c>
      <c r="AW685" s="17" t="str">
        <f t="shared" si="231"/>
        <v>SFA</v>
      </c>
      <c r="AX685" s="22">
        <v>44887</v>
      </c>
      <c r="AY685" s="22"/>
      <c r="AZ685" s="1" t="s">
        <v>162</v>
      </c>
      <c r="BA685" s="22" t="str">
        <f t="shared" si="227"/>
        <v>FIRE</v>
      </c>
      <c r="BB685" s="54"/>
      <c r="BC685" s="22"/>
      <c r="BD685" s="22"/>
    </row>
    <row r="686" spans="1:56" ht="14.25" customHeight="1" x14ac:dyDescent="0.2">
      <c r="A686" s="1" t="s">
        <v>654</v>
      </c>
      <c r="B686" s="1" t="s">
        <v>57</v>
      </c>
      <c r="C686" s="13">
        <v>44873</v>
      </c>
      <c r="D686" s="13">
        <v>44865</v>
      </c>
      <c r="E686" s="13">
        <v>44770</v>
      </c>
      <c r="F686" s="13">
        <v>45134</v>
      </c>
      <c r="G686" s="14" t="str">
        <f t="shared" si="219"/>
        <v>000-685/AIB RDC/2022</v>
      </c>
      <c r="H686" s="1">
        <v>0</v>
      </c>
      <c r="I686" s="1" t="s">
        <v>74</v>
      </c>
      <c r="J686" s="24" t="s">
        <v>1019</v>
      </c>
      <c r="K686" s="1" t="s">
        <v>568</v>
      </c>
      <c r="L686" s="1" t="s">
        <v>137</v>
      </c>
      <c r="M686" s="1" t="s">
        <v>84</v>
      </c>
      <c r="N686" s="1" t="s">
        <v>541</v>
      </c>
      <c r="O686" s="1" t="s">
        <v>185</v>
      </c>
      <c r="P686" s="1" t="s">
        <v>186</v>
      </c>
      <c r="Q686" s="1" t="s">
        <v>130</v>
      </c>
      <c r="R686" s="1" t="s">
        <v>130</v>
      </c>
      <c r="S686" s="17">
        <v>0</v>
      </c>
      <c r="T686" s="17">
        <v>167740.75</v>
      </c>
      <c r="U686" s="17">
        <v>21231.24</v>
      </c>
      <c r="V686" s="17">
        <v>-7934.23</v>
      </c>
      <c r="W686" s="17">
        <v>611.54999999999995</v>
      </c>
      <c r="X686" s="17">
        <v>120310.39</v>
      </c>
      <c r="Y686" s="17">
        <v>22744.51</v>
      </c>
      <c r="Z686" s="18" t="e">
        <f t="shared" si="220"/>
        <v>#DIV/0!</v>
      </c>
      <c r="AA686" s="19">
        <v>0</v>
      </c>
      <c r="AB686" s="17">
        <f t="shared" si="232"/>
        <v>0</v>
      </c>
      <c r="AC686" s="17">
        <f>30%*(U686+V686)</f>
        <v>3989.1030000000005</v>
      </c>
      <c r="AD686" s="17">
        <v>5185.7925646551703</v>
      </c>
      <c r="AE686" s="17">
        <f t="shared" si="221"/>
        <v>9174.8955646551713</v>
      </c>
      <c r="AF686" s="17">
        <f t="shared" si="234"/>
        <v>1467.9832903448275</v>
      </c>
      <c r="AG686" s="17">
        <f t="shared" si="228"/>
        <v>10642.878854999999</v>
      </c>
      <c r="AH686" s="17">
        <f t="shared" si="233"/>
        <v>183.49791129310344</v>
      </c>
      <c r="AI686" s="17">
        <v>0</v>
      </c>
      <c r="AJ686" s="17">
        <f t="shared" si="222"/>
        <v>183.49791129310344</v>
      </c>
      <c r="AK686" s="20"/>
      <c r="AL686" s="17">
        <f t="shared" si="223"/>
        <v>8991.397653362068</v>
      </c>
      <c r="AM686" s="17"/>
      <c r="AN686" s="21"/>
      <c r="AO686" s="17">
        <f t="shared" si="224"/>
        <v>0</v>
      </c>
      <c r="AP686" s="27"/>
      <c r="AQ686" s="16"/>
      <c r="AR686" s="17">
        <f t="shared" si="229"/>
        <v>0</v>
      </c>
      <c r="AS686" s="17"/>
      <c r="AT686" s="17">
        <v>10642.878854999999</v>
      </c>
      <c r="AU686" s="17">
        <f t="shared" si="230"/>
        <v>10642.878854999999</v>
      </c>
      <c r="AV686" s="17">
        <f t="shared" si="225"/>
        <v>0</v>
      </c>
      <c r="AW686" s="17" t="str">
        <f t="shared" si="231"/>
        <v>SFA</v>
      </c>
      <c r="AX686" s="22">
        <v>44887</v>
      </c>
      <c r="AY686" s="22"/>
      <c r="AZ686" s="1"/>
      <c r="BA686" s="22" t="str">
        <f t="shared" si="227"/>
        <v>AVIATION HULL ALL RISK</v>
      </c>
      <c r="BB686" s="54"/>
      <c r="BC686" s="22"/>
      <c r="BD686" s="22"/>
    </row>
    <row r="687" spans="1:56" ht="14.25" customHeight="1" x14ac:dyDescent="0.2">
      <c r="A687" s="1" t="s">
        <v>667</v>
      </c>
      <c r="B687" s="1" t="s">
        <v>57</v>
      </c>
      <c r="C687" s="13">
        <v>44873</v>
      </c>
      <c r="D687" s="13">
        <v>44849</v>
      </c>
      <c r="E687" s="13">
        <v>44850</v>
      </c>
      <c r="F687" s="13">
        <v>44941</v>
      </c>
      <c r="G687" s="14" t="str">
        <f t="shared" si="219"/>
        <v>000-686/AIB RDC/2022</v>
      </c>
      <c r="H687" s="1">
        <v>0</v>
      </c>
      <c r="I687" s="1" t="s">
        <v>74</v>
      </c>
      <c r="J687" s="1">
        <v>31000003</v>
      </c>
      <c r="K687" s="1" t="s">
        <v>1020</v>
      </c>
      <c r="L687" s="1" t="s">
        <v>608</v>
      </c>
      <c r="M687" s="1" t="s">
        <v>105</v>
      </c>
      <c r="N687" s="1" t="s">
        <v>541</v>
      </c>
      <c r="O687" s="16" t="s">
        <v>73</v>
      </c>
      <c r="P687" s="16" t="s">
        <v>73</v>
      </c>
      <c r="Q687" s="1" t="s">
        <v>107</v>
      </c>
      <c r="R687" s="1" t="s">
        <v>107</v>
      </c>
      <c r="S687" s="17">
        <v>0</v>
      </c>
      <c r="T687" s="17">
        <v>105.25</v>
      </c>
      <c r="U687" s="17">
        <v>0</v>
      </c>
      <c r="V687" s="17">
        <v>0</v>
      </c>
      <c r="W687" s="17">
        <v>10</v>
      </c>
      <c r="X687" s="17">
        <v>79.2</v>
      </c>
      <c r="Y687" s="17">
        <v>14.27</v>
      </c>
      <c r="Z687" s="18" t="e">
        <f t="shared" si="220"/>
        <v>#DIV/0!</v>
      </c>
      <c r="AA687" s="19">
        <v>0.125</v>
      </c>
      <c r="AB687" s="17">
        <f t="shared" si="232"/>
        <v>9.9</v>
      </c>
      <c r="AC687" s="17">
        <v>0</v>
      </c>
      <c r="AD687" s="17">
        <v>0</v>
      </c>
      <c r="AE687" s="17">
        <f t="shared" si="221"/>
        <v>9.9</v>
      </c>
      <c r="AF687" s="17">
        <f t="shared" si="234"/>
        <v>1.5840000000000001</v>
      </c>
      <c r="AG687" s="17">
        <f t="shared" si="228"/>
        <v>11.484</v>
      </c>
      <c r="AH687" s="17">
        <f t="shared" si="233"/>
        <v>0.19800000000000001</v>
      </c>
      <c r="AI687" s="17"/>
      <c r="AJ687" s="17">
        <f t="shared" si="222"/>
        <v>0.19800000000000001</v>
      </c>
      <c r="AK687" s="20"/>
      <c r="AL687" s="17">
        <f t="shared" si="223"/>
        <v>9.702</v>
      </c>
      <c r="AM687" s="17"/>
      <c r="AN687" s="21"/>
      <c r="AO687" s="17">
        <f t="shared" si="224"/>
        <v>0</v>
      </c>
      <c r="AP687" s="27"/>
      <c r="AQ687" s="16"/>
      <c r="AR687" s="17">
        <f t="shared" si="229"/>
        <v>0</v>
      </c>
      <c r="AS687" s="17"/>
      <c r="AT687" s="17">
        <v>11.484</v>
      </c>
      <c r="AU687" s="17">
        <f t="shared" si="230"/>
        <v>11.484</v>
      </c>
      <c r="AV687" s="17">
        <f t="shared" si="225"/>
        <v>0</v>
      </c>
      <c r="AW687" s="17" t="str">
        <f t="shared" si="231"/>
        <v>RAWSUR</v>
      </c>
      <c r="AX687" s="22">
        <v>44901</v>
      </c>
      <c r="AY687" s="22"/>
      <c r="AZ687" s="1" t="s">
        <v>110</v>
      </c>
      <c r="BA687" s="22" t="str">
        <f t="shared" ref="BA687:BA718" si="235">O687</f>
        <v>MOTOR TPL</v>
      </c>
      <c r="BB687" s="54"/>
      <c r="BC687" s="22"/>
      <c r="BD687" s="22"/>
    </row>
    <row r="688" spans="1:56" ht="14.25" customHeight="1" x14ac:dyDescent="0.2">
      <c r="A688" s="1" t="s">
        <v>56</v>
      </c>
      <c r="B688" s="1" t="s">
        <v>57</v>
      </c>
      <c r="C688" s="13">
        <v>44873</v>
      </c>
      <c r="D688" s="13">
        <v>44844</v>
      </c>
      <c r="E688" s="13">
        <v>44574</v>
      </c>
      <c r="F688" s="13">
        <v>44632</v>
      </c>
      <c r="G688" s="14" t="str">
        <f t="shared" si="219"/>
        <v>000-687/AIB RDC/2022</v>
      </c>
      <c r="H688" s="1">
        <v>0</v>
      </c>
      <c r="I688" s="1" t="s">
        <v>74</v>
      </c>
      <c r="J688" s="1" t="s">
        <v>1021</v>
      </c>
      <c r="K688" s="1" t="s">
        <v>211</v>
      </c>
      <c r="L688" s="1"/>
      <c r="M688" s="1" t="s">
        <v>105</v>
      </c>
      <c r="N688" s="1" t="s">
        <v>106</v>
      </c>
      <c r="O688" s="1" t="s">
        <v>64</v>
      </c>
      <c r="P688" s="1" t="s">
        <v>65</v>
      </c>
      <c r="Q688" s="1" t="s">
        <v>107</v>
      </c>
      <c r="R688" s="1" t="s">
        <v>107</v>
      </c>
      <c r="S688" s="17">
        <v>185880</v>
      </c>
      <c r="T688" s="17">
        <v>705.24</v>
      </c>
      <c r="U688" s="17">
        <v>0</v>
      </c>
      <c r="V688" s="17">
        <v>0</v>
      </c>
      <c r="W688" s="17">
        <v>40</v>
      </c>
      <c r="X688" s="17">
        <v>557.64</v>
      </c>
      <c r="Y688" s="17">
        <v>95.64</v>
      </c>
      <c r="Z688" s="18">
        <f t="shared" si="220"/>
        <v>3.7940606843124597E-3</v>
      </c>
      <c r="AA688" s="19">
        <v>0.15</v>
      </c>
      <c r="AB688" s="17">
        <f t="shared" si="232"/>
        <v>83.646000000000001</v>
      </c>
      <c r="AC688" s="17">
        <v>0</v>
      </c>
      <c r="AD688" s="17">
        <v>0</v>
      </c>
      <c r="AE688" s="17">
        <f t="shared" si="221"/>
        <v>83.646000000000001</v>
      </c>
      <c r="AF688" s="17">
        <f t="shared" si="234"/>
        <v>13.38336</v>
      </c>
      <c r="AG688" s="17">
        <f t="shared" si="228"/>
        <v>97.029359999999997</v>
      </c>
      <c r="AH688" s="17">
        <f t="shared" si="233"/>
        <v>1.67292</v>
      </c>
      <c r="AI688" s="17">
        <v>0</v>
      </c>
      <c r="AJ688" s="17">
        <f t="shared" si="222"/>
        <v>1.67292</v>
      </c>
      <c r="AK688" s="20"/>
      <c r="AL688" s="17">
        <f t="shared" si="223"/>
        <v>81.973079999999996</v>
      </c>
      <c r="AM688" s="17" t="s">
        <v>108</v>
      </c>
      <c r="AN688" s="21">
        <v>0.4</v>
      </c>
      <c r="AO688" s="17">
        <f t="shared" si="224"/>
        <v>32.789231999999998</v>
      </c>
      <c r="AP688" s="30">
        <v>32.789231999999998</v>
      </c>
      <c r="AQ688" s="29">
        <v>45229</v>
      </c>
      <c r="AR688" s="17">
        <f t="shared" si="229"/>
        <v>0</v>
      </c>
      <c r="AS688" s="17"/>
      <c r="AT688" s="17">
        <v>97.029359999999997</v>
      </c>
      <c r="AU688" s="17">
        <f t="shared" si="230"/>
        <v>97.029359999999997</v>
      </c>
      <c r="AV688" s="17">
        <f t="shared" si="225"/>
        <v>0</v>
      </c>
      <c r="AW688" s="17" t="str">
        <f t="shared" si="231"/>
        <v>RAWSUR</v>
      </c>
      <c r="AX688" s="22">
        <v>44901</v>
      </c>
      <c r="AY688" s="22"/>
      <c r="AZ688" s="1" t="s">
        <v>110</v>
      </c>
      <c r="BA688" s="22" t="str">
        <f t="shared" si="235"/>
        <v>MARINE CARGO / GIT</v>
      </c>
      <c r="BB688" s="54"/>
      <c r="BC688" s="22"/>
      <c r="BD688" s="22"/>
    </row>
    <row r="689" spans="1:56" ht="14.25" customHeight="1" x14ac:dyDescent="0.2">
      <c r="A689" s="1" t="s">
        <v>578</v>
      </c>
      <c r="B689" s="1" t="s">
        <v>57</v>
      </c>
      <c r="C689" s="13">
        <v>44880</v>
      </c>
      <c r="D689" s="13">
        <v>44818</v>
      </c>
      <c r="E689" s="13">
        <v>44713</v>
      </c>
      <c r="F689" s="13">
        <v>44834</v>
      </c>
      <c r="G689" s="14" t="str">
        <f t="shared" si="219"/>
        <v>000-688/AIB RDC/2022</v>
      </c>
      <c r="H689" s="1">
        <v>0</v>
      </c>
      <c r="I689" s="1" t="s">
        <v>74</v>
      </c>
      <c r="J689" s="24" t="s">
        <v>1022</v>
      </c>
      <c r="K689" s="1" t="s">
        <v>355</v>
      </c>
      <c r="L689" s="16" t="s">
        <v>137</v>
      </c>
      <c r="M689" s="1" t="s">
        <v>84</v>
      </c>
      <c r="N689" s="1" t="s">
        <v>85</v>
      </c>
      <c r="O689" s="1" t="s">
        <v>97</v>
      </c>
      <c r="P689" s="1" t="s">
        <v>98</v>
      </c>
      <c r="Q689" s="16" t="s">
        <v>130</v>
      </c>
      <c r="R689" s="16" t="s">
        <v>130</v>
      </c>
      <c r="S689" s="17">
        <v>0</v>
      </c>
      <c r="T689" s="17">
        <v>115036.73</v>
      </c>
      <c r="U689" s="17">
        <v>16917.169999999998</v>
      </c>
      <c r="V689" s="17">
        <v>0</v>
      </c>
      <c r="W689" s="17">
        <v>0</v>
      </c>
      <c r="X689" s="17">
        <v>95863.94</v>
      </c>
      <c r="Y689" s="17">
        <v>0</v>
      </c>
      <c r="Z689" s="18" t="e">
        <f t="shared" si="220"/>
        <v>#DIV/0!</v>
      </c>
      <c r="AA689" s="19">
        <v>0</v>
      </c>
      <c r="AB689" s="17">
        <v>0</v>
      </c>
      <c r="AC689" s="17">
        <f>30%*U689</f>
        <v>5075.1509999999989</v>
      </c>
      <c r="AD689" s="17">
        <v>0</v>
      </c>
      <c r="AE689" s="17">
        <f t="shared" si="221"/>
        <v>5075.1509999999989</v>
      </c>
      <c r="AF689" s="17">
        <f t="shared" si="234"/>
        <v>812.02415999999982</v>
      </c>
      <c r="AG689" s="17">
        <f t="shared" si="228"/>
        <v>5887.1751599999989</v>
      </c>
      <c r="AH689" s="17">
        <f t="shared" si="233"/>
        <v>101.50301999999998</v>
      </c>
      <c r="AI689" s="17">
        <v>0</v>
      </c>
      <c r="AJ689" s="17">
        <f t="shared" si="222"/>
        <v>101.50301999999998</v>
      </c>
      <c r="AK689" s="20"/>
      <c r="AL689" s="17">
        <f t="shared" si="223"/>
        <v>4973.6479799999988</v>
      </c>
      <c r="AM689" s="17"/>
      <c r="AN689" s="21"/>
      <c r="AO689" s="17">
        <f t="shared" si="224"/>
        <v>0</v>
      </c>
      <c r="AP689" s="27"/>
      <c r="AQ689" s="16"/>
      <c r="AR689" s="17">
        <f t="shared" si="229"/>
        <v>0</v>
      </c>
      <c r="AS689" s="17"/>
      <c r="AT689" s="17">
        <v>5887.1751599999989</v>
      </c>
      <c r="AU689" s="17">
        <f t="shared" si="230"/>
        <v>5887.1751599999989</v>
      </c>
      <c r="AV689" s="17">
        <f t="shared" si="225"/>
        <v>0</v>
      </c>
      <c r="AW689" s="17" t="str">
        <f t="shared" si="231"/>
        <v>SFA</v>
      </c>
      <c r="AX689" s="22">
        <v>44887</v>
      </c>
      <c r="AY689" s="22"/>
      <c r="AZ689" s="1" t="s">
        <v>100</v>
      </c>
      <c r="BA689" s="22" t="str">
        <f t="shared" si="235"/>
        <v>MEDICAL</v>
      </c>
      <c r="BB689" s="54"/>
      <c r="BC689" s="22"/>
      <c r="BD689" s="22"/>
    </row>
    <row r="690" spans="1:56" ht="14.25" customHeight="1" x14ac:dyDescent="0.2">
      <c r="A690" s="1" t="s">
        <v>654</v>
      </c>
      <c r="B690" s="1" t="s">
        <v>57</v>
      </c>
      <c r="C690" s="13">
        <v>44882</v>
      </c>
      <c r="D690" s="13">
        <v>44835</v>
      </c>
      <c r="E690" s="13">
        <v>44743</v>
      </c>
      <c r="F690" s="13">
        <v>45107</v>
      </c>
      <c r="G690" s="14" t="str">
        <f t="shared" si="219"/>
        <v>000-689/AIB RDC/2022</v>
      </c>
      <c r="H690" s="1">
        <v>2</v>
      </c>
      <c r="I690" s="1" t="s">
        <v>58</v>
      </c>
      <c r="J690" s="15">
        <v>45000001</v>
      </c>
      <c r="K690" s="1" t="s">
        <v>777</v>
      </c>
      <c r="L690" s="16"/>
      <c r="M690" s="1" t="s">
        <v>105</v>
      </c>
      <c r="N690" s="1" t="s">
        <v>541</v>
      </c>
      <c r="O690" s="1" t="s">
        <v>466</v>
      </c>
      <c r="P690" s="1" t="s">
        <v>71</v>
      </c>
      <c r="Q690" s="1" t="s">
        <v>107</v>
      </c>
      <c r="R690" s="1" t="s">
        <v>107</v>
      </c>
      <c r="S690" s="17">
        <v>14635791.119999999</v>
      </c>
      <c r="T690" s="17">
        <v>32487.81</v>
      </c>
      <c r="U690" s="17">
        <v>0</v>
      </c>
      <c r="V690" s="17">
        <v>0</v>
      </c>
      <c r="W690" s="17">
        <v>100</v>
      </c>
      <c r="X690" s="17">
        <v>27432.04</v>
      </c>
      <c r="Y690" s="17">
        <v>4405.13</v>
      </c>
      <c r="Z690" s="18">
        <f t="shared" si="220"/>
        <v>2.219750865097069E-3</v>
      </c>
      <c r="AA690" s="19">
        <v>0</v>
      </c>
      <c r="AB690" s="17">
        <v>0</v>
      </c>
      <c r="AC690" s="17">
        <v>1234.44</v>
      </c>
      <c r="AD690" s="17">
        <v>2364.83</v>
      </c>
      <c r="AE690" s="17">
        <f t="shared" si="221"/>
        <v>3599.27</v>
      </c>
      <c r="AF690" s="17">
        <f t="shared" si="234"/>
        <v>575.88319999999999</v>
      </c>
      <c r="AG690" s="17">
        <f t="shared" si="228"/>
        <v>4175.1531999999997</v>
      </c>
      <c r="AH690" s="17">
        <f t="shared" si="233"/>
        <v>71.985399999999998</v>
      </c>
      <c r="AI690" s="17">
        <v>0</v>
      </c>
      <c r="AJ690" s="17">
        <f t="shared" si="222"/>
        <v>71.985399999999998</v>
      </c>
      <c r="AK690" s="20"/>
      <c r="AL690" s="17">
        <f t="shared" si="223"/>
        <v>3527.2846</v>
      </c>
      <c r="AM690" s="17" t="s">
        <v>80</v>
      </c>
      <c r="AN690" s="21">
        <v>0</v>
      </c>
      <c r="AO690" s="23">
        <f t="shared" si="224"/>
        <v>0</v>
      </c>
      <c r="AP690" s="27"/>
      <c r="AQ690" s="16"/>
      <c r="AR690" s="17">
        <f t="shared" si="229"/>
        <v>0</v>
      </c>
      <c r="AS690" s="17"/>
      <c r="AT690" s="17">
        <v>4175.1531999999997</v>
      </c>
      <c r="AU690" s="17">
        <f t="shared" si="230"/>
        <v>4175.1531999999997</v>
      </c>
      <c r="AV690" s="17">
        <f t="shared" si="225"/>
        <v>0</v>
      </c>
      <c r="AW690" s="17" t="str">
        <f t="shared" si="231"/>
        <v>RAWSUR</v>
      </c>
      <c r="AX690" s="22">
        <v>44901</v>
      </c>
      <c r="AY690" s="22"/>
      <c r="AZ690" s="1" t="s">
        <v>145</v>
      </c>
      <c r="BA690" s="22" t="str">
        <f t="shared" si="235"/>
        <v>PROPERTY DAMAGE &amp; BI</v>
      </c>
      <c r="BB690" s="54"/>
      <c r="BC690" s="22"/>
      <c r="BD690" s="22"/>
    </row>
    <row r="691" spans="1:56" ht="14.25" customHeight="1" x14ac:dyDescent="0.2">
      <c r="A691" s="1" t="s">
        <v>654</v>
      </c>
      <c r="B691" s="1" t="s">
        <v>57</v>
      </c>
      <c r="C691" s="13">
        <v>44882</v>
      </c>
      <c r="D691" s="13">
        <v>44839</v>
      </c>
      <c r="E691" s="13">
        <v>44743</v>
      </c>
      <c r="F691" s="13">
        <v>45107</v>
      </c>
      <c r="G691" s="14" t="str">
        <f t="shared" si="219"/>
        <v>000-690/AIB RDC/2022</v>
      </c>
      <c r="H691" s="1">
        <v>2</v>
      </c>
      <c r="I691" s="1" t="s">
        <v>58</v>
      </c>
      <c r="J691" s="15">
        <v>59000001</v>
      </c>
      <c r="K691" s="1" t="s">
        <v>777</v>
      </c>
      <c r="L691" s="16"/>
      <c r="M691" s="1" t="s">
        <v>105</v>
      </c>
      <c r="N691" s="1" t="s">
        <v>541</v>
      </c>
      <c r="O691" s="1" t="s">
        <v>233</v>
      </c>
      <c r="P691" s="1" t="s">
        <v>234</v>
      </c>
      <c r="Q691" s="1" t="s">
        <v>107</v>
      </c>
      <c r="R691" s="1" t="s">
        <v>107</v>
      </c>
      <c r="S691" s="17">
        <v>0</v>
      </c>
      <c r="T691" s="17">
        <v>4132.75</v>
      </c>
      <c r="U691" s="17">
        <v>0</v>
      </c>
      <c r="V691" s="17">
        <v>0</v>
      </c>
      <c r="W691" s="17">
        <v>100</v>
      </c>
      <c r="X691" s="17">
        <v>3402.33</v>
      </c>
      <c r="Y691" s="17">
        <v>560.37</v>
      </c>
      <c r="Z691" s="18" t="e">
        <f t="shared" si="220"/>
        <v>#DIV/0!</v>
      </c>
      <c r="AA691" s="19">
        <v>0</v>
      </c>
      <c r="AB691" s="17">
        <v>0</v>
      </c>
      <c r="AC691" s="17">
        <v>153.11000000000001</v>
      </c>
      <c r="AD691" s="17">
        <v>586.61</v>
      </c>
      <c r="AE691" s="17">
        <f t="shared" si="221"/>
        <v>739.72</v>
      </c>
      <c r="AF691" s="17">
        <f t="shared" si="234"/>
        <v>118.35520000000001</v>
      </c>
      <c r="AG691" s="17">
        <f t="shared" si="228"/>
        <v>858.0752</v>
      </c>
      <c r="AH691" s="17">
        <f t="shared" si="233"/>
        <v>14.794400000000001</v>
      </c>
      <c r="AI691" s="17">
        <v>0</v>
      </c>
      <c r="AJ691" s="17">
        <f t="shared" si="222"/>
        <v>14.794400000000001</v>
      </c>
      <c r="AK691" s="20"/>
      <c r="AL691" s="17">
        <f t="shared" si="223"/>
        <v>724.92560000000003</v>
      </c>
      <c r="AM691" s="17" t="s">
        <v>80</v>
      </c>
      <c r="AN691" s="21">
        <v>0</v>
      </c>
      <c r="AO691" s="23">
        <f t="shared" si="224"/>
        <v>0</v>
      </c>
      <c r="AP691" s="27"/>
      <c r="AQ691" s="16"/>
      <c r="AR691" s="17">
        <f t="shared" si="229"/>
        <v>0</v>
      </c>
      <c r="AS691" s="17"/>
      <c r="AT691" s="17">
        <v>858.0752</v>
      </c>
      <c r="AU691" s="17">
        <f t="shared" si="230"/>
        <v>858.0752</v>
      </c>
      <c r="AV691" s="17">
        <f t="shared" si="225"/>
        <v>0</v>
      </c>
      <c r="AW691" s="17" t="str">
        <f t="shared" si="231"/>
        <v>RAWSUR</v>
      </c>
      <c r="AX691" s="22">
        <v>44901</v>
      </c>
      <c r="AY691" s="22"/>
      <c r="AZ691" s="1" t="s">
        <v>145</v>
      </c>
      <c r="BA691" s="22" t="str">
        <f t="shared" si="235"/>
        <v>PVT</v>
      </c>
      <c r="BB691" s="54"/>
      <c r="BC691" s="22"/>
      <c r="BD691" s="22"/>
    </row>
    <row r="692" spans="1:56" ht="14.25" customHeight="1" x14ac:dyDescent="0.2">
      <c r="A692" s="28" t="s">
        <v>847</v>
      </c>
      <c r="B692" s="28" t="s">
        <v>273</v>
      </c>
      <c r="C692" s="36">
        <v>44879</v>
      </c>
      <c r="D692" s="36"/>
      <c r="E692" s="36">
        <v>44879</v>
      </c>
      <c r="F692" s="36">
        <v>44957</v>
      </c>
      <c r="G692" s="37" t="str">
        <f t="shared" si="219"/>
        <v>000-691/AIB RDC/2022</v>
      </c>
      <c r="H692" s="28">
        <v>23</v>
      </c>
      <c r="I692" s="28" t="s">
        <v>91</v>
      </c>
      <c r="J692" s="28" t="s">
        <v>284</v>
      </c>
      <c r="K692" s="28" t="s">
        <v>285</v>
      </c>
      <c r="L692" s="28" t="s">
        <v>83</v>
      </c>
      <c r="M692" s="28" t="s">
        <v>84</v>
      </c>
      <c r="N692" s="28" t="s">
        <v>694</v>
      </c>
      <c r="O692" s="28" t="s">
        <v>152</v>
      </c>
      <c r="P692" s="28" t="s">
        <v>153</v>
      </c>
      <c r="Q692" s="28" t="s">
        <v>66</v>
      </c>
      <c r="R692" s="28" t="s">
        <v>66</v>
      </c>
      <c r="S692" s="23">
        <v>361805</v>
      </c>
      <c r="T692" s="23">
        <v>3575.32</v>
      </c>
      <c r="U692" s="23">
        <v>0</v>
      </c>
      <c r="V692" s="23">
        <v>0</v>
      </c>
      <c r="W692" s="23">
        <v>30.52</v>
      </c>
      <c r="X692" s="23">
        <v>3051.66</v>
      </c>
      <c r="Y692" s="23">
        <v>493.15</v>
      </c>
      <c r="Z692" s="38">
        <f t="shared" si="220"/>
        <v>9.8818977073285331E-3</v>
      </c>
      <c r="AA692" s="39">
        <v>0.14559180372067901</v>
      </c>
      <c r="AB692" s="23">
        <f t="shared" ref="AB692:AB726" si="236">(AA692*X692)</f>
        <v>444.2966837422473</v>
      </c>
      <c r="AC692" s="23">
        <v>0</v>
      </c>
      <c r="AD692" s="57">
        <f>3%*X692</f>
        <v>91.549799999999991</v>
      </c>
      <c r="AE692" s="23">
        <f t="shared" si="221"/>
        <v>535.8464837422473</v>
      </c>
      <c r="AF692" s="23">
        <f t="shared" si="234"/>
        <v>85.735437398759572</v>
      </c>
      <c r="AG692" s="23">
        <f t="shared" si="228"/>
        <v>621.58192114100689</v>
      </c>
      <c r="AH692" s="23">
        <f t="shared" si="233"/>
        <v>10.716929674844947</v>
      </c>
      <c r="AI692" s="23">
        <v>0</v>
      </c>
      <c r="AJ692" s="23">
        <f t="shared" si="222"/>
        <v>10.716929674844947</v>
      </c>
      <c r="AK692" s="40"/>
      <c r="AL692" s="23">
        <f t="shared" si="223"/>
        <v>525.12955406740241</v>
      </c>
      <c r="AM692" s="23" t="s">
        <v>198</v>
      </c>
      <c r="AN692" s="41"/>
      <c r="AO692" s="23">
        <f t="shared" si="224"/>
        <v>0</v>
      </c>
      <c r="AP692" s="55"/>
      <c r="AQ692" s="29"/>
      <c r="AR692" s="23">
        <f t="shared" si="229"/>
        <v>0</v>
      </c>
      <c r="AS692" s="23"/>
      <c r="AT692" s="23">
        <v>621.58192114100689</v>
      </c>
      <c r="AU692" s="23">
        <f t="shared" si="230"/>
        <v>621.58192114100689</v>
      </c>
      <c r="AV692" s="23">
        <f t="shared" si="225"/>
        <v>0</v>
      </c>
      <c r="AW692" s="23" t="str">
        <f t="shared" si="231"/>
        <v>ACTIVA</v>
      </c>
      <c r="AX692" s="42">
        <v>45152</v>
      </c>
      <c r="AY692" s="42"/>
      <c r="AZ692" s="28" t="s">
        <v>68</v>
      </c>
      <c r="BA692" s="42" t="str">
        <f t="shared" si="235"/>
        <v>COMP MOTOR</v>
      </c>
      <c r="BB692" s="56"/>
      <c r="BC692" s="42"/>
      <c r="BD692" s="28" t="s">
        <v>591</v>
      </c>
    </row>
    <row r="693" spans="1:56" ht="14.25" customHeight="1" x14ac:dyDescent="0.2">
      <c r="A693" s="1" t="s">
        <v>667</v>
      </c>
      <c r="B693" s="1" t="s">
        <v>57</v>
      </c>
      <c r="C693" s="13">
        <v>44858</v>
      </c>
      <c r="D693" s="13">
        <v>44897</v>
      </c>
      <c r="E693" s="13">
        <v>44858</v>
      </c>
      <c r="F693" s="13">
        <v>45222</v>
      </c>
      <c r="G693" s="14" t="str">
        <f t="shared" si="219"/>
        <v>000-692/AIB RDC/2022</v>
      </c>
      <c r="H693" s="1">
        <v>0</v>
      </c>
      <c r="I693" s="1" t="s">
        <v>74</v>
      </c>
      <c r="J693" s="1" t="s">
        <v>1023</v>
      </c>
      <c r="K693" s="16" t="s">
        <v>333</v>
      </c>
      <c r="L693" s="1"/>
      <c r="M693" s="1" t="s">
        <v>95</v>
      </c>
      <c r="N693" s="1" t="s">
        <v>102</v>
      </c>
      <c r="O693" s="1" t="s">
        <v>70</v>
      </c>
      <c r="P693" s="1" t="s">
        <v>71</v>
      </c>
      <c r="Q693" s="1" t="s">
        <v>86</v>
      </c>
      <c r="R693" s="1" t="s">
        <v>86</v>
      </c>
      <c r="S693" s="17">
        <v>60000</v>
      </c>
      <c r="T693" s="17">
        <v>1002.58</v>
      </c>
      <c r="U693" s="17">
        <v>0</v>
      </c>
      <c r="V693" s="17">
        <v>0</v>
      </c>
      <c r="W693" s="17">
        <v>10</v>
      </c>
      <c r="X693" s="17">
        <v>854.29</v>
      </c>
      <c r="Y693" s="17">
        <v>138.29</v>
      </c>
      <c r="Z693" s="18">
        <f t="shared" si="220"/>
        <v>1.6709666666666668E-2</v>
      </c>
      <c r="AA693" s="19">
        <v>0.1</v>
      </c>
      <c r="AB693" s="17">
        <f t="shared" si="236"/>
        <v>85.429000000000002</v>
      </c>
      <c r="AC693" s="17">
        <v>0</v>
      </c>
      <c r="AD693" s="17">
        <v>0</v>
      </c>
      <c r="AE693" s="17">
        <f t="shared" si="221"/>
        <v>85.429000000000002</v>
      </c>
      <c r="AF693" s="17">
        <f t="shared" si="234"/>
        <v>13.66864</v>
      </c>
      <c r="AG693" s="17">
        <f t="shared" si="228"/>
        <v>99.097639999999998</v>
      </c>
      <c r="AH693" s="17">
        <f t="shared" si="233"/>
        <v>1.70858</v>
      </c>
      <c r="AI693" s="17"/>
      <c r="AJ693" s="17">
        <f t="shared" si="222"/>
        <v>1.70858</v>
      </c>
      <c r="AK693" s="20"/>
      <c r="AL693" s="17">
        <f t="shared" si="223"/>
        <v>83.720420000000004</v>
      </c>
      <c r="AM693" s="17"/>
      <c r="AN693" s="21"/>
      <c r="AO693" s="17">
        <f t="shared" si="224"/>
        <v>0</v>
      </c>
      <c r="AP693" s="27"/>
      <c r="AQ693" s="16"/>
      <c r="AR693" s="17">
        <f t="shared" si="229"/>
        <v>0</v>
      </c>
      <c r="AS693" s="17"/>
      <c r="AT693" s="17">
        <v>99.097639999999998</v>
      </c>
      <c r="AU693" s="17">
        <f t="shared" si="230"/>
        <v>99.097639999999998</v>
      </c>
      <c r="AV693" s="17">
        <f t="shared" si="225"/>
        <v>0</v>
      </c>
      <c r="AW693" s="17" t="str">
        <f t="shared" si="231"/>
        <v>SUNU</v>
      </c>
      <c r="AX693" s="22">
        <v>44918</v>
      </c>
      <c r="AY693" s="22"/>
      <c r="AZ693" s="1"/>
      <c r="BA693" s="22" t="str">
        <f t="shared" si="235"/>
        <v>FIRE</v>
      </c>
      <c r="BB693" s="54"/>
      <c r="BC693" s="22"/>
      <c r="BD693" s="22"/>
    </row>
    <row r="694" spans="1:56" ht="14.25" customHeight="1" x14ac:dyDescent="0.2">
      <c r="A694" s="1" t="s">
        <v>847</v>
      </c>
      <c r="B694" s="1" t="s">
        <v>273</v>
      </c>
      <c r="C694" s="13">
        <v>44868</v>
      </c>
      <c r="D694" s="13">
        <v>44887</v>
      </c>
      <c r="E694" s="13">
        <v>44866</v>
      </c>
      <c r="F694" s="13">
        <v>44926</v>
      </c>
      <c r="G694" s="14" t="str">
        <f t="shared" si="219"/>
        <v>000-693/AIB RDC/2022</v>
      </c>
      <c r="H694" s="1">
        <v>5</v>
      </c>
      <c r="I694" s="1" t="s">
        <v>91</v>
      </c>
      <c r="J694" s="1" t="s">
        <v>92</v>
      </c>
      <c r="K694" s="1" t="s">
        <v>120</v>
      </c>
      <c r="L694" s="1"/>
      <c r="M694" s="1" t="s">
        <v>95</v>
      </c>
      <c r="N694" s="1" t="s">
        <v>102</v>
      </c>
      <c r="O694" s="1" t="s">
        <v>97</v>
      </c>
      <c r="P694" s="1" t="s">
        <v>98</v>
      </c>
      <c r="Q694" s="1" t="s">
        <v>99</v>
      </c>
      <c r="R694" s="16" t="s">
        <v>99</v>
      </c>
      <c r="S694" s="17">
        <v>0</v>
      </c>
      <c r="T694" s="17">
        <v>2295</v>
      </c>
      <c r="U694" s="17">
        <v>0</v>
      </c>
      <c r="V694" s="17">
        <v>0</v>
      </c>
      <c r="W694" s="17">
        <v>0</v>
      </c>
      <c r="X694" s="17">
        <f>747.8+43.75+36.73+8.75+747.8+43.75</f>
        <v>1628.58</v>
      </c>
      <c r="Y694" s="17">
        <v>0</v>
      </c>
      <c r="Z694" s="18" t="e">
        <f t="shared" si="220"/>
        <v>#DIV/0!</v>
      </c>
      <c r="AA694" s="19">
        <v>0.05</v>
      </c>
      <c r="AB694" s="17">
        <f t="shared" si="236"/>
        <v>81.429000000000002</v>
      </c>
      <c r="AC694" s="17">
        <v>0</v>
      </c>
      <c r="AD694" s="17">
        <v>0</v>
      </c>
      <c r="AE694" s="17">
        <f t="shared" si="221"/>
        <v>81.429000000000002</v>
      </c>
      <c r="AF694" s="17">
        <v>0</v>
      </c>
      <c r="AG694" s="17">
        <f t="shared" si="228"/>
        <v>81.429000000000002</v>
      </c>
      <c r="AH694" s="17">
        <f t="shared" si="233"/>
        <v>1.6285800000000001</v>
      </c>
      <c r="AI694" s="17">
        <v>0</v>
      </c>
      <c r="AJ694" s="17">
        <f t="shared" si="222"/>
        <v>1.6285800000000001</v>
      </c>
      <c r="AK694" s="20"/>
      <c r="AL694" s="17">
        <f t="shared" si="223"/>
        <v>79.800420000000003</v>
      </c>
      <c r="AM694" s="17" t="s">
        <v>87</v>
      </c>
      <c r="AN694" s="21">
        <v>0.35</v>
      </c>
      <c r="AO694" s="17">
        <f t="shared" si="224"/>
        <v>27.930146999999998</v>
      </c>
      <c r="AP694" s="27"/>
      <c r="AQ694" s="16"/>
      <c r="AR694" s="17">
        <f t="shared" si="229"/>
        <v>27.930146999999998</v>
      </c>
      <c r="AS694" s="17"/>
      <c r="AT694" s="17">
        <v>81.429000000000002</v>
      </c>
      <c r="AU694" s="17">
        <f t="shared" si="230"/>
        <v>81.429000000000002</v>
      </c>
      <c r="AV694" s="17">
        <f t="shared" si="225"/>
        <v>0</v>
      </c>
      <c r="AW694" s="17" t="str">
        <f t="shared" si="231"/>
        <v>ACTIVA/GGA</v>
      </c>
      <c r="AX694" s="22">
        <v>45105</v>
      </c>
      <c r="AY694" s="22"/>
      <c r="AZ694" s="1" t="s">
        <v>68</v>
      </c>
      <c r="BA694" s="22" t="str">
        <f t="shared" si="235"/>
        <v>MEDICAL</v>
      </c>
      <c r="BB694" s="54"/>
      <c r="BC694" s="22"/>
      <c r="BD694" s="1" t="s">
        <v>390</v>
      </c>
    </row>
    <row r="695" spans="1:56" ht="14.25" customHeight="1" x14ac:dyDescent="0.2">
      <c r="A695" s="1" t="s">
        <v>847</v>
      </c>
      <c r="B695" s="1" t="s">
        <v>57</v>
      </c>
      <c r="C695" s="13">
        <v>44868</v>
      </c>
      <c r="D695" s="13">
        <v>44867</v>
      </c>
      <c r="E695" s="13">
        <v>44868</v>
      </c>
      <c r="F695" s="13">
        <v>45232</v>
      </c>
      <c r="G695" s="14" t="str">
        <f t="shared" si="219"/>
        <v>000-694/AIB RDC/2022</v>
      </c>
      <c r="H695" s="1">
        <v>0</v>
      </c>
      <c r="I695" s="1" t="s">
        <v>74</v>
      </c>
      <c r="J695" s="1" t="s">
        <v>1024</v>
      </c>
      <c r="K695" s="1" t="s">
        <v>1025</v>
      </c>
      <c r="L695" s="1"/>
      <c r="M695" s="1" t="s">
        <v>95</v>
      </c>
      <c r="N695" s="1" t="s">
        <v>102</v>
      </c>
      <c r="O695" s="1" t="s">
        <v>73</v>
      </c>
      <c r="P695" s="1" t="s">
        <v>73</v>
      </c>
      <c r="Q695" s="1" t="s">
        <v>130</v>
      </c>
      <c r="R695" s="1" t="s">
        <v>130</v>
      </c>
      <c r="S695" s="17">
        <v>0</v>
      </c>
      <c r="T695" s="17">
        <v>453.93</v>
      </c>
      <c r="U695" s="17">
        <v>0</v>
      </c>
      <c r="V695" s="17">
        <v>0</v>
      </c>
      <c r="W695" s="17">
        <v>5.69</v>
      </c>
      <c r="X695" s="17">
        <v>379</v>
      </c>
      <c r="Y695" s="17">
        <v>61.55</v>
      </c>
      <c r="Z695" s="18" t="e">
        <f t="shared" si="220"/>
        <v>#DIV/0!</v>
      </c>
      <c r="AA695" s="19">
        <v>0.1</v>
      </c>
      <c r="AB695" s="17">
        <f t="shared" si="236"/>
        <v>37.9</v>
      </c>
      <c r="AC695" s="17">
        <v>0</v>
      </c>
      <c r="AD695" s="17">
        <v>0</v>
      </c>
      <c r="AE695" s="17">
        <f t="shared" si="221"/>
        <v>37.9</v>
      </c>
      <c r="AF695" s="17">
        <f t="shared" ref="AF695:AF726" si="237">16%*AE695</f>
        <v>6.0640000000000001</v>
      </c>
      <c r="AG695" s="17">
        <f t="shared" si="228"/>
        <v>43.963999999999999</v>
      </c>
      <c r="AH695" s="17">
        <f t="shared" si="233"/>
        <v>0.75800000000000001</v>
      </c>
      <c r="AI695" s="17"/>
      <c r="AJ695" s="17">
        <f t="shared" si="222"/>
        <v>0.75800000000000001</v>
      </c>
      <c r="AK695" s="20"/>
      <c r="AL695" s="17">
        <f t="shared" si="223"/>
        <v>37.141999999999996</v>
      </c>
      <c r="AM695" s="17"/>
      <c r="AN695" s="21"/>
      <c r="AO695" s="17">
        <f t="shared" si="224"/>
        <v>0</v>
      </c>
      <c r="AP695" s="27"/>
      <c r="AQ695" s="16"/>
      <c r="AR695" s="17">
        <f t="shared" si="229"/>
        <v>0</v>
      </c>
      <c r="AS695" s="17"/>
      <c r="AT695" s="17">
        <v>43.963999999999999</v>
      </c>
      <c r="AU695" s="17">
        <f t="shared" si="230"/>
        <v>43.963999999999999</v>
      </c>
      <c r="AV695" s="17">
        <f t="shared" si="225"/>
        <v>0</v>
      </c>
      <c r="AW695" s="17" t="str">
        <f t="shared" si="231"/>
        <v>SFA</v>
      </c>
      <c r="AX695" s="22">
        <v>44911</v>
      </c>
      <c r="AY695" s="22"/>
      <c r="AZ695" s="1"/>
      <c r="BA695" s="22" t="str">
        <f t="shared" si="235"/>
        <v>MOTOR TPL</v>
      </c>
      <c r="BB695" s="54"/>
      <c r="BC695" s="22"/>
      <c r="BD695" s="22"/>
    </row>
    <row r="696" spans="1:56" ht="14.25" customHeight="1" x14ac:dyDescent="0.2">
      <c r="A696" s="1" t="s">
        <v>847</v>
      </c>
      <c r="B696" s="1" t="s">
        <v>57</v>
      </c>
      <c r="C696" s="13">
        <v>44882</v>
      </c>
      <c r="D696" s="13">
        <v>44886</v>
      </c>
      <c r="E696" s="13">
        <v>44883</v>
      </c>
      <c r="F696" s="13">
        <v>45007</v>
      </c>
      <c r="G696" s="14" t="str">
        <f t="shared" si="219"/>
        <v>000-695/AIB RDC/2022</v>
      </c>
      <c r="H696" s="1">
        <v>3</v>
      </c>
      <c r="I696" s="1" t="s">
        <v>91</v>
      </c>
      <c r="J696" s="24" t="s">
        <v>435</v>
      </c>
      <c r="K696" s="1" t="s">
        <v>436</v>
      </c>
      <c r="L696" s="1" t="s">
        <v>77</v>
      </c>
      <c r="M696" s="1" t="s">
        <v>706</v>
      </c>
      <c r="N696" s="1" t="s">
        <v>209</v>
      </c>
      <c r="O696" s="1" t="s">
        <v>73</v>
      </c>
      <c r="P696" s="1" t="s">
        <v>73</v>
      </c>
      <c r="Q696" s="1" t="s">
        <v>130</v>
      </c>
      <c r="R696" s="1" t="s">
        <v>130</v>
      </c>
      <c r="S696" s="17">
        <v>0</v>
      </c>
      <c r="T696" s="17">
        <v>118.56</v>
      </c>
      <c r="U696" s="17">
        <v>0</v>
      </c>
      <c r="V696" s="17">
        <v>0</v>
      </c>
      <c r="W696" s="17">
        <v>1.49</v>
      </c>
      <c r="X696" s="17">
        <v>99</v>
      </c>
      <c r="Y696" s="17">
        <v>16.07</v>
      </c>
      <c r="Z696" s="18" t="e">
        <f t="shared" si="220"/>
        <v>#DIV/0!</v>
      </c>
      <c r="AA696" s="19">
        <v>0.1</v>
      </c>
      <c r="AB696" s="17">
        <f t="shared" si="236"/>
        <v>9.9</v>
      </c>
      <c r="AC696" s="17">
        <v>0</v>
      </c>
      <c r="AD696" s="17">
        <v>0</v>
      </c>
      <c r="AE696" s="17">
        <f t="shared" si="221"/>
        <v>9.9</v>
      </c>
      <c r="AF696" s="17">
        <f t="shared" si="237"/>
        <v>1.5840000000000001</v>
      </c>
      <c r="AG696" s="17">
        <f t="shared" si="228"/>
        <v>11.484</v>
      </c>
      <c r="AH696" s="17">
        <f t="shared" si="233"/>
        <v>0.19800000000000001</v>
      </c>
      <c r="AI696" s="17"/>
      <c r="AJ696" s="17">
        <f t="shared" si="222"/>
        <v>0.19800000000000001</v>
      </c>
      <c r="AK696" s="20"/>
      <c r="AL696" s="17">
        <f t="shared" si="223"/>
        <v>9.702</v>
      </c>
      <c r="AM696" s="17"/>
      <c r="AN696" s="21"/>
      <c r="AO696" s="17">
        <f t="shared" si="224"/>
        <v>0</v>
      </c>
      <c r="AP696" s="27"/>
      <c r="AQ696" s="16"/>
      <c r="AR696" s="17">
        <f t="shared" si="229"/>
        <v>0</v>
      </c>
      <c r="AS696" s="17"/>
      <c r="AT696" s="17">
        <v>11.484</v>
      </c>
      <c r="AU696" s="17">
        <f t="shared" si="230"/>
        <v>11.484</v>
      </c>
      <c r="AV696" s="17">
        <f t="shared" si="225"/>
        <v>0</v>
      </c>
      <c r="AW696" s="17" t="str">
        <f t="shared" si="231"/>
        <v>SFA</v>
      </c>
      <c r="AX696" s="22">
        <v>44911</v>
      </c>
      <c r="AY696" s="22"/>
      <c r="AZ696" s="1" t="s">
        <v>68</v>
      </c>
      <c r="BA696" s="22" t="str">
        <f t="shared" si="235"/>
        <v>MOTOR TPL</v>
      </c>
      <c r="BB696" s="54"/>
      <c r="BC696" s="22"/>
      <c r="BD696" s="22"/>
    </row>
    <row r="697" spans="1:56" ht="14.25" customHeight="1" x14ac:dyDescent="0.2">
      <c r="A697" s="1" t="s">
        <v>847</v>
      </c>
      <c r="B697" s="1" t="s">
        <v>57</v>
      </c>
      <c r="C697" s="13">
        <v>44893</v>
      </c>
      <c r="D697" s="13">
        <v>44894</v>
      </c>
      <c r="E697" s="13">
        <v>44894</v>
      </c>
      <c r="F697" s="13">
        <v>45007</v>
      </c>
      <c r="G697" s="14" t="str">
        <f t="shared" si="219"/>
        <v>000-696/AIB RDC/2022</v>
      </c>
      <c r="H697" s="1">
        <v>4</v>
      </c>
      <c r="I697" s="1" t="s">
        <v>91</v>
      </c>
      <c r="J697" s="24" t="s">
        <v>435</v>
      </c>
      <c r="K697" s="1" t="s">
        <v>436</v>
      </c>
      <c r="L697" s="1" t="s">
        <v>77</v>
      </c>
      <c r="M697" s="1" t="s">
        <v>706</v>
      </c>
      <c r="N697" s="1" t="s">
        <v>209</v>
      </c>
      <c r="O697" s="1" t="s">
        <v>73</v>
      </c>
      <c r="P697" s="1" t="s">
        <v>73</v>
      </c>
      <c r="Q697" s="1" t="s">
        <v>130</v>
      </c>
      <c r="R697" s="1" t="s">
        <v>130</v>
      </c>
      <c r="S697" s="17">
        <v>0</v>
      </c>
      <c r="T697" s="17">
        <v>341.88</v>
      </c>
      <c r="U697" s="17">
        <v>0</v>
      </c>
      <c r="V697" s="17">
        <v>0</v>
      </c>
      <c r="W697" s="17">
        <v>4.18</v>
      </c>
      <c r="X697" s="17">
        <v>285.56</v>
      </c>
      <c r="Y697" s="17">
        <v>46.35</v>
      </c>
      <c r="Z697" s="18" t="e">
        <f t="shared" si="220"/>
        <v>#DIV/0!</v>
      </c>
      <c r="AA697" s="19">
        <v>0.1</v>
      </c>
      <c r="AB697" s="17">
        <f t="shared" si="236"/>
        <v>28.556000000000001</v>
      </c>
      <c r="AC697" s="17">
        <v>0</v>
      </c>
      <c r="AD697" s="17">
        <v>0</v>
      </c>
      <c r="AE697" s="17">
        <f t="shared" si="221"/>
        <v>28.556000000000001</v>
      </c>
      <c r="AF697" s="17">
        <f t="shared" si="237"/>
        <v>4.5689600000000006</v>
      </c>
      <c r="AG697" s="17">
        <f t="shared" si="228"/>
        <v>33.124960000000002</v>
      </c>
      <c r="AH697" s="17">
        <f t="shared" si="233"/>
        <v>0.57112000000000007</v>
      </c>
      <c r="AI697" s="17"/>
      <c r="AJ697" s="17">
        <f t="shared" si="222"/>
        <v>0.57112000000000007</v>
      </c>
      <c r="AK697" s="20"/>
      <c r="AL697" s="17">
        <f t="shared" si="223"/>
        <v>27.98488</v>
      </c>
      <c r="AM697" s="17"/>
      <c r="AN697" s="21"/>
      <c r="AO697" s="17">
        <f t="shared" si="224"/>
        <v>0</v>
      </c>
      <c r="AP697" s="27"/>
      <c r="AQ697" s="16"/>
      <c r="AR697" s="17">
        <f t="shared" si="229"/>
        <v>0</v>
      </c>
      <c r="AS697" s="17"/>
      <c r="AT697" s="17">
        <v>33.124960000000002</v>
      </c>
      <c r="AU697" s="17">
        <f t="shared" si="230"/>
        <v>33.124960000000002</v>
      </c>
      <c r="AV697" s="17">
        <f t="shared" si="225"/>
        <v>0</v>
      </c>
      <c r="AW697" s="17" t="str">
        <f t="shared" si="231"/>
        <v>SFA</v>
      </c>
      <c r="AX697" s="22">
        <v>44911</v>
      </c>
      <c r="AY697" s="22"/>
      <c r="AZ697" s="1" t="s">
        <v>68</v>
      </c>
      <c r="BA697" s="22" t="str">
        <f t="shared" si="235"/>
        <v>MOTOR TPL</v>
      </c>
      <c r="BB697" s="54"/>
      <c r="BC697" s="22"/>
      <c r="BD697" s="22"/>
    </row>
    <row r="698" spans="1:56" ht="14.25" customHeight="1" x14ac:dyDescent="0.2">
      <c r="A698" s="1" t="s">
        <v>847</v>
      </c>
      <c r="B698" s="1" t="s">
        <v>57</v>
      </c>
      <c r="C698" s="13">
        <v>44881</v>
      </c>
      <c r="D698" s="13">
        <v>44883</v>
      </c>
      <c r="E698" s="13">
        <v>44880</v>
      </c>
      <c r="F698" s="13">
        <v>45244</v>
      </c>
      <c r="G698" s="14" t="str">
        <f t="shared" si="219"/>
        <v>000-697/AIB RDC/2022</v>
      </c>
      <c r="H698" s="1">
        <v>1</v>
      </c>
      <c r="I698" s="1" t="s">
        <v>58</v>
      </c>
      <c r="J698" s="1" t="s">
        <v>1026</v>
      </c>
      <c r="K698" s="1" t="s">
        <v>543</v>
      </c>
      <c r="L698" s="1" t="s">
        <v>166</v>
      </c>
      <c r="M698" s="1" t="s">
        <v>706</v>
      </c>
      <c r="N698" s="1" t="s">
        <v>209</v>
      </c>
      <c r="O698" s="1" t="s">
        <v>935</v>
      </c>
      <c r="P698" s="1" t="s">
        <v>65</v>
      </c>
      <c r="Q698" s="1" t="s">
        <v>79</v>
      </c>
      <c r="R698" s="1" t="s">
        <v>79</v>
      </c>
      <c r="S698" s="17">
        <v>500000</v>
      </c>
      <c r="T698" s="17">
        <v>10384</v>
      </c>
      <c r="U698" s="17">
        <v>0</v>
      </c>
      <c r="V698" s="17">
        <v>0</v>
      </c>
      <c r="W698" s="17">
        <v>50</v>
      </c>
      <c r="X698" s="17">
        <v>8750</v>
      </c>
      <c r="Y698" s="17">
        <v>1408</v>
      </c>
      <c r="Z698" s="18">
        <f t="shared" si="220"/>
        <v>2.0767999999999998E-2</v>
      </c>
      <c r="AA698" s="19">
        <v>0.15</v>
      </c>
      <c r="AB698" s="17">
        <f t="shared" si="236"/>
        <v>1312.5</v>
      </c>
      <c r="AC698" s="17">
        <v>0</v>
      </c>
      <c r="AD698" s="17">
        <v>0</v>
      </c>
      <c r="AE698" s="17">
        <f t="shared" si="221"/>
        <v>1312.5</v>
      </c>
      <c r="AF698" s="17">
        <f t="shared" si="237"/>
        <v>210</v>
      </c>
      <c r="AG698" s="17">
        <f t="shared" si="228"/>
        <v>1522.5</v>
      </c>
      <c r="AH698" s="17">
        <f t="shared" si="233"/>
        <v>26.25</v>
      </c>
      <c r="AI698" s="17"/>
      <c r="AJ698" s="17">
        <f t="shared" si="222"/>
        <v>26.25</v>
      </c>
      <c r="AK698" s="20"/>
      <c r="AL698" s="17">
        <f t="shared" si="223"/>
        <v>1286.25</v>
      </c>
      <c r="AM698" s="17"/>
      <c r="AN698" s="21"/>
      <c r="AO698" s="17">
        <f t="shared" si="224"/>
        <v>0</v>
      </c>
      <c r="AP698" s="27"/>
      <c r="AQ698" s="16"/>
      <c r="AR698" s="17">
        <f t="shared" si="229"/>
        <v>0</v>
      </c>
      <c r="AS698" s="17"/>
      <c r="AT698" s="17">
        <v>1522.5</v>
      </c>
      <c r="AU698" s="17">
        <f t="shared" si="230"/>
        <v>1522.5</v>
      </c>
      <c r="AV698" s="17">
        <f t="shared" si="225"/>
        <v>0</v>
      </c>
      <c r="AW698" s="17" t="str">
        <f t="shared" si="231"/>
        <v>MAYFAIR</v>
      </c>
      <c r="AX698" s="22">
        <v>44914</v>
      </c>
      <c r="AY698" s="22"/>
      <c r="AZ698" s="1"/>
      <c r="BA698" s="22" t="str">
        <f t="shared" si="235"/>
        <v>CIT</v>
      </c>
      <c r="BB698" s="54"/>
      <c r="BC698" s="22"/>
      <c r="BD698" s="22"/>
    </row>
    <row r="699" spans="1:56" ht="14.25" customHeight="1" x14ac:dyDescent="0.2">
      <c r="A699" s="1" t="s">
        <v>847</v>
      </c>
      <c r="B699" s="1" t="s">
        <v>57</v>
      </c>
      <c r="C699" s="13">
        <v>44875</v>
      </c>
      <c r="D699" s="13">
        <v>44876</v>
      </c>
      <c r="E699" s="13">
        <v>44876</v>
      </c>
      <c r="F699" s="13">
        <v>44905</v>
      </c>
      <c r="G699" s="14" t="str">
        <f t="shared" si="219"/>
        <v>000-698/AIB RDC/2022</v>
      </c>
      <c r="H699" s="1">
        <v>0</v>
      </c>
      <c r="I699" s="1" t="s">
        <v>74</v>
      </c>
      <c r="J699" s="1" t="s">
        <v>1027</v>
      </c>
      <c r="K699" s="1" t="s">
        <v>607</v>
      </c>
      <c r="L699" s="1" t="s">
        <v>94</v>
      </c>
      <c r="M699" s="1" t="s">
        <v>706</v>
      </c>
      <c r="N699" s="1" t="s">
        <v>209</v>
      </c>
      <c r="O699" s="1" t="s">
        <v>192</v>
      </c>
      <c r="P699" s="1" t="s">
        <v>98</v>
      </c>
      <c r="Q699" s="1" t="s">
        <v>86</v>
      </c>
      <c r="R699" s="1" t="s">
        <v>86</v>
      </c>
      <c r="S699" s="17">
        <v>0</v>
      </c>
      <c r="T699" s="17">
        <v>49.88</v>
      </c>
      <c r="U699" s="17">
        <v>0</v>
      </c>
      <c r="V699" s="17">
        <v>0</v>
      </c>
      <c r="W699" s="17">
        <v>10</v>
      </c>
      <c r="X699" s="17">
        <v>33</v>
      </c>
      <c r="Y699" s="17">
        <v>6.88</v>
      </c>
      <c r="Z699" s="18" t="e">
        <f t="shared" si="220"/>
        <v>#DIV/0!</v>
      </c>
      <c r="AA699" s="19">
        <v>0.2</v>
      </c>
      <c r="AB699" s="17">
        <f t="shared" si="236"/>
        <v>6.6000000000000005</v>
      </c>
      <c r="AC699" s="17">
        <v>0</v>
      </c>
      <c r="AD699" s="17">
        <v>0</v>
      </c>
      <c r="AE699" s="17">
        <f t="shared" si="221"/>
        <v>6.6000000000000005</v>
      </c>
      <c r="AF699" s="17">
        <f t="shared" si="237"/>
        <v>1.056</v>
      </c>
      <c r="AG699" s="17">
        <f t="shared" si="228"/>
        <v>7.6560000000000006</v>
      </c>
      <c r="AH699" s="17">
        <f t="shared" si="233"/>
        <v>0.13200000000000001</v>
      </c>
      <c r="AI699" s="17"/>
      <c r="AJ699" s="17">
        <f t="shared" si="222"/>
        <v>0.13200000000000001</v>
      </c>
      <c r="AK699" s="20"/>
      <c r="AL699" s="17">
        <f t="shared" si="223"/>
        <v>6.4680000000000009</v>
      </c>
      <c r="AM699" s="17"/>
      <c r="AN699" s="21"/>
      <c r="AO699" s="17">
        <f t="shared" si="224"/>
        <v>0</v>
      </c>
      <c r="AP699" s="27"/>
      <c r="AQ699" s="16"/>
      <c r="AR699" s="17">
        <f t="shared" si="229"/>
        <v>0</v>
      </c>
      <c r="AS699" s="17"/>
      <c r="AT699" s="17">
        <v>7.6560000000000006</v>
      </c>
      <c r="AU699" s="17">
        <f t="shared" si="230"/>
        <v>7.6560000000000006</v>
      </c>
      <c r="AV699" s="17">
        <f t="shared" si="225"/>
        <v>0</v>
      </c>
      <c r="AW699" s="17" t="str">
        <f t="shared" si="231"/>
        <v>SUNU</v>
      </c>
      <c r="AX699" s="22">
        <v>44918</v>
      </c>
      <c r="AY699" s="22"/>
      <c r="AZ699" s="1" t="s">
        <v>110</v>
      </c>
      <c r="BA699" s="22" t="str">
        <f t="shared" si="235"/>
        <v>GPA</v>
      </c>
      <c r="BB699" s="54"/>
      <c r="BC699" s="22"/>
      <c r="BD699" s="22"/>
    </row>
    <row r="700" spans="1:56" ht="14.25" customHeight="1" x14ac:dyDescent="0.2">
      <c r="A700" s="1" t="s">
        <v>847</v>
      </c>
      <c r="B700" s="1" t="s">
        <v>57</v>
      </c>
      <c r="C700" s="13">
        <v>44875</v>
      </c>
      <c r="D700" s="13">
        <v>44876</v>
      </c>
      <c r="E700" s="13">
        <v>44876</v>
      </c>
      <c r="F700" s="13">
        <v>44905</v>
      </c>
      <c r="G700" s="14" t="str">
        <f t="shared" si="219"/>
        <v>000-699/AIB RDC/2022</v>
      </c>
      <c r="H700" s="1">
        <v>0</v>
      </c>
      <c r="I700" s="1" t="s">
        <v>74</v>
      </c>
      <c r="J700" s="1" t="s">
        <v>1028</v>
      </c>
      <c r="K700" s="1" t="s">
        <v>607</v>
      </c>
      <c r="L700" s="1" t="s">
        <v>94</v>
      </c>
      <c r="M700" s="1" t="s">
        <v>706</v>
      </c>
      <c r="N700" s="1" t="s">
        <v>209</v>
      </c>
      <c r="O700" s="1" t="s">
        <v>73</v>
      </c>
      <c r="P700" s="1" t="s">
        <v>73</v>
      </c>
      <c r="Q700" s="1" t="s">
        <v>86</v>
      </c>
      <c r="R700" s="1" t="s">
        <v>86</v>
      </c>
      <c r="S700" s="17">
        <v>0</v>
      </c>
      <c r="T700" s="17">
        <v>30.57</v>
      </c>
      <c r="U700" s="17">
        <v>0</v>
      </c>
      <c r="V700" s="17">
        <v>0</v>
      </c>
      <c r="W700" s="17">
        <v>10</v>
      </c>
      <c r="X700" s="17">
        <v>16.350000000000001</v>
      </c>
      <c r="Y700" s="17">
        <v>4.22</v>
      </c>
      <c r="Z700" s="18" t="e">
        <f t="shared" si="220"/>
        <v>#DIV/0!</v>
      </c>
      <c r="AA700" s="19">
        <v>0.125</v>
      </c>
      <c r="AB700" s="17">
        <f t="shared" si="236"/>
        <v>2.0437500000000002</v>
      </c>
      <c r="AC700" s="17">
        <v>0</v>
      </c>
      <c r="AD700" s="17">
        <v>0</v>
      </c>
      <c r="AE700" s="17">
        <f t="shared" si="221"/>
        <v>2.0437500000000002</v>
      </c>
      <c r="AF700" s="17">
        <f t="shared" si="237"/>
        <v>0.32700000000000001</v>
      </c>
      <c r="AG700" s="17">
        <f t="shared" si="228"/>
        <v>2.3707500000000001</v>
      </c>
      <c r="AH700" s="17">
        <f t="shared" si="233"/>
        <v>4.0875000000000002E-2</v>
      </c>
      <c r="AI700" s="17"/>
      <c r="AJ700" s="17">
        <f t="shared" si="222"/>
        <v>4.0875000000000002E-2</v>
      </c>
      <c r="AK700" s="20"/>
      <c r="AL700" s="17">
        <f t="shared" si="223"/>
        <v>2.002875</v>
      </c>
      <c r="AM700" s="17"/>
      <c r="AN700" s="21"/>
      <c r="AO700" s="17">
        <f t="shared" si="224"/>
        <v>0</v>
      </c>
      <c r="AP700" s="27"/>
      <c r="AQ700" s="16"/>
      <c r="AR700" s="17">
        <f t="shared" si="229"/>
        <v>0</v>
      </c>
      <c r="AS700" s="17"/>
      <c r="AT700" s="17">
        <v>2.3707500000000001</v>
      </c>
      <c r="AU700" s="17">
        <f t="shared" si="230"/>
        <v>2.3707500000000001</v>
      </c>
      <c r="AV700" s="17">
        <f t="shared" si="225"/>
        <v>0</v>
      </c>
      <c r="AW700" s="17" t="str">
        <f t="shared" si="231"/>
        <v>SUNU</v>
      </c>
      <c r="AX700" s="22">
        <v>44918</v>
      </c>
      <c r="AY700" s="22"/>
      <c r="AZ700" s="1" t="s">
        <v>110</v>
      </c>
      <c r="BA700" s="22" t="str">
        <f t="shared" si="235"/>
        <v>MOTOR TPL</v>
      </c>
      <c r="BB700" s="54"/>
      <c r="BC700" s="22"/>
      <c r="BD700" s="22"/>
    </row>
    <row r="701" spans="1:56" ht="14.25" customHeight="1" x14ac:dyDescent="0.2">
      <c r="A701" s="1" t="s">
        <v>847</v>
      </c>
      <c r="B701" s="1" t="s">
        <v>57</v>
      </c>
      <c r="C701" s="13">
        <v>44872</v>
      </c>
      <c r="D701" s="13">
        <v>44873</v>
      </c>
      <c r="E701" s="13">
        <v>44874</v>
      </c>
      <c r="F701" s="13">
        <v>45238</v>
      </c>
      <c r="G701" s="14" t="str">
        <f t="shared" si="219"/>
        <v>000-700/AIB RDC/2022</v>
      </c>
      <c r="H701" s="1">
        <v>0</v>
      </c>
      <c r="I701" s="1" t="s">
        <v>74</v>
      </c>
      <c r="J701" s="1" t="s">
        <v>1029</v>
      </c>
      <c r="K701" s="1" t="s">
        <v>1030</v>
      </c>
      <c r="L701" s="1" t="s">
        <v>94</v>
      </c>
      <c r="M701" s="1" t="s">
        <v>706</v>
      </c>
      <c r="N701" s="1" t="s">
        <v>209</v>
      </c>
      <c r="O701" s="1" t="s">
        <v>152</v>
      </c>
      <c r="P701" s="1" t="s">
        <v>153</v>
      </c>
      <c r="Q701" s="1" t="s">
        <v>107</v>
      </c>
      <c r="R701" s="1" t="s">
        <v>107</v>
      </c>
      <c r="S701" s="17">
        <v>0</v>
      </c>
      <c r="T701" s="17">
        <v>2129.61</v>
      </c>
      <c r="U701" s="17">
        <v>0</v>
      </c>
      <c r="V701" s="17">
        <v>0</v>
      </c>
      <c r="W701" s="17">
        <v>10</v>
      </c>
      <c r="X701" s="17">
        <v>2077.85</v>
      </c>
      <c r="Y701" s="17">
        <v>0</v>
      </c>
      <c r="Z701" s="18" t="e">
        <f t="shared" si="220"/>
        <v>#DIV/0!</v>
      </c>
      <c r="AA701" s="19">
        <v>0.15</v>
      </c>
      <c r="AB701" s="17">
        <f t="shared" si="236"/>
        <v>311.67749999999995</v>
      </c>
      <c r="AC701" s="17">
        <v>0</v>
      </c>
      <c r="AD701" s="17">
        <v>0</v>
      </c>
      <c r="AE701" s="17">
        <f t="shared" si="221"/>
        <v>311.67749999999995</v>
      </c>
      <c r="AF701" s="17">
        <f t="shared" si="237"/>
        <v>49.868399999999994</v>
      </c>
      <c r="AG701" s="17">
        <f t="shared" si="228"/>
        <v>361.54589999999996</v>
      </c>
      <c r="AH701" s="17">
        <f t="shared" si="233"/>
        <v>6.2335499999999993</v>
      </c>
      <c r="AI701" s="17"/>
      <c r="AJ701" s="17">
        <f t="shared" si="222"/>
        <v>6.2335499999999993</v>
      </c>
      <c r="AK701" s="20"/>
      <c r="AL701" s="17">
        <f t="shared" si="223"/>
        <v>305.44394999999997</v>
      </c>
      <c r="AM701" s="17"/>
      <c r="AN701" s="21"/>
      <c r="AO701" s="17">
        <f t="shared" si="224"/>
        <v>0</v>
      </c>
      <c r="AP701" s="27"/>
      <c r="AQ701" s="16"/>
      <c r="AR701" s="17">
        <f t="shared" si="229"/>
        <v>0</v>
      </c>
      <c r="AS701" s="17"/>
      <c r="AT701" s="17">
        <v>361.54589999999996</v>
      </c>
      <c r="AU701" s="17">
        <f t="shared" si="230"/>
        <v>361.54589999999996</v>
      </c>
      <c r="AV701" s="17">
        <f t="shared" si="225"/>
        <v>0</v>
      </c>
      <c r="AW701" s="17" t="str">
        <f t="shared" si="231"/>
        <v>RAWSUR</v>
      </c>
      <c r="AX701" s="22">
        <v>44916</v>
      </c>
      <c r="AY701" s="22"/>
      <c r="AZ701" s="1"/>
      <c r="BA701" s="22" t="str">
        <f t="shared" si="235"/>
        <v>COMP MOTOR</v>
      </c>
      <c r="BB701" s="54"/>
      <c r="BC701" s="22"/>
      <c r="BD701" s="22"/>
    </row>
    <row r="702" spans="1:56" ht="14.25" customHeight="1" x14ac:dyDescent="0.2">
      <c r="A702" s="1" t="s">
        <v>324</v>
      </c>
      <c r="B702" s="1" t="s">
        <v>57</v>
      </c>
      <c r="C702" s="13">
        <v>44882</v>
      </c>
      <c r="D702" s="13">
        <v>44903</v>
      </c>
      <c r="E702" s="13">
        <v>44630</v>
      </c>
      <c r="F702" s="13">
        <v>44994</v>
      </c>
      <c r="G702" s="14" t="str">
        <f t="shared" si="219"/>
        <v>000-701/AIB RDC/2022</v>
      </c>
      <c r="H702" s="1">
        <v>2</v>
      </c>
      <c r="I702" s="1" t="s">
        <v>115</v>
      </c>
      <c r="J702" s="1" t="s">
        <v>399</v>
      </c>
      <c r="K702" s="1" t="s">
        <v>400</v>
      </c>
      <c r="L702" s="1" t="s">
        <v>208</v>
      </c>
      <c r="M702" s="1" t="s">
        <v>706</v>
      </c>
      <c r="N702" s="1" t="s">
        <v>209</v>
      </c>
      <c r="O702" s="1" t="s">
        <v>73</v>
      </c>
      <c r="P702" s="1" t="s">
        <v>73</v>
      </c>
      <c r="Q702" s="1" t="s">
        <v>79</v>
      </c>
      <c r="R702" s="1" t="s">
        <v>79</v>
      </c>
      <c r="S702" s="17">
        <v>0</v>
      </c>
      <c r="T702" s="17">
        <v>-635.6</v>
      </c>
      <c r="U702" s="17">
        <v>0</v>
      </c>
      <c r="V702" s="17">
        <v>0</v>
      </c>
      <c r="W702" s="17">
        <v>-10</v>
      </c>
      <c r="X702" s="17">
        <v>-538.65</v>
      </c>
      <c r="Y702" s="17">
        <v>-86.18</v>
      </c>
      <c r="Z702" s="18" t="e">
        <f t="shared" si="220"/>
        <v>#DIV/0!</v>
      </c>
      <c r="AA702" s="19">
        <v>0.1</v>
      </c>
      <c r="AB702" s="17">
        <f t="shared" si="236"/>
        <v>-53.865000000000002</v>
      </c>
      <c r="AC702" s="17">
        <v>0</v>
      </c>
      <c r="AD702" s="17">
        <v>0</v>
      </c>
      <c r="AE702" s="17">
        <f t="shared" si="221"/>
        <v>-53.865000000000002</v>
      </c>
      <c r="AF702" s="17">
        <f t="shared" si="237"/>
        <v>-8.6184000000000012</v>
      </c>
      <c r="AG702" s="17">
        <f t="shared" si="228"/>
        <v>-62.483400000000003</v>
      </c>
      <c r="AH702" s="17">
        <f t="shared" si="233"/>
        <v>-1.0773000000000001</v>
      </c>
      <c r="AI702" s="17"/>
      <c r="AJ702" s="17">
        <f t="shared" si="222"/>
        <v>-1.0773000000000001</v>
      </c>
      <c r="AK702" s="20"/>
      <c r="AL702" s="17">
        <f t="shared" si="223"/>
        <v>-52.787700000000001</v>
      </c>
      <c r="AM702" s="17"/>
      <c r="AN702" s="21"/>
      <c r="AO702" s="17">
        <f t="shared" si="224"/>
        <v>0</v>
      </c>
      <c r="AP702" s="27"/>
      <c r="AQ702" s="16"/>
      <c r="AR702" s="17">
        <f t="shared" si="229"/>
        <v>0</v>
      </c>
      <c r="AS702" s="17"/>
      <c r="AT702" s="17">
        <v>-62.483400000000003</v>
      </c>
      <c r="AU702" s="17">
        <f t="shared" si="230"/>
        <v>-62.483400000000003</v>
      </c>
      <c r="AV702" s="17">
        <f t="shared" si="225"/>
        <v>0</v>
      </c>
      <c r="AW702" s="17" t="str">
        <f t="shared" si="231"/>
        <v>MAYFAIR</v>
      </c>
      <c r="AX702" s="22">
        <v>44951</v>
      </c>
      <c r="AY702" s="22"/>
      <c r="AZ702" s="1" t="s">
        <v>68</v>
      </c>
      <c r="BA702" s="22" t="str">
        <f t="shared" si="235"/>
        <v>MOTOR TPL</v>
      </c>
      <c r="BB702" s="54"/>
      <c r="BC702" s="22"/>
      <c r="BD702" s="22"/>
    </row>
    <row r="703" spans="1:56" ht="14.25" customHeight="1" x14ac:dyDescent="0.2">
      <c r="A703" s="1" t="s">
        <v>847</v>
      </c>
      <c r="B703" s="1" t="s">
        <v>57</v>
      </c>
      <c r="C703" s="13">
        <v>44883</v>
      </c>
      <c r="D703" s="13">
        <v>44873</v>
      </c>
      <c r="E703" s="13">
        <v>44873</v>
      </c>
      <c r="F703" s="13">
        <v>45237</v>
      </c>
      <c r="G703" s="14" t="str">
        <f t="shared" si="219"/>
        <v>000-702/AIB RDC/2022</v>
      </c>
      <c r="H703" s="1">
        <v>0</v>
      </c>
      <c r="I703" s="1" t="s">
        <v>74</v>
      </c>
      <c r="J703" s="1" t="s">
        <v>1031</v>
      </c>
      <c r="K703" s="1" t="s">
        <v>1032</v>
      </c>
      <c r="L703" s="1"/>
      <c r="M703" s="1" t="s">
        <v>105</v>
      </c>
      <c r="N703" s="1" t="s">
        <v>184</v>
      </c>
      <c r="O703" s="1" t="s">
        <v>73</v>
      </c>
      <c r="P703" s="1" t="s">
        <v>73</v>
      </c>
      <c r="Q703" s="1" t="s">
        <v>79</v>
      </c>
      <c r="R703" s="1" t="s">
        <v>79</v>
      </c>
      <c r="S703" s="17">
        <v>0</v>
      </c>
      <c r="T703" s="17">
        <v>264.32</v>
      </c>
      <c r="U703" s="17">
        <v>0</v>
      </c>
      <c r="V703" s="17">
        <v>0</v>
      </c>
      <c r="W703" s="17">
        <v>10</v>
      </c>
      <c r="X703" s="17">
        <v>214</v>
      </c>
      <c r="Y703" s="17">
        <v>35.840000000000003</v>
      </c>
      <c r="Z703" s="18" t="e">
        <f t="shared" si="220"/>
        <v>#DIV/0!</v>
      </c>
      <c r="AA703" s="19">
        <v>0.125</v>
      </c>
      <c r="AB703" s="17">
        <f t="shared" si="236"/>
        <v>26.75</v>
      </c>
      <c r="AC703" s="17">
        <v>0</v>
      </c>
      <c r="AD703" s="17">
        <v>0</v>
      </c>
      <c r="AE703" s="17">
        <f t="shared" si="221"/>
        <v>26.75</v>
      </c>
      <c r="AF703" s="17">
        <f t="shared" si="237"/>
        <v>4.28</v>
      </c>
      <c r="AG703" s="17">
        <f t="shared" si="228"/>
        <v>31.03</v>
      </c>
      <c r="AH703" s="17">
        <f t="shared" si="233"/>
        <v>0.53500000000000003</v>
      </c>
      <c r="AI703" s="17"/>
      <c r="AJ703" s="17">
        <f t="shared" si="222"/>
        <v>0.53500000000000003</v>
      </c>
      <c r="AK703" s="20"/>
      <c r="AL703" s="17">
        <f t="shared" si="223"/>
        <v>26.215</v>
      </c>
      <c r="AM703" s="17"/>
      <c r="AN703" s="21"/>
      <c r="AO703" s="17">
        <f t="shared" si="224"/>
        <v>0</v>
      </c>
      <c r="AP703" s="27"/>
      <c r="AQ703" s="16"/>
      <c r="AR703" s="17">
        <f t="shared" si="229"/>
        <v>0</v>
      </c>
      <c r="AS703" s="17"/>
      <c r="AT703" s="17">
        <v>31.03</v>
      </c>
      <c r="AU703" s="17">
        <f t="shared" si="230"/>
        <v>31.03</v>
      </c>
      <c r="AV703" s="17">
        <f t="shared" si="225"/>
        <v>0</v>
      </c>
      <c r="AW703" s="17" t="str">
        <f t="shared" si="231"/>
        <v>MAYFAIR</v>
      </c>
      <c r="AX703" s="22">
        <v>44914</v>
      </c>
      <c r="AY703" s="22"/>
      <c r="AZ703" s="1"/>
      <c r="BA703" s="22" t="str">
        <f t="shared" si="235"/>
        <v>MOTOR TPL</v>
      </c>
      <c r="BB703" s="54"/>
      <c r="BC703" s="22"/>
      <c r="BD703" s="22"/>
    </row>
    <row r="704" spans="1:56" ht="14.25" customHeight="1" x14ac:dyDescent="0.2">
      <c r="A704" s="1" t="s">
        <v>369</v>
      </c>
      <c r="B704" s="1" t="s">
        <v>57</v>
      </c>
      <c r="C704" s="13">
        <v>44663</v>
      </c>
      <c r="D704" s="13">
        <v>44670</v>
      </c>
      <c r="E704" s="13">
        <v>44666</v>
      </c>
      <c r="F704" s="13">
        <v>44668</v>
      </c>
      <c r="G704" s="14" t="str">
        <f t="shared" si="219"/>
        <v>000-703/AIB RDC/2022</v>
      </c>
      <c r="H704" s="1">
        <v>0</v>
      </c>
      <c r="I704" s="1" t="s">
        <v>74</v>
      </c>
      <c r="J704" s="1" t="s">
        <v>1033</v>
      </c>
      <c r="K704" s="1" t="s">
        <v>228</v>
      </c>
      <c r="L704" s="1"/>
      <c r="M704" s="1" t="s">
        <v>105</v>
      </c>
      <c r="N704" s="1" t="s">
        <v>106</v>
      </c>
      <c r="O704" s="1" t="s">
        <v>64</v>
      </c>
      <c r="P704" s="1" t="s">
        <v>65</v>
      </c>
      <c r="Q704" s="1" t="s">
        <v>130</v>
      </c>
      <c r="R704" s="1" t="s">
        <v>130</v>
      </c>
      <c r="S704" s="17">
        <v>136725.23000000001</v>
      </c>
      <c r="T704" s="17">
        <v>236.57</v>
      </c>
      <c r="U704" s="17">
        <v>0</v>
      </c>
      <c r="V704" s="17">
        <v>0</v>
      </c>
      <c r="W704" s="17"/>
      <c r="X704" s="17">
        <v>180.48</v>
      </c>
      <c r="Y704" s="17"/>
      <c r="Z704" s="18">
        <f t="shared" si="220"/>
        <v>1.7302585631049951E-3</v>
      </c>
      <c r="AA704" s="19">
        <v>0.15</v>
      </c>
      <c r="AB704" s="17">
        <f t="shared" si="236"/>
        <v>27.071999999999999</v>
      </c>
      <c r="AC704" s="17"/>
      <c r="AD704" s="17"/>
      <c r="AE704" s="17">
        <f t="shared" si="221"/>
        <v>27.071999999999999</v>
      </c>
      <c r="AF704" s="17">
        <f t="shared" si="237"/>
        <v>4.3315200000000003</v>
      </c>
      <c r="AG704" s="17">
        <f t="shared" si="228"/>
        <v>31.40352</v>
      </c>
      <c r="AH704" s="17">
        <f t="shared" si="233"/>
        <v>0.54144000000000003</v>
      </c>
      <c r="AI704" s="17"/>
      <c r="AJ704" s="17">
        <f t="shared" si="222"/>
        <v>0.54144000000000003</v>
      </c>
      <c r="AK704" s="20"/>
      <c r="AL704" s="17">
        <f t="shared" si="223"/>
        <v>26.530559999999998</v>
      </c>
      <c r="AM704" s="17" t="s">
        <v>108</v>
      </c>
      <c r="AN704" s="21">
        <v>0.4</v>
      </c>
      <c r="AO704" s="17">
        <f t="shared" si="224"/>
        <v>10.612223999999999</v>
      </c>
      <c r="AP704" s="17">
        <v>10.612223999999999</v>
      </c>
      <c r="AQ704" s="16">
        <v>44834</v>
      </c>
      <c r="AR704" s="17">
        <f t="shared" si="229"/>
        <v>0</v>
      </c>
      <c r="AS704" s="17" t="s">
        <v>109</v>
      </c>
      <c r="AT704" s="17">
        <v>31.40352</v>
      </c>
      <c r="AU704" s="17">
        <f t="shared" si="230"/>
        <v>31.40352</v>
      </c>
      <c r="AV704" s="17">
        <f t="shared" si="225"/>
        <v>0</v>
      </c>
      <c r="AW704" s="17" t="str">
        <f t="shared" si="231"/>
        <v>SFA</v>
      </c>
      <c r="AX704" s="22">
        <v>44699</v>
      </c>
      <c r="AY704" s="22"/>
      <c r="AZ704" s="1" t="s">
        <v>110</v>
      </c>
      <c r="BA704" s="22" t="str">
        <f t="shared" si="235"/>
        <v>MARINE CARGO / GIT</v>
      </c>
      <c r="BB704" s="22"/>
      <c r="BC704" s="22"/>
      <c r="BD704" s="22"/>
    </row>
    <row r="705" spans="1:56" ht="14.25" customHeight="1" x14ac:dyDescent="0.2">
      <c r="A705" s="1" t="s">
        <v>847</v>
      </c>
      <c r="B705" s="1" t="s">
        <v>57</v>
      </c>
      <c r="C705" s="13">
        <v>44693</v>
      </c>
      <c r="D705" s="13">
        <v>44886</v>
      </c>
      <c r="E705" s="13">
        <v>44886</v>
      </c>
      <c r="F705" s="13">
        <v>45193</v>
      </c>
      <c r="G705" s="14" t="str">
        <f t="shared" si="219"/>
        <v>000-704/AIB RDC/2022</v>
      </c>
      <c r="H705" s="1">
        <v>4</v>
      </c>
      <c r="I705" s="1" t="s">
        <v>91</v>
      </c>
      <c r="J705" s="1" t="s">
        <v>631</v>
      </c>
      <c r="K705" s="1" t="s">
        <v>632</v>
      </c>
      <c r="L705" s="1"/>
      <c r="M705" s="1" t="s">
        <v>105</v>
      </c>
      <c r="N705" s="1" t="s">
        <v>184</v>
      </c>
      <c r="O705" s="1" t="s">
        <v>73</v>
      </c>
      <c r="P705" s="1" t="s">
        <v>73</v>
      </c>
      <c r="Q705" s="1" t="s">
        <v>107</v>
      </c>
      <c r="R705" s="1" t="s">
        <v>107</v>
      </c>
      <c r="S705" s="17">
        <v>0</v>
      </c>
      <c r="T705" s="17">
        <v>2619.21</v>
      </c>
      <c r="U705" s="17">
        <v>0</v>
      </c>
      <c r="V705" s="17">
        <v>0</v>
      </c>
      <c r="W705" s="17">
        <v>50</v>
      </c>
      <c r="X705" s="17">
        <v>2169.67</v>
      </c>
      <c r="Y705" s="17">
        <v>355.13</v>
      </c>
      <c r="Z705" s="18" t="e">
        <f t="shared" si="220"/>
        <v>#DIV/0!</v>
      </c>
      <c r="AA705" s="19">
        <v>0.1</v>
      </c>
      <c r="AB705" s="17">
        <f t="shared" si="236"/>
        <v>216.96700000000001</v>
      </c>
      <c r="AC705" s="17">
        <v>0</v>
      </c>
      <c r="AD705" s="17">
        <v>0</v>
      </c>
      <c r="AE705" s="17">
        <f t="shared" si="221"/>
        <v>216.96700000000001</v>
      </c>
      <c r="AF705" s="17">
        <f t="shared" si="237"/>
        <v>34.71472</v>
      </c>
      <c r="AG705" s="17">
        <f t="shared" si="228"/>
        <v>251.68172000000001</v>
      </c>
      <c r="AH705" s="17">
        <f t="shared" si="233"/>
        <v>4.33934</v>
      </c>
      <c r="AI705" s="17"/>
      <c r="AJ705" s="17">
        <f t="shared" si="222"/>
        <v>4.33934</v>
      </c>
      <c r="AK705" s="20"/>
      <c r="AL705" s="17">
        <f t="shared" si="223"/>
        <v>212.62766000000002</v>
      </c>
      <c r="AM705" s="17"/>
      <c r="AN705" s="21"/>
      <c r="AO705" s="17">
        <f t="shared" si="224"/>
        <v>0</v>
      </c>
      <c r="AP705" s="27"/>
      <c r="AQ705" s="16"/>
      <c r="AR705" s="17">
        <f t="shared" si="229"/>
        <v>0</v>
      </c>
      <c r="AS705" s="17"/>
      <c r="AT705" s="17">
        <v>251.68172000000001</v>
      </c>
      <c r="AU705" s="17">
        <f t="shared" si="230"/>
        <v>251.68172000000001</v>
      </c>
      <c r="AV705" s="17">
        <f t="shared" si="225"/>
        <v>0</v>
      </c>
      <c r="AW705" s="17" t="str">
        <f t="shared" si="231"/>
        <v>RAWSUR</v>
      </c>
      <c r="AX705" s="22">
        <v>44916</v>
      </c>
      <c r="AY705" s="22"/>
      <c r="AZ705" s="1"/>
      <c r="BA705" s="22" t="str">
        <f t="shared" si="235"/>
        <v>MOTOR TPL</v>
      </c>
      <c r="BB705" s="54"/>
      <c r="BC705" s="22"/>
      <c r="BD705" s="22"/>
    </row>
    <row r="706" spans="1:56" ht="14.25" customHeight="1" x14ac:dyDescent="0.2">
      <c r="A706" s="1" t="s">
        <v>847</v>
      </c>
      <c r="B706" s="1" t="s">
        <v>57</v>
      </c>
      <c r="C706" s="13">
        <v>44904</v>
      </c>
      <c r="D706" s="50">
        <v>44880</v>
      </c>
      <c r="E706" s="13">
        <v>44880</v>
      </c>
      <c r="F706" s="13">
        <v>44926</v>
      </c>
      <c r="G706" s="14" t="str">
        <f t="shared" si="219"/>
        <v>000-705/AIB RDC/2022</v>
      </c>
      <c r="H706" s="1">
        <v>2</v>
      </c>
      <c r="I706" s="1" t="s">
        <v>91</v>
      </c>
      <c r="J706" s="1" t="s">
        <v>116</v>
      </c>
      <c r="K706" s="1" t="s">
        <v>117</v>
      </c>
      <c r="L706" s="1" t="s">
        <v>118</v>
      </c>
      <c r="M706" s="1" t="s">
        <v>105</v>
      </c>
      <c r="N706" s="1" t="s">
        <v>184</v>
      </c>
      <c r="O706" s="1" t="s">
        <v>73</v>
      </c>
      <c r="P706" s="1" t="s">
        <v>73</v>
      </c>
      <c r="Q706" s="1" t="s">
        <v>86</v>
      </c>
      <c r="R706" s="1" t="s">
        <v>86</v>
      </c>
      <c r="S706" s="17">
        <v>0</v>
      </c>
      <c r="T706" s="17">
        <v>2039.26</v>
      </c>
      <c r="U706" s="17">
        <v>0</v>
      </c>
      <c r="V706" s="17">
        <v>0</v>
      </c>
      <c r="W706" s="17">
        <v>17.41</v>
      </c>
      <c r="X706" s="17">
        <v>1740.58</v>
      </c>
      <c r="Y706" s="17">
        <v>281.27999999999997</v>
      </c>
      <c r="Z706" s="18" t="e">
        <f t="shared" si="220"/>
        <v>#DIV/0!</v>
      </c>
      <c r="AA706" s="19">
        <v>0.1</v>
      </c>
      <c r="AB706" s="17">
        <f t="shared" si="236"/>
        <v>174.05799999999999</v>
      </c>
      <c r="AC706" s="17">
        <v>0</v>
      </c>
      <c r="AD706" s="17">
        <v>0</v>
      </c>
      <c r="AE706" s="17">
        <f t="shared" si="221"/>
        <v>174.05799999999999</v>
      </c>
      <c r="AF706" s="17">
        <f t="shared" si="237"/>
        <v>27.84928</v>
      </c>
      <c r="AG706" s="17">
        <f t="shared" si="228"/>
        <v>201.90727999999999</v>
      </c>
      <c r="AH706" s="17">
        <f t="shared" si="233"/>
        <v>3.48116</v>
      </c>
      <c r="AI706" s="17"/>
      <c r="AJ706" s="17">
        <f t="shared" si="222"/>
        <v>3.48116</v>
      </c>
      <c r="AK706" s="20"/>
      <c r="AL706" s="17">
        <f t="shared" si="223"/>
        <v>170.57684</v>
      </c>
      <c r="AM706" s="17"/>
      <c r="AN706" s="21"/>
      <c r="AO706" s="17">
        <f t="shared" si="224"/>
        <v>0</v>
      </c>
      <c r="AP706" s="27"/>
      <c r="AQ706" s="16"/>
      <c r="AR706" s="17">
        <f t="shared" si="229"/>
        <v>0</v>
      </c>
      <c r="AS706" s="17"/>
      <c r="AT706" s="17">
        <v>201.90727999999999</v>
      </c>
      <c r="AU706" s="17">
        <f t="shared" si="230"/>
        <v>201.90727999999999</v>
      </c>
      <c r="AV706" s="17">
        <f t="shared" si="225"/>
        <v>0</v>
      </c>
      <c r="AW706" s="17" t="str">
        <f t="shared" si="231"/>
        <v>SUNU</v>
      </c>
      <c r="AX706" s="22">
        <v>44918</v>
      </c>
      <c r="AY706" s="22"/>
      <c r="AZ706" s="1" t="s">
        <v>68</v>
      </c>
      <c r="BA706" s="22" t="str">
        <f t="shared" si="235"/>
        <v>MOTOR TPL</v>
      </c>
      <c r="BB706" s="54"/>
      <c r="BC706" s="22"/>
      <c r="BD706" s="22"/>
    </row>
    <row r="707" spans="1:56" ht="14.25" customHeight="1" x14ac:dyDescent="0.2">
      <c r="A707" s="1" t="s">
        <v>992</v>
      </c>
      <c r="B707" s="1" t="s">
        <v>57</v>
      </c>
      <c r="C707" s="13">
        <v>44693</v>
      </c>
      <c r="D707" s="13">
        <v>44929</v>
      </c>
      <c r="E707" s="13">
        <v>44896</v>
      </c>
      <c r="F707" s="13">
        <v>45260</v>
      </c>
      <c r="G707" s="14" t="str">
        <f t="shared" si="219"/>
        <v>000-706/AIB RDC/2022</v>
      </c>
      <c r="H707" s="1">
        <v>0</v>
      </c>
      <c r="I707" s="1" t="s">
        <v>74</v>
      </c>
      <c r="J707" s="24" t="s">
        <v>1034</v>
      </c>
      <c r="K707" s="1" t="s">
        <v>222</v>
      </c>
      <c r="L707" s="1" t="s">
        <v>160</v>
      </c>
      <c r="M707" s="1" t="s">
        <v>1035</v>
      </c>
      <c r="N707" s="1" t="s">
        <v>541</v>
      </c>
      <c r="O707" s="1" t="s">
        <v>935</v>
      </c>
      <c r="P707" s="1" t="s">
        <v>65</v>
      </c>
      <c r="Q707" s="1" t="s">
        <v>130</v>
      </c>
      <c r="R707" s="1" t="s">
        <v>130</v>
      </c>
      <c r="S707" s="17">
        <v>0</v>
      </c>
      <c r="T707" s="17">
        <v>690373.75</v>
      </c>
      <c r="U707" s="17">
        <v>76312.5</v>
      </c>
      <c r="V707" s="17">
        <v>0</v>
      </c>
      <c r="W707" s="17">
        <v>0</v>
      </c>
      <c r="X707" s="17">
        <v>508750</v>
      </c>
      <c r="Y707" s="17">
        <v>93610</v>
      </c>
      <c r="Z707" s="18" t="e">
        <f t="shared" si="220"/>
        <v>#DIV/0!</v>
      </c>
      <c r="AA707" s="19">
        <v>0.105</v>
      </c>
      <c r="AB707" s="17">
        <f t="shared" si="236"/>
        <v>53418.75</v>
      </c>
      <c r="AC707" s="17">
        <f>15%*U707</f>
        <v>11446.875</v>
      </c>
      <c r="AD707" s="17">
        <v>0</v>
      </c>
      <c r="AE707" s="17">
        <f t="shared" si="221"/>
        <v>64865.625</v>
      </c>
      <c r="AF707" s="17">
        <f t="shared" si="237"/>
        <v>10378.5</v>
      </c>
      <c r="AG707" s="17">
        <f t="shared" si="228"/>
        <v>75244.125</v>
      </c>
      <c r="AH707" s="17">
        <f t="shared" si="233"/>
        <v>1297.3125</v>
      </c>
      <c r="AI707" s="17"/>
      <c r="AJ707" s="17">
        <f t="shared" si="222"/>
        <v>1297.3125</v>
      </c>
      <c r="AK707" s="20"/>
      <c r="AL707" s="17">
        <f t="shared" si="223"/>
        <v>63568.3125</v>
      </c>
      <c r="AM707" s="17"/>
      <c r="AN707" s="21"/>
      <c r="AO707" s="17">
        <f t="shared" si="224"/>
        <v>0</v>
      </c>
      <c r="AP707" s="27"/>
      <c r="AQ707" s="16"/>
      <c r="AR707" s="17">
        <f t="shared" si="229"/>
        <v>0</v>
      </c>
      <c r="AS707" s="17"/>
      <c r="AT707" s="17">
        <f>12540.69+12540.69+12540.69+12540.69+12540.69+12540.675</f>
        <v>75244.125</v>
      </c>
      <c r="AU707" s="17">
        <f t="shared" si="230"/>
        <v>75244.125</v>
      </c>
      <c r="AV707" s="17">
        <f t="shared" si="225"/>
        <v>0</v>
      </c>
      <c r="AW707" s="17" t="str">
        <f t="shared" si="231"/>
        <v>SFA</v>
      </c>
      <c r="AX707" s="22">
        <v>45236</v>
      </c>
      <c r="AY707" t="s">
        <v>1036</v>
      </c>
      <c r="AZ707" s="1"/>
      <c r="BA707" s="22" t="str">
        <f t="shared" si="235"/>
        <v>CIT</v>
      </c>
      <c r="BB707" s="17">
        <v>12540.674999999996</v>
      </c>
      <c r="BC707" s="22"/>
      <c r="BD707" s="1" t="s">
        <v>707</v>
      </c>
    </row>
    <row r="708" spans="1:56" ht="14.25" customHeight="1" x14ac:dyDescent="0.2">
      <c r="A708" s="28" t="s">
        <v>847</v>
      </c>
      <c r="B708" s="28" t="s">
        <v>57</v>
      </c>
      <c r="C708" s="36">
        <v>44840</v>
      </c>
      <c r="D708" s="36">
        <v>44966</v>
      </c>
      <c r="E708" s="36">
        <v>44869</v>
      </c>
      <c r="F708" s="51">
        <v>44926</v>
      </c>
      <c r="G708" s="37" t="str">
        <f t="shared" si="219"/>
        <v>000-707/AIB RDC/2022</v>
      </c>
      <c r="H708" s="28">
        <v>5</v>
      </c>
      <c r="I708" s="28" t="s">
        <v>217</v>
      </c>
      <c r="J708" s="62" t="s">
        <v>364</v>
      </c>
      <c r="K708" s="28" t="s">
        <v>724</v>
      </c>
      <c r="L708" s="28" t="s">
        <v>366</v>
      </c>
      <c r="M708" s="28" t="s">
        <v>84</v>
      </c>
      <c r="N708" s="28" t="s">
        <v>85</v>
      </c>
      <c r="O708" s="28" t="s">
        <v>165</v>
      </c>
      <c r="P708" s="28" t="s">
        <v>166</v>
      </c>
      <c r="Q708" s="28" t="s">
        <v>130</v>
      </c>
      <c r="R708" s="28" t="s">
        <v>130</v>
      </c>
      <c r="S708" s="23">
        <v>0</v>
      </c>
      <c r="T708" s="23">
        <v>4151.91</v>
      </c>
      <c r="U708" s="23">
        <v>0</v>
      </c>
      <c r="V708" s="23">
        <v>0</v>
      </c>
      <c r="W708" s="23">
        <v>27.45</v>
      </c>
      <c r="X708" s="23">
        <v>3491.11</v>
      </c>
      <c r="Y708" s="23">
        <v>562.97</v>
      </c>
      <c r="Z708" s="38" t="e">
        <f t="shared" si="220"/>
        <v>#DIV/0!</v>
      </c>
      <c r="AA708" s="39">
        <v>0.15</v>
      </c>
      <c r="AB708" s="23">
        <f t="shared" si="236"/>
        <v>523.66650000000004</v>
      </c>
      <c r="AC708" s="23">
        <v>0</v>
      </c>
      <c r="AD708" s="23">
        <v>0</v>
      </c>
      <c r="AE708" s="23">
        <f t="shared" si="221"/>
        <v>523.66650000000004</v>
      </c>
      <c r="AF708" s="23">
        <f t="shared" si="237"/>
        <v>83.786640000000006</v>
      </c>
      <c r="AG708" s="23">
        <f t="shared" si="228"/>
        <v>607.45314000000008</v>
      </c>
      <c r="AH708" s="23">
        <f t="shared" si="233"/>
        <v>10.473330000000001</v>
      </c>
      <c r="AI708" s="23"/>
      <c r="AJ708" s="23">
        <f t="shared" si="222"/>
        <v>10.473330000000001</v>
      </c>
      <c r="AK708" s="40"/>
      <c r="AL708" s="23">
        <f t="shared" si="223"/>
        <v>513.19317000000001</v>
      </c>
      <c r="AM708" s="23"/>
      <c r="AN708" s="41"/>
      <c r="AO708" s="23">
        <f t="shared" si="224"/>
        <v>0</v>
      </c>
      <c r="AP708" s="55"/>
      <c r="AQ708" s="29"/>
      <c r="AR708" s="23">
        <f t="shared" si="229"/>
        <v>0</v>
      </c>
      <c r="AS708" s="23"/>
      <c r="AT708" s="23"/>
      <c r="AU708" s="23">
        <f t="shared" ref="AU708:AU740" si="238">AG708</f>
        <v>607.45314000000008</v>
      </c>
      <c r="AV708" s="85">
        <f t="shared" si="225"/>
        <v>607.45314000000008</v>
      </c>
      <c r="AW708" s="23" t="str">
        <f t="shared" si="231"/>
        <v>SFA</v>
      </c>
      <c r="AX708" s="42"/>
      <c r="AY708" s="42"/>
      <c r="AZ708" s="28" t="s">
        <v>367</v>
      </c>
      <c r="BA708" s="42" t="str">
        <f t="shared" si="235"/>
        <v>CAR</v>
      </c>
      <c r="BB708" s="56"/>
      <c r="BC708" s="42"/>
      <c r="BD708" s="28" t="s">
        <v>906</v>
      </c>
    </row>
    <row r="709" spans="1:56" ht="14.25" customHeight="1" x14ac:dyDescent="0.2">
      <c r="A709" s="1" t="s">
        <v>847</v>
      </c>
      <c r="B709" s="1" t="s">
        <v>57</v>
      </c>
      <c r="C709" s="13">
        <v>44693</v>
      </c>
      <c r="D709" s="50">
        <v>44875</v>
      </c>
      <c r="E709" s="50">
        <v>44875</v>
      </c>
      <c r="F709" s="13">
        <v>44904</v>
      </c>
      <c r="G709" s="14" t="str">
        <f t="shared" si="219"/>
        <v>000-708/AIB RDC/2022</v>
      </c>
      <c r="H709" s="1">
        <v>0</v>
      </c>
      <c r="I709" s="1" t="s">
        <v>74</v>
      </c>
      <c r="J709" s="1" t="s">
        <v>1038</v>
      </c>
      <c r="K709" s="1" t="s">
        <v>263</v>
      </c>
      <c r="L709" s="1"/>
      <c r="M709" s="1" t="s">
        <v>105</v>
      </c>
      <c r="N709" s="1" t="s">
        <v>106</v>
      </c>
      <c r="O709" s="1" t="s">
        <v>64</v>
      </c>
      <c r="P709" s="1" t="s">
        <v>65</v>
      </c>
      <c r="Q709" s="1" t="s">
        <v>130</v>
      </c>
      <c r="R709" s="1" t="s">
        <v>130</v>
      </c>
      <c r="S709" s="17">
        <v>47255</v>
      </c>
      <c r="T709" s="17">
        <v>105.96</v>
      </c>
      <c r="U709" s="17">
        <v>0</v>
      </c>
      <c r="V709" s="17">
        <v>0</v>
      </c>
      <c r="W709" s="17">
        <v>1.33</v>
      </c>
      <c r="X709" s="17">
        <v>88.46</v>
      </c>
      <c r="Y709" s="17">
        <v>14.37</v>
      </c>
      <c r="Z709" s="18">
        <f t="shared" si="220"/>
        <v>2.2423024018622365E-3</v>
      </c>
      <c r="AA709" s="19">
        <v>0.15</v>
      </c>
      <c r="AB709" s="17">
        <f t="shared" si="236"/>
        <v>13.268999999999998</v>
      </c>
      <c r="AC709" s="17">
        <v>0</v>
      </c>
      <c r="AD709" s="17">
        <v>0</v>
      </c>
      <c r="AE709" s="17">
        <f t="shared" si="221"/>
        <v>13.268999999999998</v>
      </c>
      <c r="AF709" s="17">
        <f t="shared" si="237"/>
        <v>2.1230399999999996</v>
      </c>
      <c r="AG709" s="17">
        <f t="shared" si="228"/>
        <v>15.392039999999998</v>
      </c>
      <c r="AH709" s="17">
        <f t="shared" si="233"/>
        <v>0.26537999999999995</v>
      </c>
      <c r="AI709" s="17"/>
      <c r="AJ709" s="17">
        <f t="shared" si="222"/>
        <v>0.26537999999999995</v>
      </c>
      <c r="AK709" s="20"/>
      <c r="AL709" s="17">
        <f t="shared" si="223"/>
        <v>13.003619999999998</v>
      </c>
      <c r="AM709" s="17" t="s">
        <v>108</v>
      </c>
      <c r="AN709" s="21">
        <v>0.4</v>
      </c>
      <c r="AO709" s="17">
        <f t="shared" si="224"/>
        <v>5.2014479999999992</v>
      </c>
      <c r="AP709" s="30">
        <v>5.2014479999999992</v>
      </c>
      <c r="AQ709" s="29">
        <v>45229</v>
      </c>
      <c r="AR709" s="17">
        <f t="shared" si="229"/>
        <v>0</v>
      </c>
      <c r="AS709" s="17"/>
      <c r="AT709" s="17">
        <v>15.392039999999998</v>
      </c>
      <c r="AU709" s="17">
        <f t="shared" si="238"/>
        <v>15.392039999999998</v>
      </c>
      <c r="AV709" s="17">
        <f t="shared" si="225"/>
        <v>0</v>
      </c>
      <c r="AW709" s="17" t="str">
        <f t="shared" si="231"/>
        <v>SFA</v>
      </c>
      <c r="AX709" s="22">
        <v>44949</v>
      </c>
      <c r="AY709" s="22"/>
      <c r="AZ709" s="1" t="s">
        <v>110</v>
      </c>
      <c r="BA709" s="22" t="str">
        <f t="shared" si="235"/>
        <v>MARINE CARGO / GIT</v>
      </c>
      <c r="BB709" s="54"/>
      <c r="BC709" s="22"/>
      <c r="BD709" s="1"/>
    </row>
    <row r="710" spans="1:56" ht="14.25" customHeight="1" x14ac:dyDescent="0.2">
      <c r="A710" s="1" t="s">
        <v>847</v>
      </c>
      <c r="B710" s="1" t="s">
        <v>57</v>
      </c>
      <c r="C710" s="13">
        <v>44693</v>
      </c>
      <c r="D710" s="50">
        <v>44875</v>
      </c>
      <c r="E710" s="50">
        <v>44875</v>
      </c>
      <c r="F710" s="13">
        <v>44904</v>
      </c>
      <c r="G710" s="14" t="str">
        <f t="shared" si="219"/>
        <v>000-709/AIB RDC/2022</v>
      </c>
      <c r="H710" s="1">
        <v>0</v>
      </c>
      <c r="I710" s="1" t="s">
        <v>74</v>
      </c>
      <c r="J710" s="1" t="s">
        <v>1039</v>
      </c>
      <c r="K710" s="1" t="s">
        <v>263</v>
      </c>
      <c r="L710" s="1"/>
      <c r="M710" s="1" t="s">
        <v>105</v>
      </c>
      <c r="N710" s="1" t="s">
        <v>106</v>
      </c>
      <c r="O710" s="1" t="s">
        <v>64</v>
      </c>
      <c r="P710" s="1" t="s">
        <v>65</v>
      </c>
      <c r="Q710" s="1" t="s">
        <v>130</v>
      </c>
      <c r="R710" s="1" t="s">
        <v>130</v>
      </c>
      <c r="S710" s="17">
        <v>240430.03</v>
      </c>
      <c r="T710" s="17">
        <v>539.05999999999995</v>
      </c>
      <c r="U710" s="17">
        <v>0</v>
      </c>
      <c r="V710" s="17">
        <v>0</v>
      </c>
      <c r="W710" s="17">
        <v>6.75</v>
      </c>
      <c r="X710" s="17">
        <v>450.08</v>
      </c>
      <c r="Y710" s="17">
        <v>73.09</v>
      </c>
      <c r="Z710" s="18">
        <f t="shared" si="220"/>
        <v>2.2420660181259387E-3</v>
      </c>
      <c r="AA710" s="19">
        <v>0.15</v>
      </c>
      <c r="AB710" s="17">
        <f t="shared" si="236"/>
        <v>67.512</v>
      </c>
      <c r="AC710" s="17">
        <v>0</v>
      </c>
      <c r="AD710" s="17">
        <v>0</v>
      </c>
      <c r="AE710" s="17">
        <f t="shared" si="221"/>
        <v>67.512</v>
      </c>
      <c r="AF710" s="17">
        <f t="shared" si="237"/>
        <v>10.801920000000001</v>
      </c>
      <c r="AG710" s="17">
        <f t="shared" si="228"/>
        <v>78.313919999999996</v>
      </c>
      <c r="AH710" s="17">
        <f t="shared" si="233"/>
        <v>1.3502400000000001</v>
      </c>
      <c r="AI710" s="17"/>
      <c r="AJ710" s="17">
        <f t="shared" si="222"/>
        <v>1.3502400000000001</v>
      </c>
      <c r="AK710" s="20"/>
      <c r="AL710" s="17">
        <f t="shared" si="223"/>
        <v>66.161760000000001</v>
      </c>
      <c r="AM710" s="17" t="s">
        <v>108</v>
      </c>
      <c r="AN710" s="21">
        <v>0.4</v>
      </c>
      <c r="AO710" s="17">
        <f t="shared" si="224"/>
        <v>26.464704000000001</v>
      </c>
      <c r="AP710" s="30">
        <v>26.464704000000001</v>
      </c>
      <c r="AQ710" s="29">
        <v>45229</v>
      </c>
      <c r="AR710" s="17">
        <f t="shared" si="229"/>
        <v>0</v>
      </c>
      <c r="AS710" s="17"/>
      <c r="AT710" s="17">
        <v>78.313919999999996</v>
      </c>
      <c r="AU710" s="17">
        <f t="shared" si="238"/>
        <v>78.313919999999996</v>
      </c>
      <c r="AV710" s="17">
        <f t="shared" si="225"/>
        <v>0</v>
      </c>
      <c r="AW710" s="17" t="str">
        <f t="shared" si="231"/>
        <v>SFA</v>
      </c>
      <c r="AX710" s="22">
        <v>44949</v>
      </c>
      <c r="AY710" s="22"/>
      <c r="AZ710" s="1" t="s">
        <v>110</v>
      </c>
      <c r="BA710" s="22" t="str">
        <f t="shared" si="235"/>
        <v>MARINE CARGO / GIT</v>
      </c>
      <c r="BB710" s="54"/>
      <c r="BC710" s="22"/>
      <c r="BD710" s="1"/>
    </row>
    <row r="711" spans="1:56" ht="14.25" customHeight="1" x14ac:dyDescent="0.2">
      <c r="A711" s="12" t="s">
        <v>229</v>
      </c>
      <c r="B711" s="1" t="s">
        <v>273</v>
      </c>
      <c r="C711" s="13"/>
      <c r="D711" s="13"/>
      <c r="E711" s="13">
        <v>44596</v>
      </c>
      <c r="F711" s="13">
        <v>44625</v>
      </c>
      <c r="G711" s="14" t="str">
        <f t="shared" si="219"/>
        <v>000-710/AIB RDC/2022</v>
      </c>
      <c r="H711" s="1">
        <v>0</v>
      </c>
      <c r="I711" s="1" t="s">
        <v>74</v>
      </c>
      <c r="J711" s="1" t="s">
        <v>304</v>
      </c>
      <c r="K711" s="16" t="s">
        <v>225</v>
      </c>
      <c r="L711" s="16" t="s">
        <v>123</v>
      </c>
      <c r="M711" s="16" t="s">
        <v>105</v>
      </c>
      <c r="N711" s="16" t="s">
        <v>209</v>
      </c>
      <c r="O711" s="16" t="s">
        <v>64</v>
      </c>
      <c r="P711" s="16" t="s">
        <v>65</v>
      </c>
      <c r="Q711" s="16" t="s">
        <v>130</v>
      </c>
      <c r="R711" s="16" t="s">
        <v>130</v>
      </c>
      <c r="S711" s="17">
        <v>209061.54</v>
      </c>
      <c r="T711" s="17">
        <v>584.83000000000004</v>
      </c>
      <c r="U711" s="17">
        <v>0</v>
      </c>
      <c r="V711" s="17">
        <v>0</v>
      </c>
      <c r="W711" s="17"/>
      <c r="X711" s="17">
        <v>475.62</v>
      </c>
      <c r="Y711" s="17"/>
      <c r="Z711" s="18">
        <f t="shared" si="220"/>
        <v>2.7974059695532712E-3</v>
      </c>
      <c r="AA711" s="19">
        <v>0.15</v>
      </c>
      <c r="AB711" s="17">
        <f t="shared" si="236"/>
        <v>71.343000000000004</v>
      </c>
      <c r="AC711" s="17">
        <v>0</v>
      </c>
      <c r="AD711" s="17">
        <v>0</v>
      </c>
      <c r="AE711" s="17">
        <f t="shared" si="221"/>
        <v>71.343000000000004</v>
      </c>
      <c r="AF711" s="17">
        <f t="shared" si="237"/>
        <v>11.41488</v>
      </c>
      <c r="AG711" s="17">
        <f t="shared" si="228"/>
        <v>82.75788</v>
      </c>
      <c r="AH711" s="17">
        <f t="shared" si="233"/>
        <v>1.42686</v>
      </c>
      <c r="AI711" s="17">
        <v>0</v>
      </c>
      <c r="AJ711" s="17">
        <f t="shared" si="222"/>
        <v>1.42686</v>
      </c>
      <c r="AK711" s="20"/>
      <c r="AL711" s="17">
        <f t="shared" si="223"/>
        <v>69.916139999999999</v>
      </c>
      <c r="AM711" s="17" t="s">
        <v>108</v>
      </c>
      <c r="AN711" s="21">
        <v>0.4</v>
      </c>
      <c r="AO711" s="17">
        <f t="shared" si="224"/>
        <v>27.966456000000001</v>
      </c>
      <c r="AP711" s="17"/>
      <c r="AQ711" s="16"/>
      <c r="AR711" s="17">
        <f t="shared" si="229"/>
        <v>27.966456000000001</v>
      </c>
      <c r="AS711" s="17"/>
      <c r="AT711" s="17"/>
      <c r="AU711" s="17">
        <f t="shared" si="238"/>
        <v>82.75788</v>
      </c>
      <c r="AV711" s="84">
        <f t="shared" si="225"/>
        <v>82.75788</v>
      </c>
      <c r="AW711" s="17" t="str">
        <f t="shared" si="231"/>
        <v>SFA</v>
      </c>
      <c r="AX711" s="22"/>
      <c r="AY711" s="22"/>
      <c r="AZ711" s="1" t="s">
        <v>110</v>
      </c>
      <c r="BA711" s="22" t="str">
        <f t="shared" si="235"/>
        <v>MARINE CARGO / GIT</v>
      </c>
      <c r="BB711" s="22"/>
      <c r="BC711" s="22"/>
      <c r="BD711" s="1" t="s">
        <v>275</v>
      </c>
    </row>
    <row r="712" spans="1:56" ht="14.25" customHeight="1" x14ac:dyDescent="0.2">
      <c r="A712" s="1" t="s">
        <v>847</v>
      </c>
      <c r="B712" s="1" t="s">
        <v>57</v>
      </c>
      <c r="C712" s="13">
        <v>44693</v>
      </c>
      <c r="D712" s="13">
        <v>44872</v>
      </c>
      <c r="E712" s="13">
        <v>44872</v>
      </c>
      <c r="F712" s="13">
        <v>44901</v>
      </c>
      <c r="G712" s="14" t="str">
        <f t="shared" si="219"/>
        <v>000-711/AIB RDC/2022</v>
      </c>
      <c r="H712" s="1">
        <v>0</v>
      </c>
      <c r="I712" s="1" t="s">
        <v>74</v>
      </c>
      <c r="J712" s="1" t="s">
        <v>1040</v>
      </c>
      <c r="K712" s="1" t="s">
        <v>263</v>
      </c>
      <c r="L712" s="1"/>
      <c r="M712" s="1" t="s">
        <v>105</v>
      </c>
      <c r="N712" s="1" t="s">
        <v>106</v>
      </c>
      <c r="O712" s="1" t="s">
        <v>64</v>
      </c>
      <c r="P712" s="1" t="s">
        <v>65</v>
      </c>
      <c r="Q712" s="1" t="s">
        <v>130</v>
      </c>
      <c r="R712" s="1" t="s">
        <v>130</v>
      </c>
      <c r="S712" s="17">
        <v>301445.84000000003</v>
      </c>
      <c r="T712" s="17">
        <v>563.23</v>
      </c>
      <c r="U712" s="17">
        <v>0</v>
      </c>
      <c r="V712" s="17">
        <v>0</v>
      </c>
      <c r="W712" s="17">
        <v>7.05</v>
      </c>
      <c r="X712" s="17">
        <v>470.26</v>
      </c>
      <c r="Y712" s="17">
        <v>76.37</v>
      </c>
      <c r="Z712" s="18">
        <f t="shared" si="220"/>
        <v>1.8684285044371486E-3</v>
      </c>
      <c r="AA712" s="19">
        <v>0.15</v>
      </c>
      <c r="AB712" s="17">
        <f t="shared" si="236"/>
        <v>70.539000000000001</v>
      </c>
      <c r="AC712" s="17">
        <v>0</v>
      </c>
      <c r="AD712" s="17">
        <v>0</v>
      </c>
      <c r="AE712" s="17">
        <f t="shared" si="221"/>
        <v>70.539000000000001</v>
      </c>
      <c r="AF712" s="17">
        <f t="shared" si="237"/>
        <v>11.286240000000001</v>
      </c>
      <c r="AG712" s="17">
        <f t="shared" si="228"/>
        <v>81.825240000000008</v>
      </c>
      <c r="AH712" s="17">
        <f t="shared" si="233"/>
        <v>1.4107800000000001</v>
      </c>
      <c r="AI712" s="17"/>
      <c r="AJ712" s="17">
        <f t="shared" si="222"/>
        <v>1.4107800000000001</v>
      </c>
      <c r="AK712" s="20"/>
      <c r="AL712" s="17">
        <f t="shared" si="223"/>
        <v>69.128219999999999</v>
      </c>
      <c r="AM712" s="17" t="s">
        <v>108</v>
      </c>
      <c r="AN712" s="21">
        <v>0.4</v>
      </c>
      <c r="AO712" s="17">
        <f t="shared" si="224"/>
        <v>27.651288000000001</v>
      </c>
      <c r="AP712" s="30">
        <v>27.651288000000001</v>
      </c>
      <c r="AQ712" s="29">
        <v>45229</v>
      </c>
      <c r="AR712" s="17">
        <f t="shared" si="229"/>
        <v>0</v>
      </c>
      <c r="AS712" s="17"/>
      <c r="AT712" s="17">
        <v>81.825240000000008</v>
      </c>
      <c r="AU712" s="17">
        <f t="shared" si="238"/>
        <v>81.825240000000008</v>
      </c>
      <c r="AV712" s="17">
        <f t="shared" si="225"/>
        <v>0</v>
      </c>
      <c r="AW712" s="17" t="str">
        <f t="shared" si="231"/>
        <v>SFA</v>
      </c>
      <c r="AX712" s="22">
        <v>44911</v>
      </c>
      <c r="AY712" s="22"/>
      <c r="AZ712" s="1" t="s">
        <v>110</v>
      </c>
      <c r="BA712" s="22" t="str">
        <f t="shared" si="235"/>
        <v>MARINE CARGO / GIT</v>
      </c>
      <c r="BB712" s="54"/>
      <c r="BC712" s="22"/>
      <c r="BD712" s="22"/>
    </row>
    <row r="713" spans="1:56" ht="14.25" customHeight="1" x14ac:dyDescent="0.2">
      <c r="A713" s="1" t="s">
        <v>847</v>
      </c>
      <c r="B713" s="1" t="s">
        <v>57</v>
      </c>
      <c r="C713" s="13">
        <v>44693</v>
      </c>
      <c r="D713" s="13">
        <v>44872</v>
      </c>
      <c r="E713" s="13">
        <v>44869</v>
      </c>
      <c r="F713" s="13">
        <v>44898</v>
      </c>
      <c r="G713" s="14" t="str">
        <f t="shared" si="219"/>
        <v>000-712/AIB RDC/2022</v>
      </c>
      <c r="H713" s="1">
        <v>0</v>
      </c>
      <c r="I713" s="1" t="s">
        <v>74</v>
      </c>
      <c r="J713" s="1" t="s">
        <v>1041</v>
      </c>
      <c r="K713" s="1" t="s">
        <v>263</v>
      </c>
      <c r="L713" s="1"/>
      <c r="M713" s="1" t="s">
        <v>105</v>
      </c>
      <c r="N713" s="1" t="s">
        <v>106</v>
      </c>
      <c r="O713" s="1" t="s">
        <v>64</v>
      </c>
      <c r="P713" s="1" t="s">
        <v>65</v>
      </c>
      <c r="Q713" s="1" t="s">
        <v>130</v>
      </c>
      <c r="R713" s="1" t="s">
        <v>130</v>
      </c>
      <c r="S713" s="17">
        <v>242896.58</v>
      </c>
      <c r="T713" s="17">
        <v>560.14</v>
      </c>
      <c r="U713" s="17">
        <v>0</v>
      </c>
      <c r="V713" s="17">
        <v>0</v>
      </c>
      <c r="W713" s="17">
        <v>20</v>
      </c>
      <c r="X713" s="17">
        <v>454.7</v>
      </c>
      <c r="Y713" s="17">
        <v>75.95</v>
      </c>
      <c r="Z713" s="18">
        <f t="shared" si="220"/>
        <v>2.3060843425625837E-3</v>
      </c>
      <c r="AA713" s="19">
        <v>0.15</v>
      </c>
      <c r="AB713" s="17">
        <f t="shared" si="236"/>
        <v>68.204999999999998</v>
      </c>
      <c r="AC713" s="17">
        <v>0</v>
      </c>
      <c r="AD713" s="17">
        <v>0</v>
      </c>
      <c r="AE713" s="17">
        <f t="shared" si="221"/>
        <v>68.204999999999998</v>
      </c>
      <c r="AF713" s="17">
        <f t="shared" si="237"/>
        <v>10.912800000000001</v>
      </c>
      <c r="AG713" s="17">
        <f t="shared" si="228"/>
        <v>79.117800000000003</v>
      </c>
      <c r="AH713" s="17">
        <f t="shared" si="233"/>
        <v>1.3641000000000001</v>
      </c>
      <c r="AI713" s="17"/>
      <c r="AJ713" s="17">
        <f t="shared" si="222"/>
        <v>1.3641000000000001</v>
      </c>
      <c r="AK713" s="20"/>
      <c r="AL713" s="17">
        <f t="shared" si="223"/>
        <v>66.840900000000005</v>
      </c>
      <c r="AM713" s="17" t="s">
        <v>108</v>
      </c>
      <c r="AN713" s="21">
        <v>0.4</v>
      </c>
      <c r="AO713" s="17">
        <f t="shared" si="224"/>
        <v>26.736360000000005</v>
      </c>
      <c r="AP713" s="30">
        <v>26.736360000000005</v>
      </c>
      <c r="AQ713" s="29">
        <v>45229</v>
      </c>
      <c r="AR713" s="17">
        <f t="shared" si="229"/>
        <v>0</v>
      </c>
      <c r="AS713" s="17"/>
      <c r="AT713" s="17">
        <v>79.117800000000003</v>
      </c>
      <c r="AU713" s="17">
        <f t="shared" si="238"/>
        <v>79.117800000000003</v>
      </c>
      <c r="AV713" s="17">
        <f t="shared" si="225"/>
        <v>0</v>
      </c>
      <c r="AW713" s="17" t="str">
        <f t="shared" si="231"/>
        <v>SFA</v>
      </c>
      <c r="AX713" s="22">
        <v>44911</v>
      </c>
      <c r="AY713" s="22"/>
      <c r="AZ713" s="1" t="s">
        <v>110</v>
      </c>
      <c r="BA713" s="22" t="str">
        <f t="shared" si="235"/>
        <v>MARINE CARGO / GIT</v>
      </c>
      <c r="BB713" s="54"/>
      <c r="BC713" s="22"/>
      <c r="BD713" s="22"/>
    </row>
    <row r="714" spans="1:56" ht="14.25" customHeight="1" x14ac:dyDescent="0.2">
      <c r="A714" s="12" t="s">
        <v>229</v>
      </c>
      <c r="B714" s="1" t="s">
        <v>57</v>
      </c>
      <c r="C714" s="13">
        <v>44602</v>
      </c>
      <c r="D714" s="13">
        <v>44602</v>
      </c>
      <c r="E714" s="13">
        <v>44602</v>
      </c>
      <c r="F714" s="13">
        <v>44690</v>
      </c>
      <c r="G714" s="14" t="str">
        <f t="shared" si="219"/>
        <v>000-713/AIB RDC/2022</v>
      </c>
      <c r="H714" s="1">
        <v>0</v>
      </c>
      <c r="I714" s="1" t="s">
        <v>74</v>
      </c>
      <c r="J714" s="28" t="s">
        <v>319</v>
      </c>
      <c r="K714" s="29" t="s">
        <v>225</v>
      </c>
      <c r="L714" s="16" t="s">
        <v>123</v>
      </c>
      <c r="M714" s="16" t="s">
        <v>105</v>
      </c>
      <c r="N714" s="16" t="s">
        <v>209</v>
      </c>
      <c r="O714" s="16" t="s">
        <v>64</v>
      </c>
      <c r="P714" s="16" t="s">
        <v>65</v>
      </c>
      <c r="Q714" s="16" t="s">
        <v>107</v>
      </c>
      <c r="R714" s="16" t="s">
        <v>107</v>
      </c>
      <c r="S714" s="17">
        <v>25515</v>
      </c>
      <c r="T714" s="17">
        <v>149.93</v>
      </c>
      <c r="U714" s="17">
        <v>0</v>
      </c>
      <c r="V714" s="17">
        <v>0</v>
      </c>
      <c r="W714" s="17"/>
      <c r="X714" s="17">
        <v>102.06</v>
      </c>
      <c r="Y714" s="17"/>
      <c r="Z714" s="18">
        <f t="shared" si="220"/>
        <v>5.8761512835586909E-3</v>
      </c>
      <c r="AA714" s="19">
        <v>0.15</v>
      </c>
      <c r="AB714" s="17">
        <f t="shared" si="236"/>
        <v>15.308999999999999</v>
      </c>
      <c r="AC714" s="17">
        <v>0</v>
      </c>
      <c r="AD714" s="17">
        <v>0</v>
      </c>
      <c r="AE714" s="17">
        <f t="shared" si="221"/>
        <v>15.308999999999999</v>
      </c>
      <c r="AF714" s="17">
        <f t="shared" si="237"/>
        <v>2.4494400000000001</v>
      </c>
      <c r="AG714" s="17">
        <f t="shared" si="228"/>
        <v>17.75844</v>
      </c>
      <c r="AH714" s="17">
        <f t="shared" si="233"/>
        <v>0.30618000000000001</v>
      </c>
      <c r="AI714" s="17">
        <v>0</v>
      </c>
      <c r="AJ714" s="17">
        <f t="shared" si="222"/>
        <v>0.30618000000000001</v>
      </c>
      <c r="AK714" s="20"/>
      <c r="AL714" s="17">
        <f t="shared" si="223"/>
        <v>15.00282</v>
      </c>
      <c r="AM714" s="17" t="s">
        <v>108</v>
      </c>
      <c r="AN714" s="21">
        <v>0.4</v>
      </c>
      <c r="AO714" s="17">
        <f t="shared" si="224"/>
        <v>6.0011280000000005</v>
      </c>
      <c r="AP714" s="17"/>
      <c r="AQ714" s="16"/>
      <c r="AR714" s="17">
        <f t="shared" si="229"/>
        <v>6.0011280000000005</v>
      </c>
      <c r="AS714" s="17"/>
      <c r="AT714" s="17"/>
      <c r="AU714" s="17">
        <f t="shared" si="238"/>
        <v>17.75844</v>
      </c>
      <c r="AV714" s="84">
        <f t="shared" si="225"/>
        <v>17.75844</v>
      </c>
      <c r="AW714" s="17" t="str">
        <f t="shared" si="231"/>
        <v>RAWSUR</v>
      </c>
      <c r="AX714" s="22"/>
      <c r="AY714" s="22"/>
      <c r="AZ714" s="1" t="s">
        <v>110</v>
      </c>
      <c r="BA714" s="22" t="str">
        <f t="shared" si="235"/>
        <v>MARINE CARGO / GIT</v>
      </c>
      <c r="BB714" s="22"/>
      <c r="BC714" s="22"/>
      <c r="BD714" s="1" t="s">
        <v>275</v>
      </c>
    </row>
    <row r="715" spans="1:56" ht="14.25" customHeight="1" x14ac:dyDescent="0.2">
      <c r="A715" s="28" t="s">
        <v>667</v>
      </c>
      <c r="B715" s="28" t="s">
        <v>57</v>
      </c>
      <c r="C715" s="60">
        <v>44841</v>
      </c>
      <c r="D715" s="60">
        <v>44842</v>
      </c>
      <c r="E715" s="60">
        <v>44842</v>
      </c>
      <c r="F715" s="60">
        <v>44845</v>
      </c>
      <c r="G715" s="37" t="str">
        <f t="shared" si="219"/>
        <v>000-714/AIB RDC/2022</v>
      </c>
      <c r="H715" s="28">
        <v>0</v>
      </c>
      <c r="I715" s="28" t="s">
        <v>74</v>
      </c>
      <c r="J715" s="28" t="s">
        <v>1043</v>
      </c>
      <c r="K715" s="28" t="s">
        <v>181</v>
      </c>
      <c r="L715" s="29"/>
      <c r="M715" s="28" t="s">
        <v>105</v>
      </c>
      <c r="N715" s="28" t="s">
        <v>106</v>
      </c>
      <c r="O715" s="28" t="s">
        <v>64</v>
      </c>
      <c r="P715" s="28" t="s">
        <v>65</v>
      </c>
      <c r="Q715" s="28" t="s">
        <v>130</v>
      </c>
      <c r="R715" s="28" t="s">
        <v>130</v>
      </c>
      <c r="S715" s="23">
        <v>250</v>
      </c>
      <c r="T715" s="23">
        <v>94.4</v>
      </c>
      <c r="U715" s="23">
        <v>0</v>
      </c>
      <c r="V715" s="23">
        <v>0</v>
      </c>
      <c r="W715" s="23">
        <v>20</v>
      </c>
      <c r="X715" s="23">
        <v>60</v>
      </c>
      <c r="Y715" s="23">
        <v>12.8</v>
      </c>
      <c r="Z715" s="38">
        <f t="shared" si="220"/>
        <v>0.37760000000000005</v>
      </c>
      <c r="AA715" s="39">
        <v>0.15</v>
      </c>
      <c r="AB715" s="23">
        <f t="shared" si="236"/>
        <v>9</v>
      </c>
      <c r="AC715" s="23">
        <v>0</v>
      </c>
      <c r="AD715" s="23">
        <v>0</v>
      </c>
      <c r="AE715" s="23">
        <f t="shared" si="221"/>
        <v>9</v>
      </c>
      <c r="AF715" s="23">
        <f t="shared" si="237"/>
        <v>1.44</v>
      </c>
      <c r="AG715" s="23">
        <f t="shared" si="228"/>
        <v>10.44</v>
      </c>
      <c r="AH715" s="23">
        <f t="shared" si="233"/>
        <v>0.18</v>
      </c>
      <c r="AI715" s="23"/>
      <c r="AJ715" s="23">
        <f t="shared" si="222"/>
        <v>0.18</v>
      </c>
      <c r="AK715" s="40"/>
      <c r="AL715" s="23">
        <f t="shared" si="223"/>
        <v>8.82</v>
      </c>
      <c r="AM715" s="23" t="s">
        <v>108</v>
      </c>
      <c r="AN715" s="41">
        <v>0.4</v>
      </c>
      <c r="AO715" s="23">
        <f t="shared" si="224"/>
        <v>3.5280000000000005</v>
      </c>
      <c r="AP715" s="30">
        <v>3.5280000000000005</v>
      </c>
      <c r="AQ715" s="29">
        <v>45229</v>
      </c>
      <c r="AR715" s="23">
        <f t="shared" si="229"/>
        <v>0</v>
      </c>
      <c r="AS715" s="23"/>
      <c r="AT715" s="23">
        <v>10.44</v>
      </c>
      <c r="AU715" s="23">
        <f t="shared" si="238"/>
        <v>10.44</v>
      </c>
      <c r="AV715" s="23">
        <f t="shared" si="225"/>
        <v>0</v>
      </c>
      <c r="AW715" s="23" t="str">
        <f t="shared" si="231"/>
        <v>SFA</v>
      </c>
      <c r="AX715" s="42">
        <v>44984</v>
      </c>
      <c r="AY715" s="42"/>
      <c r="AZ715" s="28" t="s">
        <v>110</v>
      </c>
      <c r="BA715" s="42" t="str">
        <f t="shared" si="235"/>
        <v>MARINE CARGO / GIT</v>
      </c>
      <c r="BB715" s="56"/>
      <c r="BC715" s="42"/>
      <c r="BD715" s="42"/>
    </row>
    <row r="716" spans="1:56" ht="14.25" customHeight="1" x14ac:dyDescent="0.2">
      <c r="A716" s="28" t="s">
        <v>847</v>
      </c>
      <c r="B716" s="28" t="s">
        <v>57</v>
      </c>
      <c r="C716" s="36">
        <v>44872</v>
      </c>
      <c r="D716" s="36">
        <v>44873</v>
      </c>
      <c r="E716" s="36">
        <v>44873</v>
      </c>
      <c r="F716" s="51">
        <v>44876</v>
      </c>
      <c r="G716" s="37" t="str">
        <f t="shared" ref="G716:G779" si="239">TEXT(ROW(G716)-1,"000-000") &amp; "/AIB RDC/2022"</f>
        <v>000-715/AIB RDC/2022</v>
      </c>
      <c r="H716" s="28">
        <v>0</v>
      </c>
      <c r="I716" s="28" t="s">
        <v>74</v>
      </c>
      <c r="J716" s="28" t="s">
        <v>1044</v>
      </c>
      <c r="K716" s="28" t="s">
        <v>536</v>
      </c>
      <c r="L716" s="28"/>
      <c r="M716" s="28" t="s">
        <v>105</v>
      </c>
      <c r="N716" s="28" t="s">
        <v>106</v>
      </c>
      <c r="O716" s="28" t="s">
        <v>64</v>
      </c>
      <c r="P716" s="28" t="s">
        <v>65</v>
      </c>
      <c r="Q716" s="28" t="s">
        <v>130</v>
      </c>
      <c r="R716" s="28" t="s">
        <v>130</v>
      </c>
      <c r="S716" s="23">
        <v>67168.039999999994</v>
      </c>
      <c r="T716" s="23">
        <v>92.68</v>
      </c>
      <c r="U716" s="23">
        <v>0</v>
      </c>
      <c r="V716" s="23">
        <v>0</v>
      </c>
      <c r="W716" s="23">
        <v>1.1599999999999999</v>
      </c>
      <c r="X716" s="23">
        <v>77.38</v>
      </c>
      <c r="Y716" s="23">
        <v>12.57</v>
      </c>
      <c r="Z716" s="38">
        <f t="shared" ref="Z716:Z779" si="240">T716/S716</f>
        <v>1.3798229038691618E-3</v>
      </c>
      <c r="AA716" s="39">
        <v>0.15</v>
      </c>
      <c r="AB716" s="23">
        <f t="shared" si="236"/>
        <v>11.606999999999999</v>
      </c>
      <c r="AC716" s="23">
        <v>0</v>
      </c>
      <c r="AD716" s="23">
        <v>0</v>
      </c>
      <c r="AE716" s="23">
        <f t="shared" ref="AE716:AE779" si="241">SUM(AB716:AD716)</f>
        <v>11.606999999999999</v>
      </c>
      <c r="AF716" s="23">
        <f t="shared" si="237"/>
        <v>1.8571199999999999</v>
      </c>
      <c r="AG716" s="23">
        <f t="shared" si="228"/>
        <v>13.464119999999999</v>
      </c>
      <c r="AH716" s="23">
        <f t="shared" si="233"/>
        <v>0.23213999999999999</v>
      </c>
      <c r="AI716" s="23"/>
      <c r="AJ716" s="23">
        <f t="shared" ref="AJ716:AJ779" si="242">AH716-AI716</f>
        <v>0.23213999999999999</v>
      </c>
      <c r="AK716" s="40"/>
      <c r="AL716" s="23">
        <f t="shared" ref="AL716:AL772" si="243">AE716-AH716</f>
        <v>11.37486</v>
      </c>
      <c r="AM716" s="23" t="s">
        <v>108</v>
      </c>
      <c r="AN716" s="41">
        <v>0.4</v>
      </c>
      <c r="AO716" s="23">
        <f t="shared" ref="AO716:AO779" si="244">AL716*AN716</f>
        <v>4.549944</v>
      </c>
      <c r="AP716" s="30">
        <v>4.549944</v>
      </c>
      <c r="AQ716" s="29">
        <v>45229</v>
      </c>
      <c r="AR716" s="23">
        <f t="shared" si="229"/>
        <v>0</v>
      </c>
      <c r="AS716" s="23"/>
      <c r="AT716" s="23">
        <v>13.464119999999999</v>
      </c>
      <c r="AU716" s="23">
        <f t="shared" si="238"/>
        <v>13.464119999999999</v>
      </c>
      <c r="AV716" s="23">
        <f t="shared" ref="AV716:AV779" si="245">AU716-AT716</f>
        <v>0</v>
      </c>
      <c r="AW716" s="23" t="str">
        <f t="shared" si="231"/>
        <v>SFA</v>
      </c>
      <c r="AX716" s="42">
        <v>44984</v>
      </c>
      <c r="AY716" s="42"/>
      <c r="AZ716" s="28" t="s">
        <v>110</v>
      </c>
      <c r="BA716" s="42" t="str">
        <f t="shared" si="235"/>
        <v>MARINE CARGO / GIT</v>
      </c>
      <c r="BB716" s="56"/>
      <c r="BC716" s="42"/>
      <c r="BD716" s="28" t="s">
        <v>226</v>
      </c>
    </row>
    <row r="717" spans="1:56" ht="14.25" customHeight="1" x14ac:dyDescent="0.2">
      <c r="A717" s="12" t="s">
        <v>56</v>
      </c>
      <c r="B717" s="1" t="s">
        <v>57</v>
      </c>
      <c r="C717" s="13">
        <v>44588</v>
      </c>
      <c r="D717" s="13">
        <v>44580</v>
      </c>
      <c r="E717" s="13">
        <v>44588</v>
      </c>
      <c r="F717" s="13">
        <v>44677</v>
      </c>
      <c r="G717" s="14" t="str">
        <f t="shared" si="239"/>
        <v>000-716/AIB RDC/2022</v>
      </c>
      <c r="H717" s="1">
        <v>0</v>
      </c>
      <c r="I717" s="1" t="s">
        <v>74</v>
      </c>
      <c r="J717" s="28">
        <v>72000019</v>
      </c>
      <c r="K717" s="29" t="s">
        <v>225</v>
      </c>
      <c r="L717" s="16" t="s">
        <v>123</v>
      </c>
      <c r="M717" s="16" t="s">
        <v>105</v>
      </c>
      <c r="N717" s="16" t="s">
        <v>209</v>
      </c>
      <c r="O717" s="16" t="s">
        <v>64</v>
      </c>
      <c r="P717" s="16" t="s">
        <v>65</v>
      </c>
      <c r="Q717" s="16" t="s">
        <v>107</v>
      </c>
      <c r="R717" s="16" t="s">
        <v>107</v>
      </c>
      <c r="S717" s="17">
        <v>3060</v>
      </c>
      <c r="T717" s="17">
        <v>129.80000000000001</v>
      </c>
      <c r="U717" s="17">
        <v>0</v>
      </c>
      <c r="V717" s="17">
        <v>0</v>
      </c>
      <c r="W717" s="17">
        <v>10</v>
      </c>
      <c r="X717" s="17">
        <v>100</v>
      </c>
      <c r="Y717" s="17"/>
      <c r="Z717" s="18">
        <f t="shared" si="240"/>
        <v>4.2418300653594775E-2</v>
      </c>
      <c r="AA717" s="19">
        <v>0.15</v>
      </c>
      <c r="AB717" s="17">
        <f t="shared" si="236"/>
        <v>15</v>
      </c>
      <c r="AC717" s="17">
        <v>0</v>
      </c>
      <c r="AD717" s="17">
        <v>0</v>
      </c>
      <c r="AE717" s="17">
        <f t="shared" si="241"/>
        <v>15</v>
      </c>
      <c r="AF717" s="17">
        <f t="shared" si="237"/>
        <v>2.4</v>
      </c>
      <c r="AG717" s="17">
        <f t="shared" si="228"/>
        <v>17.399999999999999</v>
      </c>
      <c r="AH717" s="17">
        <f t="shared" si="233"/>
        <v>0.3</v>
      </c>
      <c r="AI717" s="17">
        <v>0</v>
      </c>
      <c r="AJ717" s="17">
        <f t="shared" si="242"/>
        <v>0.3</v>
      </c>
      <c r="AK717" s="20"/>
      <c r="AL717" s="17">
        <f t="shared" si="243"/>
        <v>14.7</v>
      </c>
      <c r="AM717" s="17" t="s">
        <v>108</v>
      </c>
      <c r="AN717" s="21">
        <v>0.4</v>
      </c>
      <c r="AO717" s="17">
        <f t="shared" si="244"/>
        <v>5.88</v>
      </c>
      <c r="AP717" s="17"/>
      <c r="AQ717" s="16"/>
      <c r="AR717" s="17">
        <f t="shared" si="229"/>
        <v>5.88</v>
      </c>
      <c r="AS717" s="17"/>
      <c r="AT717" s="17"/>
      <c r="AU717" s="17">
        <f t="shared" si="238"/>
        <v>17.399999999999999</v>
      </c>
      <c r="AV717" s="84">
        <f t="shared" si="245"/>
        <v>17.399999999999999</v>
      </c>
      <c r="AW717" s="17" t="str">
        <f t="shared" si="231"/>
        <v>RAWSUR</v>
      </c>
      <c r="AX717" s="22"/>
      <c r="AY717" s="22"/>
      <c r="AZ717" s="1" t="s">
        <v>110</v>
      </c>
      <c r="BA717" s="22" t="str">
        <f t="shared" si="235"/>
        <v>MARINE CARGO / GIT</v>
      </c>
      <c r="BB717" s="22"/>
      <c r="BC717" s="22"/>
      <c r="BD717" s="1" t="s">
        <v>226</v>
      </c>
    </row>
    <row r="718" spans="1:56" ht="14.25" customHeight="1" x14ac:dyDescent="0.2">
      <c r="A718" s="1" t="s">
        <v>56</v>
      </c>
      <c r="B718" s="1" t="s">
        <v>57</v>
      </c>
      <c r="C718" s="13">
        <v>44897</v>
      </c>
      <c r="D718" s="13">
        <v>44897</v>
      </c>
      <c r="E718" s="13">
        <v>44575</v>
      </c>
      <c r="F718" s="13">
        <v>44939</v>
      </c>
      <c r="G718" s="14" t="str">
        <f t="shared" si="239"/>
        <v>000-717/AIB RDC/2022</v>
      </c>
      <c r="H718" s="1">
        <v>1</v>
      </c>
      <c r="I718" s="1" t="s">
        <v>115</v>
      </c>
      <c r="J718" s="16" t="s">
        <v>215</v>
      </c>
      <c r="K718" s="1" t="s">
        <v>216</v>
      </c>
      <c r="L718" s="16" t="s">
        <v>214</v>
      </c>
      <c r="M718" s="16" t="s">
        <v>84</v>
      </c>
      <c r="N718" s="16" t="s">
        <v>209</v>
      </c>
      <c r="O718" s="16" t="s">
        <v>73</v>
      </c>
      <c r="P718" s="16" t="s">
        <v>73</v>
      </c>
      <c r="Q718" s="16" t="s">
        <v>130</v>
      </c>
      <c r="R718" s="16" t="s">
        <v>130</v>
      </c>
      <c r="S718" s="17">
        <v>0</v>
      </c>
      <c r="T718" s="17">
        <v>-9430.89</v>
      </c>
      <c r="U718" s="17">
        <v>0</v>
      </c>
      <c r="V718" s="17">
        <v>0</v>
      </c>
      <c r="W718" s="17">
        <v>0</v>
      </c>
      <c r="X718" s="17">
        <v>-8130.08</v>
      </c>
      <c r="Y718" s="17">
        <v>-1300.81</v>
      </c>
      <c r="Z718" s="18" t="e">
        <f t="shared" si="240"/>
        <v>#DIV/0!</v>
      </c>
      <c r="AA718" s="19">
        <v>0.1</v>
      </c>
      <c r="AB718" s="17">
        <f t="shared" si="236"/>
        <v>-813.00800000000004</v>
      </c>
      <c r="AC718" s="17">
        <v>0</v>
      </c>
      <c r="AD718" s="17">
        <v>0</v>
      </c>
      <c r="AE718" s="17">
        <f t="shared" si="241"/>
        <v>-813.00800000000004</v>
      </c>
      <c r="AF718" s="17">
        <f t="shared" si="237"/>
        <v>-130.08128000000002</v>
      </c>
      <c r="AG718" s="17">
        <f t="shared" si="228"/>
        <v>-943.08928000000003</v>
      </c>
      <c r="AH718" s="17">
        <f t="shared" si="233"/>
        <v>-16.260160000000003</v>
      </c>
      <c r="AI718" s="17">
        <v>0</v>
      </c>
      <c r="AJ718" s="17">
        <f t="shared" si="242"/>
        <v>-16.260160000000003</v>
      </c>
      <c r="AK718" s="20"/>
      <c r="AL718" s="17">
        <f t="shared" si="243"/>
        <v>-796.74784</v>
      </c>
      <c r="AM718" s="17"/>
      <c r="AN718" s="21"/>
      <c r="AO718" s="17">
        <f t="shared" si="244"/>
        <v>0</v>
      </c>
      <c r="AP718" s="27"/>
      <c r="AQ718" s="16"/>
      <c r="AR718" s="17">
        <f t="shared" si="229"/>
        <v>0</v>
      </c>
      <c r="AS718" s="17"/>
      <c r="AT718" s="17">
        <v>-943.08928000000003</v>
      </c>
      <c r="AU718" s="17">
        <f t="shared" si="238"/>
        <v>-943.08928000000003</v>
      </c>
      <c r="AV718" s="17">
        <f t="shared" si="245"/>
        <v>0</v>
      </c>
      <c r="AW718" s="17" t="str">
        <f t="shared" si="231"/>
        <v>SFA</v>
      </c>
      <c r="AX718" s="22">
        <v>44949</v>
      </c>
      <c r="AY718" s="22"/>
      <c r="AZ718" s="1" t="s">
        <v>68</v>
      </c>
      <c r="BA718" s="22" t="str">
        <f t="shared" si="235"/>
        <v>MOTOR TPL</v>
      </c>
      <c r="BB718" s="54"/>
      <c r="BC718" s="22"/>
      <c r="BD718" s="22"/>
    </row>
    <row r="719" spans="1:56" ht="14.25" customHeight="1" x14ac:dyDescent="0.2">
      <c r="A719" s="28" t="s">
        <v>847</v>
      </c>
      <c r="B719" s="28" t="s">
        <v>57</v>
      </c>
      <c r="C719" s="36">
        <v>44869</v>
      </c>
      <c r="D719" s="51">
        <v>44876</v>
      </c>
      <c r="E719" s="36">
        <v>44876</v>
      </c>
      <c r="F719" s="36">
        <v>45213</v>
      </c>
      <c r="G719" s="37" t="str">
        <f t="shared" si="239"/>
        <v>000-718/AIB RDC/2022</v>
      </c>
      <c r="H719" s="28">
        <v>4</v>
      </c>
      <c r="I719" s="28" t="s">
        <v>91</v>
      </c>
      <c r="J719" s="28" t="s">
        <v>999</v>
      </c>
      <c r="K719" s="28" t="s">
        <v>300</v>
      </c>
      <c r="L719" s="28" t="s">
        <v>214</v>
      </c>
      <c r="M719" s="28" t="s">
        <v>84</v>
      </c>
      <c r="N719" s="28" t="s">
        <v>85</v>
      </c>
      <c r="O719" s="28" t="s">
        <v>73</v>
      </c>
      <c r="P719" s="28" t="s">
        <v>73</v>
      </c>
      <c r="Q719" s="28" t="s">
        <v>130</v>
      </c>
      <c r="R719" s="28" t="s">
        <v>130</v>
      </c>
      <c r="S719" s="23">
        <v>0</v>
      </c>
      <c r="T719" s="23">
        <v>3309.26</v>
      </c>
      <c r="U719" s="23">
        <v>0</v>
      </c>
      <c r="V719" s="23">
        <v>0</v>
      </c>
      <c r="W719" s="23">
        <v>41.45</v>
      </c>
      <c r="X719" s="23">
        <v>2763.02</v>
      </c>
      <c r="Y719" s="23">
        <v>448.71</v>
      </c>
      <c r="Z719" s="38" t="e">
        <f t="shared" si="240"/>
        <v>#DIV/0!</v>
      </c>
      <c r="AA719" s="39">
        <v>0.1</v>
      </c>
      <c r="AB719" s="23">
        <f t="shared" si="236"/>
        <v>276.30200000000002</v>
      </c>
      <c r="AC719" s="23">
        <v>0</v>
      </c>
      <c r="AD719" s="23">
        <v>0</v>
      </c>
      <c r="AE719" s="23">
        <f t="shared" si="241"/>
        <v>276.30200000000002</v>
      </c>
      <c r="AF719" s="23">
        <f t="shared" si="237"/>
        <v>44.208320000000008</v>
      </c>
      <c r="AG719" s="23">
        <f t="shared" si="228"/>
        <v>320.51032000000004</v>
      </c>
      <c r="AH719" s="23">
        <f t="shared" si="233"/>
        <v>5.526040000000001</v>
      </c>
      <c r="AI719" s="23"/>
      <c r="AJ719" s="23">
        <f t="shared" si="242"/>
        <v>5.526040000000001</v>
      </c>
      <c r="AK719" s="40"/>
      <c r="AL719" s="23">
        <f t="shared" si="243"/>
        <v>270.77596</v>
      </c>
      <c r="AM719" s="23"/>
      <c r="AN719" s="41"/>
      <c r="AO719" s="23">
        <f t="shared" si="244"/>
        <v>0</v>
      </c>
      <c r="AP719" s="55"/>
      <c r="AQ719" s="29"/>
      <c r="AR719" s="23">
        <f t="shared" si="229"/>
        <v>0</v>
      </c>
      <c r="AS719" s="23"/>
      <c r="AT719" s="23">
        <v>320.51032000000004</v>
      </c>
      <c r="AU719" s="23">
        <f t="shared" si="238"/>
        <v>320.51032000000004</v>
      </c>
      <c r="AV719" s="23">
        <f t="shared" si="245"/>
        <v>0</v>
      </c>
      <c r="AW719" s="23" t="str">
        <f t="shared" si="231"/>
        <v>SFA</v>
      </c>
      <c r="AX719" s="42">
        <v>45005</v>
      </c>
      <c r="AY719" s="42"/>
      <c r="AZ719" s="28"/>
      <c r="BA719" s="42" t="str">
        <f t="shared" ref="BA719:BA741" si="246">O719</f>
        <v>MOTOR TPL</v>
      </c>
      <c r="BB719" s="56"/>
      <c r="BC719" s="42"/>
      <c r="BD719" s="42"/>
    </row>
    <row r="720" spans="1:56" ht="14.25" customHeight="1" x14ac:dyDescent="0.2">
      <c r="A720" s="1" t="s">
        <v>578</v>
      </c>
      <c r="B720" s="1" t="s">
        <v>57</v>
      </c>
      <c r="C720" s="13">
        <v>44811</v>
      </c>
      <c r="D720" s="13">
        <v>44837</v>
      </c>
      <c r="E720" s="13">
        <v>44713</v>
      </c>
      <c r="F720" s="13">
        <v>45077</v>
      </c>
      <c r="G720" s="14" t="str">
        <f t="shared" si="239"/>
        <v>000-719/AIB RDC/2022</v>
      </c>
      <c r="H720" s="1">
        <v>0</v>
      </c>
      <c r="I720" s="1" t="s">
        <v>74</v>
      </c>
      <c r="J720" s="1">
        <v>73200022</v>
      </c>
      <c r="K720" s="1" t="s">
        <v>807</v>
      </c>
      <c r="L720" s="1"/>
      <c r="M720" s="1" t="s">
        <v>95</v>
      </c>
      <c r="N720" s="1" t="s">
        <v>102</v>
      </c>
      <c r="O720" s="1" t="s">
        <v>64</v>
      </c>
      <c r="P720" s="1" t="s">
        <v>65</v>
      </c>
      <c r="Q720" s="1" t="s">
        <v>107</v>
      </c>
      <c r="R720" s="1" t="s">
        <v>107</v>
      </c>
      <c r="S720" s="17">
        <v>0</v>
      </c>
      <c r="T720" s="17"/>
      <c r="U720" s="17">
        <v>0</v>
      </c>
      <c r="V720" s="17">
        <v>0</v>
      </c>
      <c r="W720" s="17"/>
      <c r="X720" s="17">
        <v>100000</v>
      </c>
      <c r="Y720" s="17"/>
      <c r="Z720" s="18" t="e">
        <f t="shared" si="240"/>
        <v>#DIV/0!</v>
      </c>
      <c r="AA720" s="19">
        <v>0.15</v>
      </c>
      <c r="AB720" s="17">
        <f t="shared" si="236"/>
        <v>15000</v>
      </c>
      <c r="AC720" s="17"/>
      <c r="AD720" s="17"/>
      <c r="AE720" s="17">
        <f t="shared" si="241"/>
        <v>15000</v>
      </c>
      <c r="AF720" s="17">
        <f t="shared" si="237"/>
        <v>2400</v>
      </c>
      <c r="AG720" s="17">
        <f t="shared" si="228"/>
        <v>17400</v>
      </c>
      <c r="AH720" s="17">
        <f t="shared" si="233"/>
        <v>300</v>
      </c>
      <c r="AI720" s="17"/>
      <c r="AJ720" s="17">
        <f t="shared" si="242"/>
        <v>300</v>
      </c>
      <c r="AK720" s="20"/>
      <c r="AL720" s="17">
        <f t="shared" si="243"/>
        <v>14700</v>
      </c>
      <c r="AM720" s="17"/>
      <c r="AN720" s="21"/>
      <c r="AO720" s="17">
        <f t="shared" si="244"/>
        <v>0</v>
      </c>
      <c r="AP720" s="17"/>
      <c r="AQ720" s="16"/>
      <c r="AR720" s="17">
        <f t="shared" si="229"/>
        <v>0</v>
      </c>
      <c r="AS720" s="17"/>
      <c r="AT720" s="17">
        <f>3765.92+2194.46+2194.46+1752.09+3669.04+2968.62</f>
        <v>16544.59</v>
      </c>
      <c r="AU720" s="17">
        <f t="shared" si="238"/>
        <v>17400</v>
      </c>
      <c r="AV720" s="84">
        <f t="shared" si="245"/>
        <v>855.40999999999985</v>
      </c>
      <c r="AW720" s="17" t="str">
        <f t="shared" si="231"/>
        <v>RAWSUR</v>
      </c>
      <c r="AX720" s="22">
        <v>45099</v>
      </c>
      <c r="AY720" s="22"/>
      <c r="AZ720" s="1"/>
      <c r="BA720" s="22" t="str">
        <f t="shared" si="246"/>
        <v>MARINE CARGO / GIT</v>
      </c>
      <c r="BB720" s="22"/>
      <c r="BC720" s="22"/>
      <c r="BD720" s="1" t="s">
        <v>806</v>
      </c>
    </row>
    <row r="721" spans="1:56" ht="14.25" customHeight="1" x14ac:dyDescent="0.2">
      <c r="A721" s="1" t="s">
        <v>992</v>
      </c>
      <c r="B721" s="1" t="s">
        <v>57</v>
      </c>
      <c r="C721" s="13">
        <v>44888</v>
      </c>
      <c r="D721" s="13">
        <v>44911</v>
      </c>
      <c r="E721" s="13">
        <v>44915</v>
      </c>
      <c r="F721" s="13">
        <v>45213</v>
      </c>
      <c r="G721" s="14" t="str">
        <f t="shared" si="239"/>
        <v>000-720/AIB RDC/2022</v>
      </c>
      <c r="H721" s="1">
        <v>6</v>
      </c>
      <c r="I721" s="1" t="s">
        <v>91</v>
      </c>
      <c r="J721" s="1" t="s">
        <v>999</v>
      </c>
      <c r="K721" s="1" t="s">
        <v>300</v>
      </c>
      <c r="L721" s="1" t="s">
        <v>214</v>
      </c>
      <c r="M721" s="1" t="s">
        <v>84</v>
      </c>
      <c r="N721" s="1" t="s">
        <v>85</v>
      </c>
      <c r="O721" s="1" t="s">
        <v>73</v>
      </c>
      <c r="P721" s="1" t="s">
        <v>73</v>
      </c>
      <c r="Q721" s="1" t="s">
        <v>130</v>
      </c>
      <c r="R721" s="1" t="s">
        <v>130</v>
      </c>
      <c r="S721" s="17">
        <v>0</v>
      </c>
      <c r="T721" s="17">
        <v>1214.1099999999999</v>
      </c>
      <c r="U721" s="17">
        <v>0</v>
      </c>
      <c r="V721" s="17">
        <v>0</v>
      </c>
      <c r="W721" s="17">
        <v>15.18</v>
      </c>
      <c r="X721" s="17">
        <v>1013.74</v>
      </c>
      <c r="Y721" s="17">
        <v>164.62</v>
      </c>
      <c r="Z721" s="18" t="e">
        <f t="shared" si="240"/>
        <v>#DIV/0!</v>
      </c>
      <c r="AA721" s="19">
        <v>0.1</v>
      </c>
      <c r="AB721" s="17">
        <f t="shared" si="236"/>
        <v>101.37400000000001</v>
      </c>
      <c r="AC721" s="17">
        <v>0</v>
      </c>
      <c r="AD721" s="17">
        <v>0</v>
      </c>
      <c r="AE721" s="17">
        <f t="shared" si="241"/>
        <v>101.37400000000001</v>
      </c>
      <c r="AF721" s="17">
        <f t="shared" si="237"/>
        <v>16.219840000000001</v>
      </c>
      <c r="AG721" s="17">
        <f t="shared" si="228"/>
        <v>117.59384000000001</v>
      </c>
      <c r="AH721" s="17">
        <f t="shared" si="233"/>
        <v>2.0274800000000002</v>
      </c>
      <c r="AI721" s="17"/>
      <c r="AJ721" s="17">
        <f t="shared" si="242"/>
        <v>2.0274800000000002</v>
      </c>
      <c r="AK721" s="20"/>
      <c r="AL721" s="17">
        <f t="shared" si="243"/>
        <v>99.346520000000012</v>
      </c>
      <c r="AM721" s="17"/>
      <c r="AN721" s="21"/>
      <c r="AO721" s="17">
        <f t="shared" si="244"/>
        <v>0</v>
      </c>
      <c r="AP721" s="27"/>
      <c r="AQ721" s="16"/>
      <c r="AR721" s="17">
        <f t="shared" si="229"/>
        <v>0</v>
      </c>
      <c r="AS721" s="17"/>
      <c r="AT721" s="17">
        <v>117.59384000000001</v>
      </c>
      <c r="AU721" s="17">
        <f t="shared" si="238"/>
        <v>117.59384000000001</v>
      </c>
      <c r="AV721" s="17">
        <f t="shared" si="245"/>
        <v>0</v>
      </c>
      <c r="AW721" s="17" t="str">
        <f t="shared" si="231"/>
        <v>SFA</v>
      </c>
      <c r="AX721" s="22">
        <v>44949</v>
      </c>
      <c r="AY721" s="22"/>
      <c r="AZ721" s="1"/>
      <c r="BA721" s="22" t="str">
        <f t="shared" si="246"/>
        <v>MOTOR TPL</v>
      </c>
      <c r="BB721" s="54"/>
      <c r="BC721" s="22"/>
      <c r="BD721" s="22"/>
    </row>
    <row r="722" spans="1:56" ht="14.25" customHeight="1" x14ac:dyDescent="0.2">
      <c r="A722" s="1" t="s">
        <v>847</v>
      </c>
      <c r="B722" s="1" t="s">
        <v>57</v>
      </c>
      <c r="C722" s="13">
        <v>44849</v>
      </c>
      <c r="D722" s="13">
        <v>44867</v>
      </c>
      <c r="E722" s="13">
        <v>44868</v>
      </c>
      <c r="F722" s="13">
        <v>45232</v>
      </c>
      <c r="G722" s="14" t="str">
        <f t="shared" si="239"/>
        <v>000-721/AIB RDC/2022</v>
      </c>
      <c r="H722" s="1">
        <v>0</v>
      </c>
      <c r="I722" s="1" t="s">
        <v>74</v>
      </c>
      <c r="J722" s="1" t="s">
        <v>1047</v>
      </c>
      <c r="K722" s="1" t="s">
        <v>1048</v>
      </c>
      <c r="L722" s="1" t="s">
        <v>1049</v>
      </c>
      <c r="M722" s="1" t="s">
        <v>84</v>
      </c>
      <c r="N722" s="1" t="s">
        <v>106</v>
      </c>
      <c r="O722" s="1" t="s">
        <v>73</v>
      </c>
      <c r="P722" s="1" t="s">
        <v>73</v>
      </c>
      <c r="Q722" s="1" t="s">
        <v>130</v>
      </c>
      <c r="R722" s="1" t="s">
        <v>130</v>
      </c>
      <c r="S722" s="17">
        <v>0</v>
      </c>
      <c r="T722" s="17">
        <v>250</v>
      </c>
      <c r="U722" s="17">
        <v>0</v>
      </c>
      <c r="V722" s="17">
        <v>0</v>
      </c>
      <c r="W722" s="17">
        <v>3.13</v>
      </c>
      <c r="X722" s="17">
        <v>208.73</v>
      </c>
      <c r="Y722" s="17">
        <v>33.9</v>
      </c>
      <c r="Z722" s="18" t="e">
        <f t="shared" si="240"/>
        <v>#DIV/0!</v>
      </c>
      <c r="AA722" s="19">
        <v>0.125</v>
      </c>
      <c r="AB722" s="17">
        <f t="shared" si="236"/>
        <v>26.091249999999999</v>
      </c>
      <c r="AC722" s="17">
        <v>0</v>
      </c>
      <c r="AD722" s="17">
        <v>0</v>
      </c>
      <c r="AE722" s="17">
        <f t="shared" si="241"/>
        <v>26.091249999999999</v>
      </c>
      <c r="AF722" s="17">
        <f t="shared" si="237"/>
        <v>4.1745999999999999</v>
      </c>
      <c r="AG722" s="17">
        <f t="shared" si="228"/>
        <v>30.26585</v>
      </c>
      <c r="AH722" s="17">
        <f t="shared" si="233"/>
        <v>0.52182499999999998</v>
      </c>
      <c r="AI722" s="17"/>
      <c r="AJ722" s="17">
        <f t="shared" si="242"/>
        <v>0.52182499999999998</v>
      </c>
      <c r="AK722" s="20"/>
      <c r="AL722" s="17">
        <f t="shared" si="243"/>
        <v>25.569424999999999</v>
      </c>
      <c r="AM722" s="17"/>
      <c r="AN722" s="21"/>
      <c r="AO722" s="17">
        <f t="shared" si="244"/>
        <v>0</v>
      </c>
      <c r="AP722" s="27"/>
      <c r="AQ722" s="16"/>
      <c r="AR722" s="17">
        <f t="shared" si="229"/>
        <v>0</v>
      </c>
      <c r="AS722" s="17"/>
      <c r="AT722" s="17">
        <v>30.26585</v>
      </c>
      <c r="AU722" s="17">
        <f t="shared" si="238"/>
        <v>30.26585</v>
      </c>
      <c r="AV722" s="17">
        <f t="shared" si="245"/>
        <v>0</v>
      </c>
      <c r="AW722" s="17" t="str">
        <f t="shared" si="231"/>
        <v>SFA</v>
      </c>
      <c r="AX722" s="22">
        <v>44911</v>
      </c>
      <c r="AY722" s="22"/>
      <c r="AZ722" s="1"/>
      <c r="BA722" s="22" t="str">
        <f t="shared" si="246"/>
        <v>MOTOR TPL</v>
      </c>
      <c r="BB722" s="54"/>
      <c r="BC722" s="22"/>
      <c r="BD722" s="22"/>
    </row>
    <row r="723" spans="1:56" ht="14.25" customHeight="1" x14ac:dyDescent="0.2">
      <c r="A723" s="1" t="s">
        <v>847</v>
      </c>
      <c r="B723" s="1" t="s">
        <v>57</v>
      </c>
      <c r="C723" s="13">
        <v>44876</v>
      </c>
      <c r="D723" s="50">
        <v>44888</v>
      </c>
      <c r="E723" s="13">
        <v>44872</v>
      </c>
      <c r="F723" s="13">
        <v>45004</v>
      </c>
      <c r="G723" s="14" t="str">
        <f t="shared" si="239"/>
        <v>000-722/AIB RDC/2022</v>
      </c>
      <c r="H723" s="1">
        <v>3</v>
      </c>
      <c r="I723" s="1" t="s">
        <v>91</v>
      </c>
      <c r="J723" s="1" t="s">
        <v>897</v>
      </c>
      <c r="K723" s="1" t="s">
        <v>335</v>
      </c>
      <c r="L723" s="1" t="s">
        <v>214</v>
      </c>
      <c r="M723" s="1" t="s">
        <v>84</v>
      </c>
      <c r="N723" s="1" t="s">
        <v>85</v>
      </c>
      <c r="O723" s="1" t="s">
        <v>192</v>
      </c>
      <c r="P723" s="1" t="s">
        <v>98</v>
      </c>
      <c r="Q723" s="1" t="s">
        <v>130</v>
      </c>
      <c r="R723" s="1" t="s">
        <v>130</v>
      </c>
      <c r="S723" s="17">
        <v>0</v>
      </c>
      <c r="T723" s="17">
        <v>613.6</v>
      </c>
      <c r="U723" s="17">
        <v>0</v>
      </c>
      <c r="V723" s="17">
        <v>0</v>
      </c>
      <c r="W723" s="17">
        <v>20</v>
      </c>
      <c r="X723" s="17">
        <v>500</v>
      </c>
      <c r="Y723" s="17">
        <v>83.2</v>
      </c>
      <c r="Z723" s="18" t="e">
        <f t="shared" si="240"/>
        <v>#DIV/0!</v>
      </c>
      <c r="AA723" s="19">
        <v>0.1</v>
      </c>
      <c r="AB723" s="17">
        <f t="shared" si="236"/>
        <v>50</v>
      </c>
      <c r="AC723" s="17">
        <v>0</v>
      </c>
      <c r="AD723" s="17">
        <v>0</v>
      </c>
      <c r="AE723" s="17">
        <f t="shared" si="241"/>
        <v>50</v>
      </c>
      <c r="AF723" s="17">
        <f t="shared" si="237"/>
        <v>8</v>
      </c>
      <c r="AG723" s="17">
        <f t="shared" si="228"/>
        <v>58</v>
      </c>
      <c r="AH723" s="17">
        <f t="shared" si="233"/>
        <v>1</v>
      </c>
      <c r="AI723" s="17"/>
      <c r="AJ723" s="17">
        <f t="shared" si="242"/>
        <v>1</v>
      </c>
      <c r="AK723" s="20"/>
      <c r="AL723" s="17">
        <f t="shared" si="243"/>
        <v>49</v>
      </c>
      <c r="AM723" s="17" t="s">
        <v>430</v>
      </c>
      <c r="AN723" s="21">
        <v>0.5</v>
      </c>
      <c r="AO723" s="17">
        <f t="shared" si="244"/>
        <v>24.5</v>
      </c>
      <c r="AP723" s="27">
        <v>24.5</v>
      </c>
      <c r="AQ723" s="16">
        <v>45222</v>
      </c>
      <c r="AR723" s="17">
        <f t="shared" si="229"/>
        <v>0</v>
      </c>
      <c r="AS723" s="17"/>
      <c r="AT723" s="17">
        <v>58</v>
      </c>
      <c r="AU723" s="17">
        <f t="shared" si="238"/>
        <v>58</v>
      </c>
      <c r="AV723" s="17">
        <f t="shared" si="245"/>
        <v>0</v>
      </c>
      <c r="AW723" s="17" t="str">
        <f t="shared" si="231"/>
        <v>SFA</v>
      </c>
      <c r="AX723" s="22">
        <v>44911</v>
      </c>
      <c r="AY723" s="22"/>
      <c r="AZ723" s="1" t="s">
        <v>145</v>
      </c>
      <c r="BA723" s="22" t="str">
        <f t="shared" si="246"/>
        <v>GPA</v>
      </c>
      <c r="BB723" s="54"/>
      <c r="BC723" s="22"/>
      <c r="BD723" s="22"/>
    </row>
    <row r="724" spans="1:56" ht="14.25" customHeight="1" x14ac:dyDescent="0.2">
      <c r="A724" s="1" t="s">
        <v>667</v>
      </c>
      <c r="B724" s="1" t="s">
        <v>57</v>
      </c>
      <c r="C724" s="13">
        <v>44873</v>
      </c>
      <c r="D724" s="13">
        <v>44856</v>
      </c>
      <c r="E724" s="13">
        <v>44856</v>
      </c>
      <c r="F724" s="13">
        <v>44945</v>
      </c>
      <c r="G724" s="14" t="str">
        <f t="shared" si="239"/>
        <v>000-723/AIB RDC/2022</v>
      </c>
      <c r="H724" s="1">
        <v>19</v>
      </c>
      <c r="I724" s="1" t="s">
        <v>91</v>
      </c>
      <c r="J724" s="1" t="s">
        <v>221</v>
      </c>
      <c r="K724" s="1" t="s">
        <v>222</v>
      </c>
      <c r="L724" s="1" t="s">
        <v>160</v>
      </c>
      <c r="M724" s="1" t="s">
        <v>105</v>
      </c>
      <c r="N724" s="1" t="s">
        <v>184</v>
      </c>
      <c r="O724" s="1" t="s">
        <v>73</v>
      </c>
      <c r="P724" s="1" t="s">
        <v>73</v>
      </c>
      <c r="Q724" s="1" t="s">
        <v>130</v>
      </c>
      <c r="R724" s="1" t="s">
        <v>130</v>
      </c>
      <c r="S724" s="17">
        <v>0</v>
      </c>
      <c r="T724" s="17">
        <v>166.2</v>
      </c>
      <c r="U724" s="17">
        <v>0</v>
      </c>
      <c r="V724" s="17">
        <v>0</v>
      </c>
      <c r="W724" s="17">
        <v>2.08</v>
      </c>
      <c r="X724" s="17">
        <v>138.78</v>
      </c>
      <c r="Y724" s="17">
        <v>22.53</v>
      </c>
      <c r="Z724" s="18" t="e">
        <f t="shared" si="240"/>
        <v>#DIV/0!</v>
      </c>
      <c r="AA724" s="19">
        <v>0.1</v>
      </c>
      <c r="AB724" s="17">
        <f t="shared" si="236"/>
        <v>13.878</v>
      </c>
      <c r="AC724" s="17">
        <v>0</v>
      </c>
      <c r="AD724" s="17">
        <v>0</v>
      </c>
      <c r="AE724" s="17">
        <f t="shared" si="241"/>
        <v>13.878</v>
      </c>
      <c r="AF724" s="17">
        <f t="shared" si="237"/>
        <v>2.2204800000000002</v>
      </c>
      <c r="AG724" s="17">
        <f t="shared" si="228"/>
        <v>16.098480000000002</v>
      </c>
      <c r="AH724" s="17">
        <f t="shared" si="233"/>
        <v>0.27756000000000003</v>
      </c>
      <c r="AI724" s="17">
        <v>0</v>
      </c>
      <c r="AJ724" s="17">
        <f t="shared" si="242"/>
        <v>0.27756000000000003</v>
      </c>
      <c r="AK724" s="20"/>
      <c r="AL724" s="17">
        <f t="shared" si="243"/>
        <v>13.600440000000001</v>
      </c>
      <c r="AM724" s="17"/>
      <c r="AN724" s="21"/>
      <c r="AO724" s="17">
        <f t="shared" si="244"/>
        <v>0</v>
      </c>
      <c r="AP724" s="27"/>
      <c r="AQ724" s="16"/>
      <c r="AR724" s="17">
        <f t="shared" si="229"/>
        <v>0</v>
      </c>
      <c r="AS724" s="17"/>
      <c r="AT724" s="17">
        <v>16.098480000000002</v>
      </c>
      <c r="AU724" s="17">
        <f t="shared" si="238"/>
        <v>16.098480000000002</v>
      </c>
      <c r="AV724" s="17">
        <f t="shared" si="245"/>
        <v>0</v>
      </c>
      <c r="AW724" s="17" t="str">
        <f t="shared" si="231"/>
        <v>SFA</v>
      </c>
      <c r="AX724" s="22">
        <v>44887</v>
      </c>
      <c r="AY724" s="22"/>
      <c r="AZ724" s="1" t="s">
        <v>68</v>
      </c>
      <c r="BA724" s="22" t="str">
        <f t="shared" si="246"/>
        <v>MOTOR TPL</v>
      </c>
      <c r="BB724" s="54"/>
      <c r="BC724" s="22"/>
      <c r="BD724" s="22"/>
    </row>
    <row r="725" spans="1:56" ht="14.25" customHeight="1" x14ac:dyDescent="0.2">
      <c r="A725" s="28" t="s">
        <v>847</v>
      </c>
      <c r="B725" s="28" t="s">
        <v>273</v>
      </c>
      <c r="C725" s="36">
        <v>44887</v>
      </c>
      <c r="D725" s="28"/>
      <c r="E725" s="36">
        <v>44882</v>
      </c>
      <c r="F725" s="36">
        <v>44957</v>
      </c>
      <c r="G725" s="37" t="str">
        <f t="shared" si="239"/>
        <v>000-724/AIB RDC/2022</v>
      </c>
      <c r="H725" s="28">
        <v>24</v>
      </c>
      <c r="I725" s="28" t="s">
        <v>91</v>
      </c>
      <c r="J725" s="28" t="s">
        <v>284</v>
      </c>
      <c r="K725" s="28" t="s">
        <v>285</v>
      </c>
      <c r="L725" s="28" t="s">
        <v>83</v>
      </c>
      <c r="M725" s="28" t="s">
        <v>84</v>
      </c>
      <c r="N725" s="28" t="s">
        <v>694</v>
      </c>
      <c r="O725" s="28" t="s">
        <v>152</v>
      </c>
      <c r="P725" s="28" t="s">
        <v>153</v>
      </c>
      <c r="Q725" s="28" t="s">
        <v>66</v>
      </c>
      <c r="R725" s="28" t="s">
        <v>66</v>
      </c>
      <c r="S725" s="23">
        <v>29692</v>
      </c>
      <c r="T725" s="23">
        <v>306.93</v>
      </c>
      <c r="U725" s="23">
        <v>0</v>
      </c>
      <c r="V725" s="23">
        <v>0</v>
      </c>
      <c r="W725" s="23">
        <v>10</v>
      </c>
      <c r="X725" s="23">
        <v>261.98</v>
      </c>
      <c r="Y725" s="23">
        <v>42.34</v>
      </c>
      <c r="Z725" s="38">
        <f t="shared" si="240"/>
        <v>1.0337127845884414E-2</v>
      </c>
      <c r="AA725" s="39">
        <v>0.15</v>
      </c>
      <c r="AB725" s="23">
        <f t="shared" si="236"/>
        <v>39.297000000000004</v>
      </c>
      <c r="AC725" s="23">
        <v>0</v>
      </c>
      <c r="AD725" s="23">
        <f>3%*X725</f>
        <v>7.8593999999999999</v>
      </c>
      <c r="AE725" s="23">
        <f t="shared" si="241"/>
        <v>47.156400000000005</v>
      </c>
      <c r="AF725" s="23">
        <f t="shared" si="237"/>
        <v>7.5450240000000006</v>
      </c>
      <c r="AG725" s="23">
        <f t="shared" si="228"/>
        <v>54.701424000000003</v>
      </c>
      <c r="AH725" s="23">
        <f t="shared" si="233"/>
        <v>0.94312800000000008</v>
      </c>
      <c r="AI725" s="23">
        <v>0</v>
      </c>
      <c r="AJ725" s="23">
        <f t="shared" si="242"/>
        <v>0.94312800000000008</v>
      </c>
      <c r="AK725" s="40"/>
      <c r="AL725" s="23">
        <f t="shared" si="243"/>
        <v>46.213272000000003</v>
      </c>
      <c r="AM725" s="23" t="s">
        <v>198</v>
      </c>
      <c r="AN725" s="41"/>
      <c r="AO725" s="23">
        <f t="shared" si="244"/>
        <v>0</v>
      </c>
      <c r="AP725" s="55"/>
      <c r="AQ725" s="29"/>
      <c r="AR725" s="23">
        <f t="shared" si="229"/>
        <v>0</v>
      </c>
      <c r="AS725" s="23"/>
      <c r="AT725" s="23">
        <f>45.58+9.12</f>
        <v>54.699999999999996</v>
      </c>
      <c r="AU725" s="23">
        <f t="shared" si="238"/>
        <v>54.701424000000003</v>
      </c>
      <c r="AV725" s="23">
        <f t="shared" si="245"/>
        <v>1.4240000000071973E-3</v>
      </c>
      <c r="AW725" s="23" t="str">
        <f t="shared" si="231"/>
        <v>ACTIVA</v>
      </c>
      <c r="AX725" s="42">
        <v>45168</v>
      </c>
      <c r="AY725" s="42"/>
      <c r="AZ725" s="28" t="s">
        <v>68</v>
      </c>
      <c r="BA725" s="42" t="str">
        <f t="shared" si="246"/>
        <v>COMP MOTOR</v>
      </c>
      <c r="BB725" s="23"/>
      <c r="BC725" s="42"/>
      <c r="BD725" s="28" t="s">
        <v>591</v>
      </c>
    </row>
    <row r="726" spans="1:56" ht="14.25" customHeight="1" x14ac:dyDescent="0.2">
      <c r="A726" s="28" t="s">
        <v>847</v>
      </c>
      <c r="B726" s="28" t="s">
        <v>273</v>
      </c>
      <c r="C726" s="36">
        <v>44895</v>
      </c>
      <c r="D726" s="28"/>
      <c r="E726" s="36">
        <v>44895</v>
      </c>
      <c r="F726" s="36">
        <v>44957</v>
      </c>
      <c r="G726" s="37" t="str">
        <f t="shared" si="239"/>
        <v>000-725/AIB RDC/2022</v>
      </c>
      <c r="H726" s="28">
        <v>25</v>
      </c>
      <c r="I726" s="28" t="s">
        <v>91</v>
      </c>
      <c r="J726" s="28" t="s">
        <v>284</v>
      </c>
      <c r="K726" s="28" t="s">
        <v>285</v>
      </c>
      <c r="L726" s="28" t="s">
        <v>83</v>
      </c>
      <c r="M726" s="28" t="s">
        <v>84</v>
      </c>
      <c r="N726" s="28" t="s">
        <v>694</v>
      </c>
      <c r="O726" s="28" t="s">
        <v>152</v>
      </c>
      <c r="P726" s="28" t="s">
        <v>153</v>
      </c>
      <c r="Q726" s="28" t="s">
        <v>66</v>
      </c>
      <c r="R726" s="28" t="s">
        <v>66</v>
      </c>
      <c r="S726" s="23">
        <v>65542</v>
      </c>
      <c r="T726" s="23">
        <v>558.94000000000005</v>
      </c>
      <c r="U726" s="23">
        <v>0</v>
      </c>
      <c r="V726" s="23">
        <v>0</v>
      </c>
      <c r="W726" s="23">
        <v>10</v>
      </c>
      <c r="X726" s="23">
        <v>471.84</v>
      </c>
      <c r="Y726" s="23">
        <v>77.09</v>
      </c>
      <c r="Z726" s="38">
        <f t="shared" si="240"/>
        <v>8.5279667999145596E-3</v>
      </c>
      <c r="AA726" s="39">
        <v>0.15</v>
      </c>
      <c r="AB726" s="23">
        <f t="shared" si="236"/>
        <v>70.775999999999996</v>
      </c>
      <c r="AC726" s="23">
        <v>0</v>
      </c>
      <c r="AD726" s="23">
        <f>3%*X726</f>
        <v>14.155199999999999</v>
      </c>
      <c r="AE726" s="23">
        <f t="shared" si="241"/>
        <v>84.93119999999999</v>
      </c>
      <c r="AF726" s="23">
        <f t="shared" si="237"/>
        <v>13.588991999999999</v>
      </c>
      <c r="AG726" s="23">
        <f t="shared" ref="AG726:AG789" si="247">AF726+AE726</f>
        <v>98.520191999999994</v>
      </c>
      <c r="AH726" s="23">
        <f t="shared" si="233"/>
        <v>1.6986239999999999</v>
      </c>
      <c r="AI726" s="23">
        <v>0</v>
      </c>
      <c r="AJ726" s="23">
        <f t="shared" si="242"/>
        <v>1.6986239999999999</v>
      </c>
      <c r="AK726" s="40"/>
      <c r="AL726" s="23">
        <f t="shared" si="243"/>
        <v>83.232575999999995</v>
      </c>
      <c r="AM726" s="23" t="s">
        <v>198</v>
      </c>
      <c r="AN726" s="41"/>
      <c r="AO726" s="23">
        <f t="shared" si="244"/>
        <v>0</v>
      </c>
      <c r="AP726" s="55"/>
      <c r="AQ726" s="29"/>
      <c r="AR726" s="23">
        <f t="shared" si="229"/>
        <v>0</v>
      </c>
      <c r="AS726" s="23"/>
      <c r="AT726" s="23">
        <v>98.520191999999994</v>
      </c>
      <c r="AU726" s="23">
        <f t="shared" si="238"/>
        <v>98.520191999999994</v>
      </c>
      <c r="AV726" s="23">
        <f t="shared" si="245"/>
        <v>0</v>
      </c>
      <c r="AW726" s="23" t="str">
        <f t="shared" si="231"/>
        <v>ACTIVA</v>
      </c>
      <c r="AX726" s="42">
        <v>45152</v>
      </c>
      <c r="AY726" s="42"/>
      <c r="AZ726" s="28" t="s">
        <v>68</v>
      </c>
      <c r="BA726" s="42" t="str">
        <f t="shared" si="246"/>
        <v>COMP MOTOR</v>
      </c>
      <c r="BB726" s="56"/>
      <c r="BC726" s="42"/>
      <c r="BD726" s="28" t="s">
        <v>906</v>
      </c>
    </row>
    <row r="727" spans="1:56" ht="14.25" customHeight="1" x14ac:dyDescent="0.2">
      <c r="A727" s="1" t="s">
        <v>847</v>
      </c>
      <c r="B727" s="1" t="s">
        <v>273</v>
      </c>
      <c r="C727" s="13">
        <v>44882</v>
      </c>
      <c r="D727" s="50">
        <v>44882</v>
      </c>
      <c r="E727" s="13">
        <v>44880</v>
      </c>
      <c r="F727" s="13">
        <v>45244</v>
      </c>
      <c r="G727" s="14" t="str">
        <f t="shared" si="239"/>
        <v>000-726/AIB RDC/2022</v>
      </c>
      <c r="H727" s="1">
        <v>0</v>
      </c>
      <c r="I727" s="1" t="s">
        <v>74</v>
      </c>
      <c r="J727" s="1" t="s">
        <v>1050</v>
      </c>
      <c r="K727" s="1" t="s">
        <v>216</v>
      </c>
      <c r="L727" s="1" t="s">
        <v>214</v>
      </c>
      <c r="M727" s="1" t="s">
        <v>84</v>
      </c>
      <c r="N727" s="1" t="s">
        <v>85</v>
      </c>
      <c r="O727" s="1" t="s">
        <v>165</v>
      </c>
      <c r="P727" s="1" t="s">
        <v>166</v>
      </c>
      <c r="Q727" s="1" t="s">
        <v>107</v>
      </c>
      <c r="R727" s="1" t="s">
        <v>666</v>
      </c>
      <c r="S727" s="17">
        <v>2933200000</v>
      </c>
      <c r="T727" s="17">
        <v>3627914.39</v>
      </c>
      <c r="U727" s="17">
        <v>199967.72</v>
      </c>
      <c r="V727" s="17">
        <v>0</v>
      </c>
      <c r="W727" s="17">
        <v>0</v>
      </c>
      <c r="X727" s="17">
        <v>2299628.7999999998</v>
      </c>
      <c r="Y727" s="17">
        <v>491920.6</v>
      </c>
      <c r="Z727" s="18">
        <f t="shared" si="240"/>
        <v>1.2368452168280376E-3</v>
      </c>
      <c r="AA727" s="19">
        <v>7.4999999999999997E-2</v>
      </c>
      <c r="AB727" s="17">
        <v>43118.04</v>
      </c>
      <c r="AC727" s="17">
        <f>30%*U727</f>
        <v>59990.315999999999</v>
      </c>
      <c r="AD727" s="17">
        <v>0</v>
      </c>
      <c r="AE727" s="17">
        <f t="shared" si="241"/>
        <v>103108.356</v>
      </c>
      <c r="AF727" s="17">
        <f t="shared" ref="AF727:AF758" si="248">16%*AE727</f>
        <v>16497.336960000001</v>
      </c>
      <c r="AG727" s="17">
        <f t="shared" si="247"/>
        <v>119605.69296</v>
      </c>
      <c r="AH727" s="17">
        <f t="shared" si="233"/>
        <v>2062.1671200000001</v>
      </c>
      <c r="AI727" s="17"/>
      <c r="AJ727" s="17">
        <f t="shared" si="242"/>
        <v>2062.1671200000001</v>
      </c>
      <c r="AK727" s="20"/>
      <c r="AL727" s="17">
        <f t="shared" si="243"/>
        <v>101046.18888</v>
      </c>
      <c r="AM727" s="17" t="s">
        <v>198</v>
      </c>
      <c r="AN727" s="21"/>
      <c r="AO727" s="17">
        <f t="shared" si="244"/>
        <v>0</v>
      </c>
      <c r="AP727" s="27"/>
      <c r="AQ727" s="16"/>
      <c r="AR727" s="17">
        <f t="shared" si="229"/>
        <v>0</v>
      </c>
      <c r="AS727" s="17"/>
      <c r="AT727" s="17">
        <v>119605.69296</v>
      </c>
      <c r="AU727" s="17">
        <f t="shared" si="238"/>
        <v>119605.69296</v>
      </c>
      <c r="AV727" s="17">
        <f t="shared" si="245"/>
        <v>0</v>
      </c>
      <c r="AW727" s="17" t="str">
        <f t="shared" si="231"/>
        <v>RAWSUR</v>
      </c>
      <c r="AX727" s="22">
        <v>44946</v>
      </c>
      <c r="AY727" s="22"/>
      <c r="AZ727" s="1"/>
      <c r="BA727" s="22" t="str">
        <f t="shared" si="246"/>
        <v>CAR</v>
      </c>
      <c r="BB727" s="54"/>
      <c r="BC727" s="22"/>
      <c r="BD727" s="1" t="s">
        <v>1051</v>
      </c>
    </row>
    <row r="728" spans="1:56" ht="14.25" customHeight="1" x14ac:dyDescent="0.2">
      <c r="A728" s="1" t="s">
        <v>992</v>
      </c>
      <c r="B728" s="1" t="s">
        <v>57</v>
      </c>
      <c r="C728" s="13">
        <v>44893</v>
      </c>
      <c r="D728" s="13">
        <v>44896</v>
      </c>
      <c r="E728" s="13">
        <v>44896</v>
      </c>
      <c r="F728" s="13">
        <v>45260</v>
      </c>
      <c r="G728" s="14" t="str">
        <f t="shared" si="239"/>
        <v>000-727/AIB RDC/2022</v>
      </c>
      <c r="H728" s="1">
        <v>0</v>
      </c>
      <c r="I728" s="1" t="s">
        <v>74</v>
      </c>
      <c r="J728" s="1" t="s">
        <v>1052</v>
      </c>
      <c r="K728" s="1" t="s">
        <v>1053</v>
      </c>
      <c r="L728" s="1"/>
      <c r="M728" s="1" t="s">
        <v>84</v>
      </c>
      <c r="N728" s="1" t="s">
        <v>106</v>
      </c>
      <c r="O728" s="1" t="s">
        <v>73</v>
      </c>
      <c r="P728" s="1" t="s">
        <v>73</v>
      </c>
      <c r="Q728" s="1" t="s">
        <v>107</v>
      </c>
      <c r="R728" s="1" t="s">
        <v>107</v>
      </c>
      <c r="S728" s="17">
        <v>0</v>
      </c>
      <c r="T728" s="17">
        <v>1624.86</v>
      </c>
      <c r="U728" s="17">
        <v>0</v>
      </c>
      <c r="V728" s="17">
        <v>0</v>
      </c>
      <c r="W728" s="17">
        <v>170</v>
      </c>
      <c r="X728" s="17">
        <v>1207</v>
      </c>
      <c r="Y728" s="17">
        <v>220.32</v>
      </c>
      <c r="Z728" s="18" t="e">
        <f t="shared" si="240"/>
        <v>#DIV/0!</v>
      </c>
      <c r="AA728" s="19">
        <v>0.1</v>
      </c>
      <c r="AB728" s="17">
        <f t="shared" ref="AB728:AB735" si="249">(AA728*X728)</f>
        <v>120.7</v>
      </c>
      <c r="AC728" s="17">
        <v>0</v>
      </c>
      <c r="AD728" s="17">
        <v>0</v>
      </c>
      <c r="AE728" s="17">
        <f t="shared" si="241"/>
        <v>120.7</v>
      </c>
      <c r="AF728" s="17">
        <f t="shared" si="248"/>
        <v>19.312000000000001</v>
      </c>
      <c r="AG728" s="17">
        <f t="shared" si="247"/>
        <v>140.012</v>
      </c>
      <c r="AH728" s="17">
        <f t="shared" si="233"/>
        <v>2.4140000000000001</v>
      </c>
      <c r="AI728" s="17">
        <v>0</v>
      </c>
      <c r="AJ728" s="17">
        <f t="shared" si="242"/>
        <v>2.4140000000000001</v>
      </c>
      <c r="AK728" s="20"/>
      <c r="AL728" s="17">
        <f t="shared" si="243"/>
        <v>118.286</v>
      </c>
      <c r="AM728" s="17" t="s">
        <v>80</v>
      </c>
      <c r="AN728" s="21">
        <v>0</v>
      </c>
      <c r="AO728" s="23">
        <f t="shared" si="244"/>
        <v>0</v>
      </c>
      <c r="AP728" s="27"/>
      <c r="AQ728" s="16"/>
      <c r="AR728" s="17">
        <f t="shared" si="229"/>
        <v>0</v>
      </c>
      <c r="AS728" s="17"/>
      <c r="AT728" s="17">
        <v>140.012</v>
      </c>
      <c r="AU728" s="17">
        <f t="shared" si="238"/>
        <v>140.012</v>
      </c>
      <c r="AV728" s="17">
        <f t="shared" si="245"/>
        <v>0</v>
      </c>
      <c r="AW728" s="17" t="str">
        <f t="shared" si="231"/>
        <v>RAWSUR</v>
      </c>
      <c r="AX728" s="22">
        <v>44946</v>
      </c>
      <c r="AY728" s="22"/>
      <c r="AZ728" s="1"/>
      <c r="BA728" s="22" t="str">
        <f t="shared" si="246"/>
        <v>MOTOR TPL</v>
      </c>
      <c r="BB728" s="54"/>
      <c r="BC728" s="22"/>
      <c r="BD728" s="1"/>
    </row>
    <row r="729" spans="1:56" ht="14.25" customHeight="1" x14ac:dyDescent="0.2">
      <c r="A729" s="1" t="s">
        <v>992</v>
      </c>
      <c r="B729" s="1" t="s">
        <v>57</v>
      </c>
      <c r="C729" s="13">
        <v>44824</v>
      </c>
      <c r="D729" s="13">
        <v>44896</v>
      </c>
      <c r="E729" s="13">
        <v>44896</v>
      </c>
      <c r="F729" s="13">
        <v>45260</v>
      </c>
      <c r="G729" s="14" t="str">
        <f t="shared" si="239"/>
        <v>000-728/AIB RDC/2022</v>
      </c>
      <c r="H729" s="1">
        <v>0</v>
      </c>
      <c r="I729" s="1" t="s">
        <v>74</v>
      </c>
      <c r="J729" s="1" t="s">
        <v>1054</v>
      </c>
      <c r="K729" s="1" t="s">
        <v>1053</v>
      </c>
      <c r="L729" s="1"/>
      <c r="M729" s="1" t="s">
        <v>84</v>
      </c>
      <c r="N729" s="1" t="s">
        <v>106</v>
      </c>
      <c r="O729" s="1" t="s">
        <v>152</v>
      </c>
      <c r="P729" s="1" t="s">
        <v>153</v>
      </c>
      <c r="Q729" s="1" t="s">
        <v>107</v>
      </c>
      <c r="R729" s="1" t="s">
        <v>107</v>
      </c>
      <c r="S729" s="17">
        <v>0</v>
      </c>
      <c r="T729" s="17">
        <v>5572.02</v>
      </c>
      <c r="U729" s="17">
        <v>0</v>
      </c>
      <c r="V729" s="17">
        <v>0</v>
      </c>
      <c r="W729" s="17">
        <v>20</v>
      </c>
      <c r="X729" s="17">
        <v>4702.08</v>
      </c>
      <c r="Y729" s="17">
        <v>755.52</v>
      </c>
      <c r="Z729" s="18" t="e">
        <f t="shared" si="240"/>
        <v>#DIV/0!</v>
      </c>
      <c r="AA729" s="19">
        <v>0.15</v>
      </c>
      <c r="AB729" s="17">
        <f t="shared" si="249"/>
        <v>705.31200000000001</v>
      </c>
      <c r="AC729" s="17">
        <v>0</v>
      </c>
      <c r="AD729" s="17">
        <v>0</v>
      </c>
      <c r="AE729" s="17">
        <f t="shared" si="241"/>
        <v>705.31200000000001</v>
      </c>
      <c r="AF729" s="17">
        <f t="shared" si="248"/>
        <v>112.84992</v>
      </c>
      <c r="AG729" s="17">
        <f t="shared" si="247"/>
        <v>818.16192000000001</v>
      </c>
      <c r="AH729" s="17">
        <f t="shared" si="233"/>
        <v>14.10624</v>
      </c>
      <c r="AI729" s="17">
        <v>0</v>
      </c>
      <c r="AJ729" s="17">
        <f t="shared" si="242"/>
        <v>14.10624</v>
      </c>
      <c r="AK729" s="20"/>
      <c r="AL729" s="17">
        <f t="shared" si="243"/>
        <v>691.20576000000005</v>
      </c>
      <c r="AM729" s="17" t="s">
        <v>80</v>
      </c>
      <c r="AN729" s="21">
        <v>0</v>
      </c>
      <c r="AO729" s="23">
        <f t="shared" si="244"/>
        <v>0</v>
      </c>
      <c r="AP729" s="27"/>
      <c r="AQ729" s="16"/>
      <c r="AR729" s="17">
        <f t="shared" si="229"/>
        <v>0</v>
      </c>
      <c r="AS729" s="17"/>
      <c r="AT729" s="17">
        <v>818.16192000000001</v>
      </c>
      <c r="AU729" s="17">
        <f t="shared" si="238"/>
        <v>818.16192000000001</v>
      </c>
      <c r="AV729" s="17">
        <f t="shared" si="245"/>
        <v>0</v>
      </c>
      <c r="AW729" s="17" t="str">
        <f t="shared" si="231"/>
        <v>RAWSUR</v>
      </c>
      <c r="AX729" s="22">
        <v>44946</v>
      </c>
      <c r="AY729" s="22"/>
      <c r="AZ729" s="1"/>
      <c r="BA729" s="22" t="str">
        <f t="shared" si="246"/>
        <v>COMP MOTOR</v>
      </c>
      <c r="BB729" s="54"/>
      <c r="BC729" s="22"/>
      <c r="BD729" s="1"/>
    </row>
    <row r="730" spans="1:56" ht="14.25" customHeight="1" x14ac:dyDescent="0.2">
      <c r="A730" s="1" t="s">
        <v>992</v>
      </c>
      <c r="B730" s="1" t="s">
        <v>57</v>
      </c>
      <c r="C730" s="48">
        <v>44936</v>
      </c>
      <c r="D730" s="48">
        <v>44917</v>
      </c>
      <c r="E730" s="48">
        <v>44917</v>
      </c>
      <c r="F730" s="48">
        <v>45176</v>
      </c>
      <c r="G730" s="14" t="str">
        <f t="shared" si="239"/>
        <v>000-729/AIB RDC/2022</v>
      </c>
      <c r="H730" s="61">
        <v>3</v>
      </c>
      <c r="I730" s="2" t="s">
        <v>91</v>
      </c>
      <c r="J730" s="24" t="s">
        <v>919</v>
      </c>
      <c r="K730" s="1" t="s">
        <v>920</v>
      </c>
      <c r="L730" s="16"/>
      <c r="M730" s="1" t="s">
        <v>84</v>
      </c>
      <c r="N730" s="1" t="s">
        <v>85</v>
      </c>
      <c r="O730" s="1" t="s">
        <v>73</v>
      </c>
      <c r="P730" s="1" t="s">
        <v>73</v>
      </c>
      <c r="Q730" s="1" t="s">
        <v>130</v>
      </c>
      <c r="R730" s="1" t="s">
        <v>130</v>
      </c>
      <c r="S730" s="17">
        <v>0</v>
      </c>
      <c r="T730" s="17">
        <v>488.1</v>
      </c>
      <c r="U730" s="17">
        <v>0</v>
      </c>
      <c r="V730" s="17">
        <v>0</v>
      </c>
      <c r="W730" s="17">
        <v>6.11</v>
      </c>
      <c r="X730" s="17">
        <v>407.54</v>
      </c>
      <c r="Y730" s="17">
        <v>66.180000000000007</v>
      </c>
      <c r="Z730" s="18" t="e">
        <f t="shared" si="240"/>
        <v>#DIV/0!</v>
      </c>
      <c r="AA730" s="19">
        <v>0.1</v>
      </c>
      <c r="AB730" s="17">
        <f t="shared" si="249"/>
        <v>40.754000000000005</v>
      </c>
      <c r="AC730" s="17">
        <v>0</v>
      </c>
      <c r="AD730" s="17">
        <v>0</v>
      </c>
      <c r="AE730" s="17">
        <f t="shared" si="241"/>
        <v>40.754000000000005</v>
      </c>
      <c r="AF730" s="17">
        <f t="shared" si="248"/>
        <v>6.5206400000000011</v>
      </c>
      <c r="AG730" s="17">
        <f t="shared" si="247"/>
        <v>47.274640000000005</v>
      </c>
      <c r="AH730" s="17">
        <f t="shared" si="233"/>
        <v>0.81508000000000014</v>
      </c>
      <c r="AI730" s="17"/>
      <c r="AJ730" s="17">
        <f t="shared" si="242"/>
        <v>0.81508000000000014</v>
      </c>
      <c r="AK730" s="20"/>
      <c r="AL730" s="17">
        <f t="shared" si="243"/>
        <v>39.938920000000003</v>
      </c>
      <c r="AM730" s="17" t="s">
        <v>289</v>
      </c>
      <c r="AN730" s="21">
        <v>0.5</v>
      </c>
      <c r="AO730" s="17">
        <f t="shared" si="244"/>
        <v>19.969460000000002</v>
      </c>
      <c r="AP730" s="17">
        <v>19.969460000000002</v>
      </c>
      <c r="AQ730" s="16">
        <v>45086</v>
      </c>
      <c r="AR730" s="17">
        <f t="shared" si="229"/>
        <v>0</v>
      </c>
      <c r="AS730" s="17" t="s">
        <v>884</v>
      </c>
      <c r="AT730" s="17">
        <v>47.274640000000005</v>
      </c>
      <c r="AU730" s="17">
        <f t="shared" si="238"/>
        <v>47.274640000000005</v>
      </c>
      <c r="AV730" s="17">
        <f t="shared" si="245"/>
        <v>0</v>
      </c>
      <c r="AW730" s="17" t="str">
        <f t="shared" si="231"/>
        <v>SFA</v>
      </c>
      <c r="AX730" s="22">
        <v>44949</v>
      </c>
      <c r="AY730" s="22"/>
      <c r="AZ730" s="1"/>
      <c r="BA730" s="22" t="str">
        <f t="shared" si="246"/>
        <v>MOTOR TPL</v>
      </c>
      <c r="BB730" s="54"/>
      <c r="BC730" s="22"/>
      <c r="BD730" s="22"/>
    </row>
    <row r="731" spans="1:56" ht="14.25" customHeight="1" x14ac:dyDescent="0.2">
      <c r="A731" s="1" t="s">
        <v>992</v>
      </c>
      <c r="B731" s="1" t="s">
        <v>57</v>
      </c>
      <c r="C731" s="48">
        <v>44936</v>
      </c>
      <c r="D731" s="48">
        <v>44903</v>
      </c>
      <c r="E731" s="48">
        <v>44896</v>
      </c>
      <c r="F731" s="48">
        <v>45260</v>
      </c>
      <c r="G731" s="14" t="str">
        <f t="shared" si="239"/>
        <v>000-730/AIB RDC/2022</v>
      </c>
      <c r="H731" s="61">
        <v>1</v>
      </c>
      <c r="I731" s="2" t="s">
        <v>58</v>
      </c>
      <c r="J731" s="1" t="s">
        <v>1055</v>
      </c>
      <c r="K731" s="1" t="s">
        <v>1056</v>
      </c>
      <c r="L731" s="16"/>
      <c r="M731" s="1" t="s">
        <v>105</v>
      </c>
      <c r="N731" s="1" t="s">
        <v>119</v>
      </c>
      <c r="O731" s="1" t="s">
        <v>70</v>
      </c>
      <c r="P731" s="1" t="s">
        <v>71</v>
      </c>
      <c r="Q731" s="1" t="s">
        <v>79</v>
      </c>
      <c r="R731" s="1" t="s">
        <v>79</v>
      </c>
      <c r="S731" s="17">
        <v>0</v>
      </c>
      <c r="T731" s="17"/>
      <c r="U731" s="17">
        <v>0</v>
      </c>
      <c r="V731" s="17">
        <v>0</v>
      </c>
      <c r="W731" s="17">
        <v>0</v>
      </c>
      <c r="X731" s="17">
        <v>4938.22</v>
      </c>
      <c r="Y731" s="17"/>
      <c r="Z731" s="18" t="e">
        <f t="shared" si="240"/>
        <v>#DIV/0!</v>
      </c>
      <c r="AA731" s="19">
        <v>0.15</v>
      </c>
      <c r="AB731" s="17">
        <f t="shared" si="249"/>
        <v>740.73300000000006</v>
      </c>
      <c r="AC731" s="17">
        <v>0</v>
      </c>
      <c r="AD731" s="17">
        <v>0</v>
      </c>
      <c r="AE731" s="17">
        <f t="shared" si="241"/>
        <v>740.73300000000006</v>
      </c>
      <c r="AF731" s="17">
        <f t="shared" si="248"/>
        <v>118.51728000000001</v>
      </c>
      <c r="AG731" s="17">
        <f t="shared" si="247"/>
        <v>859.25028000000009</v>
      </c>
      <c r="AH731" s="17">
        <f t="shared" si="233"/>
        <v>14.814660000000002</v>
      </c>
      <c r="AI731" s="17"/>
      <c r="AJ731" s="17">
        <f t="shared" si="242"/>
        <v>14.814660000000002</v>
      </c>
      <c r="AK731" s="20"/>
      <c r="AL731" s="17">
        <f t="shared" si="243"/>
        <v>725.91834000000006</v>
      </c>
      <c r="AM731" s="17"/>
      <c r="AN731" s="21"/>
      <c r="AO731" s="17">
        <f t="shared" si="244"/>
        <v>0</v>
      </c>
      <c r="AP731" s="27"/>
      <c r="AQ731" s="16"/>
      <c r="AR731" s="17">
        <f t="shared" si="229"/>
        <v>0</v>
      </c>
      <c r="AS731" s="17"/>
      <c r="AT731" s="17">
        <v>859.25028000000009</v>
      </c>
      <c r="AU731" s="17">
        <f t="shared" si="238"/>
        <v>859.25028000000009</v>
      </c>
      <c r="AV731" s="17">
        <f t="shared" si="245"/>
        <v>0</v>
      </c>
      <c r="AW731" s="17" t="str">
        <f t="shared" si="231"/>
        <v>MAYFAIR</v>
      </c>
      <c r="AX731" s="22">
        <v>44951</v>
      </c>
      <c r="AY731" s="22"/>
      <c r="AZ731" s="1"/>
      <c r="BA731" s="22" t="str">
        <f t="shared" si="246"/>
        <v>FIRE</v>
      </c>
      <c r="BB731" s="54"/>
      <c r="BC731" s="22"/>
      <c r="BD731" s="22"/>
    </row>
    <row r="732" spans="1:56" ht="14.25" customHeight="1" x14ac:dyDescent="0.2">
      <c r="A732" s="1" t="s">
        <v>847</v>
      </c>
      <c r="B732" s="1" t="s">
        <v>57</v>
      </c>
      <c r="C732" s="13">
        <v>44879</v>
      </c>
      <c r="D732" s="13">
        <v>44908</v>
      </c>
      <c r="E732" s="13">
        <v>44874</v>
      </c>
      <c r="F732" s="13">
        <v>45238</v>
      </c>
      <c r="G732" s="14" t="str">
        <f t="shared" si="239"/>
        <v>000-731/AIB RDC/2022</v>
      </c>
      <c r="H732" s="1">
        <v>2</v>
      </c>
      <c r="I732" s="1" t="s">
        <v>58</v>
      </c>
      <c r="J732" s="53" t="s">
        <v>1057</v>
      </c>
      <c r="K732" s="16" t="s">
        <v>488</v>
      </c>
      <c r="L732" s="1" t="s">
        <v>214</v>
      </c>
      <c r="M732" s="1" t="s">
        <v>84</v>
      </c>
      <c r="N732" s="1" t="s">
        <v>85</v>
      </c>
      <c r="O732" s="1" t="s">
        <v>64</v>
      </c>
      <c r="P732" s="1" t="s">
        <v>65</v>
      </c>
      <c r="Q732" s="1" t="s">
        <v>130</v>
      </c>
      <c r="R732" s="1" t="s">
        <v>130</v>
      </c>
      <c r="S732" s="17">
        <v>2000000</v>
      </c>
      <c r="T732" s="17">
        <v>7945.53</v>
      </c>
      <c r="U732" s="17">
        <v>0</v>
      </c>
      <c r="V732" s="17">
        <v>0</v>
      </c>
      <c r="W732" s="17">
        <v>33.5</v>
      </c>
      <c r="X732" s="17">
        <v>6700</v>
      </c>
      <c r="Y732" s="17">
        <v>1077.3599999999999</v>
      </c>
      <c r="Z732" s="18">
        <f t="shared" si="240"/>
        <v>3.9727649999999996E-3</v>
      </c>
      <c r="AA732" s="19">
        <v>0.15</v>
      </c>
      <c r="AB732" s="17">
        <f t="shared" si="249"/>
        <v>1005</v>
      </c>
      <c r="AC732" s="17">
        <v>0</v>
      </c>
      <c r="AD732" s="17">
        <v>0</v>
      </c>
      <c r="AE732" s="17">
        <f t="shared" si="241"/>
        <v>1005</v>
      </c>
      <c r="AF732" s="17">
        <f t="shared" si="248"/>
        <v>160.80000000000001</v>
      </c>
      <c r="AG732" s="17">
        <f t="shared" si="247"/>
        <v>1165.8</v>
      </c>
      <c r="AH732" s="17">
        <f t="shared" si="233"/>
        <v>20.100000000000001</v>
      </c>
      <c r="AI732" s="17"/>
      <c r="AJ732" s="17">
        <f t="shared" si="242"/>
        <v>20.100000000000001</v>
      </c>
      <c r="AK732" s="20"/>
      <c r="AL732" s="17">
        <f t="shared" si="243"/>
        <v>984.9</v>
      </c>
      <c r="AM732" s="17"/>
      <c r="AN732" s="21"/>
      <c r="AO732" s="17">
        <f t="shared" si="244"/>
        <v>0</v>
      </c>
      <c r="AP732" s="27"/>
      <c r="AQ732" s="16"/>
      <c r="AR732" s="17">
        <f t="shared" si="229"/>
        <v>0</v>
      </c>
      <c r="AS732" s="17"/>
      <c r="AT732" s="17">
        <v>1165.8</v>
      </c>
      <c r="AU732" s="17">
        <f t="shared" si="238"/>
        <v>1165.8</v>
      </c>
      <c r="AV732" s="17">
        <f t="shared" si="245"/>
        <v>0</v>
      </c>
      <c r="AW732" s="17" t="str">
        <f t="shared" si="231"/>
        <v>SFA</v>
      </c>
      <c r="AX732" s="22">
        <v>44949</v>
      </c>
      <c r="AY732" s="22"/>
      <c r="AZ732" s="1"/>
      <c r="BA732" s="22" t="str">
        <f t="shared" si="246"/>
        <v>MARINE CARGO / GIT</v>
      </c>
      <c r="BB732" s="54"/>
      <c r="BC732" s="22"/>
      <c r="BD732" s="22"/>
    </row>
    <row r="733" spans="1:56" ht="14.25" customHeight="1" x14ac:dyDescent="0.2">
      <c r="A733" s="1" t="s">
        <v>847</v>
      </c>
      <c r="B733" s="1" t="s">
        <v>57</v>
      </c>
      <c r="C733" s="13">
        <v>44904</v>
      </c>
      <c r="D733" s="13">
        <v>44868</v>
      </c>
      <c r="E733" s="13">
        <v>44868</v>
      </c>
      <c r="F733" s="13">
        <v>45232</v>
      </c>
      <c r="G733" s="14" t="str">
        <f t="shared" si="239"/>
        <v>000-732/AIB RDC/2022</v>
      </c>
      <c r="H733" s="1">
        <v>0</v>
      </c>
      <c r="I733" s="1" t="s">
        <v>74</v>
      </c>
      <c r="J733" s="1" t="s">
        <v>1058</v>
      </c>
      <c r="K733" s="1" t="s">
        <v>1059</v>
      </c>
      <c r="L733" s="1" t="s">
        <v>94</v>
      </c>
      <c r="M733" s="1" t="s">
        <v>706</v>
      </c>
      <c r="N733" s="1" t="s">
        <v>106</v>
      </c>
      <c r="O733" s="1" t="s">
        <v>152</v>
      </c>
      <c r="P733" s="1" t="s">
        <v>153</v>
      </c>
      <c r="Q733" s="1" t="s">
        <v>86</v>
      </c>
      <c r="R733" s="1" t="s">
        <v>86</v>
      </c>
      <c r="S733" s="17">
        <v>0</v>
      </c>
      <c r="T733" s="17">
        <v>1851.13</v>
      </c>
      <c r="U733" s="17">
        <v>0</v>
      </c>
      <c r="V733" s="17">
        <v>0</v>
      </c>
      <c r="W733" s="17">
        <v>15.8</v>
      </c>
      <c r="X733" s="17">
        <v>1580</v>
      </c>
      <c r="Y733" s="17">
        <v>255.33</v>
      </c>
      <c r="Z733" s="18" t="e">
        <f t="shared" si="240"/>
        <v>#DIV/0!</v>
      </c>
      <c r="AA733" s="19">
        <v>0.15</v>
      </c>
      <c r="AB733" s="17">
        <f t="shared" si="249"/>
        <v>237</v>
      </c>
      <c r="AC733" s="17">
        <v>0</v>
      </c>
      <c r="AD733" s="17">
        <v>0</v>
      </c>
      <c r="AE733" s="17">
        <f t="shared" si="241"/>
        <v>237</v>
      </c>
      <c r="AF733" s="17">
        <f t="shared" si="248"/>
        <v>37.92</v>
      </c>
      <c r="AG733" s="17">
        <f t="shared" si="247"/>
        <v>274.92</v>
      </c>
      <c r="AH733" s="17">
        <f t="shared" si="233"/>
        <v>4.74</v>
      </c>
      <c r="AI733" s="17"/>
      <c r="AJ733" s="17">
        <f t="shared" si="242"/>
        <v>4.74</v>
      </c>
      <c r="AK733" s="20"/>
      <c r="AL733" s="17">
        <f t="shared" si="243"/>
        <v>232.26</v>
      </c>
      <c r="AM733" s="17"/>
      <c r="AN733" s="21"/>
      <c r="AO733" s="17">
        <f t="shared" si="244"/>
        <v>0</v>
      </c>
      <c r="AP733" s="27"/>
      <c r="AQ733" s="16"/>
      <c r="AR733" s="17">
        <f t="shared" si="229"/>
        <v>0</v>
      </c>
      <c r="AS733" s="17"/>
      <c r="AT733" s="17">
        <v>274.92</v>
      </c>
      <c r="AU733" s="17">
        <f t="shared" si="238"/>
        <v>274.92</v>
      </c>
      <c r="AV733" s="17">
        <f t="shared" si="245"/>
        <v>0</v>
      </c>
      <c r="AW733" s="17" t="str">
        <f t="shared" si="231"/>
        <v>SUNU</v>
      </c>
      <c r="AX733" s="22">
        <v>44918</v>
      </c>
      <c r="AY733" s="22"/>
      <c r="AZ733" s="1"/>
      <c r="BA733" s="22" t="str">
        <f t="shared" si="246"/>
        <v>COMP MOTOR</v>
      </c>
      <c r="BB733" s="54"/>
      <c r="BC733" s="22"/>
      <c r="BD733" s="22"/>
    </row>
    <row r="734" spans="1:56" ht="14.25" customHeight="1" x14ac:dyDescent="0.2">
      <c r="A734" s="1" t="s">
        <v>667</v>
      </c>
      <c r="B734" s="1" t="s">
        <v>57</v>
      </c>
      <c r="C734" s="13">
        <v>44904</v>
      </c>
      <c r="D734" s="13">
        <v>44893</v>
      </c>
      <c r="E734" s="13">
        <v>44835</v>
      </c>
      <c r="F734" s="13">
        <v>45016</v>
      </c>
      <c r="G734" s="14" t="str">
        <f t="shared" si="239"/>
        <v>000-733/AIB RDC/2022</v>
      </c>
      <c r="H734" s="1">
        <v>0</v>
      </c>
      <c r="I734" s="1" t="s">
        <v>74</v>
      </c>
      <c r="J734" s="1" t="s">
        <v>1060</v>
      </c>
      <c r="K734" s="1" t="s">
        <v>1061</v>
      </c>
      <c r="L734" s="1"/>
      <c r="M734" s="1" t="s">
        <v>84</v>
      </c>
      <c r="N734" s="1" t="s">
        <v>85</v>
      </c>
      <c r="O734" s="1" t="s">
        <v>233</v>
      </c>
      <c r="P734" s="1" t="s">
        <v>234</v>
      </c>
      <c r="Q734" s="1" t="s">
        <v>107</v>
      </c>
      <c r="R734" s="1" t="s">
        <v>107</v>
      </c>
      <c r="S734" s="17">
        <v>0</v>
      </c>
      <c r="T734" s="17">
        <v>90353.29</v>
      </c>
      <c r="U734" s="17">
        <v>0</v>
      </c>
      <c r="V734" s="17">
        <v>0</v>
      </c>
      <c r="W734" s="17">
        <v>100</v>
      </c>
      <c r="X734" s="17">
        <v>76470.59</v>
      </c>
      <c r="Y734" s="17">
        <v>12251.29</v>
      </c>
      <c r="Z734" s="18" t="e">
        <f t="shared" si="240"/>
        <v>#DIV/0!</v>
      </c>
      <c r="AA734" s="19">
        <v>0.15</v>
      </c>
      <c r="AB734" s="17">
        <f t="shared" si="249"/>
        <v>11470.5885</v>
      </c>
      <c r="AC734" s="17">
        <v>0</v>
      </c>
      <c r="AD734" s="17">
        <v>0</v>
      </c>
      <c r="AE734" s="17">
        <f t="shared" si="241"/>
        <v>11470.5885</v>
      </c>
      <c r="AF734" s="17">
        <f t="shared" si="248"/>
        <v>1835.2941599999999</v>
      </c>
      <c r="AG734" s="17">
        <f t="shared" si="247"/>
        <v>13305.882659999999</v>
      </c>
      <c r="AH734" s="17">
        <f t="shared" si="233"/>
        <v>229.41176999999999</v>
      </c>
      <c r="AI734" s="17"/>
      <c r="AJ734" s="17">
        <f t="shared" si="242"/>
        <v>229.41176999999999</v>
      </c>
      <c r="AK734" s="20"/>
      <c r="AL734" s="17">
        <f t="shared" si="243"/>
        <v>11241.176729999999</v>
      </c>
      <c r="AM734" s="17" t="s">
        <v>198</v>
      </c>
      <c r="AN734" s="21"/>
      <c r="AO734" s="17">
        <f t="shared" si="244"/>
        <v>0</v>
      </c>
      <c r="AP734" s="27"/>
      <c r="AQ734" s="16"/>
      <c r="AR734" s="17">
        <f t="shared" si="229"/>
        <v>0</v>
      </c>
      <c r="AS734" s="17"/>
      <c r="AT734" s="17">
        <v>13305.882659999999</v>
      </c>
      <c r="AU734" s="17">
        <f t="shared" si="238"/>
        <v>13305.882659999999</v>
      </c>
      <c r="AV734" s="17">
        <f t="shared" si="245"/>
        <v>0</v>
      </c>
      <c r="AW734" s="17" t="str">
        <f t="shared" si="231"/>
        <v>RAWSUR</v>
      </c>
      <c r="AX734" s="22">
        <v>44916</v>
      </c>
      <c r="AY734" s="22"/>
      <c r="AZ734" s="1"/>
      <c r="BA734" s="22" t="str">
        <f t="shared" si="246"/>
        <v>PVT</v>
      </c>
      <c r="BB734" s="54"/>
      <c r="BC734" s="22"/>
      <c r="BD734" s="22"/>
    </row>
    <row r="735" spans="1:56" ht="14.25" customHeight="1" x14ac:dyDescent="0.2">
      <c r="A735" s="1" t="s">
        <v>496</v>
      </c>
      <c r="B735" s="1" t="s">
        <v>57</v>
      </c>
      <c r="C735" s="13">
        <v>44694</v>
      </c>
      <c r="D735" s="13">
        <v>44693</v>
      </c>
      <c r="E735" s="13">
        <v>44694</v>
      </c>
      <c r="F735" s="13">
        <v>44724</v>
      </c>
      <c r="G735" s="14" t="str">
        <f t="shared" si="239"/>
        <v>000-734/AIB RDC/2022</v>
      </c>
      <c r="H735" s="1">
        <v>0</v>
      </c>
      <c r="I735" s="1" t="s">
        <v>74</v>
      </c>
      <c r="J735" s="28">
        <v>72000046</v>
      </c>
      <c r="K735" s="28" t="s">
        <v>181</v>
      </c>
      <c r="L735" s="1"/>
      <c r="M735" s="1" t="s">
        <v>105</v>
      </c>
      <c r="N735" s="1" t="s">
        <v>106</v>
      </c>
      <c r="O735" s="1" t="s">
        <v>64</v>
      </c>
      <c r="P735" s="1" t="s">
        <v>65</v>
      </c>
      <c r="Q735" s="1" t="s">
        <v>107</v>
      </c>
      <c r="R735" s="1" t="s">
        <v>107</v>
      </c>
      <c r="S735" s="17">
        <v>11101</v>
      </c>
      <c r="T735" s="17">
        <v>129.80000000000001</v>
      </c>
      <c r="U735" s="17">
        <v>0</v>
      </c>
      <c r="V735" s="17">
        <v>0</v>
      </c>
      <c r="W735" s="17">
        <v>10</v>
      </c>
      <c r="X735" s="17">
        <v>100</v>
      </c>
      <c r="Y735" s="17">
        <v>17.600000000000001</v>
      </c>
      <c r="Z735" s="18">
        <f t="shared" si="240"/>
        <v>1.1692640302675436E-2</v>
      </c>
      <c r="AA735" s="19">
        <v>0.15</v>
      </c>
      <c r="AB735" s="17">
        <f t="shared" si="249"/>
        <v>15</v>
      </c>
      <c r="AC735" s="17"/>
      <c r="AD735" s="17"/>
      <c r="AE735" s="17">
        <f t="shared" si="241"/>
        <v>15</v>
      </c>
      <c r="AF735" s="17">
        <f t="shared" si="248"/>
        <v>2.4</v>
      </c>
      <c r="AG735" s="17">
        <f t="shared" si="247"/>
        <v>17.399999999999999</v>
      </c>
      <c r="AH735" s="17">
        <f t="shared" si="233"/>
        <v>0.3</v>
      </c>
      <c r="AI735" s="17"/>
      <c r="AJ735" s="17">
        <f t="shared" si="242"/>
        <v>0.3</v>
      </c>
      <c r="AK735" s="20"/>
      <c r="AL735" s="17">
        <f t="shared" si="243"/>
        <v>14.7</v>
      </c>
      <c r="AM735" s="17" t="s">
        <v>108</v>
      </c>
      <c r="AN735" s="21">
        <v>0.4</v>
      </c>
      <c r="AO735" s="17">
        <f t="shared" si="244"/>
        <v>5.88</v>
      </c>
      <c r="AP735" s="17"/>
      <c r="AQ735" s="16"/>
      <c r="AR735" s="17">
        <f t="shared" si="229"/>
        <v>5.88</v>
      </c>
      <c r="AS735" s="17"/>
      <c r="AT735" s="17"/>
      <c r="AU735" s="17">
        <f t="shared" si="238"/>
        <v>17.399999999999999</v>
      </c>
      <c r="AV735" s="84">
        <f t="shared" si="245"/>
        <v>17.399999999999999</v>
      </c>
      <c r="AW735" s="17" t="str">
        <f t="shared" si="231"/>
        <v>RAWSUR</v>
      </c>
      <c r="AX735" s="22"/>
      <c r="AY735" s="22"/>
      <c r="AZ735" s="1" t="s">
        <v>110</v>
      </c>
      <c r="BA735" s="22" t="str">
        <f t="shared" si="246"/>
        <v>MARINE CARGO / GIT</v>
      </c>
      <c r="BB735" s="22"/>
      <c r="BC735" s="22"/>
      <c r="BD735" s="1" t="s">
        <v>275</v>
      </c>
    </row>
    <row r="736" spans="1:56" ht="14.25" customHeight="1" x14ac:dyDescent="0.2">
      <c r="A736" s="1" t="s">
        <v>667</v>
      </c>
      <c r="B736" s="1" t="s">
        <v>57</v>
      </c>
      <c r="C736" s="13">
        <v>44910</v>
      </c>
      <c r="D736" s="13">
        <v>44881</v>
      </c>
      <c r="E736" s="13">
        <v>44847</v>
      </c>
      <c r="F736" s="13">
        <v>44936</v>
      </c>
      <c r="G736" s="14" t="str">
        <f t="shared" si="239"/>
        <v>000-735/AIB RDC/2022</v>
      </c>
      <c r="H736" s="1">
        <v>3</v>
      </c>
      <c r="I736" s="1" t="s">
        <v>115</v>
      </c>
      <c r="J736" s="15" t="s">
        <v>182</v>
      </c>
      <c r="K736" s="16" t="s">
        <v>183</v>
      </c>
      <c r="L736" s="16" t="s">
        <v>169</v>
      </c>
      <c r="M736" s="1" t="s">
        <v>105</v>
      </c>
      <c r="N736" s="1" t="s">
        <v>541</v>
      </c>
      <c r="O736" s="1" t="s">
        <v>185</v>
      </c>
      <c r="P736" s="1" t="s">
        <v>186</v>
      </c>
      <c r="Q736" s="1" t="s">
        <v>107</v>
      </c>
      <c r="R736" s="1" t="s">
        <v>107</v>
      </c>
      <c r="S736" s="17">
        <v>0</v>
      </c>
      <c r="T736" s="17">
        <v>-17814.46</v>
      </c>
      <c r="U736" s="17">
        <v>0</v>
      </c>
      <c r="V736" s="17">
        <v>0</v>
      </c>
      <c r="W736" s="17">
        <v>-10</v>
      </c>
      <c r="X736" s="17">
        <v>-15107</v>
      </c>
      <c r="Y736" s="17">
        <v>-2415.52</v>
      </c>
      <c r="Z736" s="18" t="e">
        <f t="shared" si="240"/>
        <v>#DIV/0!</v>
      </c>
      <c r="AA736" s="19">
        <v>0.1</v>
      </c>
      <c r="AB736" s="17">
        <f>AA736*X736</f>
        <v>-1510.7</v>
      </c>
      <c r="AC736" s="17">
        <v>0</v>
      </c>
      <c r="AD736" s="17">
        <v>0</v>
      </c>
      <c r="AE736" s="17">
        <f t="shared" si="241"/>
        <v>-1510.7</v>
      </c>
      <c r="AF736" s="17">
        <f t="shared" si="248"/>
        <v>-241.71200000000002</v>
      </c>
      <c r="AG736" s="17">
        <f t="shared" si="247"/>
        <v>-1752.412</v>
      </c>
      <c r="AH736" s="17">
        <f t="shared" si="233"/>
        <v>-30.214000000000002</v>
      </c>
      <c r="AI736" s="17">
        <v>0</v>
      </c>
      <c r="AJ736" s="17">
        <f t="shared" si="242"/>
        <v>-30.214000000000002</v>
      </c>
      <c r="AK736" s="20"/>
      <c r="AL736" s="17">
        <f t="shared" si="243"/>
        <v>-1480.4860000000001</v>
      </c>
      <c r="AM736" s="17"/>
      <c r="AN736" s="21"/>
      <c r="AO736" s="17">
        <f t="shared" si="244"/>
        <v>0</v>
      </c>
      <c r="AP736" s="27"/>
      <c r="AQ736" s="16"/>
      <c r="AR736" s="17">
        <f t="shared" si="229"/>
        <v>0</v>
      </c>
      <c r="AS736" s="17"/>
      <c r="AT736" s="17">
        <v>-1752.412</v>
      </c>
      <c r="AU736" s="17">
        <f t="shared" si="238"/>
        <v>-1752.412</v>
      </c>
      <c r="AV736" s="17">
        <f t="shared" si="245"/>
        <v>0</v>
      </c>
      <c r="AW736" s="17" t="str">
        <f t="shared" si="231"/>
        <v>RAWSUR</v>
      </c>
      <c r="AX736" s="22">
        <v>44916</v>
      </c>
      <c r="AY736" s="22"/>
      <c r="AZ736" s="1" t="s">
        <v>145</v>
      </c>
      <c r="BA736" s="22" t="str">
        <f t="shared" si="246"/>
        <v>AVIATION HULL ALL RISK</v>
      </c>
      <c r="BB736" s="54"/>
      <c r="BC736" s="22"/>
      <c r="BD736" s="22"/>
    </row>
    <row r="737" spans="1:56" ht="14.25" customHeight="1" x14ac:dyDescent="0.2">
      <c r="A737" s="1" t="s">
        <v>992</v>
      </c>
      <c r="B737" s="1" t="s">
        <v>57</v>
      </c>
      <c r="C737" s="13">
        <v>44910</v>
      </c>
      <c r="D737" s="13">
        <v>44911</v>
      </c>
      <c r="E737" s="13">
        <v>44911</v>
      </c>
      <c r="F737" s="13">
        <v>45232</v>
      </c>
      <c r="G737" s="14" t="str">
        <f t="shared" si="239"/>
        <v>000-736/AIB RDC/2022</v>
      </c>
      <c r="H737" s="1">
        <v>1</v>
      </c>
      <c r="I737" s="1" t="s">
        <v>91</v>
      </c>
      <c r="J737" s="15" t="s">
        <v>1024</v>
      </c>
      <c r="K737" s="1" t="s">
        <v>1025</v>
      </c>
      <c r="L737" s="16"/>
      <c r="M737" s="1" t="s">
        <v>95</v>
      </c>
      <c r="N737" s="1" t="s">
        <v>209</v>
      </c>
      <c r="O737" s="1" t="s">
        <v>73</v>
      </c>
      <c r="P737" s="1" t="s">
        <v>73</v>
      </c>
      <c r="Q737" s="1" t="s">
        <v>130</v>
      </c>
      <c r="R737" s="1" t="s">
        <v>130</v>
      </c>
      <c r="S737" s="17">
        <v>0</v>
      </c>
      <c r="T737" s="17">
        <v>692.1</v>
      </c>
      <c r="U737" s="17">
        <v>0</v>
      </c>
      <c r="V737" s="17">
        <v>0</v>
      </c>
      <c r="W737" s="17">
        <v>8.67</v>
      </c>
      <c r="X737" s="17">
        <v>577.86</v>
      </c>
      <c r="Y737" s="17">
        <v>93.84</v>
      </c>
      <c r="Z737" s="18" t="e">
        <f t="shared" si="240"/>
        <v>#DIV/0!</v>
      </c>
      <c r="AA737" s="19">
        <v>0.1</v>
      </c>
      <c r="AB737" s="17">
        <f t="shared" ref="AB737:AB753" si="250">(AA737*X737)</f>
        <v>57.786000000000001</v>
      </c>
      <c r="AC737" s="17">
        <v>0</v>
      </c>
      <c r="AD737" s="17">
        <v>0</v>
      </c>
      <c r="AE737" s="17">
        <f t="shared" si="241"/>
        <v>57.786000000000001</v>
      </c>
      <c r="AF737" s="17">
        <f t="shared" si="248"/>
        <v>9.2457600000000006</v>
      </c>
      <c r="AG737" s="17">
        <f t="shared" si="247"/>
        <v>67.031760000000006</v>
      </c>
      <c r="AH737" s="17">
        <f t="shared" si="233"/>
        <v>1.1557200000000001</v>
      </c>
      <c r="AI737" s="17"/>
      <c r="AJ737" s="17">
        <f t="shared" si="242"/>
        <v>1.1557200000000001</v>
      </c>
      <c r="AK737" s="20"/>
      <c r="AL737" s="17">
        <f t="shared" si="243"/>
        <v>56.630279999999999</v>
      </c>
      <c r="AM737" s="17"/>
      <c r="AN737" s="21"/>
      <c r="AO737" s="17">
        <f t="shared" si="244"/>
        <v>0</v>
      </c>
      <c r="AP737" s="27"/>
      <c r="AQ737" s="16"/>
      <c r="AR737" s="17">
        <f t="shared" ref="AR737:AR793" si="251">AO737-AP737</f>
        <v>0</v>
      </c>
      <c r="AS737" s="17"/>
      <c r="AT737" s="17">
        <v>67.031760000000006</v>
      </c>
      <c r="AU737" s="17">
        <f t="shared" si="238"/>
        <v>67.031760000000006</v>
      </c>
      <c r="AV737" s="17">
        <f t="shared" si="245"/>
        <v>0</v>
      </c>
      <c r="AW737" s="17" t="str">
        <f t="shared" si="231"/>
        <v>SFA</v>
      </c>
      <c r="AX737" s="22">
        <v>44949</v>
      </c>
      <c r="AY737" s="22"/>
      <c r="AZ737" s="1"/>
      <c r="BA737" s="22" t="str">
        <f t="shared" si="246"/>
        <v>MOTOR TPL</v>
      </c>
      <c r="BB737" s="54"/>
      <c r="BC737" s="22"/>
      <c r="BD737" s="22"/>
    </row>
    <row r="738" spans="1:56" ht="14.25" customHeight="1" x14ac:dyDescent="0.2">
      <c r="A738" s="1" t="s">
        <v>992</v>
      </c>
      <c r="B738" s="1" t="s">
        <v>57</v>
      </c>
      <c r="C738" s="13">
        <v>44904</v>
      </c>
      <c r="D738" s="13">
        <v>44911</v>
      </c>
      <c r="E738" s="13">
        <v>44911</v>
      </c>
      <c r="F738" s="13">
        <v>45275</v>
      </c>
      <c r="G738" s="14" t="str">
        <f t="shared" si="239"/>
        <v>000-737/AIB RDC/2022</v>
      </c>
      <c r="H738" s="1">
        <v>0</v>
      </c>
      <c r="I738" s="1" t="s">
        <v>74</v>
      </c>
      <c r="J738" s="15" t="s">
        <v>1064</v>
      </c>
      <c r="K738" s="1" t="s">
        <v>246</v>
      </c>
      <c r="L738" s="16"/>
      <c r="M738" s="1" t="s">
        <v>95</v>
      </c>
      <c r="N738" s="1" t="s">
        <v>209</v>
      </c>
      <c r="O738" s="1" t="s">
        <v>152</v>
      </c>
      <c r="P738" s="1" t="s">
        <v>153</v>
      </c>
      <c r="Q738" s="1" t="s">
        <v>86</v>
      </c>
      <c r="R738" s="1" t="s">
        <v>86</v>
      </c>
      <c r="S738" s="17">
        <v>0</v>
      </c>
      <c r="T738" s="17">
        <v>14990.95</v>
      </c>
      <c r="U738" s="17">
        <v>0</v>
      </c>
      <c r="V738" s="17">
        <v>0</v>
      </c>
      <c r="W738" s="17">
        <v>127.95</v>
      </c>
      <c r="X738" s="17">
        <v>12795.28</v>
      </c>
      <c r="Y738" s="17">
        <v>2067.7199999999998</v>
      </c>
      <c r="Z738" s="18" t="e">
        <f t="shared" si="240"/>
        <v>#DIV/0!</v>
      </c>
      <c r="AA738" s="19">
        <v>0.15</v>
      </c>
      <c r="AB738" s="17">
        <f t="shared" si="250"/>
        <v>1919.2919999999999</v>
      </c>
      <c r="AC738" s="17">
        <v>0</v>
      </c>
      <c r="AD738" s="17">
        <v>0</v>
      </c>
      <c r="AE738" s="17">
        <f t="shared" si="241"/>
        <v>1919.2919999999999</v>
      </c>
      <c r="AF738" s="17">
        <f t="shared" si="248"/>
        <v>307.08672000000001</v>
      </c>
      <c r="AG738" s="17">
        <f t="shared" si="247"/>
        <v>2226.3787199999997</v>
      </c>
      <c r="AH738" s="17">
        <f t="shared" si="233"/>
        <v>38.385840000000002</v>
      </c>
      <c r="AI738" s="17"/>
      <c r="AJ738" s="17">
        <f t="shared" si="242"/>
        <v>38.385840000000002</v>
      </c>
      <c r="AK738" s="20"/>
      <c r="AL738" s="17">
        <f t="shared" si="243"/>
        <v>1880.90616</v>
      </c>
      <c r="AM738" s="17"/>
      <c r="AN738" s="21"/>
      <c r="AO738" s="17">
        <f t="shared" si="244"/>
        <v>0</v>
      </c>
      <c r="AP738" s="27"/>
      <c r="AQ738" s="16"/>
      <c r="AR738" s="17">
        <f t="shared" si="251"/>
        <v>0</v>
      </c>
      <c r="AS738" s="17"/>
      <c r="AT738" s="17">
        <v>2226.3787199999997</v>
      </c>
      <c r="AU738" s="17">
        <f t="shared" si="238"/>
        <v>2226.3787199999997</v>
      </c>
      <c r="AV738" s="17">
        <f t="shared" si="245"/>
        <v>0</v>
      </c>
      <c r="AW738" s="17" t="str">
        <f t="shared" si="231"/>
        <v>SUNU</v>
      </c>
      <c r="AX738" s="22">
        <v>44965</v>
      </c>
      <c r="AY738" s="22"/>
      <c r="AZ738" s="1"/>
      <c r="BA738" s="22" t="str">
        <f t="shared" si="246"/>
        <v>COMP MOTOR</v>
      </c>
      <c r="BB738" s="54"/>
      <c r="BC738" s="22"/>
      <c r="BD738" s="1" t="s">
        <v>1065</v>
      </c>
    </row>
    <row r="739" spans="1:56" ht="14.25" customHeight="1" x14ac:dyDescent="0.2">
      <c r="A739" s="1" t="s">
        <v>992</v>
      </c>
      <c r="B739" s="1" t="s">
        <v>57</v>
      </c>
      <c r="C739" s="13">
        <v>44916</v>
      </c>
      <c r="D739" s="13">
        <v>44918</v>
      </c>
      <c r="E739" s="13">
        <v>44918</v>
      </c>
      <c r="F739" s="13">
        <v>45282</v>
      </c>
      <c r="G739" s="14" t="str">
        <f t="shared" si="239"/>
        <v>000-738/AIB RDC/2022</v>
      </c>
      <c r="H739" s="1">
        <v>0</v>
      </c>
      <c r="I739" s="1" t="s">
        <v>74</v>
      </c>
      <c r="J739" s="15" t="s">
        <v>1066</v>
      </c>
      <c r="K739" s="1" t="s">
        <v>291</v>
      </c>
      <c r="L739" s="16"/>
      <c r="M739" s="1" t="s">
        <v>95</v>
      </c>
      <c r="N739" s="1" t="s">
        <v>209</v>
      </c>
      <c r="O739" s="1" t="s">
        <v>192</v>
      </c>
      <c r="P739" s="1" t="s">
        <v>98</v>
      </c>
      <c r="Q739" s="1" t="s">
        <v>86</v>
      </c>
      <c r="R739" s="1" t="s">
        <v>86</v>
      </c>
      <c r="S739" s="17">
        <v>0</v>
      </c>
      <c r="T739" s="17">
        <v>626.4</v>
      </c>
      <c r="U739" s="17">
        <v>0</v>
      </c>
      <c r="V739" s="17">
        <v>0</v>
      </c>
      <c r="W739" s="17">
        <v>10</v>
      </c>
      <c r="X739" s="17">
        <v>530</v>
      </c>
      <c r="Y739" s="17">
        <v>86.4</v>
      </c>
      <c r="Z739" s="18" t="e">
        <f t="shared" si="240"/>
        <v>#DIV/0!</v>
      </c>
      <c r="AA739" s="19">
        <v>0.1</v>
      </c>
      <c r="AB739" s="17">
        <f t="shared" si="250"/>
        <v>53</v>
      </c>
      <c r="AC739" s="17">
        <v>0</v>
      </c>
      <c r="AD739" s="17">
        <v>0</v>
      </c>
      <c r="AE739" s="17">
        <f t="shared" si="241"/>
        <v>53</v>
      </c>
      <c r="AF739" s="17">
        <f t="shared" si="248"/>
        <v>8.48</v>
      </c>
      <c r="AG739" s="17">
        <f t="shared" si="247"/>
        <v>61.480000000000004</v>
      </c>
      <c r="AH739" s="17">
        <f t="shared" si="233"/>
        <v>1.06</v>
      </c>
      <c r="AI739" s="17"/>
      <c r="AJ739" s="17">
        <f t="shared" si="242"/>
        <v>1.06</v>
      </c>
      <c r="AK739" s="20"/>
      <c r="AL739" s="17">
        <f t="shared" si="243"/>
        <v>51.94</v>
      </c>
      <c r="AM739" s="17"/>
      <c r="AN739" s="21"/>
      <c r="AO739" s="17">
        <f t="shared" si="244"/>
        <v>0</v>
      </c>
      <c r="AP739" s="27"/>
      <c r="AQ739" s="16"/>
      <c r="AR739" s="17">
        <f t="shared" si="251"/>
        <v>0</v>
      </c>
      <c r="AS739" s="17"/>
      <c r="AT739" s="17">
        <v>61.480000000000004</v>
      </c>
      <c r="AU739" s="17">
        <f t="shared" si="238"/>
        <v>61.480000000000004</v>
      </c>
      <c r="AV739" s="17">
        <f t="shared" si="245"/>
        <v>0</v>
      </c>
      <c r="AW739" s="17" t="str">
        <f t="shared" si="231"/>
        <v>SUNU</v>
      </c>
      <c r="AX739" s="22">
        <v>44965</v>
      </c>
      <c r="AY739" s="22"/>
      <c r="AZ739" s="1"/>
      <c r="BA739" s="22" t="str">
        <f t="shared" si="246"/>
        <v>GPA</v>
      </c>
      <c r="BB739" s="54"/>
      <c r="BC739" s="22"/>
      <c r="BD739" s="1" t="s">
        <v>1065</v>
      </c>
    </row>
    <row r="740" spans="1:56" ht="14.25" customHeight="1" x14ac:dyDescent="0.2">
      <c r="A740" s="28" t="s">
        <v>992</v>
      </c>
      <c r="B740" s="28" t="s">
        <v>57</v>
      </c>
      <c r="C740" s="36">
        <v>44910</v>
      </c>
      <c r="D740" s="36">
        <v>44950</v>
      </c>
      <c r="E740" s="36">
        <v>44903</v>
      </c>
      <c r="F740" s="36">
        <v>45267</v>
      </c>
      <c r="G740" s="37" t="str">
        <f t="shared" si="239"/>
        <v>000-739/AIB RDC/2022</v>
      </c>
      <c r="H740" s="28">
        <v>5</v>
      </c>
      <c r="I740" s="28" t="s">
        <v>58</v>
      </c>
      <c r="J740" s="62" t="s">
        <v>1067</v>
      </c>
      <c r="K740" s="28" t="s">
        <v>120</v>
      </c>
      <c r="L740" s="29"/>
      <c r="M740" s="28" t="s">
        <v>95</v>
      </c>
      <c r="N740" s="28" t="s">
        <v>209</v>
      </c>
      <c r="O740" s="28" t="s">
        <v>192</v>
      </c>
      <c r="P740" s="28" t="s">
        <v>98</v>
      </c>
      <c r="Q740" s="28" t="s">
        <v>66</v>
      </c>
      <c r="R740" s="28" t="s">
        <v>66</v>
      </c>
      <c r="S740" s="23">
        <v>0</v>
      </c>
      <c r="T740" s="23">
        <v>2815.68</v>
      </c>
      <c r="U740" s="23">
        <v>0</v>
      </c>
      <c r="V740" s="23">
        <v>0</v>
      </c>
      <c r="W740" s="23">
        <v>24.03</v>
      </c>
      <c r="X740" s="23">
        <v>2403.2800000000002</v>
      </c>
      <c r="Y740" s="23">
        <v>388.37</v>
      </c>
      <c r="Z740" s="38" t="e">
        <f t="shared" si="240"/>
        <v>#DIV/0!</v>
      </c>
      <c r="AA740" s="39">
        <v>0.1</v>
      </c>
      <c r="AB740" s="23">
        <f t="shared" si="250"/>
        <v>240.32800000000003</v>
      </c>
      <c r="AC740" s="23">
        <v>0</v>
      </c>
      <c r="AD740" s="23">
        <v>0</v>
      </c>
      <c r="AE740" s="23">
        <f t="shared" si="241"/>
        <v>240.32800000000003</v>
      </c>
      <c r="AF740" s="23">
        <f t="shared" si="248"/>
        <v>38.452480000000008</v>
      </c>
      <c r="AG740" s="23">
        <f t="shared" si="247"/>
        <v>278.78048000000001</v>
      </c>
      <c r="AH740" s="23">
        <f t="shared" si="233"/>
        <v>4.8065600000000011</v>
      </c>
      <c r="AI740" s="23"/>
      <c r="AJ740" s="23">
        <f t="shared" si="242"/>
        <v>4.8065600000000011</v>
      </c>
      <c r="AK740" s="40"/>
      <c r="AL740" s="23">
        <f t="shared" si="243"/>
        <v>235.52144000000004</v>
      </c>
      <c r="AM740" s="23" t="s">
        <v>87</v>
      </c>
      <c r="AN740" s="41">
        <v>0.35</v>
      </c>
      <c r="AO740" s="23">
        <f t="shared" si="244"/>
        <v>82.432504000000009</v>
      </c>
      <c r="AP740" s="55"/>
      <c r="AQ740" s="29"/>
      <c r="AR740" s="23">
        <f t="shared" si="251"/>
        <v>82.432504000000009</v>
      </c>
      <c r="AS740" s="23"/>
      <c r="AT740" s="23">
        <v>278.78048000000001</v>
      </c>
      <c r="AU740" s="23">
        <f t="shared" si="238"/>
        <v>278.78048000000001</v>
      </c>
      <c r="AV740" s="23">
        <f t="shared" si="245"/>
        <v>0</v>
      </c>
      <c r="AW740" s="23" t="str">
        <f t="shared" si="231"/>
        <v>ACTIVA</v>
      </c>
      <c r="AX740" s="42">
        <v>44993</v>
      </c>
      <c r="AY740" s="42"/>
      <c r="AZ740" s="28"/>
      <c r="BA740" s="42" t="str">
        <f t="shared" si="246"/>
        <v>GPA</v>
      </c>
      <c r="BB740" s="56"/>
      <c r="BC740" s="42"/>
      <c r="BD740" s="42"/>
    </row>
    <row r="741" spans="1:56" ht="14.25" customHeight="1" x14ac:dyDescent="0.2">
      <c r="A741" s="1" t="s">
        <v>992</v>
      </c>
      <c r="B741" s="1" t="s">
        <v>57</v>
      </c>
      <c r="C741" s="48">
        <v>44581</v>
      </c>
      <c r="D741" s="48">
        <v>44926</v>
      </c>
      <c r="E741" s="48">
        <v>44926</v>
      </c>
      <c r="F741" s="48">
        <v>45290</v>
      </c>
      <c r="G741" s="14" t="str">
        <f t="shared" si="239"/>
        <v>000-740/AIB RDC/2022</v>
      </c>
      <c r="H741" s="61">
        <v>1</v>
      </c>
      <c r="I741" s="2" t="s">
        <v>58</v>
      </c>
      <c r="J741" s="44">
        <v>45000014</v>
      </c>
      <c r="K741" s="1" t="s">
        <v>345</v>
      </c>
      <c r="L741" s="1" t="s">
        <v>137</v>
      </c>
      <c r="M741" s="1" t="s">
        <v>84</v>
      </c>
      <c r="N741" s="1" t="s">
        <v>85</v>
      </c>
      <c r="O741" s="1" t="s">
        <v>466</v>
      </c>
      <c r="P741" s="1" t="s">
        <v>71</v>
      </c>
      <c r="Q741" s="1" t="s">
        <v>107</v>
      </c>
      <c r="R741" s="1" t="s">
        <v>107</v>
      </c>
      <c r="S741" s="17">
        <v>100000000</v>
      </c>
      <c r="T741" s="17">
        <v>2085364.61</v>
      </c>
      <c r="U741" s="17">
        <v>105233.94</v>
      </c>
      <c r="V741" s="17">
        <v>0</v>
      </c>
      <c r="W741" s="17">
        <v>100</v>
      </c>
      <c r="X741" s="17">
        <v>1661924.21</v>
      </c>
      <c r="Y741" s="17">
        <v>282761.3</v>
      </c>
      <c r="Z741" s="18">
        <f t="shared" si="240"/>
        <v>2.0853646100000001E-2</v>
      </c>
      <c r="AA741" s="19">
        <v>0</v>
      </c>
      <c r="AB741" s="17">
        <f t="shared" si="250"/>
        <v>0</v>
      </c>
      <c r="AC741" s="17">
        <f>51.1671260426015%*U741</f>
        <v>53845.182719395649</v>
      </c>
      <c r="AD741" s="17">
        <f>1.11692819012487%*X741</f>
        <v>18562.500000000044</v>
      </c>
      <c r="AE741" s="17">
        <f t="shared" si="241"/>
        <v>72407.6827193957</v>
      </c>
      <c r="AF741" s="17">
        <f t="shared" si="248"/>
        <v>11585.229235103312</v>
      </c>
      <c r="AG741" s="17">
        <f t="shared" si="247"/>
        <v>83992.91195449901</v>
      </c>
      <c r="AH741" s="17">
        <f t="shared" si="233"/>
        <v>1448.153654387914</v>
      </c>
      <c r="AI741" s="17"/>
      <c r="AJ741" s="17">
        <f t="shared" si="242"/>
        <v>1448.153654387914</v>
      </c>
      <c r="AK741" s="20"/>
      <c r="AL741" s="17">
        <f t="shared" si="243"/>
        <v>70959.52906500778</v>
      </c>
      <c r="AM741" s="17"/>
      <c r="AN741" s="21"/>
      <c r="AO741" s="17">
        <f t="shared" si="244"/>
        <v>0</v>
      </c>
      <c r="AP741" s="27"/>
      <c r="AQ741" s="16"/>
      <c r="AR741" s="17">
        <f t="shared" si="251"/>
        <v>0</v>
      </c>
      <c r="AS741" s="17"/>
      <c r="AT741" s="17">
        <f>41996.45+20998.23+20998.9</f>
        <v>83993.579999999987</v>
      </c>
      <c r="AU741" s="17">
        <v>83993.579999999987</v>
      </c>
      <c r="AV741" s="17">
        <f t="shared" si="245"/>
        <v>0</v>
      </c>
      <c r="AW741" s="17" t="str">
        <f t="shared" si="231"/>
        <v>RAWSUR</v>
      </c>
      <c r="AX741" s="22">
        <v>45043</v>
      </c>
      <c r="AY741" s="22"/>
      <c r="AZ741" s="1"/>
      <c r="BA741" s="22" t="str">
        <f t="shared" si="246"/>
        <v>PROPERTY DAMAGE &amp; BI</v>
      </c>
      <c r="BB741" s="54"/>
      <c r="BC741" s="22"/>
      <c r="BD741" s="22"/>
    </row>
    <row r="742" spans="1:56" ht="14.25" customHeight="1" x14ac:dyDescent="0.2">
      <c r="A742" s="1" t="s">
        <v>992</v>
      </c>
      <c r="B742" s="1" t="s">
        <v>57</v>
      </c>
      <c r="C742" s="48">
        <v>44964</v>
      </c>
      <c r="D742" s="48">
        <v>44944</v>
      </c>
      <c r="E742" s="48">
        <v>44926</v>
      </c>
      <c r="F742" s="48">
        <v>44985</v>
      </c>
      <c r="G742" s="14" t="str">
        <f t="shared" si="239"/>
        <v>000-741/AIB RDC/2022</v>
      </c>
      <c r="H742" s="61">
        <v>5</v>
      </c>
      <c r="I742" s="2" t="s">
        <v>217</v>
      </c>
      <c r="J742" s="1" t="s">
        <v>520</v>
      </c>
      <c r="K742" s="1" t="s">
        <v>723</v>
      </c>
      <c r="L742" s="1" t="s">
        <v>366</v>
      </c>
      <c r="M742" s="1" t="s">
        <v>84</v>
      </c>
      <c r="N742" s="1" t="s">
        <v>85</v>
      </c>
      <c r="O742" s="1" t="s">
        <v>165</v>
      </c>
      <c r="P742" s="1" t="s">
        <v>166</v>
      </c>
      <c r="Q742" s="1" t="s">
        <v>130</v>
      </c>
      <c r="R742" s="1" t="s">
        <v>130</v>
      </c>
      <c r="S742" s="17">
        <v>0</v>
      </c>
      <c r="T742" s="17">
        <v>1715.91</v>
      </c>
      <c r="U742" s="17">
        <v>0</v>
      </c>
      <c r="V742" s="17">
        <v>0</v>
      </c>
      <c r="W742" s="17">
        <v>20</v>
      </c>
      <c r="X742" s="17">
        <v>1434.16</v>
      </c>
      <c r="Y742" s="17">
        <v>232.67</v>
      </c>
      <c r="Z742" s="18" t="e">
        <f t="shared" si="240"/>
        <v>#DIV/0!</v>
      </c>
      <c r="AA742" s="19">
        <v>0.15</v>
      </c>
      <c r="AB742" s="17">
        <f t="shared" si="250"/>
        <v>215.124</v>
      </c>
      <c r="AC742" s="17">
        <v>0</v>
      </c>
      <c r="AD742" s="17">
        <v>0</v>
      </c>
      <c r="AE742" s="17">
        <f t="shared" si="241"/>
        <v>215.124</v>
      </c>
      <c r="AF742" s="17">
        <f t="shared" si="248"/>
        <v>34.419840000000001</v>
      </c>
      <c r="AG742" s="17">
        <f t="shared" si="247"/>
        <v>249.54383999999999</v>
      </c>
      <c r="AH742" s="17">
        <f t="shared" si="233"/>
        <v>4.3024800000000001</v>
      </c>
      <c r="AI742" s="17"/>
      <c r="AJ742" s="17">
        <f t="shared" si="242"/>
        <v>4.3024800000000001</v>
      </c>
      <c r="AK742" s="20"/>
      <c r="AL742" s="17">
        <f t="shared" si="243"/>
        <v>210.82151999999999</v>
      </c>
      <c r="AM742" s="17" t="s">
        <v>198</v>
      </c>
      <c r="AN742" s="21"/>
      <c r="AO742" s="17">
        <f t="shared" si="244"/>
        <v>0</v>
      </c>
      <c r="AP742" s="27"/>
      <c r="AQ742" s="16"/>
      <c r="AR742" s="17">
        <f t="shared" si="251"/>
        <v>0</v>
      </c>
      <c r="AS742" s="17"/>
      <c r="AT742" s="17">
        <v>249.54383999999999</v>
      </c>
      <c r="AU742" s="17">
        <f t="shared" ref="AU742:AU773" si="252">AG742</f>
        <v>249.54383999999999</v>
      </c>
      <c r="AV742" s="17">
        <f t="shared" si="245"/>
        <v>0</v>
      </c>
      <c r="AW742" s="17" t="str">
        <f t="shared" si="231"/>
        <v>SFA</v>
      </c>
      <c r="AX742" s="22">
        <v>44984</v>
      </c>
      <c r="AY742" s="22"/>
      <c r="AZ742" s="1" t="s">
        <v>367</v>
      </c>
      <c r="BA742" s="22"/>
      <c r="BB742" s="54"/>
      <c r="BC742" s="22"/>
      <c r="BD742" s="22"/>
    </row>
    <row r="743" spans="1:56" ht="14.25" customHeight="1" x14ac:dyDescent="0.2">
      <c r="A743" s="1" t="s">
        <v>992</v>
      </c>
      <c r="B743" s="1" t="s">
        <v>57</v>
      </c>
      <c r="C743" s="22">
        <v>44924</v>
      </c>
      <c r="D743" s="22">
        <v>44903</v>
      </c>
      <c r="E743" s="22">
        <v>44897</v>
      </c>
      <c r="F743" s="22">
        <v>45261</v>
      </c>
      <c r="G743" s="14" t="str">
        <f t="shared" si="239"/>
        <v>000-742/AIB RDC/2022</v>
      </c>
      <c r="H743" s="1">
        <v>2</v>
      </c>
      <c r="I743" s="1" t="s">
        <v>58</v>
      </c>
      <c r="J743" s="15" t="s">
        <v>1068</v>
      </c>
      <c r="K743" s="1" t="s">
        <v>540</v>
      </c>
      <c r="L743" s="1" t="s">
        <v>388</v>
      </c>
      <c r="M743" s="1" t="s">
        <v>105</v>
      </c>
      <c r="N743" s="1" t="s">
        <v>1069</v>
      </c>
      <c r="O743" s="1" t="s">
        <v>132</v>
      </c>
      <c r="P743" s="1" t="s">
        <v>90</v>
      </c>
      <c r="Q743" s="1" t="s">
        <v>130</v>
      </c>
      <c r="R743" s="1" t="s">
        <v>130</v>
      </c>
      <c r="S743" s="17">
        <v>0</v>
      </c>
      <c r="T743" s="17">
        <v>4112.21</v>
      </c>
      <c r="U743" s="17">
        <v>519.03</v>
      </c>
      <c r="V743" s="17">
        <v>0</v>
      </c>
      <c r="W743" s="17">
        <v>24.71</v>
      </c>
      <c r="X743" s="17">
        <v>2941.18</v>
      </c>
      <c r="Y743" s="17">
        <v>557.59</v>
      </c>
      <c r="Z743" s="18" t="e">
        <f t="shared" si="240"/>
        <v>#DIV/0!</v>
      </c>
      <c r="AA743" s="19">
        <v>0</v>
      </c>
      <c r="AB743" s="17">
        <f t="shared" si="250"/>
        <v>0</v>
      </c>
      <c r="AC743" s="17">
        <f>30%*U743</f>
        <v>155.70899999999997</v>
      </c>
      <c r="AD743" s="17">
        <v>0</v>
      </c>
      <c r="AE743" s="17">
        <f t="shared" si="241"/>
        <v>155.70899999999997</v>
      </c>
      <c r="AF743" s="17">
        <f t="shared" si="248"/>
        <v>24.913439999999998</v>
      </c>
      <c r="AG743" s="17">
        <f t="shared" si="247"/>
        <v>180.62243999999998</v>
      </c>
      <c r="AH743" s="17">
        <f t="shared" si="233"/>
        <v>3.1141799999999997</v>
      </c>
      <c r="AI743" s="17"/>
      <c r="AJ743" s="17">
        <f t="shared" si="242"/>
        <v>3.1141799999999997</v>
      </c>
      <c r="AK743" s="20"/>
      <c r="AL743" s="17">
        <f t="shared" si="243"/>
        <v>152.59481999999997</v>
      </c>
      <c r="AM743" s="17"/>
      <c r="AN743" s="21"/>
      <c r="AO743" s="17">
        <f t="shared" si="244"/>
        <v>0</v>
      </c>
      <c r="AP743" s="27"/>
      <c r="AQ743" s="16"/>
      <c r="AR743" s="17">
        <f t="shared" si="251"/>
        <v>0</v>
      </c>
      <c r="AS743" s="17"/>
      <c r="AT743" s="17">
        <v>180.62243999999998</v>
      </c>
      <c r="AU743" s="17">
        <f t="shared" si="252"/>
        <v>180.62243999999998</v>
      </c>
      <c r="AV743" s="17">
        <f t="shared" si="245"/>
        <v>0</v>
      </c>
      <c r="AW743" s="17" t="str">
        <f t="shared" si="231"/>
        <v>SFA</v>
      </c>
      <c r="AX743" s="22">
        <v>44949</v>
      </c>
      <c r="AY743" s="22"/>
      <c r="AZ743" s="1"/>
      <c r="BA743" s="22" t="str">
        <f t="shared" ref="BA743:BA774" si="253">O743</f>
        <v>PI</v>
      </c>
      <c r="BB743" s="54"/>
      <c r="BC743" s="22"/>
      <c r="BD743" s="22"/>
    </row>
    <row r="744" spans="1:56" ht="14.25" customHeight="1" x14ac:dyDescent="0.2">
      <c r="A744" s="1" t="s">
        <v>992</v>
      </c>
      <c r="B744" s="1" t="s">
        <v>57</v>
      </c>
      <c r="C744" s="22">
        <v>44924</v>
      </c>
      <c r="D744" s="22">
        <v>44912</v>
      </c>
      <c r="E744" s="22">
        <v>44911</v>
      </c>
      <c r="F744" s="22">
        <v>45275</v>
      </c>
      <c r="G744" s="14" t="str">
        <f t="shared" si="239"/>
        <v>000-743/AIB RDC/2022</v>
      </c>
      <c r="H744" s="1">
        <v>1</v>
      </c>
      <c r="I744" s="1" t="s">
        <v>58</v>
      </c>
      <c r="J744" s="15" t="s">
        <v>1070</v>
      </c>
      <c r="K744" s="1" t="s">
        <v>1014</v>
      </c>
      <c r="L744" s="16"/>
      <c r="M744" s="1" t="s">
        <v>105</v>
      </c>
      <c r="N744" s="1" t="s">
        <v>119</v>
      </c>
      <c r="O744" s="1" t="s">
        <v>70</v>
      </c>
      <c r="P744" s="1" t="s">
        <v>71</v>
      </c>
      <c r="Q744" s="1" t="s">
        <v>130</v>
      </c>
      <c r="R744" s="1" t="s">
        <v>130</v>
      </c>
      <c r="S744" s="17">
        <v>0</v>
      </c>
      <c r="T744" s="17">
        <v>334.02</v>
      </c>
      <c r="U744" s="17">
        <v>0</v>
      </c>
      <c r="V744" s="17">
        <v>0</v>
      </c>
      <c r="W744" s="17">
        <v>20</v>
      </c>
      <c r="X744" s="17">
        <v>263.07</v>
      </c>
      <c r="Y744" s="17">
        <v>45.29</v>
      </c>
      <c r="Z744" s="18" t="e">
        <f t="shared" si="240"/>
        <v>#DIV/0!</v>
      </c>
      <c r="AA744" s="19">
        <v>0.1</v>
      </c>
      <c r="AB744" s="17">
        <f t="shared" si="250"/>
        <v>26.307000000000002</v>
      </c>
      <c r="AC744" s="17">
        <v>0</v>
      </c>
      <c r="AD744" s="17">
        <v>0</v>
      </c>
      <c r="AE744" s="17">
        <f t="shared" si="241"/>
        <v>26.307000000000002</v>
      </c>
      <c r="AF744" s="17">
        <f t="shared" si="248"/>
        <v>4.2091200000000004</v>
      </c>
      <c r="AG744" s="17">
        <f t="shared" si="247"/>
        <v>30.516120000000001</v>
      </c>
      <c r="AH744" s="17">
        <f t="shared" si="233"/>
        <v>0.52614000000000005</v>
      </c>
      <c r="AI744" s="17"/>
      <c r="AJ744" s="17">
        <f t="shared" si="242"/>
        <v>0.52614000000000005</v>
      </c>
      <c r="AK744" s="20"/>
      <c r="AL744" s="17">
        <f t="shared" si="243"/>
        <v>25.780860000000001</v>
      </c>
      <c r="AM744" s="17"/>
      <c r="AN744" s="21"/>
      <c r="AO744" s="17">
        <f t="shared" si="244"/>
        <v>0</v>
      </c>
      <c r="AP744" s="27"/>
      <c r="AQ744" s="16"/>
      <c r="AR744" s="17">
        <f t="shared" si="251"/>
        <v>0</v>
      </c>
      <c r="AS744" s="17"/>
      <c r="AT744" s="17">
        <v>30.516120000000001</v>
      </c>
      <c r="AU744" s="17">
        <f t="shared" si="252"/>
        <v>30.516120000000001</v>
      </c>
      <c r="AV744" s="17">
        <f t="shared" si="245"/>
        <v>0</v>
      </c>
      <c r="AW744" s="17" t="str">
        <f t="shared" ref="AW744:AW792" si="254">Q744</f>
        <v>SFA</v>
      </c>
      <c r="AX744" s="22">
        <v>44949</v>
      </c>
      <c r="AY744" s="22"/>
      <c r="AZ744" s="1"/>
      <c r="BA744" s="22" t="str">
        <f t="shared" si="253"/>
        <v>FIRE</v>
      </c>
      <c r="BB744" s="54"/>
      <c r="BC744" s="22"/>
      <c r="BD744" s="22"/>
    </row>
    <row r="745" spans="1:56" ht="14.25" customHeight="1" x14ac:dyDescent="0.2">
      <c r="A745" s="1" t="s">
        <v>992</v>
      </c>
      <c r="B745" s="1" t="s">
        <v>57</v>
      </c>
      <c r="C745" s="22">
        <v>44924</v>
      </c>
      <c r="D745" s="22">
        <v>44914</v>
      </c>
      <c r="E745" s="22">
        <v>44914</v>
      </c>
      <c r="F745" s="22">
        <v>45278</v>
      </c>
      <c r="G745" s="14" t="str">
        <f t="shared" si="239"/>
        <v>000-744/AIB RDC/2022</v>
      </c>
      <c r="H745" s="1">
        <v>2</v>
      </c>
      <c r="I745" s="1" t="s">
        <v>58</v>
      </c>
      <c r="J745" s="15" t="s">
        <v>1071</v>
      </c>
      <c r="K745" s="1" t="s">
        <v>1072</v>
      </c>
      <c r="L745" s="16"/>
      <c r="M745" s="1" t="s">
        <v>105</v>
      </c>
      <c r="N745" s="1" t="s">
        <v>119</v>
      </c>
      <c r="O745" s="1" t="s">
        <v>152</v>
      </c>
      <c r="P745" s="1" t="s">
        <v>153</v>
      </c>
      <c r="Q745" s="1" t="s">
        <v>86</v>
      </c>
      <c r="R745" s="1" t="s">
        <v>86</v>
      </c>
      <c r="S745" s="17">
        <v>0</v>
      </c>
      <c r="T745" s="17">
        <v>1302.82</v>
      </c>
      <c r="U745" s="17">
        <v>0</v>
      </c>
      <c r="V745" s="17">
        <v>0</v>
      </c>
      <c r="W745" s="17">
        <v>11.12</v>
      </c>
      <c r="X745" s="17">
        <v>1112</v>
      </c>
      <c r="Y745" s="17">
        <v>179.7</v>
      </c>
      <c r="Z745" s="18" t="e">
        <f t="shared" si="240"/>
        <v>#DIV/0!</v>
      </c>
      <c r="AA745" s="19">
        <v>0.15</v>
      </c>
      <c r="AB745" s="17">
        <f t="shared" si="250"/>
        <v>166.79999999999998</v>
      </c>
      <c r="AC745" s="17">
        <v>0</v>
      </c>
      <c r="AD745" s="17">
        <v>0</v>
      </c>
      <c r="AE745" s="17">
        <f t="shared" si="241"/>
        <v>166.79999999999998</v>
      </c>
      <c r="AF745" s="17">
        <f t="shared" si="248"/>
        <v>26.687999999999999</v>
      </c>
      <c r="AG745" s="17">
        <f t="shared" si="247"/>
        <v>193.48799999999997</v>
      </c>
      <c r="AH745" s="17">
        <f t="shared" ref="AH745:AH795" si="255">2%*AE745</f>
        <v>3.3359999999999999</v>
      </c>
      <c r="AI745" s="17"/>
      <c r="AJ745" s="17">
        <f t="shared" si="242"/>
        <v>3.3359999999999999</v>
      </c>
      <c r="AK745" s="20"/>
      <c r="AL745" s="17">
        <f t="shared" si="243"/>
        <v>163.46399999999997</v>
      </c>
      <c r="AM745" s="17"/>
      <c r="AN745" s="21"/>
      <c r="AO745" s="17">
        <f t="shared" si="244"/>
        <v>0</v>
      </c>
      <c r="AP745" s="27"/>
      <c r="AQ745" s="16"/>
      <c r="AR745" s="17">
        <f t="shared" si="251"/>
        <v>0</v>
      </c>
      <c r="AS745" s="17"/>
      <c r="AT745" s="17">
        <v>193.48799999999997</v>
      </c>
      <c r="AU745" s="17">
        <f t="shared" si="252"/>
        <v>193.48799999999997</v>
      </c>
      <c r="AV745" s="17">
        <f t="shared" si="245"/>
        <v>0</v>
      </c>
      <c r="AW745" s="17" t="str">
        <f t="shared" si="254"/>
        <v>SUNU</v>
      </c>
      <c r="AX745" s="22">
        <v>44965</v>
      </c>
      <c r="AY745" s="22"/>
      <c r="AZ745" s="1"/>
      <c r="BA745" s="22" t="str">
        <f t="shared" si="253"/>
        <v>COMP MOTOR</v>
      </c>
      <c r="BB745" s="54"/>
      <c r="BC745" s="22"/>
      <c r="BD745" s="1" t="s">
        <v>1065</v>
      </c>
    </row>
    <row r="746" spans="1:56" ht="14.25" customHeight="1" x14ac:dyDescent="0.2">
      <c r="A746" s="1" t="s">
        <v>992</v>
      </c>
      <c r="B746" s="1" t="s">
        <v>57</v>
      </c>
      <c r="C746" s="13">
        <v>44924</v>
      </c>
      <c r="D746" s="48">
        <v>44925</v>
      </c>
      <c r="E746" s="50">
        <v>44925</v>
      </c>
      <c r="F746" s="50">
        <v>45289</v>
      </c>
      <c r="G746" s="14" t="str">
        <f t="shared" si="239"/>
        <v>000-745/AIB RDC/2022</v>
      </c>
      <c r="H746" s="1">
        <v>1</v>
      </c>
      <c r="I746" s="1" t="s">
        <v>58</v>
      </c>
      <c r="J746" s="15" t="s">
        <v>1073</v>
      </c>
      <c r="K746" s="1" t="s">
        <v>349</v>
      </c>
      <c r="L746" s="16"/>
      <c r="M746" s="1" t="s">
        <v>105</v>
      </c>
      <c r="N746" s="1" t="s">
        <v>119</v>
      </c>
      <c r="O746" s="1" t="s">
        <v>73</v>
      </c>
      <c r="P746" s="1" t="s">
        <v>73</v>
      </c>
      <c r="Q746" s="1" t="s">
        <v>79</v>
      </c>
      <c r="R746" s="1" t="s">
        <v>79</v>
      </c>
      <c r="S746" s="17">
        <v>0</v>
      </c>
      <c r="T746" s="17">
        <v>3941.2</v>
      </c>
      <c r="U746" s="17">
        <v>0</v>
      </c>
      <c r="V746" s="17">
        <v>0</v>
      </c>
      <c r="W746" s="17">
        <v>80</v>
      </c>
      <c r="X746" s="17">
        <v>3260</v>
      </c>
      <c r="Y746" s="17">
        <v>534.4</v>
      </c>
      <c r="Z746" s="18" t="e">
        <f t="shared" si="240"/>
        <v>#DIV/0!</v>
      </c>
      <c r="AA746" s="19">
        <v>0.1</v>
      </c>
      <c r="AB746" s="17">
        <f t="shared" si="250"/>
        <v>326</v>
      </c>
      <c r="AC746" s="17">
        <v>0</v>
      </c>
      <c r="AD746" s="17">
        <v>0</v>
      </c>
      <c r="AE746" s="17">
        <f t="shared" si="241"/>
        <v>326</v>
      </c>
      <c r="AF746" s="17">
        <f t="shared" si="248"/>
        <v>52.160000000000004</v>
      </c>
      <c r="AG746" s="17">
        <f t="shared" si="247"/>
        <v>378.16</v>
      </c>
      <c r="AH746" s="17">
        <f t="shared" si="255"/>
        <v>6.5200000000000005</v>
      </c>
      <c r="AI746" s="17"/>
      <c r="AJ746" s="17">
        <f t="shared" si="242"/>
        <v>6.5200000000000005</v>
      </c>
      <c r="AK746" s="20"/>
      <c r="AL746" s="17">
        <f t="shared" si="243"/>
        <v>319.48</v>
      </c>
      <c r="AM746" s="17"/>
      <c r="AN746" s="21"/>
      <c r="AO746" s="17">
        <f t="shared" si="244"/>
        <v>0</v>
      </c>
      <c r="AP746" s="27"/>
      <c r="AQ746" s="16"/>
      <c r="AR746" s="17">
        <f t="shared" si="251"/>
        <v>0</v>
      </c>
      <c r="AS746" s="17"/>
      <c r="AT746" s="17">
        <v>378.16</v>
      </c>
      <c r="AU746" s="17">
        <f t="shared" si="252"/>
        <v>378.16</v>
      </c>
      <c r="AV746" s="17">
        <f t="shared" si="245"/>
        <v>0</v>
      </c>
      <c r="AW746" s="17" t="str">
        <f t="shared" si="254"/>
        <v>MAYFAIR</v>
      </c>
      <c r="AX746" s="22">
        <v>44951</v>
      </c>
      <c r="AY746" s="22"/>
      <c r="AZ746" s="1"/>
      <c r="BA746" s="22" t="str">
        <f t="shared" si="253"/>
        <v>MOTOR TPL</v>
      </c>
      <c r="BB746" s="54"/>
      <c r="BC746" s="22"/>
      <c r="BD746" s="22"/>
    </row>
    <row r="747" spans="1:56" ht="14.25" customHeight="1" x14ac:dyDescent="0.2">
      <c r="A747" s="1" t="s">
        <v>496</v>
      </c>
      <c r="B747" s="1" t="s">
        <v>273</v>
      </c>
      <c r="C747" s="13">
        <v>44704</v>
      </c>
      <c r="D747" s="13">
        <v>44705</v>
      </c>
      <c r="E747" s="13">
        <v>44705</v>
      </c>
      <c r="F747" s="13">
        <v>44708</v>
      </c>
      <c r="G747" s="14" t="str">
        <f t="shared" si="239"/>
        <v>000-746/AIB RDC/2022</v>
      </c>
      <c r="H747" s="1">
        <v>0</v>
      </c>
      <c r="I747" s="1" t="s">
        <v>74</v>
      </c>
      <c r="J747" s="1"/>
      <c r="K747" s="1" t="s">
        <v>181</v>
      </c>
      <c r="L747" s="1"/>
      <c r="M747" s="1" t="s">
        <v>105</v>
      </c>
      <c r="N747" s="1" t="s">
        <v>106</v>
      </c>
      <c r="O747" s="1" t="s">
        <v>64</v>
      </c>
      <c r="P747" s="1" t="s">
        <v>65</v>
      </c>
      <c r="Q747" s="1" t="s">
        <v>130</v>
      </c>
      <c r="R747" s="1" t="s">
        <v>130</v>
      </c>
      <c r="S747" s="17">
        <v>862</v>
      </c>
      <c r="T747" s="17">
        <v>94.4</v>
      </c>
      <c r="U747" s="17">
        <v>0</v>
      </c>
      <c r="V747" s="17">
        <v>0</v>
      </c>
      <c r="W747" s="17">
        <v>20</v>
      </c>
      <c r="X747" s="17">
        <v>60</v>
      </c>
      <c r="Y747" s="17">
        <v>12.8</v>
      </c>
      <c r="Z747" s="18">
        <f t="shared" si="240"/>
        <v>0.10951276102088167</v>
      </c>
      <c r="AA747" s="19">
        <v>0.15</v>
      </c>
      <c r="AB747" s="17">
        <f t="shared" si="250"/>
        <v>9</v>
      </c>
      <c r="AC747" s="17"/>
      <c r="AD747" s="17"/>
      <c r="AE747" s="17">
        <f t="shared" si="241"/>
        <v>9</v>
      </c>
      <c r="AF747" s="17">
        <f t="shared" si="248"/>
        <v>1.44</v>
      </c>
      <c r="AG747" s="17">
        <f t="shared" si="247"/>
        <v>10.44</v>
      </c>
      <c r="AH747" s="17">
        <f t="shared" si="255"/>
        <v>0.18</v>
      </c>
      <c r="AI747" s="17"/>
      <c r="AJ747" s="17">
        <f t="shared" si="242"/>
        <v>0.18</v>
      </c>
      <c r="AK747" s="20"/>
      <c r="AL747" s="17">
        <f t="shared" si="243"/>
        <v>8.82</v>
      </c>
      <c r="AM747" s="17" t="s">
        <v>108</v>
      </c>
      <c r="AN747" s="21">
        <v>0.4</v>
      </c>
      <c r="AO747" s="17">
        <f t="shared" si="244"/>
        <v>3.5280000000000005</v>
      </c>
      <c r="AP747" s="17"/>
      <c r="AQ747" s="16"/>
      <c r="AR747" s="17">
        <f t="shared" si="251"/>
        <v>3.5280000000000005</v>
      </c>
      <c r="AS747" s="17"/>
      <c r="AT747" s="17"/>
      <c r="AU747" s="17">
        <f t="shared" si="252"/>
        <v>10.44</v>
      </c>
      <c r="AV747" s="84">
        <f t="shared" si="245"/>
        <v>10.44</v>
      </c>
      <c r="AW747" s="17" t="str">
        <f t="shared" si="254"/>
        <v>SFA</v>
      </c>
      <c r="AX747" s="22"/>
      <c r="AY747" s="22"/>
      <c r="AZ747" s="1" t="s">
        <v>110</v>
      </c>
      <c r="BA747" s="22" t="str">
        <f t="shared" si="253"/>
        <v>MARINE CARGO / GIT</v>
      </c>
      <c r="BB747" s="22"/>
      <c r="BC747" s="22"/>
      <c r="BD747" s="1" t="s">
        <v>275</v>
      </c>
    </row>
    <row r="748" spans="1:56" ht="14.25" customHeight="1" x14ac:dyDescent="0.2">
      <c r="A748" s="1" t="s">
        <v>992</v>
      </c>
      <c r="B748" s="1" t="s">
        <v>273</v>
      </c>
      <c r="C748" s="13">
        <v>44928</v>
      </c>
      <c r="D748" s="1" t="s">
        <v>837</v>
      </c>
      <c r="E748" s="1" t="s">
        <v>837</v>
      </c>
      <c r="F748" s="1" t="s">
        <v>837</v>
      </c>
      <c r="G748" s="14" t="str">
        <f t="shared" si="239"/>
        <v>000-747/AIB RDC/2022</v>
      </c>
      <c r="H748" s="1">
        <v>0</v>
      </c>
      <c r="I748" s="1" t="s">
        <v>74</v>
      </c>
      <c r="J748" s="15" t="s">
        <v>1085</v>
      </c>
      <c r="K748" s="1" t="s">
        <v>181</v>
      </c>
      <c r="L748" s="16"/>
      <c r="M748" s="1" t="s">
        <v>105</v>
      </c>
      <c r="N748" s="1" t="s">
        <v>106</v>
      </c>
      <c r="O748" s="1" t="s">
        <v>64</v>
      </c>
      <c r="P748" s="1" t="s">
        <v>65</v>
      </c>
      <c r="Q748" s="1" t="s">
        <v>130</v>
      </c>
      <c r="R748" s="1" t="s">
        <v>130</v>
      </c>
      <c r="S748" s="17">
        <v>5405.7</v>
      </c>
      <c r="T748" s="17">
        <v>65</v>
      </c>
      <c r="U748" s="17">
        <v>0</v>
      </c>
      <c r="V748" s="17">
        <v>0</v>
      </c>
      <c r="W748" s="17">
        <v>0.81</v>
      </c>
      <c r="X748" s="17">
        <v>54.28</v>
      </c>
      <c r="Y748" s="17">
        <v>8.81</v>
      </c>
      <c r="Z748" s="18">
        <f t="shared" si="240"/>
        <v>1.2024344673215311E-2</v>
      </c>
      <c r="AA748" s="19">
        <v>0.15</v>
      </c>
      <c r="AB748" s="17">
        <f t="shared" si="250"/>
        <v>8.1419999999999995</v>
      </c>
      <c r="AC748" s="17">
        <v>0</v>
      </c>
      <c r="AD748" s="17">
        <v>0</v>
      </c>
      <c r="AE748" s="17">
        <f t="shared" si="241"/>
        <v>8.1419999999999995</v>
      </c>
      <c r="AF748" s="17">
        <f t="shared" si="248"/>
        <v>1.3027199999999999</v>
      </c>
      <c r="AG748" s="17">
        <f t="shared" si="247"/>
        <v>9.4447200000000002</v>
      </c>
      <c r="AH748" s="17">
        <f t="shared" si="255"/>
        <v>0.16283999999999998</v>
      </c>
      <c r="AI748" s="17"/>
      <c r="AJ748" s="17">
        <f t="shared" si="242"/>
        <v>0.16283999999999998</v>
      </c>
      <c r="AK748" s="20"/>
      <c r="AL748" s="17">
        <f t="shared" si="243"/>
        <v>7.9791599999999994</v>
      </c>
      <c r="AM748" s="17" t="s">
        <v>108</v>
      </c>
      <c r="AN748" s="21">
        <v>0.4</v>
      </c>
      <c r="AO748" s="17">
        <f t="shared" si="244"/>
        <v>3.1916639999999998</v>
      </c>
      <c r="AP748" s="27"/>
      <c r="AQ748" s="16"/>
      <c r="AR748" s="17">
        <f t="shared" si="251"/>
        <v>3.1916639999999998</v>
      </c>
      <c r="AS748" s="17"/>
      <c r="AT748" s="17"/>
      <c r="AU748" s="17">
        <f t="shared" si="252"/>
        <v>9.4447200000000002</v>
      </c>
      <c r="AV748" s="84">
        <f t="shared" si="245"/>
        <v>9.4447200000000002</v>
      </c>
      <c r="AW748" s="17" t="str">
        <f t="shared" si="254"/>
        <v>SFA</v>
      </c>
      <c r="AX748" s="22"/>
      <c r="AY748" s="22"/>
      <c r="AZ748" s="1" t="s">
        <v>110</v>
      </c>
      <c r="BA748" s="22" t="str">
        <f t="shared" si="253"/>
        <v>MARINE CARGO / GIT</v>
      </c>
      <c r="BB748" s="54"/>
      <c r="BC748" s="22"/>
      <c r="BD748" s="1" t="s">
        <v>226</v>
      </c>
    </row>
    <row r="749" spans="1:56" ht="14.25" customHeight="1" x14ac:dyDescent="0.2">
      <c r="A749" s="1" t="s">
        <v>992</v>
      </c>
      <c r="B749" s="1" t="s">
        <v>273</v>
      </c>
      <c r="C749" s="13">
        <v>44928</v>
      </c>
      <c r="D749" s="1" t="s">
        <v>837</v>
      </c>
      <c r="E749" s="1" t="s">
        <v>837</v>
      </c>
      <c r="F749" s="1" t="s">
        <v>837</v>
      </c>
      <c r="G749" s="14" t="str">
        <f t="shared" si="239"/>
        <v>000-748/AIB RDC/2022</v>
      </c>
      <c r="H749" s="1">
        <v>0</v>
      </c>
      <c r="I749" s="1" t="s">
        <v>74</v>
      </c>
      <c r="J749" s="15" t="s">
        <v>1086</v>
      </c>
      <c r="K749" s="1" t="s">
        <v>181</v>
      </c>
      <c r="L749" s="16"/>
      <c r="M749" s="1" t="s">
        <v>105</v>
      </c>
      <c r="N749" s="1" t="s">
        <v>106</v>
      </c>
      <c r="O749" s="1" t="s">
        <v>64</v>
      </c>
      <c r="P749" s="1" t="s">
        <v>65</v>
      </c>
      <c r="Q749" s="1" t="s">
        <v>130</v>
      </c>
      <c r="R749" s="1" t="s">
        <v>130</v>
      </c>
      <c r="S749" s="17">
        <v>6733.93</v>
      </c>
      <c r="T749" s="17">
        <v>65</v>
      </c>
      <c r="U749" s="17">
        <v>0</v>
      </c>
      <c r="V749" s="17">
        <v>0</v>
      </c>
      <c r="W749" s="17">
        <v>0.81</v>
      </c>
      <c r="X749" s="17">
        <v>54.28</v>
      </c>
      <c r="Y749" s="17">
        <v>8.81</v>
      </c>
      <c r="Z749" s="18">
        <f t="shared" si="240"/>
        <v>9.6526099914908525E-3</v>
      </c>
      <c r="AA749" s="19">
        <v>0.15</v>
      </c>
      <c r="AB749" s="17">
        <f t="shared" si="250"/>
        <v>8.1419999999999995</v>
      </c>
      <c r="AC749" s="17">
        <v>0</v>
      </c>
      <c r="AD749" s="17">
        <v>0</v>
      </c>
      <c r="AE749" s="17">
        <f t="shared" si="241"/>
        <v>8.1419999999999995</v>
      </c>
      <c r="AF749" s="17">
        <f t="shared" si="248"/>
        <v>1.3027199999999999</v>
      </c>
      <c r="AG749" s="17">
        <f t="shared" si="247"/>
        <v>9.4447200000000002</v>
      </c>
      <c r="AH749" s="17">
        <f t="shared" si="255"/>
        <v>0.16283999999999998</v>
      </c>
      <c r="AI749" s="17"/>
      <c r="AJ749" s="17">
        <f t="shared" si="242"/>
        <v>0.16283999999999998</v>
      </c>
      <c r="AK749" s="20"/>
      <c r="AL749" s="17">
        <f t="shared" si="243"/>
        <v>7.9791599999999994</v>
      </c>
      <c r="AM749" s="17" t="s">
        <v>108</v>
      </c>
      <c r="AN749" s="21">
        <v>0.4</v>
      </c>
      <c r="AO749" s="17">
        <f t="shared" si="244"/>
        <v>3.1916639999999998</v>
      </c>
      <c r="AP749" s="27"/>
      <c r="AQ749" s="16"/>
      <c r="AR749" s="17">
        <f t="shared" si="251"/>
        <v>3.1916639999999998</v>
      </c>
      <c r="AS749" s="17"/>
      <c r="AT749" s="17"/>
      <c r="AU749" s="17">
        <f t="shared" si="252"/>
        <v>9.4447200000000002</v>
      </c>
      <c r="AV749" s="84">
        <f t="shared" si="245"/>
        <v>9.4447200000000002</v>
      </c>
      <c r="AW749" s="17" t="str">
        <f t="shared" si="254"/>
        <v>SFA</v>
      </c>
      <c r="AX749" s="22"/>
      <c r="AY749" s="22"/>
      <c r="AZ749" s="1" t="s">
        <v>110</v>
      </c>
      <c r="BA749" s="22" t="str">
        <f t="shared" si="253"/>
        <v>MARINE CARGO / GIT</v>
      </c>
      <c r="BB749" s="54"/>
      <c r="BC749" s="22"/>
      <c r="BD749" s="1" t="s">
        <v>226</v>
      </c>
    </row>
    <row r="750" spans="1:56" ht="14.25" customHeight="1" x14ac:dyDescent="0.2">
      <c r="A750" s="1" t="s">
        <v>992</v>
      </c>
      <c r="B750" s="1" t="s">
        <v>57</v>
      </c>
      <c r="C750" s="13">
        <v>44924</v>
      </c>
      <c r="D750" s="13">
        <v>44916</v>
      </c>
      <c r="E750" s="13">
        <v>44916</v>
      </c>
      <c r="F750" s="13">
        <v>45280</v>
      </c>
      <c r="G750" s="14" t="str">
        <f t="shared" si="239"/>
        <v>000-749/AIB RDC/2022</v>
      </c>
      <c r="H750" s="1">
        <v>0</v>
      </c>
      <c r="I750" s="1" t="s">
        <v>74</v>
      </c>
      <c r="J750" s="15" t="s">
        <v>1078</v>
      </c>
      <c r="K750" s="1" t="s">
        <v>263</v>
      </c>
      <c r="L750" s="16"/>
      <c r="M750" s="1" t="s">
        <v>105</v>
      </c>
      <c r="N750" s="1" t="s">
        <v>106</v>
      </c>
      <c r="O750" s="1" t="s">
        <v>64</v>
      </c>
      <c r="P750" s="1" t="s">
        <v>65</v>
      </c>
      <c r="Q750" s="1" t="s">
        <v>130</v>
      </c>
      <c r="R750" s="1" t="s">
        <v>130</v>
      </c>
      <c r="S750" s="17">
        <v>340288</v>
      </c>
      <c r="T750" s="17">
        <v>762.96</v>
      </c>
      <c r="U750" s="17">
        <v>0</v>
      </c>
      <c r="V750" s="17">
        <v>0</v>
      </c>
      <c r="W750" s="17">
        <v>9.56</v>
      </c>
      <c r="X750" s="17">
        <v>637.02</v>
      </c>
      <c r="Y750" s="17">
        <v>103.45</v>
      </c>
      <c r="Z750" s="18">
        <f t="shared" si="240"/>
        <v>2.2421008087267257E-3</v>
      </c>
      <c r="AA750" s="19">
        <v>0.15</v>
      </c>
      <c r="AB750" s="17">
        <f t="shared" si="250"/>
        <v>95.552999999999997</v>
      </c>
      <c r="AC750" s="17">
        <v>0</v>
      </c>
      <c r="AD750" s="17">
        <v>0</v>
      </c>
      <c r="AE750" s="17">
        <f t="shared" si="241"/>
        <v>95.552999999999997</v>
      </c>
      <c r="AF750" s="17">
        <f t="shared" si="248"/>
        <v>15.28848</v>
      </c>
      <c r="AG750" s="17">
        <f t="shared" si="247"/>
        <v>110.84147999999999</v>
      </c>
      <c r="AH750" s="17">
        <f t="shared" si="255"/>
        <v>1.91106</v>
      </c>
      <c r="AI750" s="17"/>
      <c r="AJ750" s="17">
        <f t="shared" si="242"/>
        <v>1.91106</v>
      </c>
      <c r="AK750" s="20"/>
      <c r="AL750" s="17">
        <f t="shared" si="243"/>
        <v>93.641939999999991</v>
      </c>
      <c r="AM750" s="17" t="s">
        <v>108</v>
      </c>
      <c r="AN750" s="21">
        <v>0.4</v>
      </c>
      <c r="AO750" s="17">
        <f t="shared" si="244"/>
        <v>37.456775999999998</v>
      </c>
      <c r="AP750" s="30">
        <v>37.456775999999998</v>
      </c>
      <c r="AQ750" s="29">
        <v>45229</v>
      </c>
      <c r="AR750" s="17">
        <f t="shared" si="251"/>
        <v>0</v>
      </c>
      <c r="AS750" s="17"/>
      <c r="AT750" s="17">
        <v>110.84147999999999</v>
      </c>
      <c r="AU750" s="17">
        <f t="shared" si="252"/>
        <v>110.84147999999999</v>
      </c>
      <c r="AV750" s="17">
        <f t="shared" si="245"/>
        <v>0</v>
      </c>
      <c r="AW750" s="17" t="str">
        <f t="shared" si="254"/>
        <v>SFA</v>
      </c>
      <c r="AX750" s="22">
        <v>44949</v>
      </c>
      <c r="AY750" s="22"/>
      <c r="AZ750" s="1" t="s">
        <v>110</v>
      </c>
      <c r="BA750" s="22" t="str">
        <f t="shared" si="253"/>
        <v>MARINE CARGO / GIT</v>
      </c>
      <c r="BB750" s="54"/>
      <c r="BC750" s="22"/>
      <c r="BD750" s="22"/>
    </row>
    <row r="751" spans="1:56" ht="14.25" customHeight="1" x14ac:dyDescent="0.2">
      <c r="A751" s="1" t="s">
        <v>992</v>
      </c>
      <c r="B751" s="1" t="s">
        <v>57</v>
      </c>
      <c r="C751" s="13">
        <v>44936</v>
      </c>
      <c r="D751" s="13">
        <v>44904</v>
      </c>
      <c r="E751" s="50">
        <v>44905</v>
      </c>
      <c r="F751" s="13">
        <v>44934</v>
      </c>
      <c r="G751" s="14" t="str">
        <f t="shared" si="239"/>
        <v>000-750/AIB RDC/2022</v>
      </c>
      <c r="H751" s="1">
        <v>0</v>
      </c>
      <c r="I751" s="1" t="s">
        <v>74</v>
      </c>
      <c r="J751" s="15" t="s">
        <v>1079</v>
      </c>
      <c r="K751" s="1" t="s">
        <v>1080</v>
      </c>
      <c r="L751" s="16"/>
      <c r="M751" s="1" t="s">
        <v>706</v>
      </c>
      <c r="N751" s="1" t="s">
        <v>1069</v>
      </c>
      <c r="O751" s="1" t="s">
        <v>152</v>
      </c>
      <c r="P751" s="1" t="s">
        <v>153</v>
      </c>
      <c r="Q751" s="1" t="s">
        <v>130</v>
      </c>
      <c r="R751" s="1" t="s">
        <v>130</v>
      </c>
      <c r="S751" s="17">
        <v>0</v>
      </c>
      <c r="T751" s="17">
        <v>7863.68</v>
      </c>
      <c r="U751" s="17">
        <v>0</v>
      </c>
      <c r="V751" s="17">
        <v>0</v>
      </c>
      <c r="W751" s="17">
        <v>98.34</v>
      </c>
      <c r="X751" s="17">
        <v>6565.8</v>
      </c>
      <c r="Y751" s="17">
        <v>1066.26</v>
      </c>
      <c r="Z751" s="18" t="e">
        <f t="shared" si="240"/>
        <v>#DIV/0!</v>
      </c>
      <c r="AA751" s="19">
        <v>0.15</v>
      </c>
      <c r="AB751" s="17">
        <f t="shared" si="250"/>
        <v>984.87</v>
      </c>
      <c r="AC751" s="17">
        <v>0</v>
      </c>
      <c r="AD751" s="17">
        <v>0</v>
      </c>
      <c r="AE751" s="17">
        <f t="shared" si="241"/>
        <v>984.87</v>
      </c>
      <c r="AF751" s="17">
        <f t="shared" si="248"/>
        <v>157.57920000000001</v>
      </c>
      <c r="AG751" s="17">
        <f t="shared" si="247"/>
        <v>1142.4492</v>
      </c>
      <c r="AH751" s="17">
        <f t="shared" si="255"/>
        <v>19.697400000000002</v>
      </c>
      <c r="AI751" s="17"/>
      <c r="AJ751" s="17">
        <f t="shared" si="242"/>
        <v>19.697400000000002</v>
      </c>
      <c r="AK751" s="20"/>
      <c r="AL751" s="17">
        <f t="shared" si="243"/>
        <v>965.17259999999999</v>
      </c>
      <c r="AM751" s="17"/>
      <c r="AN751" s="21"/>
      <c r="AO751" s="17">
        <f t="shared" si="244"/>
        <v>0</v>
      </c>
      <c r="AP751" s="27"/>
      <c r="AQ751" s="16"/>
      <c r="AR751" s="17">
        <f t="shared" si="251"/>
        <v>0</v>
      </c>
      <c r="AS751" s="17"/>
      <c r="AT751" s="17">
        <v>1142.4492</v>
      </c>
      <c r="AU751" s="17">
        <f t="shared" si="252"/>
        <v>1142.4492</v>
      </c>
      <c r="AV751" s="17">
        <f t="shared" si="245"/>
        <v>0</v>
      </c>
      <c r="AW751" s="17" t="str">
        <f t="shared" si="254"/>
        <v>SFA</v>
      </c>
      <c r="AX751" s="22">
        <v>44949</v>
      </c>
      <c r="AY751" s="22"/>
      <c r="AZ751" s="1" t="s">
        <v>367</v>
      </c>
      <c r="BA751" s="22" t="str">
        <f t="shared" si="253"/>
        <v>COMP MOTOR</v>
      </c>
      <c r="BB751" s="54"/>
      <c r="BC751" s="22"/>
      <c r="BD751" s="22"/>
    </row>
    <row r="752" spans="1:56" ht="14.25" customHeight="1" x14ac:dyDescent="0.2">
      <c r="A752" s="1" t="s">
        <v>847</v>
      </c>
      <c r="B752" s="1" t="s">
        <v>273</v>
      </c>
      <c r="C752" s="13">
        <v>44693</v>
      </c>
      <c r="D752" s="1" t="s">
        <v>837</v>
      </c>
      <c r="E752" s="1" t="s">
        <v>837</v>
      </c>
      <c r="F752" s="1" t="s">
        <v>837</v>
      </c>
      <c r="G752" s="14" t="str">
        <f t="shared" si="239"/>
        <v>000-751/AIB RDC/2022</v>
      </c>
      <c r="H752" s="1">
        <v>0</v>
      </c>
      <c r="I752" s="1" t="s">
        <v>74</v>
      </c>
      <c r="J752" s="1" t="s">
        <v>1037</v>
      </c>
      <c r="K752" s="1" t="s">
        <v>263</v>
      </c>
      <c r="L752" s="1"/>
      <c r="M752" s="1" t="s">
        <v>105</v>
      </c>
      <c r="N752" s="1" t="s">
        <v>106</v>
      </c>
      <c r="O752" s="1" t="s">
        <v>64</v>
      </c>
      <c r="P752" s="1" t="s">
        <v>65</v>
      </c>
      <c r="Q752" s="1" t="s">
        <v>130</v>
      </c>
      <c r="R752" s="1" t="s">
        <v>130</v>
      </c>
      <c r="S752" s="17">
        <v>632636.37</v>
      </c>
      <c r="T752" s="17">
        <v>1418.48</v>
      </c>
      <c r="U752" s="17">
        <v>0</v>
      </c>
      <c r="V752" s="17">
        <v>0</v>
      </c>
      <c r="W752" s="17">
        <v>17.760000000000002</v>
      </c>
      <c r="X752" s="17">
        <v>1184.29</v>
      </c>
      <c r="Y752" s="17">
        <v>192.33</v>
      </c>
      <c r="Z752" s="18">
        <f t="shared" si="240"/>
        <v>2.2421727034125467E-3</v>
      </c>
      <c r="AA752" s="19">
        <v>0.15</v>
      </c>
      <c r="AB752" s="17">
        <f t="shared" si="250"/>
        <v>177.64349999999999</v>
      </c>
      <c r="AC752" s="17">
        <v>0</v>
      </c>
      <c r="AD752" s="17">
        <v>0</v>
      </c>
      <c r="AE752" s="17">
        <f t="shared" si="241"/>
        <v>177.64349999999999</v>
      </c>
      <c r="AF752" s="17">
        <f t="shared" si="248"/>
        <v>28.42296</v>
      </c>
      <c r="AG752" s="17">
        <f t="shared" si="247"/>
        <v>206.06645999999998</v>
      </c>
      <c r="AH752" s="17">
        <f t="shared" si="255"/>
        <v>3.55287</v>
      </c>
      <c r="AI752" s="17"/>
      <c r="AJ752" s="17">
        <f t="shared" si="242"/>
        <v>3.55287</v>
      </c>
      <c r="AK752" s="20"/>
      <c r="AL752" s="17">
        <f t="shared" si="243"/>
        <v>174.09062999999998</v>
      </c>
      <c r="AM752" s="17" t="s">
        <v>108</v>
      </c>
      <c r="AN752" s="21">
        <v>0.4</v>
      </c>
      <c r="AO752" s="17">
        <f t="shared" si="244"/>
        <v>69.636251999999999</v>
      </c>
      <c r="AP752" s="27"/>
      <c r="AQ752" s="16"/>
      <c r="AR752" s="17">
        <f t="shared" si="251"/>
        <v>69.636251999999999</v>
      </c>
      <c r="AS752" s="17"/>
      <c r="AT752" s="17"/>
      <c r="AU752" s="17">
        <f t="shared" si="252"/>
        <v>206.06645999999998</v>
      </c>
      <c r="AV752" s="84">
        <f t="shared" si="245"/>
        <v>206.06645999999998</v>
      </c>
      <c r="AW752" s="17" t="str">
        <f t="shared" si="254"/>
        <v>SFA</v>
      </c>
      <c r="AX752" s="22"/>
      <c r="AY752" s="22"/>
      <c r="AZ752" s="1" t="s">
        <v>110</v>
      </c>
      <c r="BA752" s="22" t="str">
        <f t="shared" si="253"/>
        <v>MARINE CARGO / GIT</v>
      </c>
      <c r="BB752" s="54"/>
      <c r="BC752" s="22"/>
      <c r="BD752" s="1" t="s">
        <v>226</v>
      </c>
    </row>
    <row r="753" spans="1:56" ht="14.25" customHeight="1" x14ac:dyDescent="0.2">
      <c r="A753" s="1" t="s">
        <v>992</v>
      </c>
      <c r="B753" s="1" t="s">
        <v>57</v>
      </c>
      <c r="C753" s="13">
        <v>44925</v>
      </c>
      <c r="D753" s="50">
        <v>44922</v>
      </c>
      <c r="E753" s="50">
        <v>44922</v>
      </c>
      <c r="F753" s="50">
        <v>45286</v>
      </c>
      <c r="G753" s="14" t="str">
        <f t="shared" si="239"/>
        <v>000-752/AIB RDC/2022</v>
      </c>
      <c r="H753" s="1">
        <v>1</v>
      </c>
      <c r="I753" s="1" t="s">
        <v>91</v>
      </c>
      <c r="J753" s="1" t="s">
        <v>1082</v>
      </c>
      <c r="K753" s="1" t="s">
        <v>540</v>
      </c>
      <c r="L753" s="1" t="s">
        <v>388</v>
      </c>
      <c r="M753" s="1" t="s">
        <v>706</v>
      </c>
      <c r="N753" s="1" t="s">
        <v>1069</v>
      </c>
      <c r="O753" s="1" t="s">
        <v>73</v>
      </c>
      <c r="P753" s="1" t="s">
        <v>73</v>
      </c>
      <c r="Q753" s="1" t="s">
        <v>86</v>
      </c>
      <c r="R753" s="1" t="s">
        <v>86</v>
      </c>
      <c r="S753" s="17">
        <v>0</v>
      </c>
      <c r="T753" s="17">
        <v>248.24</v>
      </c>
      <c r="U753" s="17">
        <v>0</v>
      </c>
      <c r="V753" s="17">
        <v>0</v>
      </c>
      <c r="W753" s="17">
        <v>0</v>
      </c>
      <c r="X753" s="17">
        <v>214</v>
      </c>
      <c r="Y753" s="17">
        <v>34.24</v>
      </c>
      <c r="Z753" s="18" t="e">
        <f t="shared" si="240"/>
        <v>#DIV/0!</v>
      </c>
      <c r="AA753" s="19">
        <v>0.1</v>
      </c>
      <c r="AB753" s="17">
        <f t="shared" si="250"/>
        <v>21.400000000000002</v>
      </c>
      <c r="AC753" s="17">
        <v>0</v>
      </c>
      <c r="AD753" s="17">
        <v>0</v>
      </c>
      <c r="AE753" s="17">
        <f t="shared" si="241"/>
        <v>21.400000000000002</v>
      </c>
      <c r="AF753" s="17">
        <f t="shared" si="248"/>
        <v>3.4240000000000004</v>
      </c>
      <c r="AG753" s="17">
        <f t="shared" si="247"/>
        <v>24.824000000000002</v>
      </c>
      <c r="AH753" s="17">
        <f t="shared" si="255"/>
        <v>0.42800000000000005</v>
      </c>
      <c r="AI753" s="17"/>
      <c r="AJ753" s="17">
        <f t="shared" si="242"/>
        <v>0.42800000000000005</v>
      </c>
      <c r="AK753" s="20"/>
      <c r="AL753" s="17">
        <f t="shared" si="243"/>
        <v>20.972000000000001</v>
      </c>
      <c r="AM753" s="17"/>
      <c r="AN753" s="21"/>
      <c r="AO753" s="17">
        <f t="shared" si="244"/>
        <v>0</v>
      </c>
      <c r="AP753" s="27"/>
      <c r="AQ753" s="16"/>
      <c r="AR753" s="17">
        <f t="shared" si="251"/>
        <v>0</v>
      </c>
      <c r="AS753" s="17"/>
      <c r="AT753" s="17">
        <v>24.824000000000002</v>
      </c>
      <c r="AU753" s="17">
        <f t="shared" si="252"/>
        <v>24.824000000000002</v>
      </c>
      <c r="AV753" s="17">
        <f t="shared" si="245"/>
        <v>0</v>
      </c>
      <c r="AW753" s="17" t="str">
        <f t="shared" si="254"/>
        <v>SUNU</v>
      </c>
      <c r="AX753" s="22">
        <v>44965</v>
      </c>
      <c r="AY753" s="22"/>
      <c r="AZ753" s="1"/>
      <c r="BA753" s="22" t="str">
        <f t="shared" si="253"/>
        <v>MOTOR TPL</v>
      </c>
      <c r="BB753" s="54"/>
      <c r="BC753" s="22"/>
      <c r="BD753" s="1" t="s">
        <v>1065</v>
      </c>
    </row>
    <row r="754" spans="1:56" ht="14.25" customHeight="1" x14ac:dyDescent="0.2">
      <c r="A754" s="1" t="s">
        <v>654</v>
      </c>
      <c r="B754" s="1" t="s">
        <v>57</v>
      </c>
      <c r="C754" s="13">
        <v>44935</v>
      </c>
      <c r="D754" s="50">
        <v>44921</v>
      </c>
      <c r="E754" s="13">
        <v>44743</v>
      </c>
      <c r="F754" s="13">
        <v>45107</v>
      </c>
      <c r="G754" s="14" t="str">
        <f t="shared" si="239"/>
        <v>000-753/AIB RDC/2022</v>
      </c>
      <c r="H754" s="1">
        <v>2</v>
      </c>
      <c r="I754" s="1" t="s">
        <v>58</v>
      </c>
      <c r="J754" s="15" t="s">
        <v>1083</v>
      </c>
      <c r="K754" s="1" t="s">
        <v>777</v>
      </c>
      <c r="L754" s="16"/>
      <c r="M754" s="1" t="s">
        <v>105</v>
      </c>
      <c r="N754" s="1" t="s">
        <v>541</v>
      </c>
      <c r="O754" s="1" t="s">
        <v>172</v>
      </c>
      <c r="P754" s="1" t="s">
        <v>90</v>
      </c>
      <c r="Q754" s="1" t="s">
        <v>66</v>
      </c>
      <c r="R754" s="1" t="s">
        <v>66</v>
      </c>
      <c r="S754" s="17">
        <v>0</v>
      </c>
      <c r="T754" s="17">
        <v>6270.4</v>
      </c>
      <c r="U754" s="17">
        <v>0</v>
      </c>
      <c r="V754" s="17">
        <v>0</v>
      </c>
      <c r="W754" s="17">
        <v>53.52</v>
      </c>
      <c r="X754" s="17">
        <v>5352</v>
      </c>
      <c r="Y754" s="17">
        <v>864.8832000000001</v>
      </c>
      <c r="Z754" s="18" t="e">
        <f t="shared" si="240"/>
        <v>#DIV/0!</v>
      </c>
      <c r="AA754" s="19">
        <v>0.15</v>
      </c>
      <c r="AB754" s="17">
        <f>AA754*X754</f>
        <v>802.8</v>
      </c>
      <c r="AC754" s="17">
        <v>0</v>
      </c>
      <c r="AD754" s="17">
        <v>0</v>
      </c>
      <c r="AE754" s="17">
        <f t="shared" si="241"/>
        <v>802.8</v>
      </c>
      <c r="AF754" s="17">
        <f t="shared" si="248"/>
        <v>128.44800000000001</v>
      </c>
      <c r="AG754" s="17">
        <f t="shared" si="247"/>
        <v>931.24799999999993</v>
      </c>
      <c r="AH754" s="17">
        <f t="shared" si="255"/>
        <v>16.056000000000001</v>
      </c>
      <c r="AI754" s="17">
        <v>0</v>
      </c>
      <c r="AJ754" s="17">
        <f t="shared" si="242"/>
        <v>16.056000000000001</v>
      </c>
      <c r="AK754" s="20"/>
      <c r="AL754" s="17">
        <f t="shared" si="243"/>
        <v>786.74399999999991</v>
      </c>
      <c r="AM754" s="17" t="s">
        <v>80</v>
      </c>
      <c r="AN754" s="21">
        <v>0</v>
      </c>
      <c r="AO754" s="23">
        <f t="shared" si="244"/>
        <v>0</v>
      </c>
      <c r="AP754" s="27"/>
      <c r="AQ754" s="16"/>
      <c r="AR754" s="17">
        <f t="shared" si="251"/>
        <v>0</v>
      </c>
      <c r="AS754" s="17"/>
      <c r="AT754" s="17">
        <v>931.24799999999993</v>
      </c>
      <c r="AU754" s="17">
        <f t="shared" si="252"/>
        <v>931.24799999999993</v>
      </c>
      <c r="AV754" s="17">
        <f t="shared" si="245"/>
        <v>0</v>
      </c>
      <c r="AW754" s="17" t="str">
        <f t="shared" si="254"/>
        <v>ACTIVA</v>
      </c>
      <c r="AX754" s="22">
        <v>44957</v>
      </c>
      <c r="AY754" s="22"/>
      <c r="AZ754" s="1" t="s">
        <v>145</v>
      </c>
      <c r="BA754" s="22" t="str">
        <f t="shared" si="253"/>
        <v>PUBLIC LIABILITY</v>
      </c>
      <c r="BB754" s="54"/>
      <c r="BC754" s="22"/>
      <c r="BD754" s="1" t="s">
        <v>1065</v>
      </c>
    </row>
    <row r="755" spans="1:56" ht="14.25" customHeight="1" x14ac:dyDescent="0.2">
      <c r="A755" s="1" t="s">
        <v>992</v>
      </c>
      <c r="B755" s="1" t="s">
        <v>57</v>
      </c>
      <c r="C755" s="13">
        <v>44928</v>
      </c>
      <c r="D755" s="13">
        <v>44916</v>
      </c>
      <c r="E755" s="13">
        <v>44916</v>
      </c>
      <c r="F755" s="13">
        <v>45280</v>
      </c>
      <c r="G755" s="14" t="str">
        <f t="shared" si="239"/>
        <v>000-754/AIB RDC/2022</v>
      </c>
      <c r="H755" s="1">
        <v>0</v>
      </c>
      <c r="I755" s="1" t="s">
        <v>74</v>
      </c>
      <c r="J755" s="15" t="s">
        <v>1084</v>
      </c>
      <c r="K755" s="1" t="s">
        <v>263</v>
      </c>
      <c r="L755" s="16"/>
      <c r="M755" s="1" t="s">
        <v>105</v>
      </c>
      <c r="N755" s="1" t="s">
        <v>106</v>
      </c>
      <c r="O755" s="1" t="s">
        <v>64</v>
      </c>
      <c r="P755" s="1" t="s">
        <v>65</v>
      </c>
      <c r="Q755" s="1" t="s">
        <v>130</v>
      </c>
      <c r="R755" s="1" t="s">
        <v>130</v>
      </c>
      <c r="S755" s="17">
        <v>64907.38</v>
      </c>
      <c r="T755" s="17">
        <v>145.53</v>
      </c>
      <c r="U755" s="17">
        <v>0</v>
      </c>
      <c r="V755" s="17">
        <v>0</v>
      </c>
      <c r="W755" s="17">
        <v>1.82</v>
      </c>
      <c r="X755" s="17">
        <v>121.51</v>
      </c>
      <c r="Y755" s="17">
        <v>19.73</v>
      </c>
      <c r="Z755" s="18">
        <f t="shared" si="240"/>
        <v>2.2421179224920186E-3</v>
      </c>
      <c r="AA755" s="19">
        <v>0.15</v>
      </c>
      <c r="AB755" s="17">
        <f t="shared" ref="AB755:AB773" si="256">(AA755*X755)</f>
        <v>18.226500000000001</v>
      </c>
      <c r="AC755" s="17">
        <v>0</v>
      </c>
      <c r="AD755" s="17">
        <v>0</v>
      </c>
      <c r="AE755" s="17">
        <f t="shared" si="241"/>
        <v>18.226500000000001</v>
      </c>
      <c r="AF755" s="17">
        <f t="shared" si="248"/>
        <v>2.9162400000000002</v>
      </c>
      <c r="AG755" s="17">
        <f t="shared" si="247"/>
        <v>21.142740000000003</v>
      </c>
      <c r="AH755" s="17">
        <f t="shared" si="255"/>
        <v>0.36453000000000002</v>
      </c>
      <c r="AI755" s="17"/>
      <c r="AJ755" s="17">
        <f t="shared" si="242"/>
        <v>0.36453000000000002</v>
      </c>
      <c r="AK755" s="20"/>
      <c r="AL755" s="17">
        <f t="shared" si="243"/>
        <v>17.861970000000003</v>
      </c>
      <c r="AM755" s="17" t="s">
        <v>108</v>
      </c>
      <c r="AN755" s="21">
        <v>0.4</v>
      </c>
      <c r="AO755" s="17">
        <f t="shared" si="244"/>
        <v>7.1447880000000019</v>
      </c>
      <c r="AP755" s="30">
        <v>7.1447880000000019</v>
      </c>
      <c r="AQ755" s="29">
        <v>45229</v>
      </c>
      <c r="AR755" s="17">
        <f t="shared" si="251"/>
        <v>0</v>
      </c>
      <c r="AS755" s="17"/>
      <c r="AT755" s="17">
        <v>21.142740000000003</v>
      </c>
      <c r="AU755" s="17">
        <f t="shared" si="252"/>
        <v>21.142740000000003</v>
      </c>
      <c r="AV755" s="17">
        <f t="shared" si="245"/>
        <v>0</v>
      </c>
      <c r="AW755" s="17" t="str">
        <f t="shared" si="254"/>
        <v>SFA</v>
      </c>
      <c r="AX755" s="22">
        <v>44949</v>
      </c>
      <c r="AY755" s="22"/>
      <c r="AZ755" s="1" t="s">
        <v>110</v>
      </c>
      <c r="BA755" s="22" t="str">
        <f t="shared" si="253"/>
        <v>MARINE CARGO / GIT</v>
      </c>
      <c r="BB755" s="54"/>
      <c r="BC755" s="22"/>
      <c r="BD755" s="22"/>
    </row>
    <row r="756" spans="1:56" ht="14.25" customHeight="1" x14ac:dyDescent="0.2">
      <c r="A756" s="12" t="s">
        <v>229</v>
      </c>
      <c r="B756" s="1" t="s">
        <v>57</v>
      </c>
      <c r="C756" s="13">
        <v>44603</v>
      </c>
      <c r="D756" s="13">
        <v>44627</v>
      </c>
      <c r="E756" s="13">
        <v>44603</v>
      </c>
      <c r="F756" s="13">
        <v>44691</v>
      </c>
      <c r="G756" s="14" t="str">
        <f t="shared" si="239"/>
        <v>000-755/AIB RDC/2022</v>
      </c>
      <c r="H756" s="1">
        <v>0</v>
      </c>
      <c r="I756" s="1" t="s">
        <v>74</v>
      </c>
      <c r="J756" s="28" t="s">
        <v>323</v>
      </c>
      <c r="K756" s="28" t="s">
        <v>263</v>
      </c>
      <c r="L756" s="16"/>
      <c r="M756" s="16" t="s">
        <v>105</v>
      </c>
      <c r="N756" s="1" t="s">
        <v>106</v>
      </c>
      <c r="O756" s="16" t="s">
        <v>64</v>
      </c>
      <c r="P756" s="16" t="s">
        <v>65</v>
      </c>
      <c r="Q756" s="16" t="s">
        <v>107</v>
      </c>
      <c r="R756" s="16" t="s">
        <v>107</v>
      </c>
      <c r="S756" s="17">
        <v>115250</v>
      </c>
      <c r="T756" s="17">
        <v>573.48</v>
      </c>
      <c r="U756" s="17">
        <v>0</v>
      </c>
      <c r="V756" s="17"/>
      <c r="W756" s="17"/>
      <c r="X756" s="17">
        <v>461</v>
      </c>
      <c r="Y756" s="17"/>
      <c r="Z756" s="18">
        <f t="shared" si="240"/>
        <v>4.9759652928416491E-3</v>
      </c>
      <c r="AA756" s="19">
        <v>0.15</v>
      </c>
      <c r="AB756" s="17">
        <f t="shared" si="256"/>
        <v>69.149999999999991</v>
      </c>
      <c r="AC756" s="17">
        <v>0</v>
      </c>
      <c r="AD756" s="17">
        <v>0</v>
      </c>
      <c r="AE756" s="17">
        <f t="shared" si="241"/>
        <v>69.149999999999991</v>
      </c>
      <c r="AF756" s="17">
        <f t="shared" si="248"/>
        <v>11.063999999999998</v>
      </c>
      <c r="AG756" s="17">
        <f t="shared" si="247"/>
        <v>80.213999999999984</v>
      </c>
      <c r="AH756" s="17">
        <f t="shared" si="255"/>
        <v>1.3829999999999998</v>
      </c>
      <c r="AI756" s="17">
        <v>0</v>
      </c>
      <c r="AJ756" s="17">
        <f t="shared" si="242"/>
        <v>1.3829999999999998</v>
      </c>
      <c r="AK756" s="20"/>
      <c r="AL756" s="17">
        <f t="shared" si="243"/>
        <v>67.766999999999996</v>
      </c>
      <c r="AM756" s="17" t="s">
        <v>108</v>
      </c>
      <c r="AN756" s="21">
        <v>0.4</v>
      </c>
      <c r="AO756" s="17">
        <f t="shared" si="244"/>
        <v>27.1068</v>
      </c>
      <c r="AP756" s="17"/>
      <c r="AQ756" s="16"/>
      <c r="AR756" s="17">
        <f t="shared" si="251"/>
        <v>27.1068</v>
      </c>
      <c r="AS756" s="17"/>
      <c r="AT756" s="17"/>
      <c r="AU756" s="17">
        <f t="shared" si="252"/>
        <v>80.213999999999984</v>
      </c>
      <c r="AV756" s="84">
        <f t="shared" si="245"/>
        <v>80.213999999999984</v>
      </c>
      <c r="AW756" s="17" t="str">
        <f t="shared" si="254"/>
        <v>RAWSUR</v>
      </c>
      <c r="AX756" s="22"/>
      <c r="AY756" s="22"/>
      <c r="AZ756" s="1" t="s">
        <v>110</v>
      </c>
      <c r="BA756" s="22" t="str">
        <f t="shared" si="253"/>
        <v>MARINE CARGO / GIT</v>
      </c>
      <c r="BB756" s="22"/>
      <c r="BC756" s="22"/>
      <c r="BD756" s="1" t="s">
        <v>275</v>
      </c>
    </row>
    <row r="757" spans="1:56" ht="14.25" customHeight="1" x14ac:dyDescent="0.2">
      <c r="A757" s="1" t="s">
        <v>654</v>
      </c>
      <c r="B757" s="1" t="s">
        <v>273</v>
      </c>
      <c r="C757" s="13">
        <v>44771</v>
      </c>
      <c r="D757" s="13">
        <v>44756</v>
      </c>
      <c r="E757" s="13">
        <v>44756</v>
      </c>
      <c r="F757" s="13">
        <v>44786</v>
      </c>
      <c r="G757" s="14" t="str">
        <f t="shared" si="239"/>
        <v>000-756/AIB RDC/2022</v>
      </c>
      <c r="H757" s="1">
        <v>0</v>
      </c>
      <c r="I757" s="1" t="s">
        <v>74</v>
      </c>
      <c r="J757" s="1" t="s">
        <v>704</v>
      </c>
      <c r="K757" s="1" t="s">
        <v>263</v>
      </c>
      <c r="L757" s="1"/>
      <c r="M757" s="1" t="s">
        <v>105</v>
      </c>
      <c r="N757" s="1" t="s">
        <v>106</v>
      </c>
      <c r="O757" s="1" t="s">
        <v>64</v>
      </c>
      <c r="P757" s="1" t="s">
        <v>65</v>
      </c>
      <c r="Q757" s="1" t="s">
        <v>130</v>
      </c>
      <c r="R757" s="1" t="s">
        <v>130</v>
      </c>
      <c r="S757" s="17">
        <v>239740</v>
      </c>
      <c r="T757" s="17">
        <v>553.17999999999995</v>
      </c>
      <c r="U757" s="17">
        <v>0</v>
      </c>
      <c r="V757" s="17">
        <v>0</v>
      </c>
      <c r="W757" s="17">
        <v>20</v>
      </c>
      <c r="X757" s="17">
        <v>448.79</v>
      </c>
      <c r="Y757" s="17">
        <v>75.010000000000005</v>
      </c>
      <c r="Z757" s="18">
        <f t="shared" si="240"/>
        <v>2.3074163677317093E-3</v>
      </c>
      <c r="AA757" s="19">
        <v>0.15</v>
      </c>
      <c r="AB757" s="17">
        <f t="shared" si="256"/>
        <v>67.3185</v>
      </c>
      <c r="AC757" s="17"/>
      <c r="AD757" s="17"/>
      <c r="AE757" s="17">
        <f t="shared" si="241"/>
        <v>67.3185</v>
      </c>
      <c r="AF757" s="17">
        <f t="shared" si="248"/>
        <v>10.770960000000001</v>
      </c>
      <c r="AG757" s="17">
        <f t="shared" si="247"/>
        <v>78.089460000000003</v>
      </c>
      <c r="AH757" s="17">
        <f t="shared" si="255"/>
        <v>1.3463700000000001</v>
      </c>
      <c r="AI757" s="17"/>
      <c r="AJ757" s="17">
        <f t="shared" si="242"/>
        <v>1.3463700000000001</v>
      </c>
      <c r="AK757" s="20"/>
      <c r="AL757" s="17">
        <f t="shared" si="243"/>
        <v>65.972130000000007</v>
      </c>
      <c r="AM757" s="17" t="s">
        <v>108</v>
      </c>
      <c r="AN757" s="21">
        <v>0.4</v>
      </c>
      <c r="AO757" s="17">
        <f t="shared" si="244"/>
        <v>26.388852000000004</v>
      </c>
      <c r="AP757" s="17"/>
      <c r="AQ757" s="16"/>
      <c r="AR757" s="17">
        <f t="shared" si="251"/>
        <v>26.388852000000004</v>
      </c>
      <c r="AS757" s="17"/>
      <c r="AT757" s="17"/>
      <c r="AU757" s="17">
        <f t="shared" si="252"/>
        <v>78.089460000000003</v>
      </c>
      <c r="AV757" s="84">
        <f t="shared" si="245"/>
        <v>78.089460000000003</v>
      </c>
      <c r="AW757" s="17" t="str">
        <f t="shared" si="254"/>
        <v>SFA</v>
      </c>
      <c r="AX757" s="22"/>
      <c r="AY757" s="22"/>
      <c r="AZ757" s="1" t="s">
        <v>110</v>
      </c>
      <c r="BA757" s="22" t="str">
        <f t="shared" si="253"/>
        <v>MARINE CARGO / GIT</v>
      </c>
      <c r="BB757" s="22"/>
      <c r="BC757" s="22"/>
      <c r="BD757" s="1" t="s">
        <v>275</v>
      </c>
    </row>
    <row r="758" spans="1:56" ht="14.25" customHeight="1" x14ac:dyDescent="0.2">
      <c r="A758" s="1" t="s">
        <v>992</v>
      </c>
      <c r="B758" s="2" t="s">
        <v>57</v>
      </c>
      <c r="C758" s="13">
        <v>44907</v>
      </c>
      <c r="D758" s="13">
        <v>44928</v>
      </c>
      <c r="E758" s="13">
        <v>44926</v>
      </c>
      <c r="F758" s="50">
        <v>45290</v>
      </c>
      <c r="G758" s="14" t="str">
        <f t="shared" si="239"/>
        <v>000-757/AIB RDC/2022</v>
      </c>
      <c r="H758" s="1">
        <v>0</v>
      </c>
      <c r="I758" s="1" t="s">
        <v>74</v>
      </c>
      <c r="J758" s="15" t="s">
        <v>1087</v>
      </c>
      <c r="K758" s="16" t="s">
        <v>127</v>
      </c>
      <c r="L758" s="1" t="s">
        <v>1088</v>
      </c>
      <c r="M758" s="1" t="s">
        <v>84</v>
      </c>
      <c r="N758" s="1" t="s">
        <v>85</v>
      </c>
      <c r="O758" s="1" t="s">
        <v>134</v>
      </c>
      <c r="P758" s="1" t="s">
        <v>71</v>
      </c>
      <c r="Q758" s="1" t="s">
        <v>130</v>
      </c>
      <c r="R758" s="1" t="s">
        <v>80</v>
      </c>
      <c r="S758" s="17">
        <v>0</v>
      </c>
      <c r="T758" s="17">
        <v>15414.55</v>
      </c>
      <c r="U758" s="17">
        <v>1948.24</v>
      </c>
      <c r="V758" s="17">
        <v>0</v>
      </c>
      <c r="W758" s="17">
        <v>65.2</v>
      </c>
      <c r="X758" s="17">
        <v>11040</v>
      </c>
      <c r="Y758" s="17">
        <v>2088.5500000000002</v>
      </c>
      <c r="Z758" s="18" t="e">
        <f t="shared" si="240"/>
        <v>#DIV/0!</v>
      </c>
      <c r="AA758" s="19">
        <v>0</v>
      </c>
      <c r="AB758" s="17">
        <f t="shared" si="256"/>
        <v>0</v>
      </c>
      <c r="AC758" s="17">
        <f>30%*U758</f>
        <v>584.47199999999998</v>
      </c>
      <c r="AD758" s="17">
        <v>0</v>
      </c>
      <c r="AE758" s="17">
        <f t="shared" si="241"/>
        <v>584.47199999999998</v>
      </c>
      <c r="AF758" s="17">
        <f t="shared" si="248"/>
        <v>93.515519999999995</v>
      </c>
      <c r="AG758" s="17">
        <f t="shared" si="247"/>
        <v>677.98752000000002</v>
      </c>
      <c r="AH758" s="17">
        <f t="shared" si="255"/>
        <v>11.689439999999999</v>
      </c>
      <c r="AI758" s="17">
        <v>0</v>
      </c>
      <c r="AJ758" s="17">
        <f t="shared" si="242"/>
        <v>11.689439999999999</v>
      </c>
      <c r="AK758" s="20"/>
      <c r="AL758" s="17">
        <f t="shared" si="243"/>
        <v>572.78255999999999</v>
      </c>
      <c r="AM758" s="17" t="s">
        <v>80</v>
      </c>
      <c r="AN758" s="21">
        <v>0</v>
      </c>
      <c r="AO758" s="17">
        <f t="shared" si="244"/>
        <v>0</v>
      </c>
      <c r="AP758" s="27"/>
      <c r="AQ758" s="16"/>
      <c r="AR758" s="17">
        <f t="shared" si="251"/>
        <v>0</v>
      </c>
      <c r="AS758" s="17"/>
      <c r="AT758" s="17">
        <v>677.98752000000002</v>
      </c>
      <c r="AU758" s="17">
        <f t="shared" si="252"/>
        <v>677.98752000000002</v>
      </c>
      <c r="AV758" s="17">
        <f t="shared" si="245"/>
        <v>0</v>
      </c>
      <c r="AW758" s="17" t="str">
        <f t="shared" si="254"/>
        <v>SFA</v>
      </c>
      <c r="AX758" s="22">
        <v>45100</v>
      </c>
      <c r="AY758" s="22"/>
      <c r="AZ758" s="1"/>
      <c r="BA758" s="22" t="str">
        <f t="shared" si="253"/>
        <v>CYBER</v>
      </c>
      <c r="BB758" s="54"/>
      <c r="BC758" s="22"/>
      <c r="BD758" s="1" t="s">
        <v>390</v>
      </c>
    </row>
    <row r="759" spans="1:56" ht="14.25" customHeight="1" x14ac:dyDescent="0.2">
      <c r="A759" s="1" t="s">
        <v>992</v>
      </c>
      <c r="B759" s="1" t="s">
        <v>57</v>
      </c>
      <c r="C759" s="13">
        <v>44905</v>
      </c>
      <c r="D759" s="13">
        <v>44914</v>
      </c>
      <c r="E759" s="13">
        <v>44914</v>
      </c>
      <c r="F759" s="13">
        <v>45278</v>
      </c>
      <c r="G759" s="14" t="str">
        <f t="shared" si="239"/>
        <v>000-758/AIB RDC/2022</v>
      </c>
      <c r="H759" s="1">
        <v>0</v>
      </c>
      <c r="I759" s="1" t="s">
        <v>74</v>
      </c>
      <c r="J759" s="15" t="s">
        <v>1089</v>
      </c>
      <c r="K759" s="1" t="s">
        <v>769</v>
      </c>
      <c r="L759" s="1" t="s">
        <v>288</v>
      </c>
      <c r="M759" s="1" t="s">
        <v>84</v>
      </c>
      <c r="N759" s="1" t="s">
        <v>694</v>
      </c>
      <c r="O759" s="1" t="s">
        <v>73</v>
      </c>
      <c r="P759" s="1" t="s">
        <v>73</v>
      </c>
      <c r="Q759" s="1" t="s">
        <v>66</v>
      </c>
      <c r="R759" s="1" t="s">
        <v>66</v>
      </c>
      <c r="S759" s="17">
        <v>0</v>
      </c>
      <c r="T759" s="17">
        <v>3944.66</v>
      </c>
      <c r="U759" s="17">
        <v>0</v>
      </c>
      <c r="V759" s="17">
        <v>0</v>
      </c>
      <c r="W759" s="17">
        <v>33.67</v>
      </c>
      <c r="X759" s="17">
        <v>3366.9</v>
      </c>
      <c r="Y759" s="17">
        <v>544.09</v>
      </c>
      <c r="Z759" s="18" t="e">
        <f t="shared" si="240"/>
        <v>#DIV/0!</v>
      </c>
      <c r="AA759" s="19">
        <v>0.1</v>
      </c>
      <c r="AB759" s="17">
        <f t="shared" si="256"/>
        <v>336.69000000000005</v>
      </c>
      <c r="AC759" s="17">
        <v>0</v>
      </c>
      <c r="AD759" s="17">
        <v>0</v>
      </c>
      <c r="AE759" s="17">
        <f t="shared" si="241"/>
        <v>336.69000000000005</v>
      </c>
      <c r="AF759" s="17">
        <f t="shared" ref="AF759:AF790" si="257">16%*AE759</f>
        <v>53.870400000000011</v>
      </c>
      <c r="AG759" s="17">
        <f t="shared" si="247"/>
        <v>390.56040000000007</v>
      </c>
      <c r="AH759" s="17">
        <f t="shared" si="255"/>
        <v>6.7338000000000013</v>
      </c>
      <c r="AI759" s="17"/>
      <c r="AJ759" s="17">
        <f t="shared" si="242"/>
        <v>6.7338000000000013</v>
      </c>
      <c r="AK759" s="20"/>
      <c r="AL759" s="17">
        <f t="shared" si="243"/>
        <v>329.95620000000008</v>
      </c>
      <c r="AM759" s="17"/>
      <c r="AN759" s="21"/>
      <c r="AO759" s="17">
        <f t="shared" si="244"/>
        <v>0</v>
      </c>
      <c r="AP759" s="27"/>
      <c r="AQ759" s="16"/>
      <c r="AR759" s="17">
        <f t="shared" si="251"/>
        <v>0</v>
      </c>
      <c r="AS759" s="17"/>
      <c r="AT759" s="17">
        <v>390.56040000000007</v>
      </c>
      <c r="AU759" s="17">
        <f t="shared" si="252"/>
        <v>390.56040000000007</v>
      </c>
      <c r="AV759" s="17">
        <f t="shared" si="245"/>
        <v>0</v>
      </c>
      <c r="AW759" s="17" t="str">
        <f t="shared" si="254"/>
        <v>ACTIVA</v>
      </c>
      <c r="AX759" s="22">
        <v>44957</v>
      </c>
      <c r="AY759" s="22"/>
      <c r="AZ759" s="1"/>
      <c r="BA759" s="22" t="str">
        <f t="shared" si="253"/>
        <v>MOTOR TPL</v>
      </c>
      <c r="BB759" s="54"/>
      <c r="BC759" s="22"/>
      <c r="BD759" s="1" t="s">
        <v>1065</v>
      </c>
    </row>
    <row r="760" spans="1:56" ht="14.25" customHeight="1" x14ac:dyDescent="0.2">
      <c r="A760" s="1" t="s">
        <v>992</v>
      </c>
      <c r="B760" s="1" t="s">
        <v>57</v>
      </c>
      <c r="C760" s="13">
        <v>44905</v>
      </c>
      <c r="D760" s="13">
        <v>44914</v>
      </c>
      <c r="E760" s="13">
        <v>44914</v>
      </c>
      <c r="F760" s="13">
        <v>45278</v>
      </c>
      <c r="G760" s="14" t="str">
        <f t="shared" si="239"/>
        <v>000-759/AIB RDC/2022</v>
      </c>
      <c r="H760" s="1">
        <v>1</v>
      </c>
      <c r="I760" s="1" t="s">
        <v>217</v>
      </c>
      <c r="J760" s="15" t="s">
        <v>1089</v>
      </c>
      <c r="K760" s="1" t="s">
        <v>769</v>
      </c>
      <c r="L760" s="1" t="s">
        <v>288</v>
      </c>
      <c r="M760" s="1" t="s">
        <v>84</v>
      </c>
      <c r="N760" s="1" t="s">
        <v>694</v>
      </c>
      <c r="O760" s="1" t="s">
        <v>73</v>
      </c>
      <c r="P760" s="1" t="s">
        <v>73</v>
      </c>
      <c r="Q760" s="1" t="s">
        <v>66</v>
      </c>
      <c r="R760" s="1" t="s">
        <v>66</v>
      </c>
      <c r="S760" s="17">
        <v>0</v>
      </c>
      <c r="T760" s="17">
        <v>1003.4</v>
      </c>
      <c r="U760" s="17">
        <v>0</v>
      </c>
      <c r="V760" s="17">
        <v>0</v>
      </c>
      <c r="W760" s="17">
        <v>10</v>
      </c>
      <c r="X760" s="17">
        <v>855</v>
      </c>
      <c r="Y760" s="17">
        <v>138.4</v>
      </c>
      <c r="Z760" s="18" t="e">
        <f t="shared" si="240"/>
        <v>#DIV/0!</v>
      </c>
      <c r="AA760" s="19">
        <v>0.1</v>
      </c>
      <c r="AB760" s="17">
        <f t="shared" si="256"/>
        <v>85.5</v>
      </c>
      <c r="AC760" s="17">
        <v>0</v>
      </c>
      <c r="AD760" s="17">
        <v>0</v>
      </c>
      <c r="AE760" s="17">
        <f t="shared" si="241"/>
        <v>85.5</v>
      </c>
      <c r="AF760" s="17">
        <f t="shared" si="257"/>
        <v>13.68</v>
      </c>
      <c r="AG760" s="17">
        <f t="shared" si="247"/>
        <v>99.18</v>
      </c>
      <c r="AH760" s="17">
        <f t="shared" si="255"/>
        <v>1.71</v>
      </c>
      <c r="AI760" s="17"/>
      <c r="AJ760" s="17">
        <f t="shared" si="242"/>
        <v>1.71</v>
      </c>
      <c r="AK760" s="20"/>
      <c r="AL760" s="17">
        <f t="shared" si="243"/>
        <v>83.79</v>
      </c>
      <c r="AM760" s="17"/>
      <c r="AN760" s="21"/>
      <c r="AO760" s="17">
        <f t="shared" si="244"/>
        <v>0</v>
      </c>
      <c r="AP760" s="27"/>
      <c r="AQ760" s="16"/>
      <c r="AR760" s="17">
        <f t="shared" si="251"/>
        <v>0</v>
      </c>
      <c r="AS760" s="17"/>
      <c r="AT760" s="17">
        <v>99.18</v>
      </c>
      <c r="AU760" s="17">
        <f t="shared" si="252"/>
        <v>99.18</v>
      </c>
      <c r="AV760" s="17">
        <f t="shared" si="245"/>
        <v>0</v>
      </c>
      <c r="AW760" s="17" t="str">
        <f t="shared" si="254"/>
        <v>ACTIVA</v>
      </c>
      <c r="AX760" s="22">
        <v>44957</v>
      </c>
      <c r="AY760" s="22"/>
      <c r="AZ760" s="1"/>
      <c r="BA760" s="22" t="str">
        <f t="shared" si="253"/>
        <v>MOTOR TPL</v>
      </c>
      <c r="BB760" s="54"/>
      <c r="BC760" s="22"/>
      <c r="BD760" s="1" t="s">
        <v>1065</v>
      </c>
    </row>
    <row r="761" spans="1:56" ht="14.25" customHeight="1" x14ac:dyDescent="0.2">
      <c r="A761" s="1" t="s">
        <v>667</v>
      </c>
      <c r="B761" s="1" t="s">
        <v>57</v>
      </c>
      <c r="C761" s="13">
        <v>44869</v>
      </c>
      <c r="D761" s="50">
        <v>44852</v>
      </c>
      <c r="E761" s="13">
        <v>44851</v>
      </c>
      <c r="F761" s="13">
        <v>45215</v>
      </c>
      <c r="G761" s="14" t="str">
        <f t="shared" si="239"/>
        <v>000-760/AIB RDC/2022</v>
      </c>
      <c r="H761" s="1">
        <v>0</v>
      </c>
      <c r="I761" s="1" t="s">
        <v>74</v>
      </c>
      <c r="J761" s="15" t="s">
        <v>1090</v>
      </c>
      <c r="K761" s="1" t="s">
        <v>228</v>
      </c>
      <c r="L761" s="1"/>
      <c r="M761" s="1" t="s">
        <v>105</v>
      </c>
      <c r="N761" s="1" t="s">
        <v>106</v>
      </c>
      <c r="O761" s="1" t="s">
        <v>64</v>
      </c>
      <c r="P761" s="1" t="s">
        <v>65</v>
      </c>
      <c r="Q761" s="1" t="s">
        <v>130</v>
      </c>
      <c r="R761" s="1" t="s">
        <v>130</v>
      </c>
      <c r="S761" s="17">
        <v>350992.86</v>
      </c>
      <c r="T761" s="17">
        <v>977.4</v>
      </c>
      <c r="U761" s="17">
        <v>0</v>
      </c>
      <c r="V761" s="17">
        <v>0</v>
      </c>
      <c r="W761" s="17">
        <v>12.24</v>
      </c>
      <c r="X761" s="17">
        <v>816.06</v>
      </c>
      <c r="Y761" s="17">
        <v>132.53</v>
      </c>
      <c r="Z761" s="18">
        <f t="shared" si="240"/>
        <v>2.7846720300806118E-3</v>
      </c>
      <c r="AA761" s="19">
        <v>0.15</v>
      </c>
      <c r="AB761" s="17">
        <f t="shared" si="256"/>
        <v>122.40899999999999</v>
      </c>
      <c r="AC761" s="17">
        <v>0</v>
      </c>
      <c r="AD761" s="17">
        <v>0</v>
      </c>
      <c r="AE761" s="17">
        <f t="shared" si="241"/>
        <v>122.40899999999999</v>
      </c>
      <c r="AF761" s="17">
        <f t="shared" si="257"/>
        <v>19.585439999999998</v>
      </c>
      <c r="AG761" s="17">
        <f t="shared" si="247"/>
        <v>141.99444</v>
      </c>
      <c r="AH761" s="17">
        <f t="shared" si="255"/>
        <v>2.4481799999999998</v>
      </c>
      <c r="AI761" s="17"/>
      <c r="AJ761" s="17">
        <f t="shared" si="242"/>
        <v>2.4481799999999998</v>
      </c>
      <c r="AK761" s="20"/>
      <c r="AL761" s="17">
        <f t="shared" si="243"/>
        <v>119.96082</v>
      </c>
      <c r="AM761" s="17" t="s">
        <v>108</v>
      </c>
      <c r="AN761" s="21">
        <v>0.4</v>
      </c>
      <c r="AO761" s="17">
        <f t="shared" si="244"/>
        <v>47.984328000000005</v>
      </c>
      <c r="AP761" s="30">
        <v>47.984328000000005</v>
      </c>
      <c r="AQ761" s="29">
        <v>45229</v>
      </c>
      <c r="AR761" s="17">
        <f t="shared" si="251"/>
        <v>0</v>
      </c>
      <c r="AS761" s="17"/>
      <c r="AT761" s="17">
        <v>141.99444</v>
      </c>
      <c r="AU761" s="17">
        <f t="shared" si="252"/>
        <v>141.99444</v>
      </c>
      <c r="AV761" s="17">
        <f t="shared" si="245"/>
        <v>0</v>
      </c>
      <c r="AW761" s="17" t="str">
        <f t="shared" si="254"/>
        <v>SFA</v>
      </c>
      <c r="AX761" s="22">
        <v>44949</v>
      </c>
      <c r="AY761" s="22"/>
      <c r="AZ761" s="1" t="s">
        <v>110</v>
      </c>
      <c r="BA761" s="22" t="str">
        <f t="shared" si="253"/>
        <v>MARINE CARGO / GIT</v>
      </c>
      <c r="BB761" s="54"/>
      <c r="BC761" s="22"/>
      <c r="BD761" s="22"/>
    </row>
    <row r="762" spans="1:56" ht="14.25" customHeight="1" x14ac:dyDescent="0.2">
      <c r="A762" s="1" t="s">
        <v>847</v>
      </c>
      <c r="B762" s="1" t="s">
        <v>57</v>
      </c>
      <c r="C762" s="13">
        <v>44916</v>
      </c>
      <c r="D762" s="50">
        <v>44980</v>
      </c>
      <c r="E762" s="13">
        <v>44895</v>
      </c>
      <c r="F762" s="13">
        <v>45261</v>
      </c>
      <c r="G762" s="14" t="str">
        <f t="shared" si="239"/>
        <v>000-761/AIB RDC/2022</v>
      </c>
      <c r="H762" s="1">
        <v>0</v>
      </c>
      <c r="I762" s="1" t="s">
        <v>74</v>
      </c>
      <c r="J762" s="53" t="s">
        <v>1091</v>
      </c>
      <c r="K762" s="1" t="s">
        <v>1092</v>
      </c>
      <c r="L762" s="1" t="s">
        <v>214</v>
      </c>
      <c r="M762" s="1" t="s">
        <v>84</v>
      </c>
      <c r="N762" s="1" t="s">
        <v>85</v>
      </c>
      <c r="O762" s="1" t="s">
        <v>70</v>
      </c>
      <c r="P762" s="1" t="s">
        <v>71</v>
      </c>
      <c r="Q762" s="1" t="s">
        <v>130</v>
      </c>
      <c r="R762" s="1" t="s">
        <v>780</v>
      </c>
      <c r="S762" s="17">
        <v>0</v>
      </c>
      <c r="T762" s="17">
        <v>4043315.74</v>
      </c>
      <c r="U762" s="17">
        <v>391517.72</v>
      </c>
      <c r="V762" s="17">
        <v>-182708.27</v>
      </c>
      <c r="W762" s="17">
        <v>0</v>
      </c>
      <c r="X762" s="17">
        <v>3035021.05</v>
      </c>
      <c r="Y762" s="17">
        <v>548246.19999999995</v>
      </c>
      <c r="Z762" s="18" t="e">
        <f t="shared" si="240"/>
        <v>#DIV/0!</v>
      </c>
      <c r="AA762" s="19">
        <v>0</v>
      </c>
      <c r="AB762" s="17">
        <f t="shared" si="256"/>
        <v>0</v>
      </c>
      <c r="AC762" s="17">
        <f>30%*(U762+V762)</f>
        <v>62642.834999999992</v>
      </c>
      <c r="AD762" s="17">
        <f>1.365%*X762</f>
        <v>41428.037332499996</v>
      </c>
      <c r="AE762" s="17">
        <f t="shared" si="241"/>
        <v>104070.87233249999</v>
      </c>
      <c r="AF762" s="17">
        <f t="shared" si="257"/>
        <v>16651.339573199999</v>
      </c>
      <c r="AG762" s="17">
        <f t="shared" si="247"/>
        <v>120722.21190569998</v>
      </c>
      <c r="AH762" s="17">
        <f t="shared" si="255"/>
        <v>2081.4174466499999</v>
      </c>
      <c r="AI762" s="17">
        <v>0</v>
      </c>
      <c r="AJ762" s="17">
        <f t="shared" si="242"/>
        <v>2081.4174466499999</v>
      </c>
      <c r="AK762" s="20"/>
      <c r="AL762" s="17">
        <f t="shared" si="243"/>
        <v>101989.45488584999</v>
      </c>
      <c r="AM762" s="17"/>
      <c r="AN762" s="21"/>
      <c r="AO762" s="17">
        <f t="shared" si="244"/>
        <v>0</v>
      </c>
      <c r="AP762" s="27"/>
      <c r="AQ762" s="16"/>
      <c r="AR762" s="17">
        <f t="shared" si="251"/>
        <v>0</v>
      </c>
      <c r="AS762" s="17"/>
      <c r="AT762" s="17">
        <v>120722.21190569998</v>
      </c>
      <c r="AU762" s="17">
        <f t="shared" si="252"/>
        <v>120722.21190569998</v>
      </c>
      <c r="AV762" s="17">
        <f t="shared" si="245"/>
        <v>0</v>
      </c>
      <c r="AW762" s="17" t="str">
        <f t="shared" si="254"/>
        <v>SFA</v>
      </c>
      <c r="AX762" s="22">
        <v>45005</v>
      </c>
      <c r="AY762" s="22"/>
      <c r="AZ762" s="1"/>
      <c r="BA762" s="22" t="str">
        <f t="shared" si="253"/>
        <v>FIRE</v>
      </c>
      <c r="BB762" s="54"/>
      <c r="BC762" s="22"/>
      <c r="BD762" s="22"/>
    </row>
    <row r="763" spans="1:56" ht="14.25" customHeight="1" x14ac:dyDescent="0.2">
      <c r="A763" s="1" t="s">
        <v>667</v>
      </c>
      <c r="B763" s="1" t="s">
        <v>57</v>
      </c>
      <c r="C763" s="13">
        <v>44869</v>
      </c>
      <c r="D763" s="50">
        <v>44855</v>
      </c>
      <c r="E763" s="50">
        <v>44853</v>
      </c>
      <c r="F763" s="13">
        <v>45217</v>
      </c>
      <c r="G763" s="14" t="str">
        <f t="shared" si="239"/>
        <v>000-762/AIB RDC/2022</v>
      </c>
      <c r="H763" s="1">
        <v>0</v>
      </c>
      <c r="I763" s="1" t="s">
        <v>74</v>
      </c>
      <c r="J763" s="15" t="s">
        <v>1093</v>
      </c>
      <c r="K763" s="1" t="s">
        <v>228</v>
      </c>
      <c r="L763" s="1"/>
      <c r="M763" s="1" t="s">
        <v>105</v>
      </c>
      <c r="N763" s="1" t="s">
        <v>106</v>
      </c>
      <c r="O763" s="1" t="s">
        <v>64</v>
      </c>
      <c r="P763" s="1" t="s">
        <v>65</v>
      </c>
      <c r="Q763" s="1" t="s">
        <v>130</v>
      </c>
      <c r="R763" s="1" t="s">
        <v>130</v>
      </c>
      <c r="S763" s="17">
        <v>67626.66</v>
      </c>
      <c r="T763" s="17">
        <v>188.31</v>
      </c>
      <c r="U763" s="17">
        <v>0</v>
      </c>
      <c r="V763" s="17">
        <v>0</v>
      </c>
      <c r="W763" s="17">
        <v>2.36</v>
      </c>
      <c r="X763" s="17">
        <v>157.22999999999999</v>
      </c>
      <c r="Y763" s="17">
        <v>25.53</v>
      </c>
      <c r="Z763" s="18">
        <f t="shared" si="240"/>
        <v>2.7845527192973895E-3</v>
      </c>
      <c r="AA763" s="19">
        <v>0.15</v>
      </c>
      <c r="AB763" s="17">
        <f t="shared" si="256"/>
        <v>23.584499999999998</v>
      </c>
      <c r="AC763" s="17">
        <v>0</v>
      </c>
      <c r="AD763" s="17">
        <v>0</v>
      </c>
      <c r="AE763" s="17">
        <f t="shared" si="241"/>
        <v>23.584499999999998</v>
      </c>
      <c r="AF763" s="17">
        <f t="shared" si="257"/>
        <v>3.77352</v>
      </c>
      <c r="AG763" s="17">
        <f t="shared" si="247"/>
        <v>27.35802</v>
      </c>
      <c r="AH763" s="17">
        <f t="shared" si="255"/>
        <v>0.47169</v>
      </c>
      <c r="AI763" s="17"/>
      <c r="AJ763" s="17">
        <f t="shared" si="242"/>
        <v>0.47169</v>
      </c>
      <c r="AK763" s="20"/>
      <c r="AL763" s="17">
        <f t="shared" si="243"/>
        <v>23.11281</v>
      </c>
      <c r="AM763" s="17" t="s">
        <v>108</v>
      </c>
      <c r="AN763" s="21">
        <v>0.4</v>
      </c>
      <c r="AO763" s="17">
        <f t="shared" si="244"/>
        <v>9.2451240000000006</v>
      </c>
      <c r="AP763" s="27">
        <v>9.25</v>
      </c>
      <c r="AQ763" s="16"/>
      <c r="AR763" s="17">
        <f t="shared" si="251"/>
        <v>-4.8759999999994363E-3</v>
      </c>
      <c r="AS763" s="17"/>
      <c r="AT763" s="17">
        <v>27.35802</v>
      </c>
      <c r="AU763" s="17">
        <f t="shared" si="252"/>
        <v>27.35802</v>
      </c>
      <c r="AV763" s="17">
        <f t="shared" si="245"/>
        <v>0</v>
      </c>
      <c r="AW763" s="17" t="str">
        <f t="shared" si="254"/>
        <v>SFA</v>
      </c>
      <c r="AX763" s="22">
        <v>44949</v>
      </c>
      <c r="AY763" s="22"/>
      <c r="AZ763" s="1" t="s">
        <v>110</v>
      </c>
      <c r="BA763" s="22" t="str">
        <f t="shared" si="253"/>
        <v>MARINE CARGO / GIT</v>
      </c>
      <c r="BB763" s="54"/>
      <c r="BC763" s="22"/>
      <c r="BD763" s="22"/>
    </row>
    <row r="764" spans="1:56" ht="14.25" customHeight="1" x14ac:dyDescent="0.2">
      <c r="A764" s="1" t="s">
        <v>847</v>
      </c>
      <c r="B764" s="1" t="s">
        <v>57</v>
      </c>
      <c r="C764" s="13">
        <v>44904</v>
      </c>
      <c r="D764" s="50">
        <v>44941</v>
      </c>
      <c r="E764" s="13">
        <v>44895</v>
      </c>
      <c r="F764" s="13">
        <v>45261</v>
      </c>
      <c r="G764" s="14" t="str">
        <f t="shared" si="239"/>
        <v>000-763/AIB RDC/2022</v>
      </c>
      <c r="H764" s="1">
        <v>0</v>
      </c>
      <c r="I764" s="1" t="s">
        <v>74</v>
      </c>
      <c r="J764" s="15">
        <v>45000016</v>
      </c>
      <c r="K764" s="1" t="s">
        <v>1092</v>
      </c>
      <c r="L764" s="1" t="s">
        <v>214</v>
      </c>
      <c r="M764" s="1" t="s">
        <v>84</v>
      </c>
      <c r="N764" s="1" t="s">
        <v>85</v>
      </c>
      <c r="O764" s="1" t="s">
        <v>466</v>
      </c>
      <c r="P764" s="1" t="s">
        <v>71</v>
      </c>
      <c r="Q764" s="1" t="s">
        <v>107</v>
      </c>
      <c r="R764" s="1" t="s">
        <v>780</v>
      </c>
      <c r="S764" s="17">
        <v>0</v>
      </c>
      <c r="T764" s="17">
        <v>2180394.83</v>
      </c>
      <c r="U764" s="17">
        <v>241016.38</v>
      </c>
      <c r="V764" s="17">
        <v>-112474.31</v>
      </c>
      <c r="W764" s="17">
        <v>0</v>
      </c>
      <c r="X764" s="17">
        <v>1606775.85</v>
      </c>
      <c r="Y764" s="17">
        <v>295646.76</v>
      </c>
      <c r="Z764" s="18" t="e">
        <f t="shared" si="240"/>
        <v>#DIV/0!</v>
      </c>
      <c r="AA764" s="19">
        <v>0</v>
      </c>
      <c r="AB764" s="17">
        <f t="shared" si="256"/>
        <v>0</v>
      </c>
      <c r="AC764" s="17">
        <f>30%*(U764+V764)</f>
        <v>38562.620999999999</v>
      </c>
      <c r="AD764" s="17">
        <v>0</v>
      </c>
      <c r="AE764" s="17">
        <f t="shared" si="241"/>
        <v>38562.620999999999</v>
      </c>
      <c r="AF764" s="17">
        <f t="shared" si="257"/>
        <v>6170.0193600000002</v>
      </c>
      <c r="AG764" s="17">
        <f t="shared" si="247"/>
        <v>44732.640359999998</v>
      </c>
      <c r="AH764" s="17">
        <f t="shared" si="255"/>
        <v>771.25242000000003</v>
      </c>
      <c r="AI764" s="17">
        <v>0</v>
      </c>
      <c r="AJ764" s="17">
        <f t="shared" si="242"/>
        <v>771.25242000000003</v>
      </c>
      <c r="AK764" s="20"/>
      <c r="AL764" s="17">
        <f t="shared" si="243"/>
        <v>37791.368580000002</v>
      </c>
      <c r="AM764" s="17"/>
      <c r="AN764" s="21"/>
      <c r="AO764" s="17">
        <f t="shared" si="244"/>
        <v>0</v>
      </c>
      <c r="AP764" s="27"/>
      <c r="AQ764" s="16"/>
      <c r="AR764" s="17">
        <f t="shared" si="251"/>
        <v>0</v>
      </c>
      <c r="AS764" s="17"/>
      <c r="AT764" s="17">
        <v>44732.640359999998</v>
      </c>
      <c r="AU764" s="17">
        <f t="shared" si="252"/>
        <v>44732.640359999998</v>
      </c>
      <c r="AV764" s="17">
        <f t="shared" si="245"/>
        <v>0</v>
      </c>
      <c r="AW764" s="17" t="str">
        <f t="shared" si="254"/>
        <v>RAWSUR</v>
      </c>
      <c r="AX764" s="22">
        <v>45104</v>
      </c>
      <c r="AY764" s="22"/>
      <c r="AZ764" s="1"/>
      <c r="BA764" s="22" t="str">
        <f t="shared" si="253"/>
        <v>PROPERTY DAMAGE &amp; BI</v>
      </c>
      <c r="BB764" s="54"/>
      <c r="BC764" s="22"/>
      <c r="BD764" s="1" t="s">
        <v>390</v>
      </c>
    </row>
    <row r="765" spans="1:56" ht="14.25" customHeight="1" x14ac:dyDescent="0.2">
      <c r="A765" s="1" t="s">
        <v>847</v>
      </c>
      <c r="B765" s="1" t="s">
        <v>57</v>
      </c>
      <c r="C765" s="13">
        <v>44904</v>
      </c>
      <c r="D765" s="50">
        <v>44941</v>
      </c>
      <c r="E765" s="13">
        <v>44895</v>
      </c>
      <c r="F765" s="13">
        <v>45261</v>
      </c>
      <c r="G765" s="14" t="str">
        <f t="shared" si="239"/>
        <v>000-764/AIB RDC/2022</v>
      </c>
      <c r="H765" s="1">
        <v>0</v>
      </c>
      <c r="I765" s="1" t="s">
        <v>74</v>
      </c>
      <c r="J765" s="15">
        <v>45000016</v>
      </c>
      <c r="K765" s="1" t="s">
        <v>355</v>
      </c>
      <c r="L765" s="1" t="s">
        <v>214</v>
      </c>
      <c r="M765" s="1" t="s">
        <v>84</v>
      </c>
      <c r="N765" s="1" t="s">
        <v>85</v>
      </c>
      <c r="O765" s="1" t="s">
        <v>466</v>
      </c>
      <c r="P765" s="1" t="s">
        <v>71</v>
      </c>
      <c r="Q765" s="1" t="s">
        <v>107</v>
      </c>
      <c r="R765" s="1" t="s">
        <v>780</v>
      </c>
      <c r="S765" s="17">
        <v>0</v>
      </c>
      <c r="T765" s="17">
        <v>1128723.02</v>
      </c>
      <c r="U765" s="17">
        <v>124766.73</v>
      </c>
      <c r="V765" s="17">
        <v>-58224.47</v>
      </c>
      <c r="W765" s="17">
        <v>0</v>
      </c>
      <c r="X765" s="17">
        <v>831778.2</v>
      </c>
      <c r="Y765" s="17">
        <v>153047.19</v>
      </c>
      <c r="Z765" s="18" t="e">
        <f t="shared" si="240"/>
        <v>#DIV/0!</v>
      </c>
      <c r="AA765" s="19">
        <v>0</v>
      </c>
      <c r="AB765" s="17">
        <f t="shared" si="256"/>
        <v>0</v>
      </c>
      <c r="AC765" s="17">
        <f>30%*(U765+V765)</f>
        <v>19962.677999999996</v>
      </c>
      <c r="AD765" s="17">
        <v>0</v>
      </c>
      <c r="AE765" s="17">
        <f t="shared" si="241"/>
        <v>19962.677999999996</v>
      </c>
      <c r="AF765" s="17">
        <f t="shared" si="257"/>
        <v>3194.0284799999995</v>
      </c>
      <c r="AG765" s="17">
        <f t="shared" si="247"/>
        <v>23156.706479999997</v>
      </c>
      <c r="AH765" s="17">
        <f t="shared" si="255"/>
        <v>399.25355999999994</v>
      </c>
      <c r="AI765" s="17">
        <v>0</v>
      </c>
      <c r="AJ765" s="17">
        <f t="shared" si="242"/>
        <v>399.25355999999994</v>
      </c>
      <c r="AK765" s="20"/>
      <c r="AL765" s="17">
        <f t="shared" si="243"/>
        <v>19563.424439999995</v>
      </c>
      <c r="AM765" s="17"/>
      <c r="AN765" s="21"/>
      <c r="AO765" s="17">
        <f t="shared" si="244"/>
        <v>0</v>
      </c>
      <c r="AP765" s="27"/>
      <c r="AQ765" s="16"/>
      <c r="AR765" s="17">
        <f t="shared" si="251"/>
        <v>0</v>
      </c>
      <c r="AS765" s="17"/>
      <c r="AT765" s="17">
        <v>23156.706479999997</v>
      </c>
      <c r="AU765" s="17">
        <f t="shared" si="252"/>
        <v>23156.706479999997</v>
      </c>
      <c r="AV765" s="17">
        <f t="shared" si="245"/>
        <v>0</v>
      </c>
      <c r="AW765" s="17" t="str">
        <f t="shared" si="254"/>
        <v>RAWSUR</v>
      </c>
      <c r="AX765" s="22">
        <v>45104</v>
      </c>
      <c r="AY765" s="22"/>
      <c r="AZ765" s="1"/>
      <c r="BA765" s="22" t="str">
        <f t="shared" si="253"/>
        <v>PROPERTY DAMAGE &amp; BI</v>
      </c>
      <c r="BB765" s="54"/>
      <c r="BC765" s="22"/>
      <c r="BD765" s="1" t="s">
        <v>390</v>
      </c>
    </row>
    <row r="766" spans="1:56" ht="14.25" customHeight="1" x14ac:dyDescent="0.2">
      <c r="A766" s="1" t="s">
        <v>847</v>
      </c>
      <c r="B766" s="1" t="s">
        <v>57</v>
      </c>
      <c r="C766" s="13">
        <v>44916</v>
      </c>
      <c r="D766" s="50">
        <v>44980</v>
      </c>
      <c r="E766" s="13">
        <v>44895</v>
      </c>
      <c r="F766" s="13">
        <v>45261</v>
      </c>
      <c r="G766" s="14" t="str">
        <f t="shared" si="239"/>
        <v>000-765/AIB RDC/2022</v>
      </c>
      <c r="H766" s="1">
        <v>0</v>
      </c>
      <c r="I766" s="1" t="s">
        <v>74</v>
      </c>
      <c r="J766" s="53" t="s">
        <v>1094</v>
      </c>
      <c r="K766" s="1" t="s">
        <v>355</v>
      </c>
      <c r="L766" s="1" t="s">
        <v>214</v>
      </c>
      <c r="M766" s="1" t="s">
        <v>84</v>
      </c>
      <c r="N766" s="1" t="s">
        <v>85</v>
      </c>
      <c r="O766" s="1" t="s">
        <v>466</v>
      </c>
      <c r="P766" s="1" t="s">
        <v>71</v>
      </c>
      <c r="Q766" s="1" t="s">
        <v>130</v>
      </c>
      <c r="R766" s="1" t="s">
        <v>780</v>
      </c>
      <c r="S766" s="17">
        <v>0</v>
      </c>
      <c r="T766" s="17">
        <v>2093099.6</v>
      </c>
      <c r="U766" s="17">
        <v>202676.62</v>
      </c>
      <c r="V766" s="17">
        <v>-94582.42</v>
      </c>
      <c r="W766" s="17">
        <v>0</v>
      </c>
      <c r="X766" s="17">
        <v>1571136.6</v>
      </c>
      <c r="Y766" s="17">
        <v>283810.12</v>
      </c>
      <c r="Z766" s="18" t="e">
        <f t="shared" si="240"/>
        <v>#DIV/0!</v>
      </c>
      <c r="AA766" s="19">
        <v>0</v>
      </c>
      <c r="AB766" s="17">
        <f t="shared" si="256"/>
        <v>0</v>
      </c>
      <c r="AC766" s="17">
        <f>30%*(U766+V766)</f>
        <v>32428.26</v>
      </c>
      <c r="AD766" s="17">
        <f>1.365%*X766</f>
        <v>21446.014590000002</v>
      </c>
      <c r="AE766" s="17">
        <f t="shared" si="241"/>
        <v>53874.274590000001</v>
      </c>
      <c r="AF766" s="17">
        <f t="shared" si="257"/>
        <v>8619.8839344000007</v>
      </c>
      <c r="AG766" s="17">
        <f t="shared" si="247"/>
        <v>62494.158524400002</v>
      </c>
      <c r="AH766" s="17">
        <f t="shared" si="255"/>
        <v>1077.4854918000001</v>
      </c>
      <c r="AI766" s="17">
        <v>0</v>
      </c>
      <c r="AJ766" s="17">
        <f t="shared" si="242"/>
        <v>1077.4854918000001</v>
      </c>
      <c r="AK766" s="20"/>
      <c r="AL766" s="17">
        <f t="shared" si="243"/>
        <v>52796.789098200003</v>
      </c>
      <c r="AM766" s="17"/>
      <c r="AN766" s="21"/>
      <c r="AO766" s="17">
        <f t="shared" si="244"/>
        <v>0</v>
      </c>
      <c r="AP766" s="27"/>
      <c r="AQ766" s="16"/>
      <c r="AR766" s="17">
        <f t="shared" si="251"/>
        <v>0</v>
      </c>
      <c r="AS766" s="17"/>
      <c r="AT766" s="17">
        <v>62494.158524400002</v>
      </c>
      <c r="AU766" s="17">
        <f t="shared" si="252"/>
        <v>62494.158524400002</v>
      </c>
      <c r="AV766" s="17">
        <f t="shared" si="245"/>
        <v>0</v>
      </c>
      <c r="AW766" s="17" t="str">
        <f t="shared" si="254"/>
        <v>SFA</v>
      </c>
      <c r="AX766" s="22">
        <v>45005</v>
      </c>
      <c r="AY766" s="22"/>
      <c r="AZ766" s="1"/>
      <c r="BA766" s="22" t="str">
        <f t="shared" si="253"/>
        <v>PROPERTY DAMAGE &amp; BI</v>
      </c>
      <c r="BB766" s="54"/>
      <c r="BC766" s="22"/>
      <c r="BD766" s="22"/>
    </row>
    <row r="767" spans="1:56" ht="14.25" customHeight="1" x14ac:dyDescent="0.2">
      <c r="A767" s="1" t="s">
        <v>992</v>
      </c>
      <c r="B767" s="1" t="s">
        <v>57</v>
      </c>
      <c r="C767" s="13">
        <v>44928</v>
      </c>
      <c r="D767" s="13">
        <v>44996</v>
      </c>
      <c r="E767" s="50">
        <v>44908</v>
      </c>
      <c r="F767" s="50">
        <v>45272</v>
      </c>
      <c r="G767" s="14" t="str">
        <f t="shared" si="239"/>
        <v>000-766/AIB RDC/2022</v>
      </c>
      <c r="H767" s="1">
        <v>0</v>
      </c>
      <c r="I767" s="1" t="s">
        <v>74</v>
      </c>
      <c r="J767" s="15" t="s">
        <v>1095</v>
      </c>
      <c r="K767" s="1" t="s">
        <v>228</v>
      </c>
      <c r="L767" s="16"/>
      <c r="M767" s="1" t="s">
        <v>105</v>
      </c>
      <c r="N767" s="1" t="s">
        <v>106</v>
      </c>
      <c r="O767" s="1" t="s">
        <v>64</v>
      </c>
      <c r="P767" s="1" t="s">
        <v>65</v>
      </c>
      <c r="Q767" s="1" t="s">
        <v>130</v>
      </c>
      <c r="R767" s="1" t="s">
        <v>130</v>
      </c>
      <c r="S767" s="17">
        <v>524853.67000000004</v>
      </c>
      <c r="T767" s="17">
        <v>980.64</v>
      </c>
      <c r="U767" s="17">
        <v>0</v>
      </c>
      <c r="V767" s="17">
        <v>0</v>
      </c>
      <c r="W767" s="17">
        <v>12.28</v>
      </c>
      <c r="X767" s="17">
        <v>818.77</v>
      </c>
      <c r="Y767" s="17">
        <v>132.97</v>
      </c>
      <c r="Z767" s="18">
        <f t="shared" si="240"/>
        <v>1.8684064836585784E-3</v>
      </c>
      <c r="AA767" s="19">
        <v>0.15</v>
      </c>
      <c r="AB767" s="17">
        <f t="shared" si="256"/>
        <v>122.81549999999999</v>
      </c>
      <c r="AC767" s="17">
        <v>0</v>
      </c>
      <c r="AD767" s="17">
        <v>0</v>
      </c>
      <c r="AE767" s="17">
        <f t="shared" si="241"/>
        <v>122.81549999999999</v>
      </c>
      <c r="AF767" s="17">
        <f t="shared" si="257"/>
        <v>19.650479999999998</v>
      </c>
      <c r="AG767" s="17">
        <f t="shared" si="247"/>
        <v>142.46597999999997</v>
      </c>
      <c r="AH767" s="17">
        <f t="shared" si="255"/>
        <v>2.4563099999999998</v>
      </c>
      <c r="AI767" s="17"/>
      <c r="AJ767" s="17">
        <f t="shared" si="242"/>
        <v>2.4563099999999998</v>
      </c>
      <c r="AK767" s="20"/>
      <c r="AL767" s="17">
        <f t="shared" si="243"/>
        <v>120.35918999999998</v>
      </c>
      <c r="AM767" s="17" t="s">
        <v>108</v>
      </c>
      <c r="AN767" s="21">
        <v>0.4</v>
      </c>
      <c r="AO767" s="17">
        <f t="shared" si="244"/>
        <v>48.143675999999999</v>
      </c>
      <c r="AP767" s="30">
        <v>48.143675999999999</v>
      </c>
      <c r="AQ767" s="29">
        <v>45229</v>
      </c>
      <c r="AR767" s="17">
        <f t="shared" si="251"/>
        <v>0</v>
      </c>
      <c r="AS767" s="17"/>
      <c r="AT767" s="17">
        <v>142.46597999999997</v>
      </c>
      <c r="AU767" s="17">
        <f t="shared" si="252"/>
        <v>142.46597999999997</v>
      </c>
      <c r="AV767" s="17">
        <f t="shared" si="245"/>
        <v>0</v>
      </c>
      <c r="AW767" s="17" t="str">
        <f t="shared" si="254"/>
        <v>SFA</v>
      </c>
      <c r="AX767" s="22">
        <v>45070</v>
      </c>
      <c r="AY767" s="22"/>
      <c r="AZ767" s="1" t="s">
        <v>110</v>
      </c>
      <c r="BA767" s="22" t="str">
        <f t="shared" si="253"/>
        <v>MARINE CARGO / GIT</v>
      </c>
      <c r="BB767" s="54"/>
      <c r="BC767" s="22"/>
      <c r="BD767" s="1" t="s">
        <v>226</v>
      </c>
    </row>
    <row r="768" spans="1:56" ht="14.25" customHeight="1" x14ac:dyDescent="0.2">
      <c r="A768" s="1" t="s">
        <v>847</v>
      </c>
      <c r="B768" s="1" t="s">
        <v>57</v>
      </c>
      <c r="C768" s="13">
        <v>44904</v>
      </c>
      <c r="D768" s="50">
        <v>44941</v>
      </c>
      <c r="E768" s="13">
        <v>44895</v>
      </c>
      <c r="F768" s="13">
        <v>45261</v>
      </c>
      <c r="G768" s="14" t="str">
        <f t="shared" si="239"/>
        <v>000-767/AIB RDC/2022</v>
      </c>
      <c r="H768" s="1">
        <v>0</v>
      </c>
      <c r="I768" s="1" t="s">
        <v>74</v>
      </c>
      <c r="J768" s="15">
        <v>45000016</v>
      </c>
      <c r="K768" s="1" t="s">
        <v>1092</v>
      </c>
      <c r="L768" s="1" t="s">
        <v>214</v>
      </c>
      <c r="M768" s="1" t="s">
        <v>84</v>
      </c>
      <c r="N768" s="1" t="s">
        <v>85</v>
      </c>
      <c r="O768" s="1" t="s">
        <v>466</v>
      </c>
      <c r="P768" s="1" t="s">
        <v>71</v>
      </c>
      <c r="Q768" s="1" t="s">
        <v>107</v>
      </c>
      <c r="R768" s="1" t="s">
        <v>780</v>
      </c>
      <c r="S768" s="17">
        <v>0</v>
      </c>
      <c r="T768" s="17">
        <v>3391725.29</v>
      </c>
      <c r="U768" s="17">
        <v>374914.37</v>
      </c>
      <c r="V768" s="17">
        <v>-174960.04</v>
      </c>
      <c r="W768" s="17">
        <v>0</v>
      </c>
      <c r="X768" s="17">
        <v>2499429.1</v>
      </c>
      <c r="Y768" s="17">
        <v>459984.95</v>
      </c>
      <c r="Z768" s="18" t="e">
        <f t="shared" si="240"/>
        <v>#DIV/0!</v>
      </c>
      <c r="AA768" s="19">
        <v>0</v>
      </c>
      <c r="AB768" s="17">
        <f t="shared" si="256"/>
        <v>0</v>
      </c>
      <c r="AC768" s="17">
        <f>30%*(U768+V768)</f>
        <v>59986.298999999992</v>
      </c>
      <c r="AD768" s="17">
        <v>0</v>
      </c>
      <c r="AE768" s="17">
        <f t="shared" si="241"/>
        <v>59986.298999999992</v>
      </c>
      <c r="AF768" s="17">
        <f t="shared" si="257"/>
        <v>9597.8078399999995</v>
      </c>
      <c r="AG768" s="17">
        <f t="shared" si="247"/>
        <v>69584.106839999993</v>
      </c>
      <c r="AH768" s="17">
        <f t="shared" si="255"/>
        <v>1199.7259799999999</v>
      </c>
      <c r="AI768" s="17">
        <v>0</v>
      </c>
      <c r="AJ768" s="17">
        <f t="shared" si="242"/>
        <v>1199.7259799999999</v>
      </c>
      <c r="AK768" s="20"/>
      <c r="AL768" s="17">
        <f t="shared" si="243"/>
        <v>58786.573019999989</v>
      </c>
      <c r="AM768" s="17"/>
      <c r="AN768" s="21"/>
      <c r="AO768" s="17">
        <f t="shared" si="244"/>
        <v>0</v>
      </c>
      <c r="AP768" s="27"/>
      <c r="AQ768" s="16"/>
      <c r="AR768" s="17">
        <f t="shared" si="251"/>
        <v>0</v>
      </c>
      <c r="AS768" s="17"/>
      <c r="AT768" s="17">
        <v>69584.106839999993</v>
      </c>
      <c r="AU768" s="17">
        <f t="shared" si="252"/>
        <v>69584.106839999993</v>
      </c>
      <c r="AV768" s="17">
        <f t="shared" si="245"/>
        <v>0</v>
      </c>
      <c r="AW768" s="17" t="str">
        <f t="shared" si="254"/>
        <v>RAWSUR</v>
      </c>
      <c r="AX768" s="22">
        <v>45104</v>
      </c>
      <c r="AY768" s="22"/>
      <c r="AZ768" s="1"/>
      <c r="BA768" s="22" t="str">
        <f t="shared" si="253"/>
        <v>PROPERTY DAMAGE &amp; BI</v>
      </c>
      <c r="BB768" s="54"/>
      <c r="BC768" s="22"/>
      <c r="BD768" s="1" t="s">
        <v>390</v>
      </c>
    </row>
    <row r="769" spans="1:56" ht="14.25" customHeight="1" x14ac:dyDescent="0.2">
      <c r="A769" s="1" t="s">
        <v>847</v>
      </c>
      <c r="B769" s="1" t="s">
        <v>57</v>
      </c>
      <c r="C769" s="13">
        <v>44904</v>
      </c>
      <c r="D769" s="50">
        <v>44941</v>
      </c>
      <c r="E769" s="13">
        <v>44895</v>
      </c>
      <c r="F769" s="13">
        <v>45261</v>
      </c>
      <c r="G769" s="14" t="str">
        <f t="shared" si="239"/>
        <v>000-768/AIB RDC/2022</v>
      </c>
      <c r="H769" s="1">
        <v>0</v>
      </c>
      <c r="I769" s="1" t="s">
        <v>74</v>
      </c>
      <c r="J769" s="15">
        <v>45000016</v>
      </c>
      <c r="K769" s="1" t="s">
        <v>355</v>
      </c>
      <c r="L769" s="1" t="s">
        <v>214</v>
      </c>
      <c r="M769" s="1" t="s">
        <v>84</v>
      </c>
      <c r="N769" s="1" t="s">
        <v>85</v>
      </c>
      <c r="O769" s="1" t="s">
        <v>466</v>
      </c>
      <c r="P769" s="1" t="s">
        <v>71</v>
      </c>
      <c r="Q769" s="1" t="s">
        <v>107</v>
      </c>
      <c r="R769" s="1" t="s">
        <v>780</v>
      </c>
      <c r="S769" s="17">
        <v>0</v>
      </c>
      <c r="T769" s="17">
        <v>1755791.3600000001</v>
      </c>
      <c r="U769" s="17">
        <v>194081.58</v>
      </c>
      <c r="V769" s="17">
        <v>-90571.4</v>
      </c>
      <c r="W769" s="17">
        <v>0</v>
      </c>
      <c r="X769" s="17">
        <v>1293877.2</v>
      </c>
      <c r="Y769" s="17">
        <v>238073.4</v>
      </c>
      <c r="Z769" s="18" t="e">
        <f t="shared" si="240"/>
        <v>#DIV/0!</v>
      </c>
      <c r="AA769" s="19">
        <v>0</v>
      </c>
      <c r="AB769" s="17">
        <f t="shared" si="256"/>
        <v>0</v>
      </c>
      <c r="AC769" s="17">
        <f>30%*(U769+V769)</f>
        <v>31053.053999999996</v>
      </c>
      <c r="AD769" s="17">
        <v>0</v>
      </c>
      <c r="AE769" s="17">
        <f t="shared" si="241"/>
        <v>31053.053999999996</v>
      </c>
      <c r="AF769" s="17">
        <f t="shared" si="257"/>
        <v>4968.4886399999996</v>
      </c>
      <c r="AG769" s="17">
        <f t="shared" si="247"/>
        <v>36021.54264</v>
      </c>
      <c r="AH769" s="17">
        <f t="shared" si="255"/>
        <v>621.06107999999995</v>
      </c>
      <c r="AI769" s="17">
        <v>0</v>
      </c>
      <c r="AJ769" s="17">
        <f t="shared" si="242"/>
        <v>621.06107999999995</v>
      </c>
      <c r="AK769" s="20"/>
      <c r="AL769" s="17">
        <f t="shared" si="243"/>
        <v>30431.992919999997</v>
      </c>
      <c r="AM769" s="17"/>
      <c r="AN769" s="21"/>
      <c r="AO769" s="17">
        <f t="shared" si="244"/>
        <v>0</v>
      </c>
      <c r="AP769" s="27"/>
      <c r="AQ769" s="16"/>
      <c r="AR769" s="17">
        <f t="shared" si="251"/>
        <v>0</v>
      </c>
      <c r="AS769" s="17"/>
      <c r="AT769" s="17">
        <v>36021.54264</v>
      </c>
      <c r="AU769" s="17">
        <f t="shared" si="252"/>
        <v>36021.54264</v>
      </c>
      <c r="AV769" s="17">
        <f t="shared" si="245"/>
        <v>0</v>
      </c>
      <c r="AW769" s="17" t="str">
        <f t="shared" si="254"/>
        <v>RAWSUR</v>
      </c>
      <c r="AX769" s="22">
        <v>45104</v>
      </c>
      <c r="AY769" s="22"/>
      <c r="AZ769" s="1"/>
      <c r="BA769" s="22" t="str">
        <f t="shared" si="253"/>
        <v>PROPERTY DAMAGE &amp; BI</v>
      </c>
      <c r="BB769" s="54"/>
      <c r="BC769" s="22"/>
      <c r="BD769" s="1" t="s">
        <v>390</v>
      </c>
    </row>
    <row r="770" spans="1:56" ht="14.25" customHeight="1" x14ac:dyDescent="0.2">
      <c r="A770" s="1" t="s">
        <v>667</v>
      </c>
      <c r="B770" s="1" t="s">
        <v>57</v>
      </c>
      <c r="C770" s="13">
        <v>44935</v>
      </c>
      <c r="D770" s="50">
        <v>44896</v>
      </c>
      <c r="E770" s="13">
        <v>44835</v>
      </c>
      <c r="F770" s="13">
        <v>45199</v>
      </c>
      <c r="G770" s="14" t="str">
        <f t="shared" si="239"/>
        <v>000-769/AIB RDC/2022</v>
      </c>
      <c r="H770" s="1">
        <v>0</v>
      </c>
      <c r="I770" s="1" t="s">
        <v>74</v>
      </c>
      <c r="J770" s="15">
        <v>45000015</v>
      </c>
      <c r="K770" s="1" t="s">
        <v>1061</v>
      </c>
      <c r="L770" s="1"/>
      <c r="M770" s="1" t="s">
        <v>84</v>
      </c>
      <c r="N770" s="1" t="s">
        <v>85</v>
      </c>
      <c r="O770" s="1" t="s">
        <v>70</v>
      </c>
      <c r="P770" s="1" t="s">
        <v>71</v>
      </c>
      <c r="Q770" s="1" t="s">
        <v>107</v>
      </c>
      <c r="R770" s="1" t="s">
        <v>107</v>
      </c>
      <c r="S770" s="17">
        <v>0</v>
      </c>
      <c r="T770" s="17">
        <v>56065.89</v>
      </c>
      <c r="U770" s="17">
        <v>0</v>
      </c>
      <c r="V770" s="17">
        <v>0</v>
      </c>
      <c r="W770" s="17">
        <v>50</v>
      </c>
      <c r="X770" s="17">
        <v>47463.47</v>
      </c>
      <c r="Y770" s="17">
        <v>7602.15</v>
      </c>
      <c r="Z770" s="18" t="e">
        <f t="shared" si="240"/>
        <v>#DIV/0!</v>
      </c>
      <c r="AA770" s="19">
        <v>6.7500332360866153E-2</v>
      </c>
      <c r="AB770" s="17">
        <f t="shared" si="256"/>
        <v>3203.7999999999997</v>
      </c>
      <c r="AC770" s="17">
        <v>0</v>
      </c>
      <c r="AD770" s="17">
        <v>0</v>
      </c>
      <c r="AE770" s="17">
        <f t="shared" si="241"/>
        <v>3203.7999999999997</v>
      </c>
      <c r="AF770" s="17">
        <f t="shared" si="257"/>
        <v>512.60799999999995</v>
      </c>
      <c r="AG770" s="17">
        <f t="shared" si="247"/>
        <v>3716.4079999999994</v>
      </c>
      <c r="AH770" s="17">
        <f t="shared" si="255"/>
        <v>64.075999999999993</v>
      </c>
      <c r="AI770" s="17"/>
      <c r="AJ770" s="17">
        <f t="shared" si="242"/>
        <v>64.075999999999993</v>
      </c>
      <c r="AK770" s="20"/>
      <c r="AL770" s="17">
        <f t="shared" si="243"/>
        <v>3139.7239999999997</v>
      </c>
      <c r="AM770" s="17" t="s">
        <v>198</v>
      </c>
      <c r="AN770" s="21"/>
      <c r="AO770" s="17">
        <f t="shared" si="244"/>
        <v>0</v>
      </c>
      <c r="AP770" s="27"/>
      <c r="AQ770" s="16"/>
      <c r="AR770" s="17">
        <f t="shared" si="251"/>
        <v>0</v>
      </c>
      <c r="AS770" s="17"/>
      <c r="AT770" s="17">
        <v>3716.4079999999994</v>
      </c>
      <c r="AU770" s="17">
        <f t="shared" si="252"/>
        <v>3716.4079999999994</v>
      </c>
      <c r="AV770" s="17">
        <f t="shared" si="245"/>
        <v>0</v>
      </c>
      <c r="AW770" s="17" t="str">
        <f t="shared" si="254"/>
        <v>RAWSUR</v>
      </c>
      <c r="AX770" s="22">
        <v>44946</v>
      </c>
      <c r="AY770" s="22"/>
      <c r="AZ770" s="1"/>
      <c r="BA770" s="22" t="str">
        <f t="shared" si="253"/>
        <v>FIRE</v>
      </c>
      <c r="BB770" s="54"/>
      <c r="BC770" s="22"/>
      <c r="BD770" s="22"/>
    </row>
    <row r="771" spans="1:56" ht="14.25" customHeight="1" x14ac:dyDescent="0.2">
      <c r="A771" s="1" t="s">
        <v>667</v>
      </c>
      <c r="B771" s="1" t="s">
        <v>57</v>
      </c>
      <c r="C771" s="13">
        <v>44869</v>
      </c>
      <c r="D771" s="50">
        <v>44852</v>
      </c>
      <c r="E771" s="13">
        <v>44852</v>
      </c>
      <c r="F771" s="13">
        <v>45216</v>
      </c>
      <c r="G771" s="14" t="str">
        <f t="shared" si="239"/>
        <v>000-770/AIB RDC/2022</v>
      </c>
      <c r="H771" s="1">
        <v>0</v>
      </c>
      <c r="I771" s="1" t="s">
        <v>74</v>
      </c>
      <c r="J771" s="15" t="s">
        <v>1096</v>
      </c>
      <c r="K771" s="1" t="s">
        <v>228</v>
      </c>
      <c r="L771" s="1"/>
      <c r="M771" s="1" t="s">
        <v>105</v>
      </c>
      <c r="N771" s="1" t="s">
        <v>106</v>
      </c>
      <c r="O771" s="1" t="s">
        <v>64</v>
      </c>
      <c r="P771" s="1" t="s">
        <v>65</v>
      </c>
      <c r="Q771" s="1" t="s">
        <v>130</v>
      </c>
      <c r="R771" s="1" t="s">
        <v>130</v>
      </c>
      <c r="S771" s="17">
        <v>49962.32</v>
      </c>
      <c r="T771" s="17">
        <v>160.66999999999999</v>
      </c>
      <c r="U771" s="17">
        <v>0</v>
      </c>
      <c r="V771" s="17">
        <v>0</v>
      </c>
      <c r="W771" s="17">
        <v>20</v>
      </c>
      <c r="X771" s="17">
        <v>116.16</v>
      </c>
      <c r="Y771" s="17">
        <v>21.79</v>
      </c>
      <c r="Z771" s="18">
        <f t="shared" si="240"/>
        <v>3.2158234445478109E-3</v>
      </c>
      <c r="AA771" s="19">
        <v>0.15</v>
      </c>
      <c r="AB771" s="17">
        <f t="shared" si="256"/>
        <v>17.423999999999999</v>
      </c>
      <c r="AC771" s="17">
        <v>0</v>
      </c>
      <c r="AD771" s="17">
        <v>0</v>
      </c>
      <c r="AE771" s="17">
        <f t="shared" si="241"/>
        <v>17.423999999999999</v>
      </c>
      <c r="AF771" s="17">
        <f t="shared" si="257"/>
        <v>2.7878400000000001</v>
      </c>
      <c r="AG771" s="17">
        <f t="shared" si="247"/>
        <v>20.211839999999999</v>
      </c>
      <c r="AH771" s="17">
        <f t="shared" si="255"/>
        <v>0.34848000000000001</v>
      </c>
      <c r="AI771" s="17"/>
      <c r="AJ771" s="17">
        <f t="shared" si="242"/>
        <v>0.34848000000000001</v>
      </c>
      <c r="AK771" s="20"/>
      <c r="AL771" s="17">
        <f t="shared" si="243"/>
        <v>17.075520000000001</v>
      </c>
      <c r="AM771" s="17" t="s">
        <v>108</v>
      </c>
      <c r="AN771" s="21">
        <v>0.4</v>
      </c>
      <c r="AO771" s="17">
        <f t="shared" si="244"/>
        <v>6.8302080000000007</v>
      </c>
      <c r="AP771" s="30">
        <v>6.8302080000000007</v>
      </c>
      <c r="AQ771" s="29">
        <v>45229</v>
      </c>
      <c r="AR771" s="17">
        <f t="shared" si="251"/>
        <v>0</v>
      </c>
      <c r="AS771" s="17"/>
      <c r="AT771" s="17">
        <v>20.211839999999999</v>
      </c>
      <c r="AU771" s="17">
        <f t="shared" si="252"/>
        <v>20.211839999999999</v>
      </c>
      <c r="AV771" s="17">
        <f t="shared" si="245"/>
        <v>0</v>
      </c>
      <c r="AW771" s="17" t="str">
        <f t="shared" si="254"/>
        <v>SFA</v>
      </c>
      <c r="AX771" s="22">
        <v>44949</v>
      </c>
      <c r="AY771" s="22"/>
      <c r="AZ771" s="1" t="s">
        <v>110</v>
      </c>
      <c r="BA771" s="22" t="str">
        <f t="shared" si="253"/>
        <v>MARINE CARGO / GIT</v>
      </c>
      <c r="BB771" s="54"/>
      <c r="BC771" s="22"/>
      <c r="BD771" s="22"/>
    </row>
    <row r="772" spans="1:56" ht="14.25" customHeight="1" x14ac:dyDescent="0.2">
      <c r="A772" s="1" t="s">
        <v>667</v>
      </c>
      <c r="B772" s="1" t="s">
        <v>57</v>
      </c>
      <c r="C772" s="13">
        <v>44869</v>
      </c>
      <c r="D772" s="50">
        <v>44852</v>
      </c>
      <c r="E772" s="13">
        <v>44852</v>
      </c>
      <c r="F772" s="13">
        <v>45216</v>
      </c>
      <c r="G772" s="14" t="str">
        <f t="shared" si="239"/>
        <v>000-771/AIB RDC/2022</v>
      </c>
      <c r="H772" s="1">
        <v>0</v>
      </c>
      <c r="I772" s="1" t="s">
        <v>74</v>
      </c>
      <c r="J772" s="15" t="s">
        <v>1097</v>
      </c>
      <c r="K772" s="1" t="s">
        <v>228</v>
      </c>
      <c r="L772" s="1"/>
      <c r="M772" s="1" t="s">
        <v>105</v>
      </c>
      <c r="N772" s="1" t="s">
        <v>106</v>
      </c>
      <c r="O772" s="1" t="s">
        <v>64</v>
      </c>
      <c r="P772" s="1" t="s">
        <v>65</v>
      </c>
      <c r="Q772" s="1" t="s">
        <v>130</v>
      </c>
      <c r="R772" s="1" t="s">
        <v>130</v>
      </c>
      <c r="S772" s="17">
        <v>55988.49</v>
      </c>
      <c r="T772" s="17">
        <v>155.75</v>
      </c>
      <c r="U772" s="17">
        <v>0</v>
      </c>
      <c r="V772" s="17">
        <v>0</v>
      </c>
      <c r="W772" s="17">
        <v>20</v>
      </c>
      <c r="X772" s="17">
        <v>111.99</v>
      </c>
      <c r="Y772" s="17">
        <v>21.12</v>
      </c>
      <c r="Z772" s="18">
        <f t="shared" si="240"/>
        <v>2.7818217637232225E-3</v>
      </c>
      <c r="AA772" s="19">
        <v>0.15</v>
      </c>
      <c r="AB772" s="17">
        <f t="shared" si="256"/>
        <v>16.798499999999997</v>
      </c>
      <c r="AC772" s="17">
        <v>0</v>
      </c>
      <c r="AD772" s="17">
        <v>0</v>
      </c>
      <c r="AE772" s="17">
        <f t="shared" si="241"/>
        <v>16.798499999999997</v>
      </c>
      <c r="AF772" s="17">
        <f t="shared" si="257"/>
        <v>2.6877599999999995</v>
      </c>
      <c r="AG772" s="17">
        <f t="shared" si="247"/>
        <v>19.486259999999998</v>
      </c>
      <c r="AH772" s="17">
        <f t="shared" si="255"/>
        <v>0.33596999999999994</v>
      </c>
      <c r="AI772" s="17"/>
      <c r="AJ772" s="17">
        <f t="shared" si="242"/>
        <v>0.33596999999999994</v>
      </c>
      <c r="AK772" s="20"/>
      <c r="AL772" s="17">
        <f t="shared" si="243"/>
        <v>16.462529999999997</v>
      </c>
      <c r="AM772" s="17" t="s">
        <v>108</v>
      </c>
      <c r="AN772" s="21">
        <v>0.4</v>
      </c>
      <c r="AO772" s="17">
        <f t="shared" si="244"/>
        <v>6.585011999999999</v>
      </c>
      <c r="AP772" s="30">
        <v>6.585011999999999</v>
      </c>
      <c r="AQ772" s="29">
        <v>45229</v>
      </c>
      <c r="AR772" s="17">
        <f t="shared" si="251"/>
        <v>0</v>
      </c>
      <c r="AS772" s="17"/>
      <c r="AT772" s="17">
        <v>19.486259999999998</v>
      </c>
      <c r="AU772" s="17">
        <f t="shared" si="252"/>
        <v>19.486259999999998</v>
      </c>
      <c r="AV772" s="17">
        <f t="shared" si="245"/>
        <v>0</v>
      </c>
      <c r="AW772" s="17" t="str">
        <f t="shared" si="254"/>
        <v>SFA</v>
      </c>
      <c r="AX772" s="22">
        <v>44949</v>
      </c>
      <c r="AY772" s="22"/>
      <c r="AZ772" s="1" t="s">
        <v>110</v>
      </c>
      <c r="BA772" s="22" t="str">
        <f t="shared" si="253"/>
        <v>MARINE CARGO / GIT</v>
      </c>
      <c r="BB772" s="54"/>
      <c r="BC772" s="22"/>
      <c r="BD772" s="22"/>
    </row>
    <row r="773" spans="1:56" ht="14.25" customHeight="1" x14ac:dyDescent="0.2">
      <c r="A773" s="1" t="s">
        <v>773</v>
      </c>
      <c r="B773" s="1" t="s">
        <v>57</v>
      </c>
      <c r="C773" s="13">
        <v>44935</v>
      </c>
      <c r="D773" s="50">
        <v>44912</v>
      </c>
      <c r="E773" s="13">
        <v>44805</v>
      </c>
      <c r="F773" s="13">
        <v>44926</v>
      </c>
      <c r="G773" s="14" t="str">
        <f t="shared" si="239"/>
        <v>000-772/AIB RDC/2022</v>
      </c>
      <c r="H773" s="1">
        <v>1</v>
      </c>
      <c r="I773" s="1" t="s">
        <v>217</v>
      </c>
      <c r="J773" s="15">
        <v>51000007</v>
      </c>
      <c r="K773" s="1" t="s">
        <v>321</v>
      </c>
      <c r="L773" s="16" t="s">
        <v>137</v>
      </c>
      <c r="M773" s="1" t="s">
        <v>84</v>
      </c>
      <c r="N773" s="1" t="s">
        <v>85</v>
      </c>
      <c r="O773" s="1" t="s">
        <v>165</v>
      </c>
      <c r="P773" s="1" t="s">
        <v>166</v>
      </c>
      <c r="Q773" s="1" t="s">
        <v>107</v>
      </c>
      <c r="R773" s="1" t="s">
        <v>107</v>
      </c>
      <c r="S773" s="17">
        <v>0</v>
      </c>
      <c r="T773" s="17">
        <v>4699.13</v>
      </c>
      <c r="U773" s="17">
        <v>589.85</v>
      </c>
      <c r="V773" s="17">
        <v>0</v>
      </c>
      <c r="W773" s="17">
        <v>50</v>
      </c>
      <c r="X773" s="17">
        <v>3342.46</v>
      </c>
      <c r="Y773" s="17">
        <v>637.16999999999996</v>
      </c>
      <c r="Z773" s="18" t="e">
        <f t="shared" si="240"/>
        <v>#DIV/0!</v>
      </c>
      <c r="AA773" s="19">
        <v>0.17241379310344801</v>
      </c>
      <c r="AB773" s="17">
        <f t="shared" si="256"/>
        <v>576.28620689655088</v>
      </c>
      <c r="AC773" s="17">
        <f>30%*U773</f>
        <v>176.95500000000001</v>
      </c>
      <c r="AD773" s="17">
        <v>0</v>
      </c>
      <c r="AE773" s="17">
        <f t="shared" si="241"/>
        <v>753.24120689655092</v>
      </c>
      <c r="AF773" s="17">
        <f t="shared" si="257"/>
        <v>120.51859310344815</v>
      </c>
      <c r="AG773" s="17">
        <f t="shared" si="247"/>
        <v>873.75979999999913</v>
      </c>
      <c r="AH773" s="17">
        <f t="shared" si="255"/>
        <v>15.064824137931019</v>
      </c>
      <c r="AI773" s="17">
        <v>0</v>
      </c>
      <c r="AJ773" s="17">
        <f t="shared" si="242"/>
        <v>15.064824137931019</v>
      </c>
      <c r="AK773" s="20"/>
      <c r="AL773" s="17">
        <v>491.34</v>
      </c>
      <c r="AM773" s="17" t="s">
        <v>289</v>
      </c>
      <c r="AN773" s="21">
        <v>0.5</v>
      </c>
      <c r="AO773" s="17">
        <f t="shared" si="244"/>
        <v>245.67</v>
      </c>
      <c r="AP773" s="17">
        <v>245.67</v>
      </c>
      <c r="AQ773" s="16">
        <v>45086</v>
      </c>
      <c r="AR773" s="17">
        <f t="shared" si="251"/>
        <v>0</v>
      </c>
      <c r="AS773" s="17" t="s">
        <v>884</v>
      </c>
      <c r="AT773" s="17">
        <v>873.75979999999913</v>
      </c>
      <c r="AU773" s="17">
        <f t="shared" si="252"/>
        <v>873.75979999999913</v>
      </c>
      <c r="AV773" s="17">
        <f t="shared" si="245"/>
        <v>0</v>
      </c>
      <c r="AW773" s="17" t="str">
        <f t="shared" si="254"/>
        <v>RAWSUR</v>
      </c>
      <c r="AX773" s="22">
        <v>44946</v>
      </c>
      <c r="AY773" s="22"/>
      <c r="AZ773" s="1"/>
      <c r="BA773" s="22" t="str">
        <f t="shared" si="253"/>
        <v>CAR</v>
      </c>
      <c r="BB773" s="54"/>
      <c r="BC773" s="22"/>
      <c r="BD773" s="22"/>
    </row>
    <row r="774" spans="1:56" ht="14.25" customHeight="1" x14ac:dyDescent="0.2">
      <c r="A774" s="1" t="s">
        <v>439</v>
      </c>
      <c r="B774" s="1" t="s">
        <v>57</v>
      </c>
      <c r="C774" s="13">
        <v>44935</v>
      </c>
      <c r="D774" s="50">
        <v>44896</v>
      </c>
      <c r="E774" s="13">
        <v>44781</v>
      </c>
      <c r="F774" s="13">
        <v>44966</v>
      </c>
      <c r="G774" s="14" t="str">
        <f t="shared" si="239"/>
        <v>000-773/AIB RDC/2022</v>
      </c>
      <c r="H774" s="1">
        <v>1</v>
      </c>
      <c r="I774" s="1" t="s">
        <v>91</v>
      </c>
      <c r="J774" s="1" t="s">
        <v>404</v>
      </c>
      <c r="K774" s="16" t="s">
        <v>405</v>
      </c>
      <c r="L774" s="16" t="s">
        <v>169</v>
      </c>
      <c r="M774" s="1" t="s">
        <v>105</v>
      </c>
      <c r="N774" s="1" t="s">
        <v>541</v>
      </c>
      <c r="O774" s="1" t="s">
        <v>185</v>
      </c>
      <c r="P774" s="1" t="s">
        <v>71</v>
      </c>
      <c r="Q774" s="16" t="s">
        <v>107</v>
      </c>
      <c r="R774" s="16" t="s">
        <v>406</v>
      </c>
      <c r="S774" s="17">
        <v>0</v>
      </c>
      <c r="T774" s="17">
        <v>15000.63</v>
      </c>
      <c r="U774" s="17">
        <v>0</v>
      </c>
      <c r="V774" s="17">
        <v>0</v>
      </c>
      <c r="W774" s="17">
        <v>25</v>
      </c>
      <c r="X774" s="17">
        <v>12687.4</v>
      </c>
      <c r="Y774" s="17">
        <v>2033.98</v>
      </c>
      <c r="Z774" s="18" t="e">
        <f t="shared" si="240"/>
        <v>#DIV/0!</v>
      </c>
      <c r="AA774" s="19">
        <v>0.14499976354493399</v>
      </c>
      <c r="AB774" s="17">
        <f>AA774*X774</f>
        <v>1839.6699999999955</v>
      </c>
      <c r="AC774" s="17">
        <f>30%*U774</f>
        <v>0</v>
      </c>
      <c r="AD774" s="17"/>
      <c r="AE774" s="17">
        <f t="shared" si="241"/>
        <v>1839.6699999999955</v>
      </c>
      <c r="AF774" s="17">
        <f t="shared" si="257"/>
        <v>294.3471999999993</v>
      </c>
      <c r="AG774" s="17">
        <f t="shared" si="247"/>
        <v>2134.0171999999948</v>
      </c>
      <c r="AH774" s="17">
        <f t="shared" si="255"/>
        <v>36.793399999999913</v>
      </c>
      <c r="AI774" s="17">
        <v>0</v>
      </c>
      <c r="AJ774" s="17">
        <f t="shared" si="242"/>
        <v>36.793399999999913</v>
      </c>
      <c r="AK774" s="20"/>
      <c r="AL774" s="17">
        <f t="shared" ref="AL774:AL812" si="258">AE774-AH774</f>
        <v>1802.8765999999955</v>
      </c>
      <c r="AM774" s="17"/>
      <c r="AN774" s="21"/>
      <c r="AO774" s="17">
        <f t="shared" si="244"/>
        <v>0</v>
      </c>
      <c r="AP774" s="27"/>
      <c r="AQ774" s="16"/>
      <c r="AR774" s="17">
        <f t="shared" si="251"/>
        <v>0</v>
      </c>
      <c r="AS774" s="17"/>
      <c r="AT774" s="17">
        <v>2134.0171999999948</v>
      </c>
      <c r="AU774" s="17">
        <f t="shared" ref="AU774:AU805" si="259">AG774</f>
        <v>2134.0171999999948</v>
      </c>
      <c r="AV774" s="17">
        <f t="shared" si="245"/>
        <v>0</v>
      </c>
      <c r="AW774" s="17" t="str">
        <f t="shared" si="254"/>
        <v>RAWSUR</v>
      </c>
      <c r="AX774" s="22">
        <v>44946</v>
      </c>
      <c r="AY774" s="22"/>
      <c r="AZ774" s="1" t="s">
        <v>145</v>
      </c>
      <c r="BA774" s="22" t="str">
        <f t="shared" si="253"/>
        <v>AVIATION HULL ALL RISK</v>
      </c>
      <c r="BB774" s="54"/>
      <c r="BC774" s="22"/>
      <c r="BD774" s="22"/>
    </row>
    <row r="775" spans="1:56" ht="14.25" customHeight="1" x14ac:dyDescent="0.2">
      <c r="A775" s="12" t="s">
        <v>56</v>
      </c>
      <c r="B775" s="1" t="s">
        <v>273</v>
      </c>
      <c r="C775" s="13"/>
      <c r="D775" s="13"/>
      <c r="E775" s="13">
        <v>44592</v>
      </c>
      <c r="F775" s="13">
        <v>44619</v>
      </c>
      <c r="G775" s="14" t="str">
        <f t="shared" si="239"/>
        <v>000-774/AIB RDC/2022</v>
      </c>
      <c r="H775" s="1">
        <v>0</v>
      </c>
      <c r="I775" s="1" t="s">
        <v>74</v>
      </c>
      <c r="J775" s="28" t="s">
        <v>274</v>
      </c>
      <c r="K775" s="28" t="s">
        <v>263</v>
      </c>
      <c r="L775" s="16"/>
      <c r="M775" s="16" t="s">
        <v>105</v>
      </c>
      <c r="N775" s="1" t="s">
        <v>106</v>
      </c>
      <c r="O775" s="16" t="s">
        <v>64</v>
      </c>
      <c r="P775" s="16" t="s">
        <v>65</v>
      </c>
      <c r="Q775" s="16" t="s">
        <v>107</v>
      </c>
      <c r="R775" s="16" t="s">
        <v>107</v>
      </c>
      <c r="S775" s="17"/>
      <c r="T775" s="17">
        <v>147.5</v>
      </c>
      <c r="U775" s="17">
        <v>0</v>
      </c>
      <c r="V775" s="17"/>
      <c r="W775" s="17"/>
      <c r="X775" s="17">
        <v>100</v>
      </c>
      <c r="Y775" s="17">
        <v>20</v>
      </c>
      <c r="Z775" s="18" t="e">
        <f t="shared" si="240"/>
        <v>#DIV/0!</v>
      </c>
      <c r="AA775" s="19">
        <v>0.15</v>
      </c>
      <c r="AB775" s="17">
        <f t="shared" ref="AB775:AB788" si="260">(AA775*X775)</f>
        <v>15</v>
      </c>
      <c r="AC775" s="17">
        <v>0</v>
      </c>
      <c r="AD775" s="17">
        <v>0</v>
      </c>
      <c r="AE775" s="17">
        <f t="shared" si="241"/>
        <v>15</v>
      </c>
      <c r="AF775" s="17">
        <f t="shared" si="257"/>
        <v>2.4</v>
      </c>
      <c r="AG775" s="17">
        <f t="shared" si="247"/>
        <v>17.399999999999999</v>
      </c>
      <c r="AH775" s="17">
        <f t="shared" si="255"/>
        <v>0.3</v>
      </c>
      <c r="AI775" s="17">
        <v>0</v>
      </c>
      <c r="AJ775" s="17">
        <f t="shared" si="242"/>
        <v>0.3</v>
      </c>
      <c r="AK775" s="20"/>
      <c r="AL775" s="17">
        <f t="shared" si="258"/>
        <v>14.7</v>
      </c>
      <c r="AM775" s="17" t="s">
        <v>108</v>
      </c>
      <c r="AN775" s="21">
        <v>0.4</v>
      </c>
      <c r="AO775" s="17">
        <f t="shared" si="244"/>
        <v>5.88</v>
      </c>
      <c r="AP775" s="17"/>
      <c r="AQ775" s="16"/>
      <c r="AR775" s="17">
        <f t="shared" si="251"/>
        <v>5.88</v>
      </c>
      <c r="AS775" s="17"/>
      <c r="AT775" s="17"/>
      <c r="AU775" s="17">
        <f t="shared" si="259"/>
        <v>17.399999999999999</v>
      </c>
      <c r="AV775" s="84">
        <f t="shared" si="245"/>
        <v>17.399999999999999</v>
      </c>
      <c r="AW775" s="17" t="str">
        <f t="shared" si="254"/>
        <v>RAWSUR</v>
      </c>
      <c r="AX775" s="22"/>
      <c r="AY775" s="22"/>
      <c r="AZ775" s="1" t="s">
        <v>110</v>
      </c>
      <c r="BA775" s="22" t="str">
        <f t="shared" ref="BA775:BA798" si="261">O775</f>
        <v>MARINE CARGO / GIT</v>
      </c>
      <c r="BB775" s="22"/>
      <c r="BC775" s="22"/>
      <c r="BD775" s="1" t="s">
        <v>275</v>
      </c>
    </row>
    <row r="776" spans="1:56" ht="14.25" customHeight="1" x14ac:dyDescent="0.2">
      <c r="A776" s="28" t="s">
        <v>992</v>
      </c>
      <c r="B776" s="28" t="s">
        <v>273</v>
      </c>
      <c r="C776" s="36">
        <v>44909</v>
      </c>
      <c r="D776" s="51">
        <v>44909</v>
      </c>
      <c r="E776" s="36">
        <v>44909</v>
      </c>
      <c r="F776" s="51">
        <v>45273</v>
      </c>
      <c r="G776" s="37" t="str">
        <f t="shared" si="239"/>
        <v>000-775/AIB RDC/2022</v>
      </c>
      <c r="H776" s="28">
        <v>1</v>
      </c>
      <c r="I776" s="28" t="s">
        <v>58</v>
      </c>
      <c r="J776" s="62" t="s">
        <v>1099</v>
      </c>
      <c r="K776" s="1" t="s">
        <v>117</v>
      </c>
      <c r="L776" s="28" t="s">
        <v>1100</v>
      </c>
      <c r="M776" s="28" t="s">
        <v>84</v>
      </c>
      <c r="N776" s="28" t="s">
        <v>85</v>
      </c>
      <c r="O776" s="28" t="s">
        <v>308</v>
      </c>
      <c r="P776" s="28" t="s">
        <v>71</v>
      </c>
      <c r="Q776" s="28" t="s">
        <v>66</v>
      </c>
      <c r="R776" s="28" t="s">
        <v>66</v>
      </c>
      <c r="S776" s="23">
        <v>1989232</v>
      </c>
      <c r="T776" s="23">
        <v>3804.41</v>
      </c>
      <c r="U776" s="23">
        <v>0</v>
      </c>
      <c r="V776" s="23">
        <v>0</v>
      </c>
      <c r="W776" s="23">
        <v>32.47</v>
      </c>
      <c r="X776" s="23">
        <v>3247.19</v>
      </c>
      <c r="Y776" s="23">
        <v>524.75</v>
      </c>
      <c r="Z776" s="38">
        <f t="shared" si="240"/>
        <v>1.9125019102849742E-3</v>
      </c>
      <c r="AA776" s="39">
        <v>0.2</v>
      </c>
      <c r="AB776" s="23">
        <f t="shared" si="260"/>
        <v>649.4380000000001</v>
      </c>
      <c r="AC776" s="23">
        <v>0</v>
      </c>
      <c r="AD776" s="23">
        <v>0</v>
      </c>
      <c r="AE776" s="23">
        <f t="shared" si="241"/>
        <v>649.4380000000001</v>
      </c>
      <c r="AF776" s="23">
        <f t="shared" si="257"/>
        <v>103.91008000000002</v>
      </c>
      <c r="AG776" s="23">
        <f t="shared" si="247"/>
        <v>753.3480800000001</v>
      </c>
      <c r="AH776" s="23">
        <f t="shared" si="255"/>
        <v>12.988760000000003</v>
      </c>
      <c r="AI776" s="23"/>
      <c r="AJ776" s="23">
        <f t="shared" si="242"/>
        <v>12.988760000000003</v>
      </c>
      <c r="AK776" s="40"/>
      <c r="AL776" s="23">
        <f t="shared" si="258"/>
        <v>636.44924000000015</v>
      </c>
      <c r="AM776" s="23"/>
      <c r="AN776" s="41"/>
      <c r="AO776" s="23">
        <f t="shared" si="244"/>
        <v>0</v>
      </c>
      <c r="AP776" s="55"/>
      <c r="AQ776" s="29"/>
      <c r="AR776" s="23">
        <f t="shared" si="251"/>
        <v>0</v>
      </c>
      <c r="AS776" s="23"/>
      <c r="AT776" s="23">
        <v>753.3480800000001</v>
      </c>
      <c r="AU776" s="23">
        <f t="shared" si="259"/>
        <v>753.3480800000001</v>
      </c>
      <c r="AV776" s="23">
        <f t="shared" si="245"/>
        <v>0</v>
      </c>
      <c r="AW776" s="23" t="str">
        <f t="shared" si="254"/>
        <v>ACTIVA</v>
      </c>
      <c r="AX776" s="42">
        <v>45152</v>
      </c>
      <c r="AY776" s="42"/>
      <c r="AZ776" s="28" t="s">
        <v>68</v>
      </c>
      <c r="BA776" s="42" t="str">
        <f t="shared" si="261"/>
        <v>FIRE/HOME</v>
      </c>
      <c r="BB776" s="56"/>
      <c r="BC776" s="42"/>
      <c r="BD776" s="28" t="s">
        <v>390</v>
      </c>
    </row>
    <row r="777" spans="1:56" ht="14.25" customHeight="1" x14ac:dyDescent="0.2">
      <c r="A777" s="1" t="s">
        <v>992</v>
      </c>
      <c r="B777" s="1" t="s">
        <v>57</v>
      </c>
      <c r="C777" s="48">
        <v>44916</v>
      </c>
      <c r="D777" s="48">
        <v>44922</v>
      </c>
      <c r="E777" s="48">
        <v>44922</v>
      </c>
      <c r="F777" s="48">
        <v>45286</v>
      </c>
      <c r="G777" s="14" t="str">
        <f t="shared" si="239"/>
        <v>000-776/AIB RDC/2022</v>
      </c>
      <c r="H777" s="61">
        <v>0</v>
      </c>
      <c r="I777" s="2" t="s">
        <v>74</v>
      </c>
      <c r="J777" s="1" t="s">
        <v>1082</v>
      </c>
      <c r="K777" s="1" t="s">
        <v>540</v>
      </c>
      <c r="L777" s="1" t="s">
        <v>388</v>
      </c>
      <c r="M777" s="1" t="s">
        <v>105</v>
      </c>
      <c r="N777" s="1" t="s">
        <v>1069</v>
      </c>
      <c r="O777" s="1" t="s">
        <v>73</v>
      </c>
      <c r="P777" s="1" t="s">
        <v>73</v>
      </c>
      <c r="Q777" s="1" t="s">
        <v>86</v>
      </c>
      <c r="R777" s="1" t="s">
        <v>86</v>
      </c>
      <c r="S777" s="17">
        <v>0</v>
      </c>
      <c r="T777" s="17">
        <v>531.74</v>
      </c>
      <c r="U777" s="17">
        <v>0</v>
      </c>
      <c r="V777" s="17">
        <v>0</v>
      </c>
      <c r="W777" s="17">
        <v>10</v>
      </c>
      <c r="X777" s="17">
        <v>448.4</v>
      </c>
      <c r="Y777" s="17">
        <v>73.34</v>
      </c>
      <c r="Z777" s="18" t="e">
        <f t="shared" si="240"/>
        <v>#DIV/0!</v>
      </c>
      <c r="AA777" s="19">
        <v>0.1</v>
      </c>
      <c r="AB777" s="17">
        <f t="shared" si="260"/>
        <v>44.84</v>
      </c>
      <c r="AC777" s="17">
        <v>0</v>
      </c>
      <c r="AD777" s="17">
        <v>0</v>
      </c>
      <c r="AE777" s="17">
        <f t="shared" si="241"/>
        <v>44.84</v>
      </c>
      <c r="AF777" s="17">
        <f t="shared" si="257"/>
        <v>7.1744000000000003</v>
      </c>
      <c r="AG777" s="17">
        <f t="shared" si="247"/>
        <v>52.014400000000002</v>
      </c>
      <c r="AH777" s="17">
        <f t="shared" si="255"/>
        <v>0.89680000000000004</v>
      </c>
      <c r="AI777" s="17"/>
      <c r="AJ777" s="17">
        <f t="shared" si="242"/>
        <v>0.89680000000000004</v>
      </c>
      <c r="AK777" s="20"/>
      <c r="AL777" s="17">
        <f t="shared" si="258"/>
        <v>43.943200000000004</v>
      </c>
      <c r="AM777" s="17"/>
      <c r="AN777" s="21"/>
      <c r="AO777" s="17">
        <f t="shared" si="244"/>
        <v>0</v>
      </c>
      <c r="AP777" s="27"/>
      <c r="AQ777" s="16"/>
      <c r="AR777" s="17">
        <f t="shared" si="251"/>
        <v>0</v>
      </c>
      <c r="AS777" s="17"/>
      <c r="AT777" s="17">
        <v>52.014400000000002</v>
      </c>
      <c r="AU777" s="17">
        <f t="shared" si="259"/>
        <v>52.014400000000002</v>
      </c>
      <c r="AV777" s="17">
        <f t="shared" si="245"/>
        <v>0</v>
      </c>
      <c r="AW777" s="17" t="str">
        <f t="shared" si="254"/>
        <v>SUNU</v>
      </c>
      <c r="AX777" s="22">
        <v>44965</v>
      </c>
      <c r="AY777" s="22"/>
      <c r="AZ777" s="1"/>
      <c r="BA777" s="22" t="str">
        <f t="shared" si="261"/>
        <v>MOTOR TPL</v>
      </c>
      <c r="BB777" s="54"/>
      <c r="BC777" s="22"/>
      <c r="BD777" s="1" t="s">
        <v>1065</v>
      </c>
    </row>
    <row r="778" spans="1:56" ht="14.25" customHeight="1" x14ac:dyDescent="0.2">
      <c r="A778" s="12" t="s">
        <v>56</v>
      </c>
      <c r="B778" s="1" t="s">
        <v>273</v>
      </c>
      <c r="C778" s="13"/>
      <c r="D778" s="13"/>
      <c r="E778" s="13">
        <v>44592</v>
      </c>
      <c r="F778" s="13">
        <v>44619</v>
      </c>
      <c r="G778" s="14" t="str">
        <f t="shared" si="239"/>
        <v>000-777/AIB RDC/2022</v>
      </c>
      <c r="H778" s="1">
        <v>0</v>
      </c>
      <c r="I778" s="1" t="s">
        <v>74</v>
      </c>
      <c r="J778" s="28">
        <v>72000034</v>
      </c>
      <c r="K778" s="28" t="s">
        <v>263</v>
      </c>
      <c r="L778" s="16"/>
      <c r="M778" s="16" t="s">
        <v>105</v>
      </c>
      <c r="N778" s="1" t="s">
        <v>106</v>
      </c>
      <c r="O778" s="16" t="s">
        <v>64</v>
      </c>
      <c r="P778" s="16" t="s">
        <v>65</v>
      </c>
      <c r="Q778" s="16" t="s">
        <v>107</v>
      </c>
      <c r="R778" s="16" t="s">
        <v>107</v>
      </c>
      <c r="S778" s="17">
        <v>21021.55</v>
      </c>
      <c r="T778" s="17">
        <v>147.5</v>
      </c>
      <c r="U778" s="17">
        <v>0</v>
      </c>
      <c r="V778" s="17"/>
      <c r="W778" s="17">
        <v>25</v>
      </c>
      <c r="X778" s="17">
        <v>100</v>
      </c>
      <c r="Y778" s="17">
        <v>20</v>
      </c>
      <c r="Z778" s="18">
        <f t="shared" si="240"/>
        <v>7.0166091463284112E-3</v>
      </c>
      <c r="AA778" s="19">
        <v>0.15</v>
      </c>
      <c r="AB778" s="17">
        <f t="shared" si="260"/>
        <v>15</v>
      </c>
      <c r="AC778" s="17">
        <v>0</v>
      </c>
      <c r="AD778" s="17">
        <v>0</v>
      </c>
      <c r="AE778" s="17">
        <f t="shared" si="241"/>
        <v>15</v>
      </c>
      <c r="AF778" s="17">
        <f t="shared" si="257"/>
        <v>2.4</v>
      </c>
      <c r="AG778" s="17">
        <f t="shared" si="247"/>
        <v>17.399999999999999</v>
      </c>
      <c r="AH778" s="17">
        <f t="shared" si="255"/>
        <v>0.3</v>
      </c>
      <c r="AI778" s="17">
        <v>0</v>
      </c>
      <c r="AJ778" s="17">
        <f t="shared" si="242"/>
        <v>0.3</v>
      </c>
      <c r="AK778" s="20"/>
      <c r="AL778" s="17">
        <f t="shared" si="258"/>
        <v>14.7</v>
      </c>
      <c r="AM778" s="17" t="s">
        <v>108</v>
      </c>
      <c r="AN778" s="21">
        <v>0.4</v>
      </c>
      <c r="AO778" s="17">
        <f t="shared" si="244"/>
        <v>5.88</v>
      </c>
      <c r="AP778" s="17"/>
      <c r="AQ778" s="16"/>
      <c r="AR778" s="17">
        <f t="shared" si="251"/>
        <v>5.88</v>
      </c>
      <c r="AS778" s="17"/>
      <c r="AT778" s="17"/>
      <c r="AU778" s="17">
        <f t="shared" si="259"/>
        <v>17.399999999999999</v>
      </c>
      <c r="AV778" s="84">
        <f t="shared" si="245"/>
        <v>17.399999999999999</v>
      </c>
      <c r="AW778" s="17" t="str">
        <f t="shared" si="254"/>
        <v>RAWSUR</v>
      </c>
      <c r="AX778" s="22"/>
      <c r="AY778" s="22"/>
      <c r="AZ778" s="1" t="s">
        <v>110</v>
      </c>
      <c r="BA778" s="22" t="str">
        <f t="shared" si="261"/>
        <v>MARINE CARGO / GIT</v>
      </c>
      <c r="BB778" s="22"/>
      <c r="BC778" s="22"/>
      <c r="BD778" s="1" t="s">
        <v>275</v>
      </c>
    </row>
    <row r="779" spans="1:56" ht="14.25" customHeight="1" x14ac:dyDescent="0.2">
      <c r="A779" s="1" t="s">
        <v>992</v>
      </c>
      <c r="B779" s="2" t="s">
        <v>57</v>
      </c>
      <c r="C779" s="13">
        <v>44907</v>
      </c>
      <c r="D779" s="13">
        <v>44928</v>
      </c>
      <c r="E779" s="13">
        <v>44926</v>
      </c>
      <c r="F779" s="50">
        <v>45290</v>
      </c>
      <c r="G779" s="14" t="str">
        <f t="shared" si="239"/>
        <v>000-778/AIB RDC/2022</v>
      </c>
      <c r="H779" s="1">
        <v>0</v>
      </c>
      <c r="I779" s="1" t="s">
        <v>74</v>
      </c>
      <c r="J779" s="15" t="s">
        <v>1101</v>
      </c>
      <c r="K779" s="16" t="s">
        <v>127</v>
      </c>
      <c r="L779" s="1" t="s">
        <v>1088</v>
      </c>
      <c r="M779" s="1" t="s">
        <v>84</v>
      </c>
      <c r="N779" s="1" t="s">
        <v>85</v>
      </c>
      <c r="O779" s="1" t="s">
        <v>129</v>
      </c>
      <c r="P779" s="1" t="s">
        <v>90</v>
      </c>
      <c r="Q779" s="1" t="s">
        <v>130</v>
      </c>
      <c r="R779" s="1" t="s">
        <v>80</v>
      </c>
      <c r="S779" s="17">
        <v>0</v>
      </c>
      <c r="T779" s="17">
        <v>4694.7</v>
      </c>
      <c r="U779" s="17">
        <v>592.76</v>
      </c>
      <c r="V779" s="17">
        <v>0</v>
      </c>
      <c r="W779" s="17">
        <v>26.8</v>
      </c>
      <c r="X779" s="17">
        <v>3359</v>
      </c>
      <c r="Y779" s="17">
        <v>636.57000000000005</v>
      </c>
      <c r="Z779" s="18" t="e">
        <f t="shared" si="240"/>
        <v>#DIV/0!</v>
      </c>
      <c r="AA779" s="19">
        <v>0</v>
      </c>
      <c r="AB779" s="17">
        <f t="shared" si="260"/>
        <v>0</v>
      </c>
      <c r="AC779" s="17">
        <f>30%*U779</f>
        <v>177.828</v>
      </c>
      <c r="AD779" s="17">
        <v>0</v>
      </c>
      <c r="AE779" s="17">
        <f t="shared" si="241"/>
        <v>177.828</v>
      </c>
      <c r="AF779" s="17">
        <f t="shared" si="257"/>
        <v>28.452480000000001</v>
      </c>
      <c r="AG779" s="17">
        <f t="shared" si="247"/>
        <v>206.28048000000001</v>
      </c>
      <c r="AH779" s="17">
        <f t="shared" si="255"/>
        <v>3.5565600000000002</v>
      </c>
      <c r="AI779" s="17">
        <v>0</v>
      </c>
      <c r="AJ779" s="17">
        <f t="shared" si="242"/>
        <v>3.5565600000000002</v>
      </c>
      <c r="AK779" s="20"/>
      <c r="AL779" s="17">
        <f t="shared" si="258"/>
        <v>174.27144000000001</v>
      </c>
      <c r="AM779" s="17" t="s">
        <v>80</v>
      </c>
      <c r="AN779" s="21">
        <v>0</v>
      </c>
      <c r="AO779" s="17">
        <f t="shared" si="244"/>
        <v>0</v>
      </c>
      <c r="AP779" s="27"/>
      <c r="AQ779" s="16"/>
      <c r="AR779" s="17">
        <f t="shared" si="251"/>
        <v>0</v>
      </c>
      <c r="AS779" s="17"/>
      <c r="AT779" s="17">
        <v>206.28048000000001</v>
      </c>
      <c r="AU779" s="17">
        <f t="shared" si="259"/>
        <v>206.28048000000001</v>
      </c>
      <c r="AV779" s="17">
        <f t="shared" si="245"/>
        <v>0</v>
      </c>
      <c r="AW779" s="17" t="str">
        <f t="shared" si="254"/>
        <v>SFA</v>
      </c>
      <c r="AX779" s="22">
        <v>45100</v>
      </c>
      <c r="AY779" s="22"/>
      <c r="AZ779" s="1"/>
      <c r="BA779" s="22" t="str">
        <f t="shared" si="261"/>
        <v>D&amp;O</v>
      </c>
      <c r="BB779" s="54"/>
      <c r="BC779" s="22"/>
      <c r="BD779" s="1" t="s">
        <v>390</v>
      </c>
    </row>
    <row r="780" spans="1:56" ht="14.25" customHeight="1" x14ac:dyDescent="0.2">
      <c r="A780" s="1" t="s">
        <v>992</v>
      </c>
      <c r="B780" s="2" t="s">
        <v>57</v>
      </c>
      <c r="C780" s="13">
        <v>44907</v>
      </c>
      <c r="D780" s="13">
        <v>44928</v>
      </c>
      <c r="E780" s="13">
        <v>44926</v>
      </c>
      <c r="F780" s="50">
        <v>45290</v>
      </c>
      <c r="G780" s="14" t="str">
        <f t="shared" ref="G780:G795" si="262">TEXT(ROW(G780)-1,"000-000") &amp; "/AIB RDC/2022"</f>
        <v>000-779/AIB RDC/2022</v>
      </c>
      <c r="H780" s="1">
        <v>0</v>
      </c>
      <c r="I780" s="1" t="s">
        <v>74</v>
      </c>
      <c r="J780" s="15" t="s">
        <v>1102</v>
      </c>
      <c r="K780" s="16" t="s">
        <v>127</v>
      </c>
      <c r="L780" s="1" t="s">
        <v>1088</v>
      </c>
      <c r="M780" s="1" t="s">
        <v>84</v>
      </c>
      <c r="N780" s="1" t="s">
        <v>85</v>
      </c>
      <c r="O780" s="1" t="s">
        <v>132</v>
      </c>
      <c r="P780" s="1" t="s">
        <v>90</v>
      </c>
      <c r="Q780" s="1" t="s">
        <v>130</v>
      </c>
      <c r="R780" s="1" t="s">
        <v>80</v>
      </c>
      <c r="S780" s="17">
        <v>0</v>
      </c>
      <c r="T780" s="17">
        <v>68221.259999999995</v>
      </c>
      <c r="U780" s="17">
        <v>8634</v>
      </c>
      <c r="V780" s="17">
        <v>0</v>
      </c>
      <c r="W780" s="17">
        <v>254.63</v>
      </c>
      <c r="X780" s="17">
        <v>48926</v>
      </c>
      <c r="Y780" s="17">
        <v>9250.34</v>
      </c>
      <c r="Z780" s="18" t="e">
        <f t="shared" ref="Z780:Z795" si="263">T780/S780</f>
        <v>#DIV/0!</v>
      </c>
      <c r="AA780" s="19">
        <v>0</v>
      </c>
      <c r="AB780" s="17">
        <f t="shared" si="260"/>
        <v>0</v>
      </c>
      <c r="AC780" s="17">
        <f>30%*U780</f>
        <v>2590.1999999999998</v>
      </c>
      <c r="AD780" s="17">
        <v>0</v>
      </c>
      <c r="AE780" s="17">
        <f t="shared" ref="AE780:AE843" si="264">SUM(AB780:AD780)</f>
        <v>2590.1999999999998</v>
      </c>
      <c r="AF780" s="17">
        <f t="shared" si="257"/>
        <v>414.43199999999996</v>
      </c>
      <c r="AG780" s="17">
        <f t="shared" si="247"/>
        <v>3004.6319999999996</v>
      </c>
      <c r="AH780" s="17">
        <f t="shared" si="255"/>
        <v>51.803999999999995</v>
      </c>
      <c r="AI780" s="17">
        <v>0</v>
      </c>
      <c r="AJ780" s="17">
        <f t="shared" ref="AJ780:AJ843" si="265">AH780-AI780</f>
        <v>51.803999999999995</v>
      </c>
      <c r="AK780" s="20"/>
      <c r="AL780" s="17">
        <f t="shared" si="258"/>
        <v>2538.3959999999997</v>
      </c>
      <c r="AM780" s="17" t="s">
        <v>80</v>
      </c>
      <c r="AN780" s="21">
        <v>0</v>
      </c>
      <c r="AO780" s="17">
        <f t="shared" ref="AO780:AO843" si="266">AL780*AN780</f>
        <v>0</v>
      </c>
      <c r="AP780" s="27"/>
      <c r="AQ780" s="16"/>
      <c r="AR780" s="17">
        <f t="shared" si="251"/>
        <v>0</v>
      </c>
      <c r="AS780" s="17"/>
      <c r="AT780" s="17">
        <v>3004.6319999999996</v>
      </c>
      <c r="AU780" s="17">
        <f t="shared" si="259"/>
        <v>3004.6319999999996</v>
      </c>
      <c r="AV780" s="17">
        <f t="shared" ref="AV780:AV843" si="267">AU780-AT780</f>
        <v>0</v>
      </c>
      <c r="AW780" s="17" t="str">
        <f t="shared" si="254"/>
        <v>SFA</v>
      </c>
      <c r="AX780" s="22">
        <v>45100</v>
      </c>
      <c r="AY780" s="22"/>
      <c r="AZ780" s="1"/>
      <c r="BA780" s="22" t="str">
        <f t="shared" si="261"/>
        <v>PI</v>
      </c>
      <c r="BB780" s="54"/>
      <c r="BC780" s="22"/>
      <c r="BD780" s="1" t="s">
        <v>390</v>
      </c>
    </row>
    <row r="781" spans="1:56" ht="14.25" customHeight="1" x14ac:dyDescent="0.2">
      <c r="A781" s="1" t="s">
        <v>992</v>
      </c>
      <c r="B781" s="1" t="s">
        <v>57</v>
      </c>
      <c r="C781" s="13">
        <v>44888</v>
      </c>
      <c r="D781" s="50">
        <v>44923</v>
      </c>
      <c r="E781" s="50">
        <v>44917</v>
      </c>
      <c r="F781" s="50">
        <v>45281</v>
      </c>
      <c r="G781" s="14" t="str">
        <f t="shared" si="262"/>
        <v>000-780/AIB RDC/2022</v>
      </c>
      <c r="H781" s="1">
        <v>1</v>
      </c>
      <c r="I781" s="1" t="s">
        <v>58</v>
      </c>
      <c r="J781" s="15" t="s">
        <v>1103</v>
      </c>
      <c r="K781" s="1" t="s">
        <v>1104</v>
      </c>
      <c r="L781" s="1" t="s">
        <v>1105</v>
      </c>
      <c r="M781" s="1" t="s">
        <v>84</v>
      </c>
      <c r="N781" s="1" t="s">
        <v>85</v>
      </c>
      <c r="O781" s="1" t="s">
        <v>70</v>
      </c>
      <c r="P781" s="1" t="s">
        <v>71</v>
      </c>
      <c r="Q781" s="1" t="s">
        <v>130</v>
      </c>
      <c r="R781" s="1" t="s">
        <v>130</v>
      </c>
      <c r="S781" s="17">
        <v>600000</v>
      </c>
      <c r="T781" s="17">
        <v>2146.48</v>
      </c>
      <c r="U781" s="17">
        <v>0</v>
      </c>
      <c r="V781" s="17">
        <v>0</v>
      </c>
      <c r="W781" s="17">
        <v>20</v>
      </c>
      <c r="X781" s="17">
        <v>1799.05</v>
      </c>
      <c r="Y781" s="17">
        <v>291.05</v>
      </c>
      <c r="Z781" s="18">
        <f t="shared" si="263"/>
        <v>3.5774666666666668E-3</v>
      </c>
      <c r="AA781" s="19">
        <v>0.1</v>
      </c>
      <c r="AB781" s="17">
        <f t="shared" si="260"/>
        <v>179.905</v>
      </c>
      <c r="AC781" s="17">
        <v>0</v>
      </c>
      <c r="AD781" s="17">
        <v>0</v>
      </c>
      <c r="AE781" s="17">
        <f t="shared" si="264"/>
        <v>179.905</v>
      </c>
      <c r="AF781" s="17">
        <f t="shared" si="257"/>
        <v>28.784800000000001</v>
      </c>
      <c r="AG781" s="17">
        <f t="shared" si="247"/>
        <v>208.68979999999999</v>
      </c>
      <c r="AH781" s="17">
        <f t="shared" si="255"/>
        <v>3.5981000000000001</v>
      </c>
      <c r="AI781" s="17"/>
      <c r="AJ781" s="17">
        <f t="shared" si="265"/>
        <v>3.5981000000000001</v>
      </c>
      <c r="AK781" s="20"/>
      <c r="AL781" s="17">
        <f t="shared" si="258"/>
        <v>176.30690000000001</v>
      </c>
      <c r="AM781" s="17"/>
      <c r="AN781" s="21"/>
      <c r="AO781" s="17">
        <f t="shared" si="266"/>
        <v>0</v>
      </c>
      <c r="AP781" s="27"/>
      <c r="AQ781" s="16"/>
      <c r="AR781" s="17">
        <f t="shared" si="251"/>
        <v>0</v>
      </c>
      <c r="AS781" s="17"/>
      <c r="AT781" s="17">
        <v>208.68979999999999</v>
      </c>
      <c r="AU781" s="17">
        <f t="shared" si="259"/>
        <v>208.68979999999999</v>
      </c>
      <c r="AV781" s="17">
        <f t="shared" si="267"/>
        <v>0</v>
      </c>
      <c r="AW781" s="17" t="str">
        <f t="shared" si="254"/>
        <v>SFA</v>
      </c>
      <c r="AX781" s="22">
        <v>44949</v>
      </c>
      <c r="AY781" s="22"/>
      <c r="AZ781" s="1"/>
      <c r="BA781" s="22" t="str">
        <f t="shared" si="261"/>
        <v>FIRE</v>
      </c>
      <c r="BB781" s="54"/>
      <c r="BC781" s="22"/>
      <c r="BD781" s="22"/>
    </row>
    <row r="782" spans="1:56" ht="14.25" customHeight="1" x14ac:dyDescent="0.2">
      <c r="A782" s="1" t="s">
        <v>667</v>
      </c>
      <c r="B782" s="1" t="s">
        <v>57</v>
      </c>
      <c r="C782" s="13">
        <v>44869</v>
      </c>
      <c r="D782" s="50">
        <v>44852</v>
      </c>
      <c r="E782" s="13">
        <v>44851</v>
      </c>
      <c r="F782" s="13">
        <v>45215</v>
      </c>
      <c r="G782" s="14" t="str">
        <f t="shared" si="262"/>
        <v>000-781/AIB RDC/2022</v>
      </c>
      <c r="H782" s="1">
        <v>0</v>
      </c>
      <c r="I782" s="1" t="s">
        <v>74</v>
      </c>
      <c r="J782" s="15" t="s">
        <v>1106</v>
      </c>
      <c r="K782" s="1" t="s">
        <v>228</v>
      </c>
      <c r="L782" s="1"/>
      <c r="M782" s="1" t="s">
        <v>105</v>
      </c>
      <c r="N782" s="1" t="s">
        <v>106</v>
      </c>
      <c r="O782" s="1" t="s">
        <v>64</v>
      </c>
      <c r="P782" s="1" t="s">
        <v>65</v>
      </c>
      <c r="Q782" s="1" t="s">
        <v>130</v>
      </c>
      <c r="R782" s="1" t="s">
        <v>130</v>
      </c>
      <c r="S782" s="17">
        <v>117761.59</v>
      </c>
      <c r="T782" s="17">
        <v>327.94</v>
      </c>
      <c r="U782" s="17">
        <v>0</v>
      </c>
      <c r="V782" s="17">
        <v>0</v>
      </c>
      <c r="W782" s="17">
        <v>4.1100000000000003</v>
      </c>
      <c r="X782" s="17">
        <v>273.8</v>
      </c>
      <c r="Y782" s="17">
        <v>44.47</v>
      </c>
      <c r="Z782" s="18">
        <f t="shared" si="263"/>
        <v>2.7847789758952812E-3</v>
      </c>
      <c r="AA782" s="19">
        <v>0.15</v>
      </c>
      <c r="AB782" s="17">
        <f t="shared" si="260"/>
        <v>41.07</v>
      </c>
      <c r="AC782" s="17">
        <v>0</v>
      </c>
      <c r="AD782" s="17">
        <v>0</v>
      </c>
      <c r="AE782" s="17">
        <f t="shared" si="264"/>
        <v>41.07</v>
      </c>
      <c r="AF782" s="17">
        <f t="shared" si="257"/>
        <v>6.5712000000000002</v>
      </c>
      <c r="AG782" s="17">
        <f t="shared" si="247"/>
        <v>47.641199999999998</v>
      </c>
      <c r="AH782" s="17">
        <f t="shared" si="255"/>
        <v>0.82140000000000002</v>
      </c>
      <c r="AI782" s="17"/>
      <c r="AJ782" s="17">
        <f t="shared" si="265"/>
        <v>0.82140000000000002</v>
      </c>
      <c r="AK782" s="20"/>
      <c r="AL782" s="17">
        <f t="shared" si="258"/>
        <v>40.248600000000003</v>
      </c>
      <c r="AM782" s="17" t="s">
        <v>108</v>
      </c>
      <c r="AN782" s="21">
        <v>0.4</v>
      </c>
      <c r="AO782" s="17">
        <f t="shared" si="266"/>
        <v>16.099440000000001</v>
      </c>
      <c r="AP782" s="30">
        <v>16.099440000000001</v>
      </c>
      <c r="AQ782" s="29">
        <v>45229</v>
      </c>
      <c r="AR782" s="17">
        <f t="shared" si="251"/>
        <v>0</v>
      </c>
      <c r="AS782" s="17"/>
      <c r="AT782" s="17">
        <v>47.641199999999998</v>
      </c>
      <c r="AU782" s="17">
        <f t="shared" si="259"/>
        <v>47.641199999999998</v>
      </c>
      <c r="AV782" s="17">
        <f t="shared" si="267"/>
        <v>0</v>
      </c>
      <c r="AW782" s="17" t="str">
        <f t="shared" si="254"/>
        <v>SFA</v>
      </c>
      <c r="AX782" s="22">
        <v>44949</v>
      </c>
      <c r="AY782" s="22"/>
      <c r="AZ782" s="1" t="s">
        <v>110</v>
      </c>
      <c r="BA782" s="22" t="str">
        <f t="shared" si="261"/>
        <v>MARINE CARGO / GIT</v>
      </c>
      <c r="BB782" s="54"/>
      <c r="BC782" s="22"/>
      <c r="BD782" s="22"/>
    </row>
    <row r="783" spans="1:56" ht="14.25" customHeight="1" x14ac:dyDescent="0.2">
      <c r="A783" s="1" t="s">
        <v>667</v>
      </c>
      <c r="B783" s="1" t="s">
        <v>57</v>
      </c>
      <c r="C783" s="13">
        <v>44869</v>
      </c>
      <c r="D783" s="50">
        <v>44852</v>
      </c>
      <c r="E783" s="13">
        <v>44851</v>
      </c>
      <c r="F783" s="13">
        <v>45215</v>
      </c>
      <c r="G783" s="14" t="str">
        <f t="shared" si="262"/>
        <v>000-782/AIB RDC/2022</v>
      </c>
      <c r="H783" s="1">
        <v>0</v>
      </c>
      <c r="I783" s="1" t="s">
        <v>74</v>
      </c>
      <c r="J783" s="15" t="s">
        <v>1107</v>
      </c>
      <c r="K783" s="1" t="s">
        <v>228</v>
      </c>
      <c r="L783" s="1"/>
      <c r="M783" s="1" t="s">
        <v>105</v>
      </c>
      <c r="N783" s="1" t="s">
        <v>106</v>
      </c>
      <c r="O783" s="1" t="s">
        <v>64</v>
      </c>
      <c r="P783" s="1" t="s">
        <v>65</v>
      </c>
      <c r="Q783" s="1" t="s">
        <v>130</v>
      </c>
      <c r="R783" s="1" t="s">
        <v>130</v>
      </c>
      <c r="S783" s="17">
        <v>159068.85</v>
      </c>
      <c r="T783" s="17">
        <v>442.96</v>
      </c>
      <c r="U783" s="17">
        <v>0</v>
      </c>
      <c r="V783" s="17">
        <v>0</v>
      </c>
      <c r="W783" s="17">
        <v>5.55</v>
      </c>
      <c r="X783" s="17">
        <v>369.84</v>
      </c>
      <c r="Y783" s="17">
        <v>60.06</v>
      </c>
      <c r="Z783" s="18">
        <f t="shared" si="263"/>
        <v>2.7847061193942116E-3</v>
      </c>
      <c r="AA783" s="19">
        <v>0.15</v>
      </c>
      <c r="AB783" s="17">
        <f t="shared" si="260"/>
        <v>55.475999999999992</v>
      </c>
      <c r="AC783" s="17">
        <v>0</v>
      </c>
      <c r="AD783" s="17">
        <v>0</v>
      </c>
      <c r="AE783" s="17">
        <f t="shared" si="264"/>
        <v>55.475999999999992</v>
      </c>
      <c r="AF783" s="17">
        <f t="shared" si="257"/>
        <v>8.8761599999999987</v>
      </c>
      <c r="AG783" s="17">
        <f t="shared" si="247"/>
        <v>64.352159999999998</v>
      </c>
      <c r="AH783" s="17">
        <f t="shared" si="255"/>
        <v>1.1095199999999998</v>
      </c>
      <c r="AI783" s="17"/>
      <c r="AJ783" s="17">
        <f t="shared" si="265"/>
        <v>1.1095199999999998</v>
      </c>
      <c r="AK783" s="20"/>
      <c r="AL783" s="17">
        <f t="shared" si="258"/>
        <v>54.366479999999996</v>
      </c>
      <c r="AM783" s="17" t="s">
        <v>108</v>
      </c>
      <c r="AN783" s="21">
        <v>0.4</v>
      </c>
      <c r="AO783" s="17">
        <f t="shared" si="266"/>
        <v>21.746592</v>
      </c>
      <c r="AP783" s="30">
        <v>21.746592</v>
      </c>
      <c r="AQ783" s="29">
        <v>45229</v>
      </c>
      <c r="AR783" s="17">
        <f t="shared" si="251"/>
        <v>0</v>
      </c>
      <c r="AS783" s="17"/>
      <c r="AT783" s="17">
        <v>64.352159999999998</v>
      </c>
      <c r="AU783" s="17">
        <f t="shared" si="259"/>
        <v>64.352159999999998</v>
      </c>
      <c r="AV783" s="17">
        <f t="shared" si="267"/>
        <v>0</v>
      </c>
      <c r="AW783" s="17" t="str">
        <f t="shared" si="254"/>
        <v>SFA</v>
      </c>
      <c r="AX783" s="22">
        <v>44949</v>
      </c>
      <c r="AY783" s="22"/>
      <c r="AZ783" s="1" t="s">
        <v>110</v>
      </c>
      <c r="BA783" s="22" t="str">
        <f t="shared" si="261"/>
        <v>MARINE CARGO / GIT</v>
      </c>
      <c r="BB783" s="54"/>
      <c r="BC783" s="22"/>
      <c r="BD783" s="22"/>
    </row>
    <row r="784" spans="1:56" ht="14.25" customHeight="1" x14ac:dyDescent="0.2">
      <c r="A784" s="1" t="s">
        <v>992</v>
      </c>
      <c r="B784" s="1" t="s">
        <v>57</v>
      </c>
      <c r="C784" s="48">
        <v>44936</v>
      </c>
      <c r="D784" s="48">
        <v>44917</v>
      </c>
      <c r="E784" s="48">
        <v>44917</v>
      </c>
      <c r="F784" s="48">
        <v>45175</v>
      </c>
      <c r="G784" s="14" t="str">
        <f t="shared" si="262"/>
        <v>000-783/AIB RDC/2022</v>
      </c>
      <c r="H784" s="61">
        <v>2</v>
      </c>
      <c r="I784" s="2" t="s">
        <v>91</v>
      </c>
      <c r="J784" s="1" t="s">
        <v>913</v>
      </c>
      <c r="K784" s="16" t="s">
        <v>409</v>
      </c>
      <c r="L784" s="16" t="s">
        <v>137</v>
      </c>
      <c r="M784" s="16" t="s">
        <v>84</v>
      </c>
      <c r="N784" s="1" t="s">
        <v>191</v>
      </c>
      <c r="O784" s="1" t="s">
        <v>73</v>
      </c>
      <c r="P784" s="1" t="s">
        <v>73</v>
      </c>
      <c r="Q784" s="1" t="s">
        <v>130</v>
      </c>
      <c r="R784" s="1" t="s">
        <v>130</v>
      </c>
      <c r="S784" s="17">
        <v>0</v>
      </c>
      <c r="T784" s="17">
        <v>278.58999999999997</v>
      </c>
      <c r="U784" s="17">
        <v>0</v>
      </c>
      <c r="V784" s="17">
        <v>0</v>
      </c>
      <c r="W784" s="17">
        <v>3.49</v>
      </c>
      <c r="X784" s="17">
        <v>232.61</v>
      </c>
      <c r="Y784" s="17">
        <v>37.770000000000003</v>
      </c>
      <c r="Z784" s="18" t="e">
        <f t="shared" si="263"/>
        <v>#DIV/0!</v>
      </c>
      <c r="AA784" s="19">
        <v>0.1</v>
      </c>
      <c r="AB784" s="17">
        <f t="shared" si="260"/>
        <v>23.261000000000003</v>
      </c>
      <c r="AC784" s="34"/>
      <c r="AD784" s="34"/>
      <c r="AE784" s="17">
        <f t="shared" si="264"/>
        <v>23.261000000000003</v>
      </c>
      <c r="AF784" s="17">
        <f t="shared" si="257"/>
        <v>3.7217600000000006</v>
      </c>
      <c r="AG784" s="17">
        <f t="shared" si="247"/>
        <v>26.982760000000003</v>
      </c>
      <c r="AH784" s="17">
        <f t="shared" si="255"/>
        <v>0.46522000000000008</v>
      </c>
      <c r="AI784" s="17"/>
      <c r="AJ784" s="17">
        <f t="shared" si="265"/>
        <v>0.46522000000000008</v>
      </c>
      <c r="AK784" s="20"/>
      <c r="AL784" s="17">
        <f t="shared" si="258"/>
        <v>22.795780000000004</v>
      </c>
      <c r="AM784" s="17" t="s">
        <v>289</v>
      </c>
      <c r="AN784" s="21">
        <v>0.5</v>
      </c>
      <c r="AO784" s="17">
        <f t="shared" si="266"/>
        <v>11.397890000000002</v>
      </c>
      <c r="AP784" s="17">
        <v>11.397890000000002</v>
      </c>
      <c r="AQ784" s="16">
        <v>45086</v>
      </c>
      <c r="AR784" s="17">
        <f t="shared" si="251"/>
        <v>0</v>
      </c>
      <c r="AS784" s="17" t="s">
        <v>884</v>
      </c>
      <c r="AT784" s="17">
        <v>26.982760000000003</v>
      </c>
      <c r="AU784" s="17">
        <f t="shared" si="259"/>
        <v>26.982760000000003</v>
      </c>
      <c r="AV784" s="17">
        <f t="shared" si="267"/>
        <v>0</v>
      </c>
      <c r="AW784" s="17" t="str">
        <f t="shared" si="254"/>
        <v>SFA</v>
      </c>
      <c r="AX784" s="22">
        <v>44949</v>
      </c>
      <c r="AY784" s="22"/>
      <c r="AZ784" s="1"/>
      <c r="BA784" s="22" t="str">
        <f t="shared" si="261"/>
        <v>MOTOR TPL</v>
      </c>
      <c r="BB784" s="54"/>
      <c r="BC784" s="22"/>
      <c r="BD784" s="22"/>
    </row>
    <row r="785" spans="1:56" ht="14.25" customHeight="1" x14ac:dyDescent="0.2">
      <c r="A785" s="1" t="s">
        <v>56</v>
      </c>
      <c r="B785" s="1" t="s">
        <v>273</v>
      </c>
      <c r="C785" s="48"/>
      <c r="D785" s="48"/>
      <c r="E785" s="48">
        <v>44569</v>
      </c>
      <c r="F785" s="48">
        <v>44933</v>
      </c>
      <c r="G785" s="14" t="str">
        <f t="shared" si="262"/>
        <v>000-784/AIB RDC/2022</v>
      </c>
      <c r="H785" s="61">
        <v>4</v>
      </c>
      <c r="I785" s="2" t="s">
        <v>115</v>
      </c>
      <c r="J785" s="15" t="s">
        <v>199</v>
      </c>
      <c r="K785" s="16" t="s">
        <v>200</v>
      </c>
      <c r="L785" s="1" t="s">
        <v>169</v>
      </c>
      <c r="M785" s="1" t="s">
        <v>84</v>
      </c>
      <c r="N785" s="1" t="s">
        <v>85</v>
      </c>
      <c r="O785" s="1" t="s">
        <v>185</v>
      </c>
      <c r="P785" s="1" t="s">
        <v>186</v>
      </c>
      <c r="Q785" s="1" t="s">
        <v>130</v>
      </c>
      <c r="R785" s="1" t="s">
        <v>1108</v>
      </c>
      <c r="S785" s="17">
        <v>0</v>
      </c>
      <c r="T785" s="17">
        <v>-98294.99</v>
      </c>
      <c r="U785" s="17">
        <v>-4943.09</v>
      </c>
      <c r="V785" s="17">
        <v>0</v>
      </c>
      <c r="W785" s="17">
        <v>100</v>
      </c>
      <c r="X785" s="17">
        <v>-79893.98</v>
      </c>
      <c r="Y785" s="17">
        <v>-13557.93</v>
      </c>
      <c r="Z785" s="18" t="e">
        <f t="shared" si="263"/>
        <v>#DIV/0!</v>
      </c>
      <c r="AA785" s="19">
        <v>0</v>
      </c>
      <c r="AB785" s="17">
        <f t="shared" si="260"/>
        <v>0</v>
      </c>
      <c r="AC785" s="17">
        <v>0</v>
      </c>
      <c r="AD785" s="17">
        <v>0</v>
      </c>
      <c r="AE785" s="17">
        <f t="shared" si="264"/>
        <v>0</v>
      </c>
      <c r="AF785" s="17">
        <f t="shared" si="257"/>
        <v>0</v>
      </c>
      <c r="AG785" s="17">
        <f t="shared" si="247"/>
        <v>0</v>
      </c>
      <c r="AH785" s="17">
        <f t="shared" si="255"/>
        <v>0</v>
      </c>
      <c r="AI785" s="17">
        <v>0</v>
      </c>
      <c r="AJ785" s="17">
        <f t="shared" si="265"/>
        <v>0</v>
      </c>
      <c r="AK785" s="20"/>
      <c r="AL785" s="17">
        <f t="shared" si="258"/>
        <v>0</v>
      </c>
      <c r="AM785" s="17" t="s">
        <v>198</v>
      </c>
      <c r="AN785" s="21"/>
      <c r="AO785" s="17">
        <f t="shared" si="266"/>
        <v>0</v>
      </c>
      <c r="AP785" s="27"/>
      <c r="AQ785" s="16"/>
      <c r="AR785" s="17">
        <f t="shared" si="251"/>
        <v>0</v>
      </c>
      <c r="AS785" s="17"/>
      <c r="AT785" s="17"/>
      <c r="AU785" s="17">
        <f t="shared" si="259"/>
        <v>0</v>
      </c>
      <c r="AV785" s="17">
        <f t="shared" si="267"/>
        <v>0</v>
      </c>
      <c r="AW785" s="17" t="str">
        <f t="shared" si="254"/>
        <v>SFA</v>
      </c>
      <c r="AX785" s="22"/>
      <c r="AY785" s="22"/>
      <c r="AZ785" s="1" t="s">
        <v>68</v>
      </c>
      <c r="BA785" s="22" t="str">
        <f t="shared" si="261"/>
        <v>AVIATION HULL ALL RISK</v>
      </c>
      <c r="BB785" s="54"/>
      <c r="BC785" s="22"/>
      <c r="BD785" s="22"/>
    </row>
    <row r="786" spans="1:56" ht="14.25" customHeight="1" x14ac:dyDescent="0.2">
      <c r="A786" s="1" t="s">
        <v>847</v>
      </c>
      <c r="B786" s="1" t="s">
        <v>57</v>
      </c>
      <c r="C786" s="13">
        <v>44693</v>
      </c>
      <c r="D786" s="13">
        <v>44866</v>
      </c>
      <c r="E786" s="13">
        <v>44866</v>
      </c>
      <c r="F786" s="13">
        <v>44957</v>
      </c>
      <c r="G786" s="14" t="str">
        <f t="shared" si="262"/>
        <v>000-785/AIB RDC/2022</v>
      </c>
      <c r="H786" s="1">
        <v>0</v>
      </c>
      <c r="I786" s="1" t="s">
        <v>74</v>
      </c>
      <c r="J786" s="1">
        <v>70100014</v>
      </c>
      <c r="K786" s="1" t="s">
        <v>263</v>
      </c>
      <c r="L786" s="1"/>
      <c r="M786" s="1" t="s">
        <v>105</v>
      </c>
      <c r="N786" s="1" t="s">
        <v>106</v>
      </c>
      <c r="O786" s="1" t="s">
        <v>64</v>
      </c>
      <c r="P786" s="1" t="s">
        <v>65</v>
      </c>
      <c r="Q786" s="1" t="s">
        <v>107</v>
      </c>
      <c r="R786" s="1" t="s">
        <v>107</v>
      </c>
      <c r="S786" s="17">
        <v>255274</v>
      </c>
      <c r="T786" s="17">
        <v>1066.08</v>
      </c>
      <c r="U786" s="17">
        <v>0</v>
      </c>
      <c r="V786" s="17">
        <v>0</v>
      </c>
      <c r="W786" s="17">
        <v>10</v>
      </c>
      <c r="X786" s="17">
        <v>893.46</v>
      </c>
      <c r="Y786" s="17">
        <v>144.55000000000001</v>
      </c>
      <c r="Z786" s="18">
        <f t="shared" si="263"/>
        <v>4.1762184946371348E-3</v>
      </c>
      <c r="AA786" s="19">
        <v>0.15</v>
      </c>
      <c r="AB786" s="17">
        <f t="shared" si="260"/>
        <v>134.01900000000001</v>
      </c>
      <c r="AC786" s="17">
        <v>0</v>
      </c>
      <c r="AD786" s="17">
        <v>0</v>
      </c>
      <c r="AE786" s="17">
        <f t="shared" si="264"/>
        <v>134.01900000000001</v>
      </c>
      <c r="AF786" s="17">
        <f t="shared" si="257"/>
        <v>21.44304</v>
      </c>
      <c r="AG786" s="17">
        <f t="shared" si="247"/>
        <v>155.46204</v>
      </c>
      <c r="AH786" s="17">
        <f t="shared" si="255"/>
        <v>2.68038</v>
      </c>
      <c r="AI786" s="17"/>
      <c r="AJ786" s="17">
        <f t="shared" si="265"/>
        <v>2.68038</v>
      </c>
      <c r="AK786" s="20"/>
      <c r="AL786" s="17">
        <f t="shared" si="258"/>
        <v>131.33861999999999</v>
      </c>
      <c r="AM786" s="17" t="s">
        <v>108</v>
      </c>
      <c r="AN786" s="21">
        <v>0.4</v>
      </c>
      <c r="AO786" s="17">
        <f t="shared" si="266"/>
        <v>52.535448000000002</v>
      </c>
      <c r="AP786" s="27"/>
      <c r="AQ786" s="16"/>
      <c r="AR786" s="17">
        <f t="shared" si="251"/>
        <v>52.535448000000002</v>
      </c>
      <c r="AS786" s="17"/>
      <c r="AT786" s="59">
        <v>141.02000000000001</v>
      </c>
      <c r="AU786" s="59">
        <f t="shared" si="259"/>
        <v>155.46204</v>
      </c>
      <c r="AV786" s="86">
        <f t="shared" si="267"/>
        <v>14.442039999999992</v>
      </c>
      <c r="AW786" s="17" t="str">
        <f t="shared" si="254"/>
        <v>RAWSUR</v>
      </c>
      <c r="AX786" s="22">
        <v>44994</v>
      </c>
      <c r="AY786" s="22"/>
      <c r="AZ786" s="1" t="s">
        <v>110</v>
      </c>
      <c r="BA786" s="22" t="str">
        <f t="shared" si="261"/>
        <v>MARINE CARGO / GIT</v>
      </c>
      <c r="BB786" s="54"/>
      <c r="BC786" s="22"/>
      <c r="BD786" s="1" t="s">
        <v>226</v>
      </c>
    </row>
    <row r="787" spans="1:56" ht="14.25" customHeight="1" x14ac:dyDescent="0.2">
      <c r="A787" s="28" t="s">
        <v>667</v>
      </c>
      <c r="B787" s="28" t="s">
        <v>57</v>
      </c>
      <c r="C787" s="60">
        <v>44862</v>
      </c>
      <c r="D787" s="60">
        <v>44862</v>
      </c>
      <c r="E787" s="60">
        <v>44862</v>
      </c>
      <c r="F787" s="60">
        <v>44865</v>
      </c>
      <c r="G787" s="37" t="str">
        <f t="shared" si="262"/>
        <v>000-786/AIB RDC/2022</v>
      </c>
      <c r="H787" s="28">
        <v>0</v>
      </c>
      <c r="I787" s="28" t="s">
        <v>74</v>
      </c>
      <c r="J787" s="28" t="s">
        <v>1109</v>
      </c>
      <c r="K787" s="28" t="s">
        <v>536</v>
      </c>
      <c r="L787" s="28"/>
      <c r="M787" s="28" t="s">
        <v>105</v>
      </c>
      <c r="N787" s="28" t="s">
        <v>106</v>
      </c>
      <c r="O787" s="28" t="s">
        <v>64</v>
      </c>
      <c r="P787" s="28" t="s">
        <v>65</v>
      </c>
      <c r="Q787" s="28" t="s">
        <v>130</v>
      </c>
      <c r="R787" s="28" t="s">
        <v>130</v>
      </c>
      <c r="S787" s="23">
        <v>46525.8</v>
      </c>
      <c r="T787" s="23">
        <v>77.86</v>
      </c>
      <c r="U787" s="23">
        <v>0</v>
      </c>
      <c r="V787" s="23">
        <v>0</v>
      </c>
      <c r="W787" s="23">
        <v>0.98</v>
      </c>
      <c r="X787" s="23">
        <v>65</v>
      </c>
      <c r="Y787" s="23">
        <v>10.56</v>
      </c>
      <c r="Z787" s="38">
        <f t="shared" si="263"/>
        <v>1.6734800906163892E-3</v>
      </c>
      <c r="AA787" s="39">
        <v>0.15</v>
      </c>
      <c r="AB787" s="23">
        <f t="shared" si="260"/>
        <v>9.75</v>
      </c>
      <c r="AC787" s="23">
        <v>0</v>
      </c>
      <c r="AD787" s="23">
        <v>0</v>
      </c>
      <c r="AE787" s="23">
        <f t="shared" si="264"/>
        <v>9.75</v>
      </c>
      <c r="AF787" s="23">
        <f t="shared" si="257"/>
        <v>1.56</v>
      </c>
      <c r="AG787" s="23">
        <f t="shared" si="247"/>
        <v>11.31</v>
      </c>
      <c r="AH787" s="23">
        <f t="shared" si="255"/>
        <v>0.19500000000000001</v>
      </c>
      <c r="AI787" s="23"/>
      <c r="AJ787" s="23">
        <f t="shared" si="265"/>
        <v>0.19500000000000001</v>
      </c>
      <c r="AK787" s="40"/>
      <c r="AL787" s="23">
        <f t="shared" si="258"/>
        <v>9.5549999999999997</v>
      </c>
      <c r="AM787" s="23" t="s">
        <v>108</v>
      </c>
      <c r="AN787" s="41">
        <v>0.4</v>
      </c>
      <c r="AO787" s="23">
        <f t="shared" si="266"/>
        <v>3.8220000000000001</v>
      </c>
      <c r="AP787" s="30">
        <v>3.8220000000000001</v>
      </c>
      <c r="AQ787" s="29">
        <v>45229</v>
      </c>
      <c r="AR787" s="23">
        <f t="shared" si="251"/>
        <v>0</v>
      </c>
      <c r="AS787" s="23"/>
      <c r="AT787" s="23">
        <v>11.31</v>
      </c>
      <c r="AU787" s="23">
        <f t="shared" si="259"/>
        <v>11.31</v>
      </c>
      <c r="AV787" s="23">
        <f t="shared" si="267"/>
        <v>0</v>
      </c>
      <c r="AW787" s="23" t="str">
        <f t="shared" si="254"/>
        <v>SFA</v>
      </c>
      <c r="AX787" s="42">
        <v>44984</v>
      </c>
      <c r="AY787" s="42"/>
      <c r="AZ787" s="28" t="s">
        <v>110</v>
      </c>
      <c r="BA787" s="22" t="str">
        <f t="shared" si="261"/>
        <v>MARINE CARGO / GIT</v>
      </c>
      <c r="BB787" s="56"/>
      <c r="BC787" s="42"/>
      <c r="BD787" s="42"/>
    </row>
    <row r="788" spans="1:56" ht="14.25" customHeight="1" x14ac:dyDescent="0.2">
      <c r="A788" s="28" t="s">
        <v>654</v>
      </c>
      <c r="B788" s="28" t="s">
        <v>57</v>
      </c>
      <c r="C788" s="60">
        <v>45036</v>
      </c>
      <c r="D788" s="60">
        <v>44967</v>
      </c>
      <c r="E788" s="60">
        <v>44748</v>
      </c>
      <c r="F788" s="13">
        <v>45107</v>
      </c>
      <c r="G788" s="14" t="str">
        <f t="shared" si="262"/>
        <v>000-787/AIB RDC/2022</v>
      </c>
      <c r="H788" s="28">
        <v>1</v>
      </c>
      <c r="I788" s="28" t="s">
        <v>91</v>
      </c>
      <c r="J788" s="1" t="s">
        <v>762</v>
      </c>
      <c r="K788" s="1" t="s">
        <v>502</v>
      </c>
      <c r="L788" s="1"/>
      <c r="M788" s="1" t="s">
        <v>84</v>
      </c>
      <c r="N788" s="1" t="s">
        <v>84</v>
      </c>
      <c r="O788" s="1" t="s">
        <v>73</v>
      </c>
      <c r="P788" s="1" t="s">
        <v>73</v>
      </c>
      <c r="Q788" s="1" t="s">
        <v>66</v>
      </c>
      <c r="R788" s="1" t="s">
        <v>66</v>
      </c>
      <c r="S788" s="23">
        <v>0</v>
      </c>
      <c r="T788" s="23"/>
      <c r="U788" s="23">
        <v>0</v>
      </c>
      <c r="V788" s="23">
        <v>0</v>
      </c>
      <c r="W788" s="23">
        <v>10</v>
      </c>
      <c r="X788" s="23">
        <v>124.59</v>
      </c>
      <c r="Y788" s="23">
        <v>0</v>
      </c>
      <c r="Z788" s="18" t="e">
        <f t="shared" si="263"/>
        <v>#DIV/0!</v>
      </c>
      <c r="AA788" s="39">
        <v>0.1</v>
      </c>
      <c r="AB788" s="17">
        <f t="shared" si="260"/>
        <v>12.459000000000001</v>
      </c>
      <c r="AC788" s="23">
        <v>0</v>
      </c>
      <c r="AD788" s="23">
        <v>0</v>
      </c>
      <c r="AE788" s="17">
        <f t="shared" si="264"/>
        <v>12.459000000000001</v>
      </c>
      <c r="AF788" s="17">
        <f t="shared" si="257"/>
        <v>1.9934400000000003</v>
      </c>
      <c r="AG788" s="17">
        <f t="shared" si="247"/>
        <v>14.452440000000001</v>
      </c>
      <c r="AH788" s="17">
        <f t="shared" si="255"/>
        <v>0.24918000000000004</v>
      </c>
      <c r="AI788" s="23">
        <v>0</v>
      </c>
      <c r="AJ788" s="17">
        <f t="shared" si="265"/>
        <v>0.24918000000000004</v>
      </c>
      <c r="AK788" s="40"/>
      <c r="AL788" s="17">
        <f t="shared" si="258"/>
        <v>12.209820000000001</v>
      </c>
      <c r="AM788" s="17" t="s">
        <v>87</v>
      </c>
      <c r="AN788" s="21">
        <v>0.35</v>
      </c>
      <c r="AO788" s="17">
        <f t="shared" si="266"/>
        <v>4.2734369999999995</v>
      </c>
      <c r="AP788" s="55"/>
      <c r="AQ788" s="29"/>
      <c r="AR788" s="17">
        <f t="shared" si="251"/>
        <v>4.2734369999999995</v>
      </c>
      <c r="AS788" s="23"/>
      <c r="AT788" s="23">
        <v>14.452440000000001</v>
      </c>
      <c r="AU788" s="17">
        <f t="shared" si="259"/>
        <v>14.452440000000001</v>
      </c>
      <c r="AV788" s="17">
        <f t="shared" si="267"/>
        <v>0</v>
      </c>
      <c r="AW788" s="17" t="str">
        <f t="shared" si="254"/>
        <v>ACTIVA</v>
      </c>
      <c r="AX788" s="42">
        <v>45035</v>
      </c>
      <c r="AY788" s="42"/>
      <c r="AZ788" s="28"/>
      <c r="BA788" s="22" t="str">
        <f t="shared" si="261"/>
        <v>MOTOR TPL</v>
      </c>
      <c r="BB788" s="56"/>
      <c r="BC788" s="42"/>
      <c r="BD788" s="42"/>
    </row>
    <row r="789" spans="1:56" ht="14.25" customHeight="1" x14ac:dyDescent="0.2">
      <c r="A789" s="28" t="s">
        <v>324</v>
      </c>
      <c r="B789" s="1" t="s">
        <v>57</v>
      </c>
      <c r="C789" s="60">
        <v>45069</v>
      </c>
      <c r="D789" s="60">
        <v>44600</v>
      </c>
      <c r="E789" s="60">
        <v>44645</v>
      </c>
      <c r="F789" s="13">
        <v>44933</v>
      </c>
      <c r="G789" s="14" t="str">
        <f t="shared" si="262"/>
        <v>000-788/AIB RDC/2022</v>
      </c>
      <c r="H789" s="28">
        <v>2</v>
      </c>
      <c r="I789" s="28" t="s">
        <v>115</v>
      </c>
      <c r="J789" s="1" t="s">
        <v>199</v>
      </c>
      <c r="K789" s="16" t="s">
        <v>200</v>
      </c>
      <c r="L789" s="16" t="s">
        <v>169</v>
      </c>
      <c r="M789" s="16" t="s">
        <v>84</v>
      </c>
      <c r="N789" s="16" t="s">
        <v>85</v>
      </c>
      <c r="O789" s="16" t="s">
        <v>185</v>
      </c>
      <c r="P789" s="16" t="s">
        <v>186</v>
      </c>
      <c r="Q789" s="16" t="s">
        <v>130</v>
      </c>
      <c r="R789" s="16" t="s">
        <v>201</v>
      </c>
      <c r="S789" s="23">
        <v>0</v>
      </c>
      <c r="T789" s="23">
        <v>-98463.78</v>
      </c>
      <c r="U789" s="23">
        <v>-4951.57</v>
      </c>
      <c r="V789" s="23">
        <v>0</v>
      </c>
      <c r="W789" s="23">
        <v>100</v>
      </c>
      <c r="X789" s="23">
        <v>-80031</v>
      </c>
      <c r="Y789" s="23">
        <v>-13581.21</v>
      </c>
      <c r="Z789" s="18" t="e">
        <f t="shared" si="263"/>
        <v>#DIV/0!</v>
      </c>
      <c r="AA789" s="39">
        <v>0</v>
      </c>
      <c r="AB789" s="17">
        <v>0</v>
      </c>
      <c r="AC789" s="23">
        <f>30%*U789</f>
        <v>-1485.4709999999998</v>
      </c>
      <c r="AD789" s="23">
        <v>0</v>
      </c>
      <c r="AE789" s="17">
        <f t="shared" si="264"/>
        <v>-1485.4709999999998</v>
      </c>
      <c r="AF789" s="17">
        <f t="shared" si="257"/>
        <v>-237.67535999999996</v>
      </c>
      <c r="AG789" s="17">
        <f t="shared" si="247"/>
        <v>-1723.1463599999997</v>
      </c>
      <c r="AH789" s="17">
        <f t="shared" si="255"/>
        <v>-29.709419999999994</v>
      </c>
      <c r="AI789" s="17">
        <v>0</v>
      </c>
      <c r="AJ789" s="17">
        <f t="shared" si="265"/>
        <v>-29.709419999999994</v>
      </c>
      <c r="AK789" s="40"/>
      <c r="AL789" s="17">
        <f t="shared" si="258"/>
        <v>-1455.7615799999999</v>
      </c>
      <c r="AM789" s="17" t="s">
        <v>198</v>
      </c>
      <c r="AN789" s="21"/>
      <c r="AO789" s="17">
        <f t="shared" si="266"/>
        <v>0</v>
      </c>
      <c r="AP789" s="55"/>
      <c r="AQ789" s="29"/>
      <c r="AR789" s="17">
        <f t="shared" si="251"/>
        <v>0</v>
      </c>
      <c r="AS789" s="23"/>
      <c r="AT789" s="23">
        <v>-1723.1463599999997</v>
      </c>
      <c r="AU789" s="17">
        <f t="shared" si="259"/>
        <v>-1723.1463599999997</v>
      </c>
      <c r="AV789" s="17">
        <f t="shared" si="267"/>
        <v>0</v>
      </c>
      <c r="AW789" s="17" t="str">
        <f t="shared" si="254"/>
        <v>SFA</v>
      </c>
      <c r="AX789" s="22">
        <v>45076</v>
      </c>
      <c r="AY789" s="42"/>
      <c r="AZ789" s="28"/>
      <c r="BA789" s="22" t="str">
        <f t="shared" si="261"/>
        <v>AVIATION HULL ALL RISK</v>
      </c>
      <c r="BB789" s="56"/>
      <c r="BC789" s="42"/>
      <c r="BD789" s="42"/>
    </row>
    <row r="790" spans="1:56" ht="14.25" customHeight="1" x14ac:dyDescent="0.2">
      <c r="A790" s="28" t="s">
        <v>992</v>
      </c>
      <c r="B790" s="28" t="s">
        <v>57</v>
      </c>
      <c r="C790" s="60">
        <v>45069</v>
      </c>
      <c r="D790" s="60">
        <v>45026</v>
      </c>
      <c r="E790" s="60">
        <v>44925</v>
      </c>
      <c r="F790" s="13">
        <v>44926</v>
      </c>
      <c r="G790" s="37" t="str">
        <f t="shared" si="262"/>
        <v>000-789/AIB RDC/2022</v>
      </c>
      <c r="H790" s="28">
        <v>1</v>
      </c>
      <c r="I790" s="28" t="s">
        <v>91</v>
      </c>
      <c r="J790" s="1" t="s">
        <v>146</v>
      </c>
      <c r="K790" s="1" t="s">
        <v>141</v>
      </c>
      <c r="L790" s="28" t="s">
        <v>83</v>
      </c>
      <c r="M790" s="28" t="s">
        <v>84</v>
      </c>
      <c r="N790" s="28" t="s">
        <v>85</v>
      </c>
      <c r="O790" s="16" t="s">
        <v>64</v>
      </c>
      <c r="P790" s="16" t="s">
        <v>65</v>
      </c>
      <c r="Q790" s="16" t="s">
        <v>130</v>
      </c>
      <c r="R790" s="16" t="s">
        <v>130</v>
      </c>
      <c r="S790" s="23">
        <v>0</v>
      </c>
      <c r="T790" s="23">
        <v>27514.18</v>
      </c>
      <c r="U790" s="23">
        <v>2712.23</v>
      </c>
      <c r="V790" s="23">
        <v>0</v>
      </c>
      <c r="W790" s="23">
        <v>112.46</v>
      </c>
      <c r="X790" s="23">
        <v>20492.41</v>
      </c>
      <c r="Y790" s="23">
        <v>3730.74</v>
      </c>
      <c r="Z790" s="38" t="e">
        <f t="shared" si="263"/>
        <v>#DIV/0!</v>
      </c>
      <c r="AA790" s="39">
        <v>0.15</v>
      </c>
      <c r="AB790" s="23">
        <f t="shared" ref="AB790:AB795" si="268">(AA790*X790)</f>
        <v>3073.8615</v>
      </c>
      <c r="AC790" s="23">
        <v>0</v>
      </c>
      <c r="AD790" s="23">
        <v>0</v>
      </c>
      <c r="AE790" s="23">
        <f t="shared" si="264"/>
        <v>3073.8615</v>
      </c>
      <c r="AF790" s="23">
        <f t="shared" si="257"/>
        <v>491.81783999999999</v>
      </c>
      <c r="AG790" s="23">
        <f t="shared" ref="AG790:AG853" si="269">AF790+AE790</f>
        <v>3565.6793400000001</v>
      </c>
      <c r="AH790" s="23">
        <f t="shared" si="255"/>
        <v>61.477229999999999</v>
      </c>
      <c r="AI790" s="23">
        <v>0</v>
      </c>
      <c r="AJ790" s="23">
        <f t="shared" si="265"/>
        <v>61.477229999999999</v>
      </c>
      <c r="AK790" s="40"/>
      <c r="AL790" s="23">
        <f t="shared" si="258"/>
        <v>3012.38427</v>
      </c>
      <c r="AM790" s="17" t="s">
        <v>87</v>
      </c>
      <c r="AN790" s="21">
        <v>0.35</v>
      </c>
      <c r="AO790" s="17">
        <f t="shared" si="266"/>
        <v>1054.3344944999999</v>
      </c>
      <c r="AP790" s="55"/>
      <c r="AQ790" s="29"/>
      <c r="AR790" s="23">
        <f t="shared" si="251"/>
        <v>1054.3344944999999</v>
      </c>
      <c r="AS790" s="23"/>
      <c r="AT790" s="23">
        <v>3565.6793400000001</v>
      </c>
      <c r="AU790" s="23">
        <f t="shared" si="259"/>
        <v>3565.6793400000001</v>
      </c>
      <c r="AV790" s="23">
        <f t="shared" si="267"/>
        <v>0</v>
      </c>
      <c r="AW790" s="23" t="str">
        <f t="shared" si="254"/>
        <v>SFA</v>
      </c>
      <c r="AX790" s="42">
        <v>45076</v>
      </c>
      <c r="AY790" s="42"/>
      <c r="AZ790" s="28"/>
      <c r="BA790" s="22" t="str">
        <f t="shared" si="261"/>
        <v>MARINE CARGO / GIT</v>
      </c>
      <c r="BB790" s="56"/>
      <c r="BC790" s="42"/>
      <c r="BD790" s="42"/>
    </row>
    <row r="791" spans="1:56" ht="14.25" customHeight="1" x14ac:dyDescent="0.2">
      <c r="A791" s="28" t="s">
        <v>773</v>
      </c>
      <c r="B791" s="28" t="s">
        <v>57</v>
      </c>
      <c r="C791" s="60">
        <v>44819</v>
      </c>
      <c r="D791" s="60">
        <v>44832</v>
      </c>
      <c r="E791" s="60">
        <v>44832</v>
      </c>
      <c r="F791" s="13">
        <v>45196</v>
      </c>
      <c r="G791" s="14" t="str">
        <f t="shared" si="262"/>
        <v>000-790/AIB RDC/2022</v>
      </c>
      <c r="H791" s="28">
        <v>0</v>
      </c>
      <c r="I791" s="28" t="s">
        <v>74</v>
      </c>
      <c r="J791" s="1" t="s">
        <v>1110</v>
      </c>
      <c r="K791" s="1" t="s">
        <v>263</v>
      </c>
      <c r="L791" s="28"/>
      <c r="M791" s="1" t="s">
        <v>105</v>
      </c>
      <c r="N791" s="1" t="s">
        <v>106</v>
      </c>
      <c r="O791" s="1" t="s">
        <v>64</v>
      </c>
      <c r="P791" s="1" t="s">
        <v>65</v>
      </c>
      <c r="Q791" s="1" t="s">
        <v>130</v>
      </c>
      <c r="R791" s="1" t="s">
        <v>130</v>
      </c>
      <c r="S791" s="23">
        <v>34868.639999999999</v>
      </c>
      <c r="T791" s="23">
        <v>119.89</v>
      </c>
      <c r="U791" s="23">
        <v>0</v>
      </c>
      <c r="V791" s="23">
        <v>0</v>
      </c>
      <c r="W791" s="23">
        <v>20</v>
      </c>
      <c r="X791" s="23">
        <v>81.599999999999994</v>
      </c>
      <c r="Y791" s="23">
        <v>16.260000000000002</v>
      </c>
      <c r="Z791" s="18">
        <f t="shared" si="263"/>
        <v>3.4383331268440639E-3</v>
      </c>
      <c r="AA791" s="39">
        <v>0.15</v>
      </c>
      <c r="AB791" s="17">
        <f t="shared" si="268"/>
        <v>12.239999999999998</v>
      </c>
      <c r="AC791" s="17">
        <v>0</v>
      </c>
      <c r="AD791" s="17">
        <v>0</v>
      </c>
      <c r="AE791" s="17">
        <f t="shared" si="264"/>
        <v>12.239999999999998</v>
      </c>
      <c r="AF791" s="17">
        <f t="shared" ref="AF791:AF822" si="270">16%*AE791</f>
        <v>1.9583999999999997</v>
      </c>
      <c r="AG791" s="17">
        <f t="shared" si="269"/>
        <v>14.198399999999998</v>
      </c>
      <c r="AH791" s="17">
        <f t="shared" si="255"/>
        <v>0.24479999999999996</v>
      </c>
      <c r="AI791" s="17"/>
      <c r="AJ791" s="17">
        <f t="shared" si="265"/>
        <v>0.24479999999999996</v>
      </c>
      <c r="AK791" s="40"/>
      <c r="AL791" s="17">
        <f t="shared" si="258"/>
        <v>11.995199999999999</v>
      </c>
      <c r="AM791" s="17" t="s">
        <v>108</v>
      </c>
      <c r="AN791" s="21">
        <v>0.4</v>
      </c>
      <c r="AO791" s="17">
        <f t="shared" si="266"/>
        <v>4.7980799999999997</v>
      </c>
      <c r="AP791" s="30">
        <v>4.7980799999999997</v>
      </c>
      <c r="AQ791" s="29">
        <v>45229</v>
      </c>
      <c r="AR791" s="17">
        <f t="shared" si="251"/>
        <v>0</v>
      </c>
      <c r="AS791" s="23"/>
      <c r="AT791" s="23">
        <v>14.198399999999998</v>
      </c>
      <c r="AU791" s="17">
        <f t="shared" si="259"/>
        <v>14.198399999999998</v>
      </c>
      <c r="AV791" s="17">
        <f t="shared" si="267"/>
        <v>0</v>
      </c>
      <c r="AW791" s="17" t="str">
        <f t="shared" si="254"/>
        <v>SFA</v>
      </c>
      <c r="AX791" s="42">
        <v>45076</v>
      </c>
      <c r="AY791" s="42"/>
      <c r="AZ791" s="1" t="s">
        <v>110</v>
      </c>
      <c r="BA791" s="22" t="str">
        <f t="shared" si="261"/>
        <v>MARINE CARGO / GIT</v>
      </c>
      <c r="BB791" s="56"/>
      <c r="BC791" s="42"/>
      <c r="BD791" s="42"/>
    </row>
    <row r="792" spans="1:56" ht="14.25" customHeight="1" x14ac:dyDescent="0.2">
      <c r="A792" s="28" t="s">
        <v>667</v>
      </c>
      <c r="B792" s="28" t="s">
        <v>57</v>
      </c>
      <c r="C792" s="60">
        <v>45069</v>
      </c>
      <c r="D792" s="60">
        <v>44893</v>
      </c>
      <c r="E792" s="60">
        <v>44845</v>
      </c>
      <c r="F792" s="13">
        <v>45209</v>
      </c>
      <c r="G792" s="14" t="str">
        <f t="shared" si="262"/>
        <v>000-791/AIB RDC/2022</v>
      </c>
      <c r="H792" s="28">
        <v>0</v>
      </c>
      <c r="I792" s="28" t="s">
        <v>74</v>
      </c>
      <c r="J792" s="1" t="s">
        <v>1111</v>
      </c>
      <c r="K792" s="1" t="s">
        <v>1112</v>
      </c>
      <c r="L792" s="28"/>
      <c r="M792" s="1" t="s">
        <v>95</v>
      </c>
      <c r="N792" s="1" t="s">
        <v>209</v>
      </c>
      <c r="O792" s="1" t="s">
        <v>64</v>
      </c>
      <c r="P792" s="1" t="s">
        <v>65</v>
      </c>
      <c r="Q792" s="1" t="s">
        <v>130</v>
      </c>
      <c r="R792" s="1" t="s">
        <v>130</v>
      </c>
      <c r="S792" s="23">
        <v>0</v>
      </c>
      <c r="T792" s="23">
        <v>38665.08</v>
      </c>
      <c r="U792" s="23">
        <v>0</v>
      </c>
      <c r="V792" s="23">
        <v>0</v>
      </c>
      <c r="W792" s="23">
        <v>163.02000000000001</v>
      </c>
      <c r="X792" s="23">
        <v>32604</v>
      </c>
      <c r="Y792" s="23">
        <v>5242.72</v>
      </c>
      <c r="Z792" s="18" t="e">
        <f t="shared" si="263"/>
        <v>#DIV/0!</v>
      </c>
      <c r="AA792" s="39">
        <v>0.15</v>
      </c>
      <c r="AB792" s="17">
        <f t="shared" si="268"/>
        <v>4890.5999999999995</v>
      </c>
      <c r="AC792" s="17">
        <v>0</v>
      </c>
      <c r="AD792" s="17">
        <v>0</v>
      </c>
      <c r="AE792" s="17">
        <f t="shared" si="264"/>
        <v>4890.5999999999995</v>
      </c>
      <c r="AF792" s="17">
        <f t="shared" si="270"/>
        <v>782.49599999999998</v>
      </c>
      <c r="AG792" s="17">
        <f t="shared" si="269"/>
        <v>5673.0959999999995</v>
      </c>
      <c r="AH792" s="17">
        <f t="shared" si="255"/>
        <v>97.811999999999998</v>
      </c>
      <c r="AI792" s="17"/>
      <c r="AJ792" s="17">
        <f t="shared" si="265"/>
        <v>97.811999999999998</v>
      </c>
      <c r="AK792" s="40"/>
      <c r="AL792" s="17">
        <f t="shared" si="258"/>
        <v>4792.7879999999996</v>
      </c>
      <c r="AM792" s="17" t="s">
        <v>198</v>
      </c>
      <c r="AN792" s="21"/>
      <c r="AO792" s="17">
        <f t="shared" si="266"/>
        <v>0</v>
      </c>
      <c r="AP792" s="55"/>
      <c r="AQ792" s="29"/>
      <c r="AR792" s="17">
        <f t="shared" si="251"/>
        <v>0</v>
      </c>
      <c r="AS792" s="23"/>
      <c r="AT792" s="23">
        <v>5673.0959999999995</v>
      </c>
      <c r="AU792" s="17">
        <f t="shared" si="259"/>
        <v>5673.0959999999995</v>
      </c>
      <c r="AV792" s="17">
        <f t="shared" si="267"/>
        <v>0</v>
      </c>
      <c r="AW792" s="17" t="str">
        <f t="shared" si="254"/>
        <v>SFA</v>
      </c>
      <c r="AX792" s="42">
        <v>45076</v>
      </c>
      <c r="AY792" s="42"/>
      <c r="AZ792" s="1"/>
      <c r="BA792" s="22" t="str">
        <f t="shared" si="261"/>
        <v>MARINE CARGO / GIT</v>
      </c>
      <c r="BB792" s="56"/>
      <c r="BC792" s="42"/>
      <c r="BD792" s="42"/>
    </row>
    <row r="793" spans="1:56" ht="14.25" customHeight="1" x14ac:dyDescent="0.2">
      <c r="A793" s="28" t="s">
        <v>992</v>
      </c>
      <c r="B793" s="28" t="s">
        <v>57</v>
      </c>
      <c r="C793" s="60">
        <v>45069</v>
      </c>
      <c r="D793" s="60">
        <v>44985</v>
      </c>
      <c r="E793" s="60">
        <v>44926</v>
      </c>
      <c r="F793" s="13">
        <v>45291</v>
      </c>
      <c r="G793" s="14" t="str">
        <f t="shared" si="262"/>
        <v>000-792/AIB RDC/2022</v>
      </c>
      <c r="H793" s="28">
        <v>0</v>
      </c>
      <c r="I793" s="28" t="s">
        <v>74</v>
      </c>
      <c r="J793" s="1" t="s">
        <v>1113</v>
      </c>
      <c r="K793" s="1" t="s">
        <v>331</v>
      </c>
      <c r="L793" s="28"/>
      <c r="M793" s="1" t="s">
        <v>84</v>
      </c>
      <c r="N793" s="1" t="s">
        <v>85</v>
      </c>
      <c r="O793" s="1" t="s">
        <v>466</v>
      </c>
      <c r="P793" s="1" t="s">
        <v>71</v>
      </c>
      <c r="Q793" s="1" t="s">
        <v>130</v>
      </c>
      <c r="R793" s="1" t="s">
        <v>130</v>
      </c>
      <c r="S793" s="23">
        <v>0</v>
      </c>
      <c r="T793" s="23">
        <v>257800.85</v>
      </c>
      <c r="U793" s="23">
        <v>28496.78</v>
      </c>
      <c r="V793" s="23">
        <v>0</v>
      </c>
      <c r="W793" s="23">
        <v>0</v>
      </c>
      <c r="X793" s="23">
        <v>189978.51</v>
      </c>
      <c r="Y793" s="23">
        <v>34956.050000000003</v>
      </c>
      <c r="Z793" s="18" t="e">
        <f t="shared" si="263"/>
        <v>#DIV/0!</v>
      </c>
      <c r="AA793" s="39">
        <v>0</v>
      </c>
      <c r="AB793" s="17">
        <f t="shared" si="268"/>
        <v>0</v>
      </c>
      <c r="AC793" s="17">
        <f>30%*U793</f>
        <v>8549.0339999999997</v>
      </c>
      <c r="AD793" s="17">
        <v>3167.04</v>
      </c>
      <c r="AE793" s="17">
        <f t="shared" si="264"/>
        <v>11716.074000000001</v>
      </c>
      <c r="AF793" s="17">
        <f t="shared" si="270"/>
        <v>1874.5718400000001</v>
      </c>
      <c r="AG793" s="17">
        <f t="shared" si="269"/>
        <v>13590.645840000001</v>
      </c>
      <c r="AH793" s="17">
        <f t="shared" si="255"/>
        <v>234.32148000000001</v>
      </c>
      <c r="AI793" s="17">
        <v>0</v>
      </c>
      <c r="AJ793" s="17">
        <f t="shared" si="265"/>
        <v>234.32148000000001</v>
      </c>
      <c r="AK793" s="40"/>
      <c r="AL793" s="17">
        <f t="shared" si="258"/>
        <v>11481.75252</v>
      </c>
      <c r="AM793" s="17" t="s">
        <v>198</v>
      </c>
      <c r="AN793" s="21">
        <v>0</v>
      </c>
      <c r="AO793" s="17">
        <f t="shared" si="266"/>
        <v>0</v>
      </c>
      <c r="AP793" s="55"/>
      <c r="AQ793" s="29"/>
      <c r="AR793" s="17">
        <f t="shared" si="251"/>
        <v>0</v>
      </c>
      <c r="AS793" s="23"/>
      <c r="AT793" s="23">
        <f>9916.87944+3673.7664</f>
        <v>13590.645840000001</v>
      </c>
      <c r="AU793" s="17">
        <f t="shared" si="259"/>
        <v>13590.645840000001</v>
      </c>
      <c r="AV793" s="17">
        <f t="shared" si="267"/>
        <v>0</v>
      </c>
      <c r="AW793" s="17" t="s">
        <v>1114</v>
      </c>
      <c r="AX793" s="42">
        <v>45237</v>
      </c>
      <c r="AY793" s="42"/>
      <c r="AZ793" s="1"/>
      <c r="BA793" s="22" t="str">
        <f t="shared" si="261"/>
        <v>PROPERTY DAMAGE &amp; BI</v>
      </c>
      <c r="BB793" s="23"/>
      <c r="BC793" s="42"/>
      <c r="BD793" s="42"/>
    </row>
    <row r="794" spans="1:56" ht="14.25" customHeight="1" x14ac:dyDescent="0.2">
      <c r="A794" s="28" t="s">
        <v>992</v>
      </c>
      <c r="B794" s="28" t="s">
        <v>273</v>
      </c>
      <c r="C794" s="60"/>
      <c r="D794" s="60"/>
      <c r="E794" s="60"/>
      <c r="F794" s="13"/>
      <c r="G794" s="14" t="str">
        <f t="shared" si="262"/>
        <v>000-793/AIB RDC/2022</v>
      </c>
      <c r="H794" s="28"/>
      <c r="I794" s="28"/>
      <c r="J794" s="1"/>
      <c r="K794" s="16" t="s">
        <v>255</v>
      </c>
      <c r="L794" s="28"/>
      <c r="M794" s="1"/>
      <c r="N794" s="1"/>
      <c r="O794" s="1"/>
      <c r="P794" s="1"/>
      <c r="Q794" s="1"/>
      <c r="R794" s="1"/>
      <c r="S794" s="23"/>
      <c r="T794" s="23"/>
      <c r="U794" s="23"/>
      <c r="V794" s="23"/>
      <c r="W794" s="23"/>
      <c r="X794" s="23"/>
      <c r="Y794" s="23"/>
      <c r="Z794" s="18" t="e">
        <f t="shared" si="263"/>
        <v>#DIV/0!</v>
      </c>
      <c r="AA794" s="39"/>
      <c r="AB794" s="23">
        <f t="shared" si="268"/>
        <v>0</v>
      </c>
      <c r="AC794" s="17">
        <v>0</v>
      </c>
      <c r="AD794" s="17">
        <v>0</v>
      </c>
      <c r="AE794" s="17">
        <f t="shared" si="264"/>
        <v>0</v>
      </c>
      <c r="AF794" s="17">
        <f t="shared" si="270"/>
        <v>0</v>
      </c>
      <c r="AG794" s="17">
        <f t="shared" si="269"/>
        <v>0</v>
      </c>
      <c r="AH794" s="17">
        <f t="shared" si="255"/>
        <v>0</v>
      </c>
      <c r="AI794" s="17"/>
      <c r="AJ794" s="17">
        <f t="shared" si="265"/>
        <v>0</v>
      </c>
      <c r="AK794" s="40"/>
      <c r="AL794" s="17">
        <f t="shared" si="258"/>
        <v>0</v>
      </c>
      <c r="AM794" s="17" t="s">
        <v>87</v>
      </c>
      <c r="AN794" s="21"/>
      <c r="AO794" s="23">
        <f t="shared" si="266"/>
        <v>0</v>
      </c>
      <c r="AP794" s="17">
        <v>39952.080000000002</v>
      </c>
      <c r="AQ794" s="16">
        <v>45070</v>
      </c>
      <c r="AR794" s="17"/>
      <c r="AS794" s="23"/>
      <c r="AT794" s="59"/>
      <c r="AU794" s="17">
        <f t="shared" si="259"/>
        <v>0</v>
      </c>
      <c r="AV794" s="17">
        <f t="shared" si="267"/>
        <v>0</v>
      </c>
      <c r="AW794" s="17">
        <f t="shared" ref="AW794:AW812" si="271">Q794</f>
        <v>0</v>
      </c>
      <c r="AX794" s="42"/>
      <c r="AY794" s="42"/>
      <c r="AZ794" s="1"/>
      <c r="BA794" s="22">
        <f t="shared" si="261"/>
        <v>0</v>
      </c>
      <c r="BB794" s="56"/>
      <c r="BC794" s="42"/>
      <c r="BD794" s="42"/>
    </row>
    <row r="795" spans="1:56" ht="14.25" customHeight="1" x14ac:dyDescent="0.2">
      <c r="A795" s="1" t="s">
        <v>992</v>
      </c>
      <c r="B795" s="1" t="s">
        <v>273</v>
      </c>
      <c r="C795" s="13">
        <v>44924</v>
      </c>
      <c r="D795" s="1" t="s">
        <v>837</v>
      </c>
      <c r="E795" s="1" t="s">
        <v>837</v>
      </c>
      <c r="F795" s="1" t="s">
        <v>837</v>
      </c>
      <c r="G795" s="14" t="str">
        <f t="shared" si="262"/>
        <v>000-794/AIB RDC/2022</v>
      </c>
      <c r="H795" s="1">
        <v>0</v>
      </c>
      <c r="I795" s="1" t="s">
        <v>74</v>
      </c>
      <c r="J795" s="15" t="s">
        <v>1081</v>
      </c>
      <c r="K795" s="1" t="s">
        <v>263</v>
      </c>
      <c r="L795" s="16"/>
      <c r="M795" s="1" t="s">
        <v>105</v>
      </c>
      <c r="N795" s="1" t="s">
        <v>106</v>
      </c>
      <c r="O795" s="1" t="s">
        <v>64</v>
      </c>
      <c r="P795" s="1" t="s">
        <v>65</v>
      </c>
      <c r="Q795" s="1" t="s">
        <v>130</v>
      </c>
      <c r="R795" s="1" t="s">
        <v>130</v>
      </c>
      <c r="S795" s="17">
        <v>22300.48</v>
      </c>
      <c r="T795" s="17">
        <v>65</v>
      </c>
      <c r="U795" s="17">
        <v>0</v>
      </c>
      <c r="V795" s="17">
        <v>0</v>
      </c>
      <c r="W795" s="17">
        <v>0.81</v>
      </c>
      <c r="X795" s="17">
        <v>54.28</v>
      </c>
      <c r="Y795" s="17">
        <v>8.81</v>
      </c>
      <c r="Z795" s="18">
        <f t="shared" si="263"/>
        <v>2.9147354675773795E-3</v>
      </c>
      <c r="AA795" s="19">
        <v>0.15</v>
      </c>
      <c r="AB795" s="17">
        <f t="shared" si="268"/>
        <v>8.1419999999999995</v>
      </c>
      <c r="AC795" s="17">
        <v>0</v>
      </c>
      <c r="AD795" s="17">
        <v>0</v>
      </c>
      <c r="AE795" s="17">
        <f t="shared" si="264"/>
        <v>8.1419999999999995</v>
      </c>
      <c r="AF795" s="17">
        <f t="shared" si="270"/>
        <v>1.3027199999999999</v>
      </c>
      <c r="AG795" s="17">
        <f t="shared" si="269"/>
        <v>9.4447200000000002</v>
      </c>
      <c r="AH795" s="17">
        <f t="shared" si="255"/>
        <v>0.16283999999999998</v>
      </c>
      <c r="AI795" s="17"/>
      <c r="AJ795" s="17">
        <f t="shared" si="265"/>
        <v>0.16283999999999998</v>
      </c>
      <c r="AK795" s="20"/>
      <c r="AL795" s="17">
        <f t="shared" si="258"/>
        <v>7.9791599999999994</v>
      </c>
      <c r="AM795" s="17" t="s">
        <v>108</v>
      </c>
      <c r="AN795" s="21">
        <v>0.4</v>
      </c>
      <c r="AO795" s="17">
        <f t="shared" si="266"/>
        <v>3.1916639999999998</v>
      </c>
      <c r="AP795" s="27"/>
      <c r="AQ795" s="16"/>
      <c r="AR795" s="17">
        <f t="shared" ref="AR795:AR812" si="272">AO795-AP795</f>
        <v>3.1916639999999998</v>
      </c>
      <c r="AS795" s="17"/>
      <c r="AT795" s="17"/>
      <c r="AU795" s="17">
        <f t="shared" si="259"/>
        <v>9.4447200000000002</v>
      </c>
      <c r="AV795" s="84">
        <f t="shared" si="267"/>
        <v>9.4447200000000002</v>
      </c>
      <c r="AW795" s="17" t="str">
        <f t="shared" si="271"/>
        <v>SFA</v>
      </c>
      <c r="AX795" s="22"/>
      <c r="AY795" s="22"/>
      <c r="AZ795" s="1" t="s">
        <v>110</v>
      </c>
      <c r="BA795" s="22" t="str">
        <f t="shared" si="261"/>
        <v>MARINE CARGO / GIT</v>
      </c>
      <c r="BB795" s="54"/>
      <c r="BC795" s="22"/>
      <c r="BD795" s="1" t="s">
        <v>226</v>
      </c>
    </row>
    <row r="796" spans="1:56" ht="14.25" customHeight="1" x14ac:dyDescent="0.2">
      <c r="A796" s="2" t="s">
        <v>992</v>
      </c>
      <c r="B796" s="2" t="s">
        <v>273</v>
      </c>
      <c r="C796" s="48">
        <v>44911</v>
      </c>
      <c r="D796" s="48"/>
      <c r="E796" s="48">
        <v>44908</v>
      </c>
      <c r="F796" s="48">
        <v>44926</v>
      </c>
      <c r="G796" s="76" t="str">
        <f>TEXT(ROW(G796)-1,"000-000") &amp; "/AIB RDC/2023"</f>
        <v>000-795/AIB RDC/2023</v>
      </c>
      <c r="H796" s="61">
        <v>2</v>
      </c>
      <c r="I796" s="2" t="s">
        <v>91</v>
      </c>
      <c r="J796" s="1" t="s">
        <v>797</v>
      </c>
      <c r="K796" s="2" t="s">
        <v>798</v>
      </c>
      <c r="L796" s="2"/>
      <c r="M796" s="2" t="s">
        <v>95</v>
      </c>
      <c r="N796" s="2" t="s">
        <v>209</v>
      </c>
      <c r="O796" s="2" t="s">
        <v>113</v>
      </c>
      <c r="P796" s="2" t="s">
        <v>113</v>
      </c>
      <c r="Q796" s="2" t="s">
        <v>114</v>
      </c>
      <c r="R796" s="2" t="s">
        <v>114</v>
      </c>
      <c r="S796" s="34"/>
      <c r="T796" s="34">
        <v>12.57</v>
      </c>
      <c r="U796" s="34"/>
      <c r="V796" s="34"/>
      <c r="W796" s="34">
        <v>0</v>
      </c>
      <c r="X796" s="34">
        <v>12.45</v>
      </c>
      <c r="Y796" s="34">
        <v>0</v>
      </c>
      <c r="Z796" s="77" t="e">
        <f>X796/S796</f>
        <v>#DIV/0!</v>
      </c>
      <c r="AA796" s="78">
        <v>0.1</v>
      </c>
      <c r="AB796" s="34">
        <f>AA796*X796</f>
        <v>1.2450000000000001</v>
      </c>
      <c r="AC796" s="30"/>
      <c r="AD796" s="30"/>
      <c r="AE796" s="34">
        <f t="shared" si="264"/>
        <v>1.2450000000000001</v>
      </c>
      <c r="AF796" s="34">
        <f t="shared" si="270"/>
        <v>0.19920000000000002</v>
      </c>
      <c r="AG796" s="34">
        <f>AE796+AF796</f>
        <v>1.4442000000000002</v>
      </c>
      <c r="AH796" s="34">
        <f>1%*AE796</f>
        <v>1.2450000000000001E-2</v>
      </c>
      <c r="AI796" s="30"/>
      <c r="AJ796" s="34">
        <f t="shared" si="265"/>
        <v>1.2450000000000001E-2</v>
      </c>
      <c r="AK796" s="79"/>
      <c r="AL796" s="34">
        <f t="shared" si="258"/>
        <v>1.23255</v>
      </c>
      <c r="AM796" s="30" t="s">
        <v>738</v>
      </c>
      <c r="AN796" s="80">
        <v>0.7</v>
      </c>
      <c r="AO796" s="34">
        <f>AN796*AL796</f>
        <v>0.86278500000000002</v>
      </c>
      <c r="AP796" s="30"/>
      <c r="AQ796" s="33"/>
      <c r="AR796" s="34">
        <f t="shared" si="272"/>
        <v>0.86278500000000002</v>
      </c>
      <c r="AS796" s="30"/>
      <c r="AT796" s="30">
        <v>1.4442000000000002</v>
      </c>
      <c r="AU796" s="34">
        <f t="shared" si="259"/>
        <v>1.4442000000000002</v>
      </c>
      <c r="AV796" s="34">
        <f t="shared" si="267"/>
        <v>0</v>
      </c>
      <c r="AW796" s="30" t="str">
        <f t="shared" si="271"/>
        <v>RAWSUR - LIFE</v>
      </c>
      <c r="AX796" s="81">
        <v>45124</v>
      </c>
      <c r="AY796" s="81"/>
      <c r="AZ796" s="2"/>
      <c r="BA796" s="22" t="str">
        <f t="shared" si="261"/>
        <v>LIFE</v>
      </c>
      <c r="BB796" s="82"/>
      <c r="BC796" s="81"/>
      <c r="BD796" s="2" t="s">
        <v>1115</v>
      </c>
    </row>
    <row r="797" spans="1:56" ht="14.25" customHeight="1" x14ac:dyDescent="0.2">
      <c r="A797" s="2" t="s">
        <v>992</v>
      </c>
      <c r="B797" s="2" t="s">
        <v>273</v>
      </c>
      <c r="C797" s="48">
        <v>44915</v>
      </c>
      <c r="D797" s="48"/>
      <c r="E797" s="48">
        <v>44896</v>
      </c>
      <c r="F797" s="48">
        <v>44926</v>
      </c>
      <c r="G797" s="76" t="str">
        <f>TEXT(ROW(G797)-1,"000-000") &amp; "/AIB RDC/2023"</f>
        <v>000-796/AIB RDC/2023</v>
      </c>
      <c r="H797" s="61">
        <v>1</v>
      </c>
      <c r="I797" s="2" t="s">
        <v>91</v>
      </c>
      <c r="J797" s="1" t="s">
        <v>797</v>
      </c>
      <c r="K797" s="2" t="s">
        <v>798</v>
      </c>
      <c r="L797" s="2"/>
      <c r="M797" s="2" t="s">
        <v>95</v>
      </c>
      <c r="N797" s="2" t="s">
        <v>209</v>
      </c>
      <c r="O797" s="2" t="s">
        <v>113</v>
      </c>
      <c r="P797" s="2" t="s">
        <v>113</v>
      </c>
      <c r="Q797" s="2" t="s">
        <v>114</v>
      </c>
      <c r="R797" s="2" t="s">
        <v>114</v>
      </c>
      <c r="S797" s="34"/>
      <c r="T797" s="34">
        <v>10.039999999999999</v>
      </c>
      <c r="U797" s="34"/>
      <c r="V797" s="34"/>
      <c r="W797" s="34">
        <v>0</v>
      </c>
      <c r="X797" s="34">
        <v>9.94</v>
      </c>
      <c r="Y797" s="34">
        <v>0</v>
      </c>
      <c r="Z797" s="77" t="e">
        <f>X797/S797</f>
        <v>#DIV/0!</v>
      </c>
      <c r="AA797" s="78">
        <v>0.1</v>
      </c>
      <c r="AB797" s="34">
        <f>AA797*X797</f>
        <v>0.99399999999999999</v>
      </c>
      <c r="AC797" s="30"/>
      <c r="AD797" s="30"/>
      <c r="AE797" s="34">
        <f t="shared" si="264"/>
        <v>0.99399999999999999</v>
      </c>
      <c r="AF797" s="34">
        <f t="shared" si="270"/>
        <v>0.15904000000000001</v>
      </c>
      <c r="AG797" s="34">
        <f>AE797+AF797</f>
        <v>1.1530400000000001</v>
      </c>
      <c r="AH797" s="34">
        <f>1%*AE797</f>
        <v>9.9400000000000009E-3</v>
      </c>
      <c r="AI797" s="30"/>
      <c r="AJ797" s="34">
        <f t="shared" si="265"/>
        <v>9.9400000000000009E-3</v>
      </c>
      <c r="AK797" s="79"/>
      <c r="AL797" s="34">
        <f t="shared" si="258"/>
        <v>0.98406000000000005</v>
      </c>
      <c r="AM797" s="30" t="s">
        <v>738</v>
      </c>
      <c r="AN797" s="80">
        <v>0.7</v>
      </c>
      <c r="AO797" s="34">
        <f>AN797*AL797</f>
        <v>0.68884199999999995</v>
      </c>
      <c r="AP797" s="30"/>
      <c r="AQ797" s="33"/>
      <c r="AR797" s="34">
        <f t="shared" si="272"/>
        <v>0.68884199999999995</v>
      </c>
      <c r="AS797" s="30"/>
      <c r="AT797" s="30">
        <v>1.1530400000000001</v>
      </c>
      <c r="AU797" s="34">
        <f t="shared" si="259"/>
        <v>1.1530400000000001</v>
      </c>
      <c r="AV797" s="34">
        <f t="shared" si="267"/>
        <v>0</v>
      </c>
      <c r="AW797" s="30" t="str">
        <f t="shared" si="271"/>
        <v>RAWSUR - LIFE</v>
      </c>
      <c r="AX797" s="81">
        <v>45124</v>
      </c>
      <c r="AY797" s="81"/>
      <c r="AZ797" s="2"/>
      <c r="BA797" s="22" t="str">
        <f t="shared" si="261"/>
        <v>LIFE</v>
      </c>
      <c r="BB797" s="82"/>
      <c r="BC797" s="81"/>
      <c r="BD797" s="2" t="s">
        <v>1115</v>
      </c>
    </row>
    <row r="798" spans="1:56" ht="14.25" customHeight="1" x14ac:dyDescent="0.2">
      <c r="A798" s="2" t="s">
        <v>773</v>
      </c>
      <c r="B798" s="2" t="s">
        <v>57</v>
      </c>
      <c r="C798" s="48">
        <v>45093</v>
      </c>
      <c r="D798" s="48">
        <v>44832</v>
      </c>
      <c r="E798" s="48">
        <v>44832</v>
      </c>
      <c r="F798" s="48">
        <v>45196</v>
      </c>
      <c r="G798" s="14" t="str">
        <f t="shared" ref="G798:G812" si="273">TEXT(ROW(G798)-1,"000-000") &amp; "/AIB RDC/2022"</f>
        <v>000-797/AIB RDC/2022</v>
      </c>
      <c r="H798" s="61">
        <v>0</v>
      </c>
      <c r="I798" s="2" t="s">
        <v>74</v>
      </c>
      <c r="J798" s="83" t="s">
        <v>1116</v>
      </c>
      <c r="K798" s="2" t="s">
        <v>263</v>
      </c>
      <c r="L798" s="2"/>
      <c r="M798" s="2" t="s">
        <v>105</v>
      </c>
      <c r="N798" s="2" t="s">
        <v>106</v>
      </c>
      <c r="O798" s="2" t="s">
        <v>64</v>
      </c>
      <c r="P798" s="2" t="s">
        <v>65</v>
      </c>
      <c r="Q798" s="2" t="s">
        <v>130</v>
      </c>
      <c r="R798" s="2" t="s">
        <v>130</v>
      </c>
      <c r="S798" s="34">
        <v>247948.36</v>
      </c>
      <c r="T798" s="34">
        <v>653.46</v>
      </c>
      <c r="U798" s="34">
        <v>0</v>
      </c>
      <c r="V798" s="34">
        <v>0</v>
      </c>
      <c r="W798" s="34">
        <v>20</v>
      </c>
      <c r="X798" s="34">
        <v>533.78</v>
      </c>
      <c r="Y798" s="34">
        <v>88.6</v>
      </c>
      <c r="Z798" s="18">
        <f t="shared" ref="Z798:Z812" si="274">T798/S798</f>
        <v>2.6354681273148975E-3</v>
      </c>
      <c r="AA798" s="78">
        <v>0.15</v>
      </c>
      <c r="AB798" s="17">
        <f>(AA798*X798)</f>
        <v>80.066999999999993</v>
      </c>
      <c r="AC798" s="17">
        <v>0</v>
      </c>
      <c r="AD798" s="17">
        <v>0</v>
      </c>
      <c r="AE798" s="17">
        <f t="shared" si="264"/>
        <v>80.066999999999993</v>
      </c>
      <c r="AF798" s="17">
        <f t="shared" si="270"/>
        <v>12.81072</v>
      </c>
      <c r="AG798" s="17">
        <f>AF798+AE798</f>
        <v>92.877719999999997</v>
      </c>
      <c r="AH798" s="17">
        <f t="shared" ref="AH798:AH812" si="275">2%*AE798</f>
        <v>1.60134</v>
      </c>
      <c r="AI798" s="17"/>
      <c r="AJ798" s="17">
        <f t="shared" si="265"/>
        <v>1.60134</v>
      </c>
      <c r="AK798" s="79"/>
      <c r="AL798" s="17">
        <f t="shared" si="258"/>
        <v>78.46566</v>
      </c>
      <c r="AM798" s="30" t="s">
        <v>108</v>
      </c>
      <c r="AN798" s="80">
        <v>0.4</v>
      </c>
      <c r="AO798" s="17">
        <f t="shared" ref="AO798:AO812" si="276">AL798*AN798</f>
        <v>31.386264000000001</v>
      </c>
      <c r="AP798" s="30">
        <v>31.386264000000001</v>
      </c>
      <c r="AQ798" s="29">
        <v>45229</v>
      </c>
      <c r="AR798" s="17">
        <f t="shared" si="272"/>
        <v>0</v>
      </c>
      <c r="AS798" s="30"/>
      <c r="AT798" s="30">
        <v>92.877719999999997</v>
      </c>
      <c r="AU798" s="17">
        <f t="shared" si="259"/>
        <v>92.877719999999997</v>
      </c>
      <c r="AV798" s="17">
        <f t="shared" si="267"/>
        <v>0</v>
      </c>
      <c r="AW798" s="17" t="str">
        <f t="shared" si="271"/>
        <v>SFA</v>
      </c>
      <c r="AX798" s="81">
        <v>45100</v>
      </c>
      <c r="AY798" s="81"/>
      <c r="AZ798" s="2" t="s">
        <v>110</v>
      </c>
      <c r="BA798" s="22" t="str">
        <f t="shared" si="261"/>
        <v>MARINE CARGO / GIT</v>
      </c>
      <c r="BB798" s="82"/>
      <c r="BC798" s="81"/>
      <c r="BD798" s="2"/>
    </row>
    <row r="799" spans="1:56" ht="14.25" customHeight="1" x14ac:dyDescent="0.2">
      <c r="A799" s="2" t="s">
        <v>496</v>
      </c>
      <c r="B799" s="2" t="s">
        <v>57</v>
      </c>
      <c r="C799" s="48">
        <v>45093</v>
      </c>
      <c r="D799" s="48">
        <v>45065</v>
      </c>
      <c r="E799" s="48">
        <v>44682</v>
      </c>
      <c r="F799" s="48">
        <v>45046</v>
      </c>
      <c r="G799" s="14" t="str">
        <f t="shared" si="273"/>
        <v>000-798/AIB RDC/2022</v>
      </c>
      <c r="H799" s="1">
        <v>0</v>
      </c>
      <c r="I799" s="1" t="s">
        <v>74</v>
      </c>
      <c r="J799" s="83" t="s">
        <v>1117</v>
      </c>
      <c r="K799" s="16" t="s">
        <v>379</v>
      </c>
      <c r="L799" s="2"/>
      <c r="M799" s="2" t="s">
        <v>105</v>
      </c>
      <c r="N799" s="2" t="s">
        <v>541</v>
      </c>
      <c r="O799" s="2" t="s">
        <v>64</v>
      </c>
      <c r="P799" s="2" t="s">
        <v>65</v>
      </c>
      <c r="Q799" s="16" t="s">
        <v>130</v>
      </c>
      <c r="R799" s="16" t="s">
        <v>130</v>
      </c>
      <c r="S799" s="34">
        <v>0</v>
      </c>
      <c r="T799" s="34">
        <v>2950</v>
      </c>
      <c r="U799" s="34">
        <v>375</v>
      </c>
      <c r="V799" s="34">
        <v>0</v>
      </c>
      <c r="W799" s="34">
        <v>0</v>
      </c>
      <c r="X799" s="34">
        <v>2125</v>
      </c>
      <c r="Y799" s="34">
        <v>400</v>
      </c>
      <c r="Z799" s="18" t="e">
        <f t="shared" si="274"/>
        <v>#DIV/0!</v>
      </c>
      <c r="AA799" s="78">
        <v>0</v>
      </c>
      <c r="AB799" s="17">
        <f>(AA799*X799)</f>
        <v>0</v>
      </c>
      <c r="AC799" s="17">
        <f>30%*U799</f>
        <v>112.5</v>
      </c>
      <c r="AD799" s="17">
        <v>0</v>
      </c>
      <c r="AE799" s="17">
        <f t="shared" si="264"/>
        <v>112.5</v>
      </c>
      <c r="AF799" s="17">
        <f t="shared" si="270"/>
        <v>18</v>
      </c>
      <c r="AG799" s="17">
        <f>AF799+AE799</f>
        <v>130.5</v>
      </c>
      <c r="AH799" s="17">
        <f t="shared" si="275"/>
        <v>2.25</v>
      </c>
      <c r="AI799" s="17">
        <v>0</v>
      </c>
      <c r="AJ799" s="17">
        <f t="shared" si="265"/>
        <v>2.25</v>
      </c>
      <c r="AK799" s="79"/>
      <c r="AL799" s="17">
        <f t="shared" si="258"/>
        <v>110.25</v>
      </c>
      <c r="AM799" s="30"/>
      <c r="AN799" s="80"/>
      <c r="AO799" s="17">
        <f t="shared" si="276"/>
        <v>0</v>
      </c>
      <c r="AP799" s="30"/>
      <c r="AQ799" s="33"/>
      <c r="AR799" s="17">
        <f t="shared" si="272"/>
        <v>0</v>
      </c>
      <c r="AS799" s="30"/>
      <c r="AT799" s="30">
        <v>130.5</v>
      </c>
      <c r="AU799" s="17">
        <f t="shared" si="259"/>
        <v>130.5</v>
      </c>
      <c r="AV799" s="17">
        <f t="shared" si="267"/>
        <v>0</v>
      </c>
      <c r="AW799" s="17" t="str">
        <f t="shared" si="271"/>
        <v>SFA</v>
      </c>
      <c r="AX799" s="81">
        <v>45100</v>
      </c>
      <c r="AY799" s="81"/>
      <c r="AZ799" s="2"/>
      <c r="BA799" s="1" t="s">
        <v>64</v>
      </c>
      <c r="BB799" s="82"/>
      <c r="BC799" s="81"/>
      <c r="BD799" s="2"/>
    </row>
    <row r="800" spans="1:56" ht="14.25" customHeight="1" x14ac:dyDescent="0.2">
      <c r="A800" s="2" t="s">
        <v>578</v>
      </c>
      <c r="B800" s="2" t="s">
        <v>57</v>
      </c>
      <c r="C800" s="48">
        <v>45093</v>
      </c>
      <c r="D800" s="48">
        <v>45051</v>
      </c>
      <c r="E800" s="48">
        <v>44734</v>
      </c>
      <c r="F800" s="13">
        <v>44985</v>
      </c>
      <c r="G800" s="14" t="str">
        <f t="shared" si="273"/>
        <v>000-799/AIB RDC/2022</v>
      </c>
      <c r="H800" s="1">
        <v>1</v>
      </c>
      <c r="I800" s="1" t="s">
        <v>91</v>
      </c>
      <c r="J800" s="83" t="s">
        <v>468</v>
      </c>
      <c r="K800" s="1" t="s">
        <v>136</v>
      </c>
      <c r="L800" s="1" t="s">
        <v>137</v>
      </c>
      <c r="M800" s="1" t="s">
        <v>84</v>
      </c>
      <c r="N800" s="1" t="s">
        <v>84</v>
      </c>
      <c r="O800" s="1" t="s">
        <v>64</v>
      </c>
      <c r="P800" s="1" t="s">
        <v>65</v>
      </c>
      <c r="Q800" s="1" t="s">
        <v>130</v>
      </c>
      <c r="R800" s="1" t="s">
        <v>469</v>
      </c>
      <c r="S800" s="34">
        <v>0</v>
      </c>
      <c r="T800" s="34">
        <v>13953.15</v>
      </c>
      <c r="U800" s="34">
        <v>1764.71</v>
      </c>
      <c r="V800" s="34">
        <v>-764.71</v>
      </c>
      <c r="W800" s="34">
        <v>60</v>
      </c>
      <c r="X800" s="34">
        <v>10000</v>
      </c>
      <c r="Y800" s="34">
        <v>1891.95</v>
      </c>
      <c r="Z800" s="18" t="e">
        <f t="shared" si="274"/>
        <v>#DIV/0!</v>
      </c>
      <c r="AA800" s="19">
        <v>0</v>
      </c>
      <c r="AB800" s="17">
        <v>0</v>
      </c>
      <c r="AC800" s="17">
        <f>30%*(U800+V800)</f>
        <v>300</v>
      </c>
      <c r="AD800" s="17">
        <v>0</v>
      </c>
      <c r="AE800" s="17">
        <f t="shared" si="264"/>
        <v>300</v>
      </c>
      <c r="AF800" s="17">
        <f t="shared" si="270"/>
        <v>48</v>
      </c>
      <c r="AG800" s="17">
        <f>AF800+AE800</f>
        <v>348</v>
      </c>
      <c r="AH800" s="17">
        <f t="shared" si="275"/>
        <v>6</v>
      </c>
      <c r="AI800" s="17">
        <v>0</v>
      </c>
      <c r="AJ800" s="17">
        <f t="shared" si="265"/>
        <v>6</v>
      </c>
      <c r="AK800" s="20"/>
      <c r="AL800" s="17">
        <f t="shared" si="258"/>
        <v>294</v>
      </c>
      <c r="AM800" s="30"/>
      <c r="AN800" s="80"/>
      <c r="AO800" s="17">
        <f t="shared" si="276"/>
        <v>0</v>
      </c>
      <c r="AP800" s="30"/>
      <c r="AQ800" s="33"/>
      <c r="AR800" s="17">
        <f t="shared" si="272"/>
        <v>0</v>
      </c>
      <c r="AS800" s="30"/>
      <c r="AT800" s="30">
        <v>348</v>
      </c>
      <c r="AU800" s="17">
        <f t="shared" si="259"/>
        <v>348</v>
      </c>
      <c r="AV800" s="17">
        <f t="shared" si="267"/>
        <v>0</v>
      </c>
      <c r="AW800" s="17" t="str">
        <f t="shared" si="271"/>
        <v>SFA</v>
      </c>
      <c r="AX800" s="81">
        <v>45100</v>
      </c>
      <c r="AY800" s="81"/>
      <c r="AZ800" s="2"/>
      <c r="BA800" s="1"/>
      <c r="BB800" s="82"/>
      <c r="BC800" s="81"/>
      <c r="BD800" s="2"/>
    </row>
    <row r="801" spans="1:56" ht="14.25" customHeight="1" x14ac:dyDescent="0.2">
      <c r="A801" s="2" t="s">
        <v>667</v>
      </c>
      <c r="B801" s="28" t="s">
        <v>57</v>
      </c>
      <c r="C801" s="48">
        <v>45103</v>
      </c>
      <c r="D801" s="48">
        <v>45217</v>
      </c>
      <c r="E801" s="48">
        <v>44845</v>
      </c>
      <c r="F801" s="13">
        <v>45209</v>
      </c>
      <c r="G801" s="14" t="str">
        <f t="shared" si="273"/>
        <v>000-800/AIB RDC/2022</v>
      </c>
      <c r="H801" s="1">
        <v>4</v>
      </c>
      <c r="I801" s="1" t="s">
        <v>91</v>
      </c>
      <c r="J801" s="24" t="s">
        <v>1003</v>
      </c>
      <c r="K801" s="1" t="s">
        <v>287</v>
      </c>
      <c r="L801" s="1"/>
      <c r="M801" s="1" t="s">
        <v>84</v>
      </c>
      <c r="N801" s="1" t="s">
        <v>694</v>
      </c>
      <c r="O801" s="1" t="s">
        <v>64</v>
      </c>
      <c r="P801" s="1" t="s">
        <v>65</v>
      </c>
      <c r="Q801" s="1" t="s">
        <v>130</v>
      </c>
      <c r="R801" s="1" t="s">
        <v>130</v>
      </c>
      <c r="S801" s="34">
        <v>0</v>
      </c>
      <c r="T801" s="34">
        <v>91808.62</v>
      </c>
      <c r="U801" s="34">
        <v>0</v>
      </c>
      <c r="V801" s="34">
        <v>0</v>
      </c>
      <c r="W801" s="34">
        <v>5595.17</v>
      </c>
      <c r="X801" s="34">
        <v>53313.120000000003</v>
      </c>
      <c r="Y801" s="34">
        <v>9425.33</v>
      </c>
      <c r="Z801" s="18" t="e">
        <f t="shared" si="274"/>
        <v>#DIV/0!</v>
      </c>
      <c r="AA801" s="19">
        <v>0.15</v>
      </c>
      <c r="AB801" s="23">
        <f>(AA801*X801)</f>
        <v>7996.9679999999998</v>
      </c>
      <c r="AC801" s="17">
        <v>0</v>
      </c>
      <c r="AD801" s="17">
        <v>0</v>
      </c>
      <c r="AE801" s="17">
        <f t="shared" si="264"/>
        <v>7996.9679999999998</v>
      </c>
      <c r="AF801" s="17">
        <f t="shared" si="270"/>
        <v>1279.5148799999999</v>
      </c>
      <c r="AG801" s="17">
        <f>AE801+AF801</f>
        <v>9276.4828799999996</v>
      </c>
      <c r="AH801" s="17">
        <f t="shared" si="275"/>
        <v>159.93935999999999</v>
      </c>
      <c r="AI801" s="17"/>
      <c r="AJ801" s="17">
        <f t="shared" si="265"/>
        <v>159.93935999999999</v>
      </c>
      <c r="AK801" s="20"/>
      <c r="AL801" s="17">
        <f t="shared" si="258"/>
        <v>7837.0286399999995</v>
      </c>
      <c r="AM801" s="30" t="s">
        <v>198</v>
      </c>
      <c r="AN801" s="80"/>
      <c r="AO801" s="23">
        <f t="shared" si="276"/>
        <v>0</v>
      </c>
      <c r="AP801" s="30"/>
      <c r="AQ801" s="33"/>
      <c r="AR801" s="17">
        <f t="shared" si="272"/>
        <v>0</v>
      </c>
      <c r="AS801" s="30"/>
      <c r="AT801" s="30">
        <v>9276.4828799999996</v>
      </c>
      <c r="AU801" s="17">
        <f t="shared" si="259"/>
        <v>9276.4828799999996</v>
      </c>
      <c r="AV801" s="17">
        <f t="shared" si="267"/>
        <v>0</v>
      </c>
      <c r="AW801" s="17" t="str">
        <f t="shared" si="271"/>
        <v>SFA</v>
      </c>
      <c r="AX801" s="81">
        <v>45237</v>
      </c>
      <c r="AY801" s="81"/>
      <c r="AZ801" s="2"/>
      <c r="BA801" s="1"/>
      <c r="BB801" s="82"/>
      <c r="BC801" s="81"/>
      <c r="BD801" s="2"/>
    </row>
    <row r="802" spans="1:56" ht="14.25" customHeight="1" x14ac:dyDescent="0.2">
      <c r="A802" s="12" t="s">
        <v>229</v>
      </c>
      <c r="B802" s="1" t="s">
        <v>273</v>
      </c>
      <c r="C802" s="13"/>
      <c r="D802" s="13"/>
      <c r="E802" s="13">
        <v>44609</v>
      </c>
      <c r="F802" s="13">
        <v>44611</v>
      </c>
      <c r="G802" s="14" t="str">
        <f t="shared" si="273"/>
        <v>000-801/AIB RDC/2022</v>
      </c>
      <c r="H802" s="1">
        <v>0</v>
      </c>
      <c r="I802" s="1" t="s">
        <v>74</v>
      </c>
      <c r="J802" s="1" t="s">
        <v>340</v>
      </c>
      <c r="K802" s="16" t="s">
        <v>211</v>
      </c>
      <c r="L802" s="16"/>
      <c r="M802" s="16" t="s">
        <v>105</v>
      </c>
      <c r="N802" s="1" t="s">
        <v>106</v>
      </c>
      <c r="O802" s="16" t="s">
        <v>64</v>
      </c>
      <c r="P802" s="16" t="s">
        <v>65</v>
      </c>
      <c r="Q802" s="16" t="s">
        <v>130</v>
      </c>
      <c r="R802" s="16" t="s">
        <v>130</v>
      </c>
      <c r="S802" s="17">
        <v>206790.85</v>
      </c>
      <c r="T802" s="17">
        <v>737.34</v>
      </c>
      <c r="U802" s="17"/>
      <c r="V802" s="17"/>
      <c r="W802" s="17"/>
      <c r="X802" s="17">
        <v>604.86</v>
      </c>
      <c r="Y802" s="17"/>
      <c r="Z802" s="18">
        <f t="shared" si="274"/>
        <v>3.5656316514971528E-3</v>
      </c>
      <c r="AA802" s="19">
        <v>0.15</v>
      </c>
      <c r="AB802" s="17">
        <f>(AA802*X802)</f>
        <v>90.728999999999999</v>
      </c>
      <c r="AC802" s="17">
        <v>0</v>
      </c>
      <c r="AD802" s="17">
        <v>0</v>
      </c>
      <c r="AE802" s="17">
        <f t="shared" si="264"/>
        <v>90.728999999999999</v>
      </c>
      <c r="AF802" s="17">
        <f t="shared" si="270"/>
        <v>14.516640000000001</v>
      </c>
      <c r="AG802" s="17">
        <f t="shared" ref="AG802:AG812" si="277">AF802+AE802</f>
        <v>105.24563999999999</v>
      </c>
      <c r="AH802" s="17">
        <f t="shared" si="275"/>
        <v>1.8145800000000001</v>
      </c>
      <c r="AI802" s="17">
        <v>0</v>
      </c>
      <c r="AJ802" s="17">
        <f t="shared" si="265"/>
        <v>1.8145800000000001</v>
      </c>
      <c r="AK802" s="20"/>
      <c r="AL802" s="17">
        <f t="shared" si="258"/>
        <v>88.914419999999993</v>
      </c>
      <c r="AM802" s="17" t="s">
        <v>108</v>
      </c>
      <c r="AN802" s="21">
        <v>0.4</v>
      </c>
      <c r="AO802" s="17">
        <f t="shared" si="276"/>
        <v>35.565767999999998</v>
      </c>
      <c r="AP802" s="17"/>
      <c r="AQ802" s="16"/>
      <c r="AR802" s="17">
        <f t="shared" si="272"/>
        <v>35.565767999999998</v>
      </c>
      <c r="AS802" s="17"/>
      <c r="AT802" s="17"/>
      <c r="AU802" s="17">
        <f t="shared" si="259"/>
        <v>105.24563999999999</v>
      </c>
      <c r="AV802" s="84">
        <f t="shared" si="267"/>
        <v>105.24563999999999</v>
      </c>
      <c r="AW802" s="17" t="str">
        <f t="shared" si="271"/>
        <v>SFA</v>
      </c>
      <c r="AX802" s="22"/>
      <c r="AY802" s="22"/>
      <c r="AZ802" s="1" t="s">
        <v>110</v>
      </c>
      <c r="BA802" s="22" t="str">
        <f t="shared" ref="BA802:BA808" si="278">O802</f>
        <v>MARINE CARGO / GIT</v>
      </c>
      <c r="BB802" s="22"/>
      <c r="BC802" s="22"/>
      <c r="BD802" s="1" t="s">
        <v>275</v>
      </c>
    </row>
    <row r="803" spans="1:56" ht="14.25" customHeight="1" x14ac:dyDescent="0.2">
      <c r="A803" s="1" t="s">
        <v>578</v>
      </c>
      <c r="B803" s="1" t="s">
        <v>57</v>
      </c>
      <c r="C803" s="13">
        <v>44739</v>
      </c>
      <c r="D803" s="13">
        <v>44739</v>
      </c>
      <c r="E803" s="13">
        <v>44730</v>
      </c>
      <c r="F803" s="13">
        <v>45094</v>
      </c>
      <c r="G803" s="14" t="str">
        <f t="shared" si="273"/>
        <v>000-802/AIB RDC/2022</v>
      </c>
      <c r="H803" s="1">
        <v>0</v>
      </c>
      <c r="I803" s="1" t="s">
        <v>74</v>
      </c>
      <c r="J803" s="1" t="s">
        <v>655</v>
      </c>
      <c r="K803" s="1" t="s">
        <v>656</v>
      </c>
      <c r="L803" s="1" t="s">
        <v>169</v>
      </c>
      <c r="M803" s="1" t="s">
        <v>105</v>
      </c>
      <c r="N803" s="1" t="s">
        <v>541</v>
      </c>
      <c r="O803" s="1" t="s">
        <v>185</v>
      </c>
      <c r="P803" s="1" t="s">
        <v>186</v>
      </c>
      <c r="Q803" s="1" t="s">
        <v>130</v>
      </c>
      <c r="R803" s="1" t="s">
        <v>130</v>
      </c>
      <c r="S803" s="17">
        <v>0</v>
      </c>
      <c r="T803" s="17">
        <f>229791.12+V803</f>
        <v>217900.04</v>
      </c>
      <c r="U803" s="17">
        <f>29180.74+V803</f>
        <v>17289.660000000003</v>
      </c>
      <c r="V803" s="17">
        <v>-11891.08</v>
      </c>
      <c r="W803" s="17">
        <v>200</v>
      </c>
      <c r="X803" s="17">
        <v>165357.5</v>
      </c>
      <c r="Y803" s="17">
        <v>31158.12</v>
      </c>
      <c r="Z803" s="18" t="e">
        <f t="shared" si="274"/>
        <v>#DIV/0!</v>
      </c>
      <c r="AA803" s="19">
        <v>9.0909090909090898E-2</v>
      </c>
      <c r="AB803" s="17"/>
      <c r="AC803" s="17">
        <f>30%*U803</f>
        <v>5186.898000000001</v>
      </c>
      <c r="AD803" s="17">
        <f>((AA803*X803)/1.16)*2</f>
        <v>25918.103448275862</v>
      </c>
      <c r="AE803" s="17">
        <f t="shared" si="264"/>
        <v>31105.001448275863</v>
      </c>
      <c r="AF803" s="17">
        <f t="shared" si="270"/>
        <v>4976.800231724138</v>
      </c>
      <c r="AG803" s="17">
        <f t="shared" si="277"/>
        <v>36081.801680000004</v>
      </c>
      <c r="AH803" s="17">
        <f t="shared" si="275"/>
        <v>622.10002896551725</v>
      </c>
      <c r="AI803" s="17"/>
      <c r="AJ803" s="17">
        <f t="shared" si="265"/>
        <v>622.10002896551725</v>
      </c>
      <c r="AK803" s="20"/>
      <c r="AL803" s="17">
        <f t="shared" si="258"/>
        <v>30482.901419310347</v>
      </c>
      <c r="AM803" s="17"/>
      <c r="AN803" s="21"/>
      <c r="AO803" s="17">
        <f t="shared" si="276"/>
        <v>0</v>
      </c>
      <c r="AP803" s="17"/>
      <c r="AQ803" s="16"/>
      <c r="AR803" s="17">
        <f t="shared" si="272"/>
        <v>0</v>
      </c>
      <c r="AS803" s="17"/>
      <c r="AT803" s="17">
        <f>5010.83+1002.8+5010.83+1002.8+5010.83+5010.83+2005.59+1002.8+5010.83</f>
        <v>30068.14</v>
      </c>
      <c r="AU803" s="17">
        <f t="shared" si="259"/>
        <v>36081.801680000004</v>
      </c>
      <c r="AV803" s="84">
        <f t="shared" si="267"/>
        <v>6013.6616800000047</v>
      </c>
      <c r="AW803" s="17" t="str">
        <f t="shared" si="271"/>
        <v>SFA</v>
      </c>
      <c r="AX803" s="22">
        <v>44984</v>
      </c>
      <c r="AY803" s="22"/>
      <c r="AZ803" s="1" t="s">
        <v>100</v>
      </c>
      <c r="BA803" s="22" t="str">
        <f t="shared" si="278"/>
        <v>AVIATION HULL ALL RISK</v>
      </c>
      <c r="BB803" s="22"/>
      <c r="BC803" s="22"/>
      <c r="BD803" s="1" t="s">
        <v>549</v>
      </c>
    </row>
    <row r="804" spans="1:56" ht="14.25" customHeight="1" x14ac:dyDescent="0.2">
      <c r="A804" s="28" t="s">
        <v>578</v>
      </c>
      <c r="B804" s="28" t="s">
        <v>273</v>
      </c>
      <c r="C804" s="60">
        <v>45085</v>
      </c>
      <c r="D804" s="13">
        <v>44739</v>
      </c>
      <c r="E804" s="13">
        <v>44730</v>
      </c>
      <c r="F804" s="13">
        <v>45094</v>
      </c>
      <c r="G804" s="14" t="str">
        <f t="shared" si="273"/>
        <v>000-803/AIB RDC/2022</v>
      </c>
      <c r="H804" s="28">
        <v>1</v>
      </c>
      <c r="I804" s="28" t="s">
        <v>115</v>
      </c>
      <c r="J804" s="1" t="s">
        <v>655</v>
      </c>
      <c r="K804" s="1" t="s">
        <v>656</v>
      </c>
      <c r="L804" s="1" t="s">
        <v>169</v>
      </c>
      <c r="M804" s="1" t="s">
        <v>105</v>
      </c>
      <c r="N804" s="1" t="s">
        <v>541</v>
      </c>
      <c r="O804" s="1" t="s">
        <v>185</v>
      </c>
      <c r="P804" s="1" t="s">
        <v>186</v>
      </c>
      <c r="Q804" s="1" t="s">
        <v>130</v>
      </c>
      <c r="R804" s="1" t="s">
        <v>130</v>
      </c>
      <c r="S804" s="23">
        <v>0</v>
      </c>
      <c r="T804" s="23">
        <v>0</v>
      </c>
      <c r="U804" s="23">
        <v>0</v>
      </c>
      <c r="V804" s="23">
        <v>0</v>
      </c>
      <c r="W804" s="23">
        <v>0</v>
      </c>
      <c r="X804" s="23">
        <v>0</v>
      </c>
      <c r="Y804" s="23">
        <v>0</v>
      </c>
      <c r="Z804" s="18" t="e">
        <f t="shared" si="274"/>
        <v>#DIV/0!</v>
      </c>
      <c r="AA804" s="39">
        <v>0</v>
      </c>
      <c r="AB804" s="17">
        <v>0</v>
      </c>
      <c r="AC804" s="17">
        <v>-864.48275862079004</v>
      </c>
      <c r="AD804" s="17">
        <v>-4319.68103448279</v>
      </c>
      <c r="AE804" s="17">
        <f>AC804+AD804</f>
        <v>-5184.1637931035802</v>
      </c>
      <c r="AF804" s="17">
        <f t="shared" si="270"/>
        <v>-829.46620689657288</v>
      </c>
      <c r="AG804" s="17">
        <f t="shared" si="277"/>
        <v>-6013.6300000001529</v>
      </c>
      <c r="AH804" s="17">
        <f t="shared" si="275"/>
        <v>-103.68327586207161</v>
      </c>
      <c r="AI804" s="17"/>
      <c r="AJ804" s="17">
        <f t="shared" si="265"/>
        <v>-103.68327586207161</v>
      </c>
      <c r="AK804" s="40"/>
      <c r="AL804" s="17">
        <f t="shared" si="258"/>
        <v>-5080.480517241509</v>
      </c>
      <c r="AM804" s="17"/>
      <c r="AN804" s="21"/>
      <c r="AO804" s="17">
        <f t="shared" si="276"/>
        <v>0</v>
      </c>
      <c r="AP804" s="17"/>
      <c r="AQ804" s="16"/>
      <c r="AR804" s="17">
        <f t="shared" si="272"/>
        <v>0</v>
      </c>
      <c r="AS804" s="23"/>
      <c r="AT804" s="23"/>
      <c r="AU804" s="17">
        <f t="shared" si="259"/>
        <v>-6013.6300000001529</v>
      </c>
      <c r="AV804" s="84">
        <f t="shared" si="267"/>
        <v>-6013.6300000001529</v>
      </c>
      <c r="AW804" s="17" t="str">
        <f t="shared" si="271"/>
        <v>SFA</v>
      </c>
      <c r="AX804" s="42"/>
      <c r="AY804" s="42"/>
      <c r="AZ804" s="1" t="s">
        <v>100</v>
      </c>
      <c r="BA804" s="22" t="str">
        <f t="shared" si="278"/>
        <v>AVIATION HULL ALL RISK</v>
      </c>
      <c r="BB804" s="56"/>
      <c r="BC804" s="42"/>
      <c r="BD804" s="42"/>
    </row>
    <row r="805" spans="1:56" ht="14.25" customHeight="1" x14ac:dyDescent="0.2">
      <c r="A805" s="1" t="s">
        <v>847</v>
      </c>
      <c r="B805" s="1" t="s">
        <v>273</v>
      </c>
      <c r="C805" s="13">
        <v>44693</v>
      </c>
      <c r="D805" s="1" t="s">
        <v>837</v>
      </c>
      <c r="E805" s="1" t="s">
        <v>837</v>
      </c>
      <c r="F805" s="1" t="s">
        <v>837</v>
      </c>
      <c r="G805" s="14" t="str">
        <f t="shared" si="273"/>
        <v>000-804/AIB RDC/2022</v>
      </c>
      <c r="H805" s="1">
        <v>0</v>
      </c>
      <c r="I805" s="1" t="s">
        <v>74</v>
      </c>
      <c r="J805" s="1" t="s">
        <v>1042</v>
      </c>
      <c r="K805" s="1" t="s">
        <v>261</v>
      </c>
      <c r="L805" s="1"/>
      <c r="M805" s="1" t="s">
        <v>105</v>
      </c>
      <c r="N805" s="1" t="s">
        <v>106</v>
      </c>
      <c r="O805" s="1" t="s">
        <v>64</v>
      </c>
      <c r="P805" s="1" t="s">
        <v>65</v>
      </c>
      <c r="Q805" s="1" t="s">
        <v>130</v>
      </c>
      <c r="R805" s="1" t="s">
        <v>130</v>
      </c>
      <c r="S805" s="17">
        <v>175365.87</v>
      </c>
      <c r="T805" s="17">
        <v>393.17</v>
      </c>
      <c r="U805" s="17">
        <v>0</v>
      </c>
      <c r="V805" s="17">
        <v>0</v>
      </c>
      <c r="W805" s="17">
        <v>4.92</v>
      </c>
      <c r="X805" s="17">
        <v>328.28</v>
      </c>
      <c r="Y805" s="17">
        <v>53.31</v>
      </c>
      <c r="Z805" s="18">
        <f t="shared" si="274"/>
        <v>2.241998400258842E-3</v>
      </c>
      <c r="AA805" s="19">
        <v>0.15</v>
      </c>
      <c r="AB805" s="17">
        <f t="shared" ref="AB805:AB812" si="279">(AA805*X805)</f>
        <v>49.241999999999997</v>
      </c>
      <c r="AC805" s="17">
        <v>0</v>
      </c>
      <c r="AD805" s="17">
        <v>0</v>
      </c>
      <c r="AE805" s="17">
        <f t="shared" ref="AE805:AE812" si="280">SUM(AB805:AD805)</f>
        <v>49.241999999999997</v>
      </c>
      <c r="AF805" s="17">
        <f t="shared" si="270"/>
        <v>7.8787199999999995</v>
      </c>
      <c r="AG805" s="17">
        <f t="shared" si="277"/>
        <v>57.120719999999999</v>
      </c>
      <c r="AH805" s="17">
        <f t="shared" si="275"/>
        <v>0.98483999999999994</v>
      </c>
      <c r="AI805" s="17"/>
      <c r="AJ805" s="17">
        <f t="shared" si="265"/>
        <v>0.98483999999999994</v>
      </c>
      <c r="AK805" s="20"/>
      <c r="AL805" s="17">
        <f t="shared" si="258"/>
        <v>48.257159999999999</v>
      </c>
      <c r="AM805" s="17" t="s">
        <v>108</v>
      </c>
      <c r="AN805" s="21">
        <v>0.4</v>
      </c>
      <c r="AO805" s="17">
        <f t="shared" si="276"/>
        <v>19.302864</v>
      </c>
      <c r="AP805" s="27"/>
      <c r="AQ805" s="16"/>
      <c r="AR805" s="17">
        <f t="shared" si="272"/>
        <v>19.302864</v>
      </c>
      <c r="AS805" s="17"/>
      <c r="AT805" s="17"/>
      <c r="AU805" s="17">
        <f t="shared" si="259"/>
        <v>57.120719999999999</v>
      </c>
      <c r="AV805" s="84">
        <f t="shared" si="267"/>
        <v>57.120719999999999</v>
      </c>
      <c r="AW805" s="17" t="str">
        <f t="shared" si="271"/>
        <v>SFA</v>
      </c>
      <c r="AX805" s="22"/>
      <c r="AY805" s="22"/>
      <c r="AZ805" s="1" t="s">
        <v>110</v>
      </c>
      <c r="BA805" s="22" t="str">
        <f t="shared" si="278"/>
        <v>MARINE CARGO / GIT</v>
      </c>
      <c r="BB805" s="54"/>
      <c r="BC805" s="22"/>
      <c r="BD805" s="1" t="s">
        <v>226</v>
      </c>
    </row>
    <row r="806" spans="1:56" ht="14.25" customHeight="1" x14ac:dyDescent="0.2">
      <c r="A806" s="1" t="s">
        <v>654</v>
      </c>
      <c r="B806" s="1" t="s">
        <v>273</v>
      </c>
      <c r="C806" s="13">
        <v>44771</v>
      </c>
      <c r="D806" s="13">
        <v>44757</v>
      </c>
      <c r="E806" s="13">
        <v>44757</v>
      </c>
      <c r="F806" s="13">
        <v>44787</v>
      </c>
      <c r="G806" s="14" t="str">
        <f t="shared" si="273"/>
        <v>000-805/AIB RDC/2022</v>
      </c>
      <c r="H806" s="1">
        <v>0</v>
      </c>
      <c r="I806" s="1" t="s">
        <v>74</v>
      </c>
      <c r="J806" s="1" t="s">
        <v>703</v>
      </c>
      <c r="K806" s="1" t="s">
        <v>261</v>
      </c>
      <c r="L806" s="1"/>
      <c r="M806" s="1" t="s">
        <v>105</v>
      </c>
      <c r="N806" s="1" t="s">
        <v>106</v>
      </c>
      <c r="O806" s="1" t="s">
        <v>64</v>
      </c>
      <c r="P806" s="1" t="s">
        <v>65</v>
      </c>
      <c r="Q806" s="1" t="s">
        <v>130</v>
      </c>
      <c r="R806" s="1" t="s">
        <v>130</v>
      </c>
      <c r="S806" s="17">
        <v>73032.14</v>
      </c>
      <c r="T806" s="17">
        <v>184.93</v>
      </c>
      <c r="U806" s="17">
        <v>0</v>
      </c>
      <c r="V806" s="17">
        <v>0</v>
      </c>
      <c r="W806" s="17">
        <v>20</v>
      </c>
      <c r="X806" s="17">
        <v>136.72</v>
      </c>
      <c r="Y806" s="17">
        <v>25.08</v>
      </c>
      <c r="Z806" s="18">
        <f t="shared" si="274"/>
        <v>2.5321728214454625E-3</v>
      </c>
      <c r="AA806" s="19">
        <v>0.15</v>
      </c>
      <c r="AB806" s="17">
        <f t="shared" si="279"/>
        <v>20.507999999999999</v>
      </c>
      <c r="AC806" s="17"/>
      <c r="AD806" s="17"/>
      <c r="AE806" s="17">
        <f t="shared" si="280"/>
        <v>20.507999999999999</v>
      </c>
      <c r="AF806" s="17">
        <f t="shared" si="270"/>
        <v>3.2812799999999998</v>
      </c>
      <c r="AG806" s="17">
        <f t="shared" si="277"/>
        <v>23.789279999999998</v>
      </c>
      <c r="AH806" s="17">
        <f t="shared" si="275"/>
        <v>0.41015999999999997</v>
      </c>
      <c r="AI806" s="17"/>
      <c r="AJ806" s="17">
        <f t="shared" si="265"/>
        <v>0.41015999999999997</v>
      </c>
      <c r="AK806" s="20"/>
      <c r="AL806" s="17">
        <f t="shared" si="258"/>
        <v>20.097839999999998</v>
      </c>
      <c r="AM806" s="17" t="s">
        <v>108</v>
      </c>
      <c r="AN806" s="21">
        <v>0.4</v>
      </c>
      <c r="AO806" s="17">
        <f t="shared" si="276"/>
        <v>8.0391359999999992</v>
      </c>
      <c r="AP806" s="17"/>
      <c r="AQ806" s="16"/>
      <c r="AR806" s="17">
        <f t="shared" si="272"/>
        <v>8.0391359999999992</v>
      </c>
      <c r="AS806" s="17"/>
      <c r="AT806" s="17"/>
      <c r="AU806" s="17">
        <f t="shared" ref="AU806:AU812" si="281">AG806</f>
        <v>23.789279999999998</v>
      </c>
      <c r="AV806" s="84">
        <f t="shared" si="267"/>
        <v>23.789279999999998</v>
      </c>
      <c r="AW806" s="17" t="str">
        <f t="shared" si="271"/>
        <v>SFA</v>
      </c>
      <c r="AX806" s="22"/>
      <c r="AY806" s="22"/>
      <c r="AZ806" s="1" t="s">
        <v>110</v>
      </c>
      <c r="BA806" s="22" t="str">
        <f t="shared" si="278"/>
        <v>MARINE CARGO / GIT</v>
      </c>
      <c r="BB806" s="22"/>
      <c r="BC806" s="22"/>
      <c r="BD806" s="1" t="s">
        <v>275</v>
      </c>
    </row>
    <row r="807" spans="1:56" ht="14.25" customHeight="1" x14ac:dyDescent="0.2">
      <c r="A807" s="1" t="s">
        <v>847</v>
      </c>
      <c r="B807" s="1" t="s">
        <v>273</v>
      </c>
      <c r="C807" s="13">
        <v>44693</v>
      </c>
      <c r="D807" s="1" t="s">
        <v>837</v>
      </c>
      <c r="E807" s="1" t="s">
        <v>837</v>
      </c>
      <c r="F807" s="1" t="s">
        <v>837</v>
      </c>
      <c r="G807" s="14" t="str">
        <f t="shared" si="273"/>
        <v>000-806/AIB RDC/2022</v>
      </c>
      <c r="H807" s="1">
        <v>0</v>
      </c>
      <c r="I807" s="1" t="s">
        <v>74</v>
      </c>
      <c r="J807" s="1" t="s">
        <v>1045</v>
      </c>
      <c r="K807" s="1" t="s">
        <v>1046</v>
      </c>
      <c r="L807" s="1"/>
      <c r="M807" s="1" t="s">
        <v>105</v>
      </c>
      <c r="N807" s="1" t="s">
        <v>106</v>
      </c>
      <c r="O807" s="1" t="s">
        <v>64</v>
      </c>
      <c r="P807" s="1" t="s">
        <v>65</v>
      </c>
      <c r="Q807" s="1" t="s">
        <v>130</v>
      </c>
      <c r="R807" s="1" t="s">
        <v>130</v>
      </c>
      <c r="S807" s="17">
        <v>14224</v>
      </c>
      <c r="T807" s="17">
        <v>65</v>
      </c>
      <c r="U807" s="17">
        <v>0</v>
      </c>
      <c r="V807" s="17">
        <v>0</v>
      </c>
      <c r="W807" s="17">
        <v>0.81</v>
      </c>
      <c r="X807" s="17">
        <v>54.28</v>
      </c>
      <c r="Y807" s="17">
        <v>8.81</v>
      </c>
      <c r="Z807" s="18">
        <f t="shared" si="274"/>
        <v>4.5697412823397076E-3</v>
      </c>
      <c r="AA807" s="19">
        <v>0.15</v>
      </c>
      <c r="AB807" s="17">
        <f t="shared" si="279"/>
        <v>8.1419999999999995</v>
      </c>
      <c r="AC807" s="17">
        <v>0</v>
      </c>
      <c r="AD807" s="17">
        <v>0</v>
      </c>
      <c r="AE807" s="17">
        <f t="shared" si="280"/>
        <v>8.1419999999999995</v>
      </c>
      <c r="AF807" s="17">
        <f t="shared" si="270"/>
        <v>1.3027199999999999</v>
      </c>
      <c r="AG807" s="17">
        <f t="shared" si="277"/>
        <v>9.4447200000000002</v>
      </c>
      <c r="AH807" s="17">
        <f t="shared" si="275"/>
        <v>0.16283999999999998</v>
      </c>
      <c r="AI807" s="17"/>
      <c r="AJ807" s="17">
        <f t="shared" si="265"/>
        <v>0.16283999999999998</v>
      </c>
      <c r="AK807" s="20"/>
      <c r="AL807" s="17">
        <f t="shared" si="258"/>
        <v>7.9791599999999994</v>
      </c>
      <c r="AM807" s="17" t="s">
        <v>108</v>
      </c>
      <c r="AN807" s="21">
        <v>0.4</v>
      </c>
      <c r="AO807" s="17">
        <f t="shared" si="276"/>
        <v>3.1916639999999998</v>
      </c>
      <c r="AP807" s="27"/>
      <c r="AQ807" s="16"/>
      <c r="AR807" s="17">
        <f t="shared" si="272"/>
        <v>3.1916639999999998</v>
      </c>
      <c r="AS807" s="17"/>
      <c r="AT807" s="17"/>
      <c r="AU807" s="17">
        <f t="shared" si="281"/>
        <v>9.4447200000000002</v>
      </c>
      <c r="AV807" s="84">
        <f t="shared" si="267"/>
        <v>9.4447200000000002</v>
      </c>
      <c r="AW807" s="17" t="str">
        <f t="shared" si="271"/>
        <v>SFA</v>
      </c>
      <c r="AX807" s="22"/>
      <c r="AY807" s="22"/>
      <c r="AZ807" s="1" t="s">
        <v>110</v>
      </c>
      <c r="BA807" s="22" t="str">
        <f t="shared" si="278"/>
        <v>MARINE CARGO / GIT</v>
      </c>
      <c r="BB807" s="54"/>
      <c r="BC807" s="22"/>
      <c r="BD807" s="1" t="s">
        <v>226</v>
      </c>
    </row>
    <row r="808" spans="1:56" ht="14.25" customHeight="1" x14ac:dyDescent="0.2">
      <c r="A808" s="1" t="s">
        <v>773</v>
      </c>
      <c r="B808" s="1" t="s">
        <v>273</v>
      </c>
      <c r="C808" s="13">
        <v>44834</v>
      </c>
      <c r="D808" s="1" t="s">
        <v>837</v>
      </c>
      <c r="E808" s="1" t="s">
        <v>837</v>
      </c>
      <c r="F808" s="1" t="s">
        <v>837</v>
      </c>
      <c r="G808" s="14" t="str">
        <f t="shared" si="273"/>
        <v>000-807/AIB RDC/2022</v>
      </c>
      <c r="H808" s="1">
        <v>0</v>
      </c>
      <c r="I808" s="1" t="s">
        <v>74</v>
      </c>
      <c r="J808" s="1" t="s">
        <v>838</v>
      </c>
      <c r="K808" s="1" t="s">
        <v>839</v>
      </c>
      <c r="L808" s="1"/>
      <c r="M808" s="1" t="s">
        <v>105</v>
      </c>
      <c r="N808" s="1" t="s">
        <v>106</v>
      </c>
      <c r="O808" s="1" t="s">
        <v>64</v>
      </c>
      <c r="P808" s="1" t="s">
        <v>65</v>
      </c>
      <c r="Q808" s="1" t="s">
        <v>130</v>
      </c>
      <c r="R808" s="1" t="s">
        <v>130</v>
      </c>
      <c r="S808" s="17">
        <v>4822.84</v>
      </c>
      <c r="T808" s="17">
        <v>94.4</v>
      </c>
      <c r="U808" s="17">
        <v>0</v>
      </c>
      <c r="V808" s="17">
        <v>0</v>
      </c>
      <c r="W808" s="17">
        <v>20</v>
      </c>
      <c r="X808" s="17">
        <v>60</v>
      </c>
      <c r="Y808" s="17">
        <v>12.8</v>
      </c>
      <c r="Z808" s="18">
        <f t="shared" si="274"/>
        <v>1.9573529289796054E-2</v>
      </c>
      <c r="AA808" s="19">
        <v>0.15</v>
      </c>
      <c r="AB808" s="17">
        <f t="shared" si="279"/>
        <v>9</v>
      </c>
      <c r="AC808" s="34">
        <v>0</v>
      </c>
      <c r="AD808" s="34">
        <v>0</v>
      </c>
      <c r="AE808" s="17">
        <f t="shared" si="280"/>
        <v>9</v>
      </c>
      <c r="AF808" s="17">
        <f t="shared" si="270"/>
        <v>1.44</v>
      </c>
      <c r="AG808" s="17">
        <f t="shared" si="277"/>
        <v>10.44</v>
      </c>
      <c r="AH808" s="17">
        <f t="shared" si="275"/>
        <v>0.18</v>
      </c>
      <c r="AI808" s="27"/>
      <c r="AJ808" s="17">
        <f t="shared" si="265"/>
        <v>0.18</v>
      </c>
      <c r="AK808" s="20"/>
      <c r="AL808" s="17">
        <f t="shared" si="258"/>
        <v>8.82</v>
      </c>
      <c r="AM808" s="17" t="s">
        <v>108</v>
      </c>
      <c r="AN808" s="21">
        <v>0.4</v>
      </c>
      <c r="AO808" s="17">
        <f t="shared" si="276"/>
        <v>3.5280000000000005</v>
      </c>
      <c r="AP808" s="27"/>
      <c r="AQ808" s="16"/>
      <c r="AR808" s="17">
        <f t="shared" si="272"/>
        <v>3.5280000000000005</v>
      </c>
      <c r="AS808" s="17"/>
      <c r="AT808" s="17"/>
      <c r="AU808" s="17">
        <f t="shared" si="281"/>
        <v>10.44</v>
      </c>
      <c r="AV808" s="84">
        <f t="shared" si="267"/>
        <v>10.44</v>
      </c>
      <c r="AW808" s="17" t="str">
        <f t="shared" si="271"/>
        <v>SFA</v>
      </c>
      <c r="AX808" s="22"/>
      <c r="AY808" s="22"/>
      <c r="AZ808" s="1" t="s">
        <v>110</v>
      </c>
      <c r="BA808" s="22" t="str">
        <f t="shared" si="278"/>
        <v>MARINE CARGO / GIT</v>
      </c>
      <c r="BB808" s="54"/>
      <c r="BC808" s="22"/>
      <c r="BD808" s="1" t="s">
        <v>226</v>
      </c>
    </row>
    <row r="809" spans="1:56" ht="14.25" customHeight="1" x14ac:dyDescent="0.2">
      <c r="A809" s="1" t="s">
        <v>439</v>
      </c>
      <c r="B809" s="28" t="s">
        <v>273</v>
      </c>
      <c r="C809" s="48">
        <v>45156</v>
      </c>
      <c r="D809" s="13">
        <v>44774</v>
      </c>
      <c r="E809" s="13">
        <v>44774</v>
      </c>
      <c r="F809" s="13">
        <v>45138</v>
      </c>
      <c r="G809" s="14" t="str">
        <f t="shared" si="273"/>
        <v>000-808/AIB RDC/2022</v>
      </c>
      <c r="H809" s="1">
        <v>1</v>
      </c>
      <c r="I809" s="1" t="s">
        <v>91</v>
      </c>
      <c r="J809" s="15" t="s">
        <v>1122</v>
      </c>
      <c r="K809" s="1" t="s">
        <v>355</v>
      </c>
      <c r="L809" s="1" t="s">
        <v>214</v>
      </c>
      <c r="M809" s="1" t="s">
        <v>84</v>
      </c>
      <c r="N809" s="1" t="s">
        <v>85</v>
      </c>
      <c r="O809" s="1" t="s">
        <v>192</v>
      </c>
      <c r="P809" s="1" t="s">
        <v>98</v>
      </c>
      <c r="Q809" s="1" t="s">
        <v>107</v>
      </c>
      <c r="R809" s="1" t="s">
        <v>780</v>
      </c>
      <c r="S809" s="17">
        <v>0</v>
      </c>
      <c r="T809" s="34">
        <v>21873.119999999999</v>
      </c>
      <c r="U809" s="34">
        <v>2780.48</v>
      </c>
      <c r="V809" s="34">
        <v>-1297.56</v>
      </c>
      <c r="W809" s="34">
        <v>0</v>
      </c>
      <c r="X809" s="34">
        <v>15756.06</v>
      </c>
      <c r="Y809" s="34">
        <v>2965.85</v>
      </c>
      <c r="Z809" s="18" t="e">
        <f t="shared" si="274"/>
        <v>#DIV/0!</v>
      </c>
      <c r="AA809" s="19">
        <v>0</v>
      </c>
      <c r="AB809" s="23">
        <f t="shared" si="279"/>
        <v>0</v>
      </c>
      <c r="AC809" s="17">
        <f>30%*(U809+V809)</f>
        <v>444.87600000000003</v>
      </c>
      <c r="AD809" s="17">
        <v>0</v>
      </c>
      <c r="AE809" s="17">
        <f t="shared" si="280"/>
        <v>444.87600000000003</v>
      </c>
      <c r="AF809" s="17">
        <f t="shared" si="270"/>
        <v>71.180160000000001</v>
      </c>
      <c r="AG809" s="17">
        <f t="shared" si="277"/>
        <v>516.05616000000009</v>
      </c>
      <c r="AH809" s="17">
        <f t="shared" si="275"/>
        <v>8.8975200000000001</v>
      </c>
      <c r="AI809" s="17"/>
      <c r="AJ809" s="17">
        <f t="shared" si="265"/>
        <v>8.8975200000000001</v>
      </c>
      <c r="AK809" s="20"/>
      <c r="AL809" s="17">
        <f t="shared" si="258"/>
        <v>435.97848000000005</v>
      </c>
      <c r="AM809" s="30"/>
      <c r="AN809" s="80"/>
      <c r="AO809" s="23">
        <f t="shared" si="276"/>
        <v>0</v>
      </c>
      <c r="AP809" s="30"/>
      <c r="AQ809" s="33"/>
      <c r="AR809" s="17">
        <f t="shared" si="272"/>
        <v>0</v>
      </c>
      <c r="AS809" s="30"/>
      <c r="AT809" s="30">
        <v>516.05616000000009</v>
      </c>
      <c r="AU809" s="17">
        <f t="shared" si="281"/>
        <v>516.05616000000009</v>
      </c>
      <c r="AV809" s="17">
        <f t="shared" si="267"/>
        <v>0</v>
      </c>
      <c r="AW809" s="17" t="str">
        <f t="shared" si="271"/>
        <v>RAWSUR</v>
      </c>
      <c r="AX809" s="81">
        <v>45219</v>
      </c>
      <c r="AY809" s="81"/>
      <c r="AZ809" s="2"/>
      <c r="BA809" s="1"/>
      <c r="BB809" s="82"/>
      <c r="BC809" s="81"/>
      <c r="BD809" s="2"/>
    </row>
    <row r="810" spans="1:56" ht="14.25" customHeight="1" x14ac:dyDescent="0.2">
      <c r="A810" s="1" t="s">
        <v>992</v>
      </c>
      <c r="B810" s="1" t="s">
        <v>273</v>
      </c>
      <c r="C810" s="13">
        <v>44924</v>
      </c>
      <c r="D810" s="1" t="s">
        <v>837</v>
      </c>
      <c r="E810" s="1" t="s">
        <v>837</v>
      </c>
      <c r="F810" s="1" t="s">
        <v>837</v>
      </c>
      <c r="G810" s="14" t="str">
        <f t="shared" si="273"/>
        <v>000-809/AIB RDC/2022</v>
      </c>
      <c r="H810" s="1">
        <v>0</v>
      </c>
      <c r="I810" s="1" t="s">
        <v>74</v>
      </c>
      <c r="J810" s="15" t="s">
        <v>1074</v>
      </c>
      <c r="K810" s="1" t="s">
        <v>839</v>
      </c>
      <c r="L810" s="16"/>
      <c r="M810" s="1" t="s">
        <v>105</v>
      </c>
      <c r="N810" s="1" t="s">
        <v>106</v>
      </c>
      <c r="O810" s="1" t="s">
        <v>64</v>
      </c>
      <c r="P810" s="1" t="s">
        <v>65</v>
      </c>
      <c r="Q810" s="1" t="s">
        <v>130</v>
      </c>
      <c r="R810" s="1" t="s">
        <v>130</v>
      </c>
      <c r="S810" s="17">
        <v>7053.04</v>
      </c>
      <c r="T810" s="17">
        <v>65</v>
      </c>
      <c r="U810" s="17">
        <v>0</v>
      </c>
      <c r="V810" s="17">
        <v>0</v>
      </c>
      <c r="W810" s="17">
        <v>0.81</v>
      </c>
      <c r="X810" s="17">
        <v>54.28</v>
      </c>
      <c r="Y810" s="17">
        <v>8.81</v>
      </c>
      <c r="Z810" s="18">
        <f t="shared" si="274"/>
        <v>9.2158842144663862E-3</v>
      </c>
      <c r="AA810" s="19">
        <v>0.15</v>
      </c>
      <c r="AB810" s="17">
        <f t="shared" si="279"/>
        <v>8.1419999999999995</v>
      </c>
      <c r="AC810" s="17">
        <v>0</v>
      </c>
      <c r="AD810" s="17">
        <v>0</v>
      </c>
      <c r="AE810" s="17">
        <f t="shared" si="280"/>
        <v>8.1419999999999995</v>
      </c>
      <c r="AF810" s="17">
        <f t="shared" si="270"/>
        <v>1.3027199999999999</v>
      </c>
      <c r="AG810" s="17">
        <f t="shared" si="277"/>
        <v>9.4447200000000002</v>
      </c>
      <c r="AH810" s="17">
        <f t="shared" si="275"/>
        <v>0.16283999999999998</v>
      </c>
      <c r="AI810" s="17"/>
      <c r="AJ810" s="17">
        <f t="shared" si="265"/>
        <v>0.16283999999999998</v>
      </c>
      <c r="AK810" s="20"/>
      <c r="AL810" s="17">
        <f t="shared" si="258"/>
        <v>7.9791599999999994</v>
      </c>
      <c r="AM810" s="17" t="s">
        <v>108</v>
      </c>
      <c r="AN810" s="21">
        <v>0.4</v>
      </c>
      <c r="AO810" s="17">
        <f t="shared" si="276"/>
        <v>3.1916639999999998</v>
      </c>
      <c r="AP810" s="27"/>
      <c r="AQ810" s="16"/>
      <c r="AR810" s="17">
        <f t="shared" si="272"/>
        <v>3.1916639999999998</v>
      </c>
      <c r="AS810" s="17"/>
      <c r="AT810" s="17"/>
      <c r="AU810" s="17">
        <f t="shared" si="281"/>
        <v>9.4447200000000002</v>
      </c>
      <c r="AV810" s="84">
        <f t="shared" si="267"/>
        <v>9.4447200000000002</v>
      </c>
      <c r="AW810" s="17" t="str">
        <f t="shared" si="271"/>
        <v>SFA</v>
      </c>
      <c r="AX810" s="22"/>
      <c r="AY810" s="22"/>
      <c r="AZ810" s="1" t="s">
        <v>110</v>
      </c>
      <c r="BA810" s="22" t="str">
        <f>O810</f>
        <v>MARINE CARGO / GIT</v>
      </c>
      <c r="BB810" s="54"/>
      <c r="BC810" s="22"/>
      <c r="BD810" s="1" t="s">
        <v>226</v>
      </c>
    </row>
    <row r="811" spans="1:56" ht="14.25" customHeight="1" x14ac:dyDescent="0.2">
      <c r="A811" s="1" t="s">
        <v>439</v>
      </c>
      <c r="B811" s="1" t="s">
        <v>57</v>
      </c>
      <c r="C811" s="13">
        <v>44796</v>
      </c>
      <c r="D811" s="13">
        <v>44802</v>
      </c>
      <c r="E811" s="13">
        <v>44792</v>
      </c>
      <c r="F811" s="13">
        <v>45156</v>
      </c>
      <c r="G811" s="14" t="str">
        <f t="shared" si="273"/>
        <v>000-810/AIB RDC/2022</v>
      </c>
      <c r="H811" s="1">
        <v>0</v>
      </c>
      <c r="I811" s="1" t="s">
        <v>74</v>
      </c>
      <c r="J811" s="1" t="s">
        <v>1124</v>
      </c>
      <c r="K811" s="1" t="s">
        <v>925</v>
      </c>
      <c r="L811" s="1" t="s">
        <v>128</v>
      </c>
      <c r="M811" s="1" t="s">
        <v>95</v>
      </c>
      <c r="N811" s="1" t="s">
        <v>102</v>
      </c>
      <c r="O811" s="1" t="s">
        <v>129</v>
      </c>
      <c r="P811" s="1" t="s">
        <v>90</v>
      </c>
      <c r="Q811" s="1" t="s">
        <v>66</v>
      </c>
      <c r="R811" s="1" t="s">
        <v>1125</v>
      </c>
      <c r="S811" s="17">
        <v>5000000</v>
      </c>
      <c r="T811" s="17">
        <v>40258.82</v>
      </c>
      <c r="U811" s="17">
        <v>5117.6499999999996</v>
      </c>
      <c r="V811" s="17">
        <v>0</v>
      </c>
      <c r="W811" s="17">
        <v>682.35</v>
      </c>
      <c r="X811" s="17">
        <v>34117.65</v>
      </c>
      <c r="Y811" s="17">
        <v>5458.82</v>
      </c>
      <c r="Z811" s="18">
        <f t="shared" si="274"/>
        <v>8.0517639999999994E-3</v>
      </c>
      <c r="AA811" s="19">
        <v>0.126337833936394</v>
      </c>
      <c r="AB811" s="17">
        <f t="shared" si="279"/>
        <v>4310.3500000000131</v>
      </c>
      <c r="AC811" s="17">
        <f>30%*U811</f>
        <v>1535.2949999999998</v>
      </c>
      <c r="AD811" s="17">
        <v>1034.48</v>
      </c>
      <c r="AE811" s="17">
        <f t="shared" si="280"/>
        <v>6880.1250000000127</v>
      </c>
      <c r="AF811" s="17">
        <f t="shared" si="270"/>
        <v>1100.820000000002</v>
      </c>
      <c r="AG811" s="17">
        <f t="shared" si="277"/>
        <v>7980.9450000000143</v>
      </c>
      <c r="AH811" s="17">
        <f t="shared" si="275"/>
        <v>137.60250000000025</v>
      </c>
      <c r="AI811" s="17"/>
      <c r="AJ811" s="17">
        <f t="shared" si="265"/>
        <v>137.60250000000025</v>
      </c>
      <c r="AK811" s="20"/>
      <c r="AL811" s="17">
        <f t="shared" si="258"/>
        <v>6742.5225000000128</v>
      </c>
      <c r="AM811" s="17"/>
      <c r="AN811" s="21"/>
      <c r="AO811" s="17">
        <f t="shared" si="276"/>
        <v>0</v>
      </c>
      <c r="AP811" s="17"/>
      <c r="AQ811" s="16"/>
      <c r="AR811" s="17">
        <f t="shared" si="272"/>
        <v>0</v>
      </c>
      <c r="AS811" s="17"/>
      <c r="AT811" s="17">
        <v>7980.9450000000143</v>
      </c>
      <c r="AU811" s="17">
        <f t="shared" si="281"/>
        <v>7980.9450000000143</v>
      </c>
      <c r="AV811" s="17">
        <f t="shared" si="267"/>
        <v>0</v>
      </c>
      <c r="AW811" s="17" t="str">
        <f t="shared" si="271"/>
        <v>ACTIVA</v>
      </c>
      <c r="AX811" s="22">
        <v>44831</v>
      </c>
      <c r="AY811" s="22"/>
      <c r="AZ811" s="1"/>
      <c r="BA811" s="22" t="str">
        <f>O811</f>
        <v>D&amp;O</v>
      </c>
      <c r="BB811" s="22"/>
      <c r="BC811" s="22"/>
      <c r="BD811" s="22"/>
    </row>
    <row r="812" spans="1:56" ht="14.25" customHeight="1" x14ac:dyDescent="0.2">
      <c r="A812" s="1" t="s">
        <v>992</v>
      </c>
      <c r="B812" s="1" t="s">
        <v>273</v>
      </c>
      <c r="C812" s="13">
        <v>44924</v>
      </c>
      <c r="D812" s="1" t="s">
        <v>837</v>
      </c>
      <c r="E812" s="1" t="s">
        <v>837</v>
      </c>
      <c r="F812" s="1" t="s">
        <v>837</v>
      </c>
      <c r="G812" s="14" t="str">
        <f t="shared" si="273"/>
        <v>000-811/AIB RDC/2022</v>
      </c>
      <c r="H812" s="1">
        <v>0</v>
      </c>
      <c r="I812" s="1" t="s">
        <v>74</v>
      </c>
      <c r="J812" s="15" t="s">
        <v>1075</v>
      </c>
      <c r="K812" s="1" t="s">
        <v>839</v>
      </c>
      <c r="L812" s="16"/>
      <c r="M812" s="1" t="s">
        <v>105</v>
      </c>
      <c r="N812" s="1" t="s">
        <v>106</v>
      </c>
      <c r="O812" s="1" t="s">
        <v>64</v>
      </c>
      <c r="P812" s="1" t="s">
        <v>65</v>
      </c>
      <c r="Q812" s="1" t="s">
        <v>130</v>
      </c>
      <c r="R812" s="1" t="s">
        <v>130</v>
      </c>
      <c r="S812" s="17">
        <v>134942.28</v>
      </c>
      <c r="T812" s="17">
        <v>65</v>
      </c>
      <c r="U812" s="17">
        <v>0</v>
      </c>
      <c r="V812" s="17">
        <v>0</v>
      </c>
      <c r="W812" s="17">
        <v>0.81</v>
      </c>
      <c r="X812" s="17">
        <v>54.28</v>
      </c>
      <c r="Y812" s="17">
        <v>8.81</v>
      </c>
      <c r="Z812" s="18">
        <f t="shared" si="274"/>
        <v>4.8168742961805599E-4</v>
      </c>
      <c r="AA812" s="19">
        <v>0.15</v>
      </c>
      <c r="AB812" s="17">
        <f t="shared" si="279"/>
        <v>8.1419999999999995</v>
      </c>
      <c r="AC812" s="17">
        <v>0</v>
      </c>
      <c r="AD812" s="17">
        <v>0</v>
      </c>
      <c r="AE812" s="17">
        <f t="shared" si="280"/>
        <v>8.1419999999999995</v>
      </c>
      <c r="AF812" s="17">
        <f t="shared" si="270"/>
        <v>1.3027199999999999</v>
      </c>
      <c r="AG812" s="17">
        <f t="shared" si="277"/>
        <v>9.4447200000000002</v>
      </c>
      <c r="AH812" s="17">
        <f t="shared" si="275"/>
        <v>0.16283999999999998</v>
      </c>
      <c r="AI812" s="17"/>
      <c r="AJ812" s="17">
        <f t="shared" si="265"/>
        <v>0.16283999999999998</v>
      </c>
      <c r="AK812" s="20"/>
      <c r="AL812" s="17">
        <f t="shared" si="258"/>
        <v>7.9791599999999994</v>
      </c>
      <c r="AM812" s="17" t="s">
        <v>108</v>
      </c>
      <c r="AN812" s="21">
        <v>0.4</v>
      </c>
      <c r="AO812" s="17">
        <f t="shared" si="276"/>
        <v>3.1916639999999998</v>
      </c>
      <c r="AP812" s="27"/>
      <c r="AQ812" s="16"/>
      <c r="AR812" s="17">
        <f t="shared" si="272"/>
        <v>3.1916639999999998</v>
      </c>
      <c r="AS812" s="17"/>
      <c r="AT812" s="17"/>
      <c r="AU812" s="17">
        <f t="shared" si="281"/>
        <v>9.4447200000000002</v>
      </c>
      <c r="AV812" s="84">
        <f t="shared" si="267"/>
        <v>9.4447200000000002</v>
      </c>
      <c r="AW812" s="17" t="str">
        <f t="shared" si="271"/>
        <v>SFA</v>
      </c>
      <c r="AX812" s="22"/>
      <c r="AY812" s="22"/>
      <c r="AZ812" s="1" t="s">
        <v>110</v>
      </c>
      <c r="BA812" s="22" t="str">
        <f>O812</f>
        <v>MARINE CARGO / GIT</v>
      </c>
      <c r="BB812" s="54"/>
      <c r="BC812" s="22"/>
      <c r="BD812" s="1" t="s">
        <v>226</v>
      </c>
    </row>
    <row r="813" spans="1:56" ht="14.25" customHeight="1" x14ac:dyDescent="0.2">
      <c r="A813" s="1" t="s">
        <v>992</v>
      </c>
      <c r="B813" s="28" t="s">
        <v>57</v>
      </c>
      <c r="C813" s="48">
        <v>45177</v>
      </c>
      <c r="D813" s="48">
        <v>45105</v>
      </c>
      <c r="E813" s="13">
        <v>44926</v>
      </c>
      <c r="F813" s="13">
        <v>44926</v>
      </c>
      <c r="G813" s="14" t="str">
        <f t="shared" ref="G813:G815" si="282">TEXT(ROW(G813)-1,"000-000") &amp; "/AIB RDC/2022"</f>
        <v>000-812/AIB RDC/2022</v>
      </c>
      <c r="H813" s="1">
        <v>2</v>
      </c>
      <c r="I813" s="1" t="s">
        <v>310</v>
      </c>
      <c r="J813" s="53" t="s">
        <v>922</v>
      </c>
      <c r="K813" s="1" t="s">
        <v>777</v>
      </c>
      <c r="L813" s="1"/>
      <c r="M813" s="1" t="s">
        <v>105</v>
      </c>
      <c r="N813" s="1" t="s">
        <v>541</v>
      </c>
      <c r="O813" s="1" t="s">
        <v>192</v>
      </c>
      <c r="P813" s="1" t="s">
        <v>98</v>
      </c>
      <c r="Q813" s="1" t="s">
        <v>130</v>
      </c>
      <c r="R813" s="1" t="s">
        <v>130</v>
      </c>
      <c r="S813" s="17">
        <v>0</v>
      </c>
      <c r="T813" s="34">
        <v>-764.24</v>
      </c>
      <c r="U813" s="34">
        <v>0</v>
      </c>
      <c r="V813" s="34">
        <v>0</v>
      </c>
      <c r="W813" s="34">
        <v>-6.67</v>
      </c>
      <c r="X813" s="34">
        <v>-665.5</v>
      </c>
      <c r="Y813" s="34">
        <v>-105.41</v>
      </c>
      <c r="Z813" s="18" t="e">
        <f t="shared" ref="Z813:Z815" si="283">T813/S813</f>
        <v>#DIV/0!</v>
      </c>
      <c r="AA813" s="19">
        <v>0.1</v>
      </c>
      <c r="AB813" s="17">
        <f t="shared" ref="AB813:AB815" si="284">(AA813*X813)</f>
        <v>-66.55</v>
      </c>
      <c r="AC813" s="17">
        <v>0</v>
      </c>
      <c r="AD813" s="17">
        <v>0</v>
      </c>
      <c r="AE813" s="17">
        <f t="shared" ref="AE813:AE815" si="285">SUM(AB813:AD813)</f>
        <v>-66.55</v>
      </c>
      <c r="AF813" s="17">
        <f t="shared" ref="AF813:AF814" si="286">16%*AE813</f>
        <v>-10.648</v>
      </c>
      <c r="AG813" s="17">
        <f t="shared" ref="AG813:AG815" si="287">AF813+AE813</f>
        <v>-77.197999999999993</v>
      </c>
      <c r="AH813" s="17">
        <f t="shared" ref="AH813:AH815" si="288">2%*AE813</f>
        <v>-1.331</v>
      </c>
      <c r="AI813" s="17">
        <v>0</v>
      </c>
      <c r="AJ813" s="17">
        <f t="shared" ref="AJ813:AJ815" si="289">AH813-AI813</f>
        <v>-1.331</v>
      </c>
      <c r="AK813" s="20"/>
      <c r="AL813" s="17">
        <f t="shared" ref="AL813:AL815" si="290">AE813-AH813</f>
        <v>-65.218999999999994</v>
      </c>
      <c r="AM813" s="17" t="s">
        <v>80</v>
      </c>
      <c r="AN813" s="21">
        <v>0</v>
      </c>
      <c r="AO813" s="17">
        <f t="shared" ref="AO813:AO815" si="291">AL813*AN813</f>
        <v>0</v>
      </c>
      <c r="AP813" s="30"/>
      <c r="AQ813" s="33"/>
      <c r="AR813" s="17">
        <f t="shared" ref="AR813:AR815" si="292">AO813-AP813</f>
        <v>0</v>
      </c>
      <c r="AS813" s="30"/>
      <c r="AT813" s="30">
        <v>-77.197999999999993</v>
      </c>
      <c r="AU813" s="17">
        <f t="shared" ref="AU813:AU815" si="293">AG813</f>
        <v>-77.197999999999993</v>
      </c>
      <c r="AV813" s="17">
        <f t="shared" ref="AV813:AV815" si="294">AU813-AT813</f>
        <v>0</v>
      </c>
      <c r="AW813" s="17" t="str">
        <f t="shared" ref="AW813:AW815" si="295">Q813</f>
        <v>SFA</v>
      </c>
      <c r="AX813" s="81">
        <v>45197</v>
      </c>
      <c r="AY813" t="s">
        <v>1036</v>
      </c>
      <c r="AZ813" s="2"/>
      <c r="BA813" s="1"/>
      <c r="BB813" s="82"/>
      <c r="BC813" s="81"/>
      <c r="BD813" s="2"/>
    </row>
    <row r="814" spans="1:56" ht="14.25" customHeight="1" x14ac:dyDescent="0.2">
      <c r="A814" s="1" t="s">
        <v>578</v>
      </c>
      <c r="B814" s="28" t="s">
        <v>57</v>
      </c>
      <c r="C814" s="48">
        <v>45177</v>
      </c>
      <c r="D814" s="48">
        <v>45154</v>
      </c>
      <c r="E814" s="13">
        <v>44713</v>
      </c>
      <c r="F814" s="13">
        <v>45077</v>
      </c>
      <c r="G814" s="14" t="str">
        <f t="shared" si="282"/>
        <v>000-813/AIB RDC/2022</v>
      </c>
      <c r="H814" s="1">
        <v>1</v>
      </c>
      <c r="I814" s="1" t="s">
        <v>91</v>
      </c>
      <c r="J814" s="1" t="s">
        <v>804</v>
      </c>
      <c r="K814" s="1" t="s">
        <v>805</v>
      </c>
      <c r="L814" s="1"/>
      <c r="M814" s="1" t="s">
        <v>95</v>
      </c>
      <c r="N814" s="1" t="s">
        <v>102</v>
      </c>
      <c r="O814" s="1" t="s">
        <v>281</v>
      </c>
      <c r="P814" s="1" t="s">
        <v>166</v>
      </c>
      <c r="Q814" s="1" t="s">
        <v>107</v>
      </c>
      <c r="R814" s="1" t="s">
        <v>107</v>
      </c>
      <c r="S814" s="17">
        <v>0</v>
      </c>
      <c r="T814" s="34">
        <v>3512.86</v>
      </c>
      <c r="U814" s="34">
        <v>0</v>
      </c>
      <c r="V814" s="34">
        <v>0</v>
      </c>
      <c r="W814" s="34">
        <v>535.86</v>
      </c>
      <c r="X814" s="34">
        <v>2977</v>
      </c>
      <c r="Y814" s="34">
        <v>476.32</v>
      </c>
      <c r="Z814" s="18" t="e">
        <f t="shared" si="283"/>
        <v>#DIV/0!</v>
      </c>
      <c r="AA814" s="19">
        <v>0.15</v>
      </c>
      <c r="AB814" s="17">
        <f t="shared" si="284"/>
        <v>446.55</v>
      </c>
      <c r="AC814" s="17">
        <v>0</v>
      </c>
      <c r="AD814" s="17">
        <v>0</v>
      </c>
      <c r="AE814" s="17">
        <f t="shared" si="285"/>
        <v>446.55</v>
      </c>
      <c r="AF814" s="17">
        <f t="shared" si="286"/>
        <v>71.448000000000008</v>
      </c>
      <c r="AG814" s="17">
        <f t="shared" si="287"/>
        <v>517.99800000000005</v>
      </c>
      <c r="AH814" s="17">
        <f t="shared" si="288"/>
        <v>8.9310000000000009</v>
      </c>
      <c r="AI814" s="17"/>
      <c r="AJ814" s="17">
        <f t="shared" si="289"/>
        <v>8.9310000000000009</v>
      </c>
      <c r="AK814" s="20"/>
      <c r="AL814" s="17">
        <f t="shared" si="290"/>
        <v>437.61900000000003</v>
      </c>
      <c r="AM814" s="17"/>
      <c r="AN814" s="21"/>
      <c r="AO814" s="17">
        <f t="shared" si="291"/>
        <v>0</v>
      </c>
      <c r="AP814" s="30"/>
      <c r="AQ814" s="33"/>
      <c r="AR814" s="17">
        <f t="shared" si="292"/>
        <v>0</v>
      </c>
      <c r="AS814" s="30"/>
      <c r="AT814" s="30">
        <v>517.99800000000005</v>
      </c>
      <c r="AU814" s="17">
        <f t="shared" si="293"/>
        <v>517.99800000000005</v>
      </c>
      <c r="AV814" s="17">
        <f t="shared" si="294"/>
        <v>0</v>
      </c>
      <c r="AW814" s="17" t="str">
        <f t="shared" si="295"/>
        <v>RAWSUR</v>
      </c>
      <c r="AX814" s="81">
        <v>45219</v>
      </c>
      <c r="AY814" s="81"/>
      <c r="AZ814" s="2"/>
      <c r="BA814" s="1"/>
      <c r="BB814" s="82"/>
      <c r="BC814" s="81"/>
      <c r="BD814" s="2"/>
    </row>
    <row r="815" spans="1:56" ht="14.25" customHeight="1" x14ac:dyDescent="0.2">
      <c r="A815" s="1" t="s">
        <v>992</v>
      </c>
      <c r="B815" s="1" t="s">
        <v>57</v>
      </c>
      <c r="C815" s="48">
        <v>44899</v>
      </c>
      <c r="D815" s="48">
        <v>44896</v>
      </c>
      <c r="E815" s="13">
        <v>44896</v>
      </c>
      <c r="F815" s="13">
        <v>44985</v>
      </c>
      <c r="G815" s="14" t="str">
        <f t="shared" si="282"/>
        <v>000-814/AIB RDC/2022</v>
      </c>
      <c r="H815" s="1">
        <v>0</v>
      </c>
      <c r="I815" s="1" t="s">
        <v>74</v>
      </c>
      <c r="J815" s="1" t="s">
        <v>1126</v>
      </c>
      <c r="K815" s="1" t="s">
        <v>865</v>
      </c>
      <c r="L815" s="1"/>
      <c r="M815" s="1" t="s">
        <v>95</v>
      </c>
      <c r="N815" s="1" t="s">
        <v>102</v>
      </c>
      <c r="O815" s="1" t="s">
        <v>97</v>
      </c>
      <c r="P815" s="1" t="s">
        <v>98</v>
      </c>
      <c r="Q815" s="1" t="s">
        <v>107</v>
      </c>
      <c r="R815" s="1" t="s">
        <v>737</v>
      </c>
      <c r="S815" s="17">
        <v>0</v>
      </c>
      <c r="T815" s="34">
        <v>179937.74</v>
      </c>
      <c r="U815" s="17">
        <v>0</v>
      </c>
      <c r="V815" s="17">
        <v>0</v>
      </c>
      <c r="W815" s="17">
        <v>0</v>
      </c>
      <c r="X815" s="34">
        <v>176409.55</v>
      </c>
      <c r="Y815" s="34">
        <v>0</v>
      </c>
      <c r="Z815" s="18" t="e">
        <f t="shared" si="283"/>
        <v>#DIV/0!</v>
      </c>
      <c r="AA815" s="19">
        <v>0.1</v>
      </c>
      <c r="AB815" s="17">
        <f t="shared" si="284"/>
        <v>17640.954999999998</v>
      </c>
      <c r="AC815" s="17">
        <v>0</v>
      </c>
      <c r="AD815" s="17">
        <v>0</v>
      </c>
      <c r="AE815" s="17">
        <f t="shared" si="285"/>
        <v>17640.954999999998</v>
      </c>
      <c r="AF815" s="17">
        <v>0</v>
      </c>
      <c r="AG815" s="17">
        <f t="shared" si="287"/>
        <v>17640.954999999998</v>
      </c>
      <c r="AH815" s="17">
        <f t="shared" si="288"/>
        <v>352.81909999999999</v>
      </c>
      <c r="AI815" s="17"/>
      <c r="AJ815" s="17">
        <f t="shared" si="289"/>
        <v>352.81909999999999</v>
      </c>
      <c r="AK815" s="20"/>
      <c r="AL815" s="17">
        <f t="shared" si="290"/>
        <v>17288.135899999997</v>
      </c>
      <c r="AM815" s="17" t="s">
        <v>738</v>
      </c>
      <c r="AN815" s="21">
        <v>0.7</v>
      </c>
      <c r="AO815" s="17">
        <f t="shared" si="291"/>
        <v>12101.695129999998</v>
      </c>
      <c r="AP815" s="30"/>
      <c r="AQ815" s="33"/>
      <c r="AR815" s="17">
        <f t="shared" si="292"/>
        <v>12101.695129999998</v>
      </c>
      <c r="AS815" s="30"/>
      <c r="AT815" s="30">
        <v>17640.954999999998</v>
      </c>
      <c r="AU815" s="17">
        <f t="shared" si="293"/>
        <v>17640.954999999998</v>
      </c>
      <c r="AV815" s="17">
        <f t="shared" si="294"/>
        <v>0</v>
      </c>
      <c r="AW815" s="17" t="str">
        <f t="shared" si="295"/>
        <v>RAWSUR</v>
      </c>
      <c r="AX815" s="81">
        <v>45014</v>
      </c>
      <c r="AY815" s="1" t="s">
        <v>1127</v>
      </c>
      <c r="AZ815" s="2"/>
      <c r="BA815" s="1"/>
      <c r="BB815" s="82"/>
      <c r="BC815" s="81"/>
      <c r="BD815" s="2"/>
    </row>
    <row r="816" spans="1:56" ht="15.75" customHeight="1" x14ac:dyDescent="0.2">
      <c r="A816" s="1" t="s">
        <v>1150</v>
      </c>
      <c r="C816" s="61"/>
      <c r="D816" s="6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61"/>
      <c r="U816" s="61"/>
      <c r="V816" s="61"/>
      <c r="W816" s="61"/>
      <c r="X816" s="61"/>
      <c r="Y816" s="6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7">
        <f>SUBTOTAL(109,Tableau1[NET COM (Excl all taxes)])</f>
        <v>2047075.0597236971</v>
      </c>
      <c r="AM816" s="1"/>
      <c r="AN816" s="1"/>
      <c r="AO816" s="1"/>
      <c r="AP816" s="2"/>
      <c r="AQ816" s="2"/>
      <c r="AR816" s="1"/>
      <c r="AS816" s="2"/>
      <c r="AT816" s="2"/>
      <c r="AU816" s="1"/>
      <c r="AV816" s="84">
        <f>SUBTOTAL(109,Tableau1[BALANCE DUE TO AIB])</f>
        <v>-14985.839040131548</v>
      </c>
      <c r="AW816" s="1"/>
      <c r="AX816" s="2"/>
      <c r="AZ816" s="2"/>
      <c r="BA816" s="1"/>
      <c r="BB816" s="2"/>
      <c r="BC816" s="2"/>
      <c r="BD816" s="2">
        <f>SUBTOTAL(103,Tableau1[COMMENTS])</f>
        <v>137</v>
      </c>
    </row>
  </sheetData>
  <customSheetViews>
    <customSheetView guid="{DC680653-BE5C-45A3-A1A4-4F3B047CB886}" filter="1" showAutoFilter="1">
      <pageMargins left="0.7" right="0.7" top="0.75" bottom="0.75" header="0.3" footer="0.3"/>
      <autoFilter ref="A1:BC815" xr:uid="{74D39800-0F5A-46C4-8D61-9230FB27ADA5}">
        <filterColumn colId="10">
          <filters>
            <filter val="Liberty SPRL"/>
            <filter val="CENTRE MEDICAL DIAMANT"/>
          </filters>
        </filterColumn>
      </autoFilter>
    </customSheetView>
    <customSheetView guid="{B49D6901-FDE8-41CC-9F7C-0E9E30E258C1}" filter="1" showAutoFilter="1">
      <pageMargins left="0.7" right="0.7" top="0.75" bottom="0.75" header="0.3" footer="0.3"/>
      <autoFilter ref="A1:BD815" xr:uid="{D6C671CC-E136-4D61-948F-BD32D5FA3870}"/>
    </customSheetView>
    <customSheetView guid="{EA3B4D25-D105-4CCF-AF7C-0F9538323A0C}" filter="1" showAutoFilter="1">
      <pageMargins left="0.7" right="0.7" top="0.75" bottom="0.75" header="0.3" footer="0.3"/>
      <autoFilter ref="A1:BD807" xr:uid="{AE917CAC-25BC-4A6F-9E9D-5EAE0A004C8E}">
        <filterColumn colId="10">
          <filters>
            <filter val="All Terrain DRC Service ( ATS)"/>
            <filter val="GROUPE VIVENDI AFRICA ( GVA)"/>
            <filter val="Liberty SPRL"/>
            <filter val="Liquid Telecom DRC"/>
            <filter val="OPPORTUNITY INTERNATIONAL / Max Frédéric Woodley"/>
            <filter val="ORANGE COMPUTERS"/>
          </filters>
        </filterColumn>
        <filterColumn colId="16">
          <filters blank="1">
            <filter val="ACTIVA - LIFE"/>
            <filter val="ACTIVA/GGA"/>
            <filter val="MAYFAIR"/>
            <filter val="RAWSUR"/>
            <filter val="RAWSUR - LIFE"/>
            <filter val="SONAS"/>
            <filter val="SONAS / Agence Commerce"/>
            <filter val="SUNU"/>
          </filters>
        </filterColumn>
      </autoFilter>
    </customSheetView>
    <customSheetView guid="{81C4162B-E068-42B1-B8E4-07E0CD16D1AC}" filter="1" showAutoFilter="1">
      <pageMargins left="0.7" right="0.7" top="0.75" bottom="0.75" header="0.3" footer="0.3"/>
      <autoFilter ref="A1:BD814" xr:uid="{0D8BA86F-8DD6-403F-9F4C-C5B21D221C9E}"/>
    </customSheetView>
  </customSheetViews>
  <printOptions horizontalCentered="1"/>
  <pageMargins left="0.70866141732283472" right="0.70866141732283472" top="0.74803149606299213" bottom="0.74803149606299213" header="0" footer="0"/>
  <pageSetup orientation="landscape"/>
  <colBreaks count="1" manualBreakCount="1">
    <brk id="33" man="1"/>
  </colBreaks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000-000000000000}">
          <x14:formula1>
            <xm:f>Params!$G$4:$G$31</xm:f>
          </x14:formula1>
          <xm:sqref>O2:O795 O800:O815</xm:sqref>
        </x14:dataValidation>
        <x14:dataValidation type="list" allowBlank="1" xr:uid="{00000000-0002-0000-0000-000001000000}">
          <x14:formula1>
            <xm:f>Params!$D$4:$D$15</xm:f>
          </x14:formula1>
          <xm:sqref>AM2:AM815</xm:sqref>
        </x14:dataValidation>
        <x14:dataValidation type="list" allowBlank="1" xr:uid="{00000000-0002-0000-0000-000002000000}">
          <x14:formula1>
            <xm:f>Params!$L$4:$L$9</xm:f>
          </x14:formula1>
          <xm:sqref>AZ2:AZ815</xm:sqref>
        </x14:dataValidation>
        <x14:dataValidation type="list" allowBlank="1" showErrorMessage="1" xr:uid="{00000000-0002-0000-0000-000003000000}">
          <x14:formula1>
            <xm:f>Params!$A$1:$A$2</xm:f>
          </x14:formula1>
          <xm:sqref>B2:B815</xm:sqref>
        </x14:dataValidation>
        <x14:dataValidation type="list" allowBlank="1" showErrorMessage="1" xr:uid="{00000000-0002-0000-0000-000004000000}">
          <x14:formula1>
            <xm:f>Params!$I$4:$I$9</xm:f>
          </x14:formula1>
          <xm:sqref>M2:M815</xm:sqref>
        </x14:dataValidation>
        <x14:dataValidation type="list" allowBlank="1" showErrorMessage="1" xr:uid="{00000000-0002-0000-0000-000005000000}">
          <x14:formula1>
            <xm:f>Params!$F$4:$F$13</xm:f>
          </x14:formula1>
          <xm:sqref>P2:P815</xm:sqref>
        </x14:dataValidation>
        <x14:dataValidation type="list" allowBlank="1" xr:uid="{00000000-0002-0000-0000-000006000000}">
          <x14:formula1>
            <xm:f>Params!$H$4:$H$14</xm:f>
          </x14:formula1>
          <xm:sqref>BC1:BC223 BC225:BC815</xm:sqref>
        </x14:dataValidation>
        <x14:dataValidation type="list" allowBlank="1" showErrorMessage="1" xr:uid="{00000000-0002-0000-0000-000007000000}">
          <x14:formula1>
            <xm:f>Params!$E$4:$E$15</xm:f>
          </x14:formula1>
          <xm:sqref>A2:A542 A544:A815</xm:sqref>
        </x14:dataValidation>
        <x14:dataValidation type="list" allowBlank="1" xr:uid="{00000000-0002-0000-0000-000008000000}">
          <x14:formula1>
            <xm:f>Params!$K$4:$K$11</xm:f>
          </x14:formula1>
          <xm:sqref>I2:I815</xm:sqref>
        </x14:dataValidation>
        <x14:dataValidation type="list" allowBlank="1" showErrorMessage="1" xr:uid="{00000000-0002-0000-0000-000009000000}">
          <x14:formula1>
            <xm:f>Params!$H$4:$H$14</xm:f>
          </x14:formula1>
          <xm:sqref>Q2:R35 Q36 Q37:R182 Q183:Q201 Q202:R202 Q203:Q237 Q238:R238 Q239:Q327 Q328:R328 Q329:Q351 Q352:R353 Q354:Q400 Q401:R401 Q402:Q404 Q405:R406 Q407:Q448 Q449:R449 Q450:Q462 Q463:R465 Q466:Q476 Q477:R477 Q478:Q532 Q533:R533 Q534:Q560 Q561:R561 Q562:Q589 Q590:R590 Q591:Q606 Q607:R607 Q608:Q611 Q612:R612 Q613:Q652 Q653:R653 Q654:Q664 Q665:R665 Q666:Q668 Q669:R669 Q670:Q679 Q680:R680 Q681:Q688 Q689:R691 Q692:Q693 Q694:R694 Q695:Q706 Q707:R708 Q709:Q713 Q714:R715 Q716 Q717:R723 Q724 Q725:R730 Q731 Q732:R740 Q741 Q742:R769 Q770:Q773 Q774:R784 Q785 Q786:R786 Q787:Q788 Q789:R790 Q791:Q792 Q793:R793 Q794:Q795 Q796:R799 Q800 Q801:R801 Q802 Q803:R810 Q811 Q812:R812 Q813:Q815</xm:sqref>
        </x14:dataValidation>
        <x14:dataValidation type="list" allowBlank="1" showErrorMessage="1" xr:uid="{00000000-0002-0000-0000-00000A000000}">
          <x14:formula1>
            <xm:f>Params!$G$4:$G$30</xm:f>
          </x14:formula1>
          <xm:sqref>O796:O799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5797-16FF-4CFB-83B4-E6DB86397074}">
  <sheetPr>
    <pageSetUpPr fitToPage="1"/>
  </sheetPr>
  <dimension ref="A1:H90"/>
  <sheetViews>
    <sheetView tabSelected="1" topLeftCell="A61" zoomScale="80" zoomScaleNormal="80" workbookViewId="0">
      <selection activeCell="C79" sqref="C79"/>
    </sheetView>
  </sheetViews>
  <sheetFormatPr baseColWidth="10" defaultRowHeight="12.75" x14ac:dyDescent="0.2"/>
  <cols>
    <col min="1" max="1" width="28" bestFit="1" customWidth="1"/>
    <col min="2" max="2" width="19.28515625" bestFit="1" customWidth="1"/>
    <col min="3" max="3" width="15" bestFit="1" customWidth="1"/>
    <col min="4" max="4" width="11.5703125" bestFit="1" customWidth="1"/>
    <col min="5" max="5" width="18.140625" bestFit="1" customWidth="1"/>
    <col min="6" max="6" width="13" bestFit="1" customWidth="1"/>
    <col min="7" max="7" width="14.28515625" bestFit="1" customWidth="1"/>
    <col min="8" max="8" width="12.28515625" bestFit="1" customWidth="1"/>
  </cols>
  <sheetData>
    <row r="1" spans="1:8" x14ac:dyDescent="0.2">
      <c r="A1" s="7" t="s">
        <v>1142</v>
      </c>
      <c r="B1" s="8" t="s">
        <v>1147</v>
      </c>
      <c r="C1" s="8" t="s">
        <v>1148</v>
      </c>
      <c r="D1" s="8" t="s">
        <v>1143</v>
      </c>
      <c r="E1" s="9" t="s">
        <v>1144</v>
      </c>
      <c r="F1" s="8" t="s">
        <v>1149</v>
      </c>
      <c r="G1" s="8" t="s">
        <v>1145</v>
      </c>
      <c r="H1" s="8" t="s">
        <v>1146</v>
      </c>
    </row>
    <row r="2" spans="1:8" x14ac:dyDescent="0.2">
      <c r="A2" s="10" t="s">
        <v>56</v>
      </c>
      <c r="B2" s="8">
        <v>3581411.89</v>
      </c>
      <c r="C2" s="8">
        <v>153953.00113180644</v>
      </c>
      <c r="D2" s="8">
        <v>24033.59138108902</v>
      </c>
      <c r="E2" s="9">
        <v>150904.7256891703</v>
      </c>
      <c r="F2" s="8">
        <v>177986.59251289544</v>
      </c>
      <c r="G2" s="8">
        <v>178024.29367289544</v>
      </c>
      <c r="H2" s="8">
        <v>-37.701160000000009</v>
      </c>
    </row>
    <row r="3" spans="1:8" x14ac:dyDescent="0.2">
      <c r="A3" s="11" t="s">
        <v>66</v>
      </c>
      <c r="B3" s="8">
        <v>788331.34</v>
      </c>
      <c r="C3" s="8">
        <v>60326.362601440196</v>
      </c>
      <c r="D3" s="8">
        <v>9652.2180162304321</v>
      </c>
      <c r="E3" s="9">
        <v>59119.835349411398</v>
      </c>
      <c r="F3" s="8">
        <v>69978.580617670639</v>
      </c>
      <c r="G3" s="8">
        <v>69978.580617670639</v>
      </c>
      <c r="H3" s="8">
        <v>0</v>
      </c>
    </row>
    <row r="4" spans="1:8" x14ac:dyDescent="0.2">
      <c r="A4" s="11" t="s">
        <v>99</v>
      </c>
      <c r="B4" s="8">
        <v>18750</v>
      </c>
      <c r="C4" s="8">
        <v>664.59700000000009</v>
      </c>
      <c r="D4" s="8">
        <v>0</v>
      </c>
      <c r="E4" s="9">
        <v>651.30506000000014</v>
      </c>
      <c r="F4" s="8">
        <v>664.59700000000009</v>
      </c>
      <c r="G4" s="8">
        <v>664.59700000000009</v>
      </c>
      <c r="H4" s="8">
        <v>0</v>
      </c>
    </row>
    <row r="5" spans="1:8" x14ac:dyDescent="0.2">
      <c r="A5" s="11" t="s">
        <v>79</v>
      </c>
      <c r="B5" s="8">
        <v>180911.25999999998</v>
      </c>
      <c r="C5" s="8">
        <v>6224.2205000000004</v>
      </c>
      <c r="D5" s="8">
        <v>995.87527999999998</v>
      </c>
      <c r="E5" s="9">
        <v>6099.7360900000003</v>
      </c>
      <c r="F5" s="8">
        <v>7220.0957799999996</v>
      </c>
      <c r="G5" s="8">
        <v>7220.0957799999996</v>
      </c>
      <c r="H5" s="8">
        <v>0</v>
      </c>
    </row>
    <row r="6" spans="1:8" x14ac:dyDescent="0.2">
      <c r="A6" s="11" t="s">
        <v>107</v>
      </c>
      <c r="B6" s="8">
        <v>72897.540000000008</v>
      </c>
      <c r="C6" s="8">
        <v>3401.1372000000006</v>
      </c>
      <c r="D6" s="8">
        <v>544.1819519999998</v>
      </c>
      <c r="E6" s="9">
        <v>3333.1144559999971</v>
      </c>
      <c r="F6" s="8">
        <v>3945.3191520000014</v>
      </c>
      <c r="G6" s="8">
        <v>3893.1191520000011</v>
      </c>
      <c r="H6" s="8">
        <v>52.199999999999996</v>
      </c>
    </row>
    <row r="7" spans="1:8" x14ac:dyDescent="0.2">
      <c r="A7" s="11" t="s">
        <v>114</v>
      </c>
      <c r="B7" s="8">
        <v>113226</v>
      </c>
      <c r="C7" s="8">
        <v>3078.4580000000001</v>
      </c>
      <c r="D7" s="8">
        <v>0</v>
      </c>
      <c r="E7" s="9">
        <v>3047.6734200000001</v>
      </c>
      <c r="F7" s="8">
        <v>3078.4580000000001</v>
      </c>
      <c r="G7" s="8">
        <v>3078.4580000000001</v>
      </c>
      <c r="H7" s="8">
        <v>0</v>
      </c>
    </row>
    <row r="8" spans="1:8" x14ac:dyDescent="0.2">
      <c r="A8" s="11" t="s">
        <v>130</v>
      </c>
      <c r="B8" s="8">
        <v>2293593.1100000003</v>
      </c>
      <c r="C8" s="8">
        <v>69769.31583036622</v>
      </c>
      <c r="D8" s="8">
        <v>11163.09053285859</v>
      </c>
      <c r="E8" s="9">
        <v>68373.929513758892</v>
      </c>
      <c r="F8" s="8">
        <v>80932.4063632248</v>
      </c>
      <c r="G8" s="8">
        <v>80932.4063632248</v>
      </c>
      <c r="H8" s="8">
        <v>0</v>
      </c>
    </row>
    <row r="9" spans="1:8" x14ac:dyDescent="0.2">
      <c r="A9" s="11" t="s">
        <v>161</v>
      </c>
      <c r="B9" s="8">
        <v>40726</v>
      </c>
      <c r="C9" s="8">
        <v>3510.8620000000001</v>
      </c>
      <c r="D9" s="8">
        <v>561.73792000000003</v>
      </c>
      <c r="E9" s="9">
        <v>3440.6447600000001</v>
      </c>
      <c r="F9" s="8">
        <v>4072.5999200000006</v>
      </c>
      <c r="G9" s="8">
        <v>4072.5999200000006</v>
      </c>
      <c r="H9" s="8">
        <v>0</v>
      </c>
    </row>
    <row r="10" spans="1:8" x14ac:dyDescent="0.2">
      <c r="A10" s="11" t="s">
        <v>86</v>
      </c>
      <c r="B10" s="8">
        <v>72976.640000000014</v>
      </c>
      <c r="C10" s="8">
        <v>6978.0479999999989</v>
      </c>
      <c r="D10" s="8">
        <v>1116.48768</v>
      </c>
      <c r="E10" s="9">
        <v>6838.48704</v>
      </c>
      <c r="F10" s="8">
        <v>8094.53568</v>
      </c>
      <c r="G10" s="8">
        <v>8184.4368400000003</v>
      </c>
      <c r="H10" s="8">
        <v>-89.901160000000004</v>
      </c>
    </row>
    <row r="11" spans="1:8" x14ac:dyDescent="0.2">
      <c r="A11" s="10" t="s">
        <v>229</v>
      </c>
      <c r="B11" s="8">
        <v>722508.93</v>
      </c>
      <c r="C11" s="8">
        <v>89929.369578555241</v>
      </c>
      <c r="D11" s="8">
        <v>13956.422012568839</v>
      </c>
      <c r="E11" s="9">
        <v>88130.782186984128</v>
      </c>
      <c r="F11" s="8">
        <v>103885.7915911241</v>
      </c>
      <c r="G11" s="8">
        <v>103544.13463112411</v>
      </c>
      <c r="H11" s="8">
        <v>341.65595999999994</v>
      </c>
    </row>
    <row r="12" spans="1:8" x14ac:dyDescent="0.2">
      <c r="A12" s="11" t="s">
        <v>66</v>
      </c>
      <c r="B12" s="8">
        <v>392521.04000000004</v>
      </c>
      <c r="C12" s="8">
        <v>57386.270825315616</v>
      </c>
      <c r="D12" s="8">
        <v>9181.8033320505001</v>
      </c>
      <c r="E12" s="9">
        <v>56238.54540880931</v>
      </c>
      <c r="F12" s="8">
        <v>66568.074157366136</v>
      </c>
      <c r="G12" s="8">
        <v>66568.074157366136</v>
      </c>
      <c r="H12" s="8">
        <v>0</v>
      </c>
    </row>
    <row r="13" spans="1:8" x14ac:dyDescent="0.2">
      <c r="A13" s="11" t="s">
        <v>99</v>
      </c>
      <c r="B13" s="8">
        <v>17140</v>
      </c>
      <c r="C13" s="8">
        <v>608.49750000000006</v>
      </c>
      <c r="D13" s="8">
        <v>0</v>
      </c>
      <c r="E13" s="9">
        <v>596.32755000000009</v>
      </c>
      <c r="F13" s="8">
        <v>608.49750000000006</v>
      </c>
      <c r="G13" s="8">
        <v>608.49750000000006</v>
      </c>
      <c r="H13" s="8">
        <v>0</v>
      </c>
    </row>
    <row r="14" spans="1:8" x14ac:dyDescent="0.2">
      <c r="A14" s="11" t="s">
        <v>79</v>
      </c>
      <c r="B14" s="8">
        <v>38238.71</v>
      </c>
      <c r="C14" s="8">
        <v>4874.2084999999997</v>
      </c>
      <c r="D14" s="8">
        <v>444.95583999999997</v>
      </c>
      <c r="E14" s="9">
        <v>4776.72433</v>
      </c>
      <c r="F14" s="8">
        <v>5319.1643399999994</v>
      </c>
      <c r="G14" s="8">
        <v>5319.1633400000001</v>
      </c>
      <c r="H14" s="8">
        <v>0</v>
      </c>
    </row>
    <row r="15" spans="1:8" x14ac:dyDescent="0.2">
      <c r="A15" s="11" t="s">
        <v>107</v>
      </c>
      <c r="B15" s="8">
        <v>182291.97</v>
      </c>
      <c r="C15" s="8">
        <v>19218.894753239623</v>
      </c>
      <c r="D15" s="8">
        <v>3075.0231605183385</v>
      </c>
      <c r="E15" s="9">
        <v>18834.516858174826</v>
      </c>
      <c r="F15" s="8">
        <v>22293.917913757959</v>
      </c>
      <c r="G15" s="8">
        <v>22195.945473757958</v>
      </c>
      <c r="H15" s="8">
        <v>97.972439999999978</v>
      </c>
    </row>
    <row r="16" spans="1:8" x14ac:dyDescent="0.2">
      <c r="A16" s="11" t="s">
        <v>130</v>
      </c>
      <c r="B16" s="8">
        <v>81838.12</v>
      </c>
      <c r="C16" s="8">
        <v>6943.3200000000006</v>
      </c>
      <c r="D16" s="8">
        <v>1110.9312</v>
      </c>
      <c r="E16" s="9">
        <v>6804.4536000000007</v>
      </c>
      <c r="F16" s="8">
        <v>8054.2512000000024</v>
      </c>
      <c r="G16" s="8">
        <v>7810.5676800000019</v>
      </c>
      <c r="H16" s="8">
        <v>243.68351999999999</v>
      </c>
    </row>
    <row r="17" spans="1:8" x14ac:dyDescent="0.2">
      <c r="A17" s="11" t="s">
        <v>86</v>
      </c>
      <c r="B17" s="8">
        <v>10479.09</v>
      </c>
      <c r="C17" s="8">
        <v>898.178</v>
      </c>
      <c r="D17" s="8">
        <v>143.70848000000001</v>
      </c>
      <c r="E17" s="9">
        <v>880.21443999999997</v>
      </c>
      <c r="F17" s="8">
        <v>1041.8864800000001</v>
      </c>
      <c r="G17" s="8">
        <v>1041.8864800000001</v>
      </c>
      <c r="H17" s="8">
        <v>0</v>
      </c>
    </row>
    <row r="18" spans="1:8" x14ac:dyDescent="0.2">
      <c r="A18" s="10" t="s">
        <v>324</v>
      </c>
      <c r="B18" s="8">
        <v>7023078.4699999997</v>
      </c>
      <c r="C18" s="8">
        <v>228296.49622472411</v>
      </c>
      <c r="D18" s="8">
        <v>36527.439395955866</v>
      </c>
      <c r="E18" s="9">
        <v>223730.56630022966</v>
      </c>
      <c r="F18" s="8">
        <v>264823.93562068004</v>
      </c>
      <c r="G18" s="8">
        <v>265123.93562068004</v>
      </c>
      <c r="H18" s="8">
        <v>-300</v>
      </c>
    </row>
    <row r="19" spans="1:8" x14ac:dyDescent="0.2">
      <c r="A19" s="11" t="s">
        <v>66</v>
      </c>
      <c r="B19" s="8">
        <v>58723.86</v>
      </c>
      <c r="C19" s="8">
        <v>7767.0251229999994</v>
      </c>
      <c r="D19" s="8">
        <v>1242.7240196800001</v>
      </c>
      <c r="E19" s="9">
        <v>7611.6846205399997</v>
      </c>
      <c r="F19" s="8">
        <v>9009.7491426800007</v>
      </c>
      <c r="G19" s="8">
        <v>9009.7491426800007</v>
      </c>
      <c r="H19" s="8">
        <v>0</v>
      </c>
    </row>
    <row r="20" spans="1:8" x14ac:dyDescent="0.2">
      <c r="A20" s="11" t="s">
        <v>79</v>
      </c>
      <c r="B20" s="8">
        <v>2203326.5500000003</v>
      </c>
      <c r="C20" s="8">
        <v>71709.011101724129</v>
      </c>
      <c r="D20" s="8">
        <v>11473.441776275862</v>
      </c>
      <c r="E20" s="9">
        <v>70274.83087968966</v>
      </c>
      <c r="F20" s="8">
        <v>83182.452877999996</v>
      </c>
      <c r="G20" s="8">
        <v>83482.452877999996</v>
      </c>
      <c r="H20" s="8">
        <v>-300</v>
      </c>
    </row>
    <row r="21" spans="1:8" x14ac:dyDescent="0.2">
      <c r="A21" s="11" t="s">
        <v>107</v>
      </c>
      <c r="B21" s="8">
        <v>3917596.6099999994</v>
      </c>
      <c r="C21" s="8">
        <v>112954.01300000001</v>
      </c>
      <c r="D21" s="8">
        <v>18072.642080000001</v>
      </c>
      <c r="E21" s="9">
        <v>110694.93274000002</v>
      </c>
      <c r="F21" s="8">
        <v>131026.65508</v>
      </c>
      <c r="G21" s="8">
        <v>131026.65508</v>
      </c>
      <c r="H21" s="8">
        <v>0</v>
      </c>
    </row>
    <row r="22" spans="1:8" x14ac:dyDescent="0.2">
      <c r="A22" s="11" t="s">
        <v>130</v>
      </c>
      <c r="B22" s="8">
        <v>823528.41</v>
      </c>
      <c r="C22" s="8">
        <v>33712.679500000006</v>
      </c>
      <c r="D22" s="8">
        <v>5394.0287199999993</v>
      </c>
      <c r="E22" s="9">
        <v>33038.425910000005</v>
      </c>
      <c r="F22" s="8">
        <v>39106.708220000008</v>
      </c>
      <c r="G22" s="8">
        <v>39106.708220000008</v>
      </c>
      <c r="H22" s="8">
        <v>0</v>
      </c>
    </row>
    <row r="23" spans="1:8" x14ac:dyDescent="0.2">
      <c r="A23" s="11" t="s">
        <v>86</v>
      </c>
      <c r="B23" s="8">
        <v>19903.039999999997</v>
      </c>
      <c r="C23" s="8">
        <v>2153.7674999999999</v>
      </c>
      <c r="D23" s="8">
        <v>344.6028</v>
      </c>
      <c r="E23" s="9">
        <v>2110.6921499999999</v>
      </c>
      <c r="F23" s="8">
        <v>2498.3702999999991</v>
      </c>
      <c r="G23" s="8">
        <v>2498.3702999999991</v>
      </c>
      <c r="H23" s="8">
        <v>0</v>
      </c>
    </row>
    <row r="24" spans="1:8" x14ac:dyDescent="0.2">
      <c r="A24" s="10" t="s">
        <v>369</v>
      </c>
      <c r="B24" s="8">
        <v>862287.54524999997</v>
      </c>
      <c r="C24" s="8">
        <v>91122.932366999987</v>
      </c>
      <c r="D24" s="8">
        <v>14526.698054719998</v>
      </c>
      <c r="E24" s="9">
        <v>89303.784414909984</v>
      </c>
      <c r="F24" s="8">
        <v>105649.63042171998</v>
      </c>
      <c r="G24" s="8">
        <v>105649.63042171998</v>
      </c>
      <c r="H24" s="8">
        <v>0</v>
      </c>
    </row>
    <row r="25" spans="1:8" x14ac:dyDescent="0.2">
      <c r="A25" s="11" t="s">
        <v>66</v>
      </c>
      <c r="B25" s="8">
        <v>98713.250000000015</v>
      </c>
      <c r="C25" s="8">
        <v>11094.459641999989</v>
      </c>
      <c r="D25" s="8">
        <v>1775.1135427199983</v>
      </c>
      <c r="E25" s="9">
        <v>10872.570449159992</v>
      </c>
      <c r="F25" s="8">
        <v>12869.57318471999</v>
      </c>
      <c r="G25" s="8">
        <v>12869.573184719988</v>
      </c>
      <c r="H25" s="8">
        <v>0</v>
      </c>
    </row>
    <row r="26" spans="1:8" x14ac:dyDescent="0.2">
      <c r="A26" s="11" t="s">
        <v>796</v>
      </c>
      <c r="B26" s="8">
        <v>3445.6952500000002</v>
      </c>
      <c r="C26" s="8">
        <v>331.06952500000006</v>
      </c>
      <c r="D26" s="8">
        <v>0</v>
      </c>
      <c r="E26" s="9">
        <v>327.75882975000007</v>
      </c>
      <c r="F26" s="8">
        <v>331.06952500000006</v>
      </c>
      <c r="G26" s="8">
        <v>331.06952500000006</v>
      </c>
      <c r="H26" s="8">
        <v>0</v>
      </c>
    </row>
    <row r="27" spans="1:8" x14ac:dyDescent="0.2">
      <c r="A27" s="11" t="s">
        <v>79</v>
      </c>
      <c r="B27" s="8">
        <v>180048.26</v>
      </c>
      <c r="C27" s="8">
        <v>22626.635999999999</v>
      </c>
      <c r="D27" s="8">
        <v>3620.2617599999999</v>
      </c>
      <c r="E27" s="9">
        <v>22174.103279999999</v>
      </c>
      <c r="F27" s="8">
        <v>26246.89776</v>
      </c>
      <c r="G27" s="8">
        <v>26246.89776</v>
      </c>
      <c r="H27" s="8">
        <v>0</v>
      </c>
    </row>
    <row r="28" spans="1:8" x14ac:dyDescent="0.2">
      <c r="A28" s="11" t="s">
        <v>107</v>
      </c>
      <c r="B28" s="8">
        <v>326319.31</v>
      </c>
      <c r="C28" s="8">
        <v>27845.591200000003</v>
      </c>
      <c r="D28" s="8">
        <v>4455.2945920000002</v>
      </c>
      <c r="E28" s="9">
        <v>27288.679376000004</v>
      </c>
      <c r="F28" s="8">
        <v>32300.885792000001</v>
      </c>
      <c r="G28" s="8">
        <v>32300.885792000001</v>
      </c>
      <c r="H28" s="8">
        <v>0</v>
      </c>
    </row>
    <row r="29" spans="1:8" x14ac:dyDescent="0.2">
      <c r="A29" s="11" t="s">
        <v>130</v>
      </c>
      <c r="B29" s="8">
        <v>240156.41000000003</v>
      </c>
      <c r="C29" s="8">
        <v>28063.976000000006</v>
      </c>
      <c r="D29" s="8">
        <v>4490.2361600000004</v>
      </c>
      <c r="E29" s="9">
        <v>27502.696480000002</v>
      </c>
      <c r="F29" s="8">
        <v>32554.212159999999</v>
      </c>
      <c r="G29" s="8">
        <v>32554.212159999999</v>
      </c>
      <c r="H29" s="8">
        <v>0</v>
      </c>
    </row>
    <row r="30" spans="1:8" x14ac:dyDescent="0.2">
      <c r="A30" s="11" t="s">
        <v>86</v>
      </c>
      <c r="B30" s="8">
        <v>13604.62</v>
      </c>
      <c r="C30" s="8">
        <v>1161.2</v>
      </c>
      <c r="D30" s="8">
        <v>185.792</v>
      </c>
      <c r="E30" s="9">
        <v>1137.9760000000001</v>
      </c>
      <c r="F30" s="8">
        <v>1346.992</v>
      </c>
      <c r="G30" s="8">
        <v>1346.992</v>
      </c>
      <c r="H30" s="8">
        <v>0</v>
      </c>
    </row>
    <row r="31" spans="1:8" x14ac:dyDescent="0.2">
      <c r="A31" s="10" t="s">
        <v>496</v>
      </c>
      <c r="B31" s="8">
        <v>1294936.54</v>
      </c>
      <c r="C31" s="8">
        <v>114520.84368002544</v>
      </c>
      <c r="D31" s="8">
        <v>16875.50514880407</v>
      </c>
      <c r="E31" s="9">
        <v>112320.27090642492</v>
      </c>
      <c r="F31" s="8">
        <v>131396.34882882948</v>
      </c>
      <c r="G31" s="8">
        <v>130689.17512882949</v>
      </c>
      <c r="H31" s="8">
        <v>707.17370000000005</v>
      </c>
    </row>
    <row r="32" spans="1:8" x14ac:dyDescent="0.2">
      <c r="A32" s="11" t="s">
        <v>66</v>
      </c>
      <c r="B32" s="8">
        <v>22043.43</v>
      </c>
      <c r="C32" s="8">
        <v>3172.5964300254377</v>
      </c>
      <c r="D32" s="8">
        <v>507.61542880407001</v>
      </c>
      <c r="E32" s="9">
        <v>3109.1445014249289</v>
      </c>
      <c r="F32" s="8">
        <v>3680.2118588295075</v>
      </c>
      <c r="G32" s="8">
        <v>3680.2118588295075</v>
      </c>
      <c r="H32" s="8">
        <v>0</v>
      </c>
    </row>
    <row r="33" spans="1:8" x14ac:dyDescent="0.2">
      <c r="A33" s="11" t="s">
        <v>99</v>
      </c>
      <c r="B33" s="8">
        <v>1810</v>
      </c>
      <c r="C33" s="8">
        <v>64.526499999999999</v>
      </c>
      <c r="D33" s="8">
        <v>0</v>
      </c>
      <c r="E33" s="9">
        <v>63.235970000000002</v>
      </c>
      <c r="F33" s="8">
        <v>64.526499999999999</v>
      </c>
      <c r="G33" s="8">
        <v>64.526499999999999</v>
      </c>
      <c r="H33" s="8">
        <v>0</v>
      </c>
    </row>
    <row r="34" spans="1:8" x14ac:dyDescent="0.2">
      <c r="A34" s="11" t="s">
        <v>79</v>
      </c>
      <c r="B34" s="8">
        <v>172478.77000000002</v>
      </c>
      <c r="C34" s="8">
        <v>26908.960499999997</v>
      </c>
      <c r="D34" s="8">
        <v>4305.4336800000001</v>
      </c>
      <c r="E34" s="9">
        <v>26370.781289999999</v>
      </c>
      <c r="F34" s="8">
        <v>31214.394180000003</v>
      </c>
      <c r="G34" s="8">
        <v>31214.394180000003</v>
      </c>
      <c r="H34" s="8">
        <v>0</v>
      </c>
    </row>
    <row r="35" spans="1:8" x14ac:dyDescent="0.2">
      <c r="A35" s="11" t="s">
        <v>107</v>
      </c>
      <c r="B35" s="8">
        <v>529957.64</v>
      </c>
      <c r="C35" s="8">
        <v>66057.886499999993</v>
      </c>
      <c r="D35" s="8">
        <v>10569.261839999997</v>
      </c>
      <c r="E35" s="9">
        <v>64736.728769999994</v>
      </c>
      <c r="F35" s="8">
        <v>76627.148339999985</v>
      </c>
      <c r="G35" s="8">
        <v>76352.43597999998</v>
      </c>
      <c r="H35" s="8">
        <v>274.71236000000005</v>
      </c>
    </row>
    <row r="36" spans="1:8" x14ac:dyDescent="0.2">
      <c r="A36" s="11" t="s">
        <v>114</v>
      </c>
      <c r="B36" s="8">
        <v>90742.5</v>
      </c>
      <c r="C36" s="8">
        <v>8984.409999999998</v>
      </c>
      <c r="D36" s="8">
        <v>0</v>
      </c>
      <c r="E36" s="9">
        <v>8894.5658999999978</v>
      </c>
      <c r="F36" s="8">
        <v>8984.409999999998</v>
      </c>
      <c r="G36" s="8">
        <v>8984.409999999998</v>
      </c>
      <c r="H36" s="8">
        <v>0</v>
      </c>
    </row>
    <row r="37" spans="1:8" x14ac:dyDescent="0.2">
      <c r="A37" s="11" t="s">
        <v>130</v>
      </c>
      <c r="B37" s="8">
        <v>442029.3</v>
      </c>
      <c r="C37" s="8">
        <v>5499.1570000000002</v>
      </c>
      <c r="D37" s="8">
        <v>879.86511999999993</v>
      </c>
      <c r="E37" s="9">
        <v>5389.173859999999</v>
      </c>
      <c r="F37" s="8">
        <v>6379.0221199999987</v>
      </c>
      <c r="G37" s="8">
        <v>5946.5607799999998</v>
      </c>
      <c r="H37" s="8">
        <v>432.46134000000001</v>
      </c>
    </row>
    <row r="38" spans="1:8" x14ac:dyDescent="0.2">
      <c r="A38" s="11" t="s">
        <v>86</v>
      </c>
      <c r="B38" s="8">
        <v>35874.9</v>
      </c>
      <c r="C38" s="8">
        <v>3833.3067499999997</v>
      </c>
      <c r="D38" s="8">
        <v>613.32907999999998</v>
      </c>
      <c r="E38" s="9">
        <v>3756.6406150000003</v>
      </c>
      <c r="F38" s="8">
        <v>4446.6358299999993</v>
      </c>
      <c r="G38" s="8">
        <v>4446.6358299999993</v>
      </c>
      <c r="H38" s="8">
        <v>0</v>
      </c>
    </row>
    <row r="39" spans="1:8" x14ac:dyDescent="0.2">
      <c r="A39" s="10" t="s">
        <v>578</v>
      </c>
      <c r="B39" s="8">
        <v>1880912.9500000002</v>
      </c>
      <c r="C39" s="8">
        <v>125497.95075032917</v>
      </c>
      <c r="D39" s="8">
        <v>20079.672120052666</v>
      </c>
      <c r="E39" s="9">
        <v>122987.99173532259</v>
      </c>
      <c r="F39" s="8">
        <v>145577.62287038189</v>
      </c>
      <c r="G39" s="8">
        <v>142974.83085038202</v>
      </c>
      <c r="H39" s="8">
        <v>2602.7920199998516</v>
      </c>
    </row>
    <row r="40" spans="1:8" x14ac:dyDescent="0.2">
      <c r="A40" s="11" t="s">
        <v>66</v>
      </c>
      <c r="B40" s="8">
        <v>18153.54</v>
      </c>
      <c r="C40" s="8">
        <v>2371.7055089499927</v>
      </c>
      <c r="D40" s="8">
        <v>379.47288143199887</v>
      </c>
      <c r="E40" s="9">
        <v>2324.2713987709931</v>
      </c>
      <c r="F40" s="8">
        <v>2751.1783903819914</v>
      </c>
      <c r="G40" s="8">
        <v>2751.1783903819914</v>
      </c>
      <c r="H40" s="8">
        <v>0</v>
      </c>
    </row>
    <row r="41" spans="1:8" x14ac:dyDescent="0.2">
      <c r="A41" s="11" t="s">
        <v>79</v>
      </c>
      <c r="B41" s="8">
        <v>3256.54</v>
      </c>
      <c r="C41" s="8">
        <v>396.95249999999999</v>
      </c>
      <c r="D41" s="8">
        <v>63.512400000000007</v>
      </c>
      <c r="E41" s="9">
        <v>389.01345000000003</v>
      </c>
      <c r="F41" s="8">
        <v>460.46489999999994</v>
      </c>
      <c r="G41" s="8">
        <v>460.46489999999994</v>
      </c>
      <c r="H41" s="8">
        <v>0</v>
      </c>
    </row>
    <row r="42" spans="1:8" x14ac:dyDescent="0.2">
      <c r="A42" s="11" t="s">
        <v>107</v>
      </c>
      <c r="B42" s="8">
        <v>1064841.1400000001</v>
      </c>
      <c r="C42" s="8">
        <v>51502.519</v>
      </c>
      <c r="D42" s="8">
        <v>8240.4030399999992</v>
      </c>
      <c r="E42" s="9">
        <v>50472.468620000007</v>
      </c>
      <c r="F42" s="8">
        <v>59742.922040000005</v>
      </c>
      <c r="G42" s="8">
        <v>57236.655719999995</v>
      </c>
      <c r="H42" s="8">
        <v>2506.2663199999997</v>
      </c>
    </row>
    <row r="43" spans="1:8" x14ac:dyDescent="0.2">
      <c r="A43" s="11" t="s">
        <v>130</v>
      </c>
      <c r="B43" s="8">
        <v>778097.24</v>
      </c>
      <c r="C43" s="8">
        <v>69804.126741379179</v>
      </c>
      <c r="D43" s="8">
        <v>11168.660278620668</v>
      </c>
      <c r="E43" s="9">
        <v>68408.044206551596</v>
      </c>
      <c r="F43" s="8">
        <v>80972.787019999887</v>
      </c>
      <c r="G43" s="8">
        <v>80876.26132000002</v>
      </c>
      <c r="H43" s="8">
        <v>96.525699999852122</v>
      </c>
    </row>
    <row r="44" spans="1:8" x14ac:dyDescent="0.2">
      <c r="A44" s="11" t="s">
        <v>86</v>
      </c>
      <c r="B44" s="8">
        <v>16564.490000000002</v>
      </c>
      <c r="C44" s="8">
        <v>1422.6470000000002</v>
      </c>
      <c r="D44" s="8">
        <v>227.62351999999998</v>
      </c>
      <c r="E44" s="9">
        <v>1394.19406</v>
      </c>
      <c r="F44" s="8">
        <v>1650.2705200000003</v>
      </c>
      <c r="G44" s="8">
        <v>1650.2705200000003</v>
      </c>
      <c r="H44" s="8">
        <v>0</v>
      </c>
    </row>
    <row r="45" spans="1:8" x14ac:dyDescent="0.2">
      <c r="A45" s="10" t="s">
        <v>654</v>
      </c>
      <c r="B45" s="8">
        <v>3379353.99</v>
      </c>
      <c r="C45" s="8">
        <v>115921.76651270705</v>
      </c>
      <c r="D45" s="8">
        <v>16986.598802033124</v>
      </c>
      <c r="E45" s="9">
        <v>113648.89122245289</v>
      </c>
      <c r="F45" s="8">
        <v>132908.36531474013</v>
      </c>
      <c r="G45" s="8">
        <v>132791.93669474014</v>
      </c>
      <c r="H45" s="8">
        <v>116.42862000000025</v>
      </c>
    </row>
    <row r="46" spans="1:8" x14ac:dyDescent="0.2">
      <c r="A46" s="11" t="s">
        <v>66</v>
      </c>
      <c r="B46" s="8">
        <v>18009.309999999998</v>
      </c>
      <c r="C46" s="8">
        <v>2543.0182379462303</v>
      </c>
      <c r="D46" s="8">
        <v>406.88291807139683</v>
      </c>
      <c r="E46" s="9">
        <v>2492.1578731873055</v>
      </c>
      <c r="F46" s="8">
        <v>2949.9011560176268</v>
      </c>
      <c r="G46" s="8">
        <v>2949.9011560176268</v>
      </c>
      <c r="H46" s="8">
        <v>0</v>
      </c>
    </row>
    <row r="47" spans="1:8" x14ac:dyDescent="0.2">
      <c r="A47" s="11" t="s">
        <v>796</v>
      </c>
      <c r="B47" s="8">
        <v>31241.5</v>
      </c>
      <c r="C47" s="8">
        <v>3117.15</v>
      </c>
      <c r="D47" s="8">
        <v>0</v>
      </c>
      <c r="E47" s="9">
        <v>3085.9785000000002</v>
      </c>
      <c r="F47" s="8">
        <v>3117.15</v>
      </c>
      <c r="G47" s="8">
        <v>3117.15</v>
      </c>
      <c r="H47" s="8">
        <v>0</v>
      </c>
    </row>
    <row r="48" spans="1:8" x14ac:dyDescent="0.2">
      <c r="A48" s="11" t="s">
        <v>79</v>
      </c>
      <c r="B48" s="8">
        <v>79929.709999999977</v>
      </c>
      <c r="C48" s="8">
        <v>4640.5931999999993</v>
      </c>
      <c r="D48" s="8">
        <v>742.494912</v>
      </c>
      <c r="E48" s="9">
        <v>4547.7813360000009</v>
      </c>
      <c r="F48" s="8">
        <v>5383.0881120000004</v>
      </c>
      <c r="G48" s="8">
        <v>5383.0881120000004</v>
      </c>
      <c r="H48" s="8">
        <v>0</v>
      </c>
    </row>
    <row r="49" spans="1:8" x14ac:dyDescent="0.2">
      <c r="A49" s="11" t="s">
        <v>107</v>
      </c>
      <c r="B49" s="8">
        <v>2909252.29</v>
      </c>
      <c r="C49" s="8">
        <v>82225.135247605635</v>
      </c>
      <c r="D49" s="8">
        <v>12324.098439616899</v>
      </c>
      <c r="E49" s="9">
        <v>80580.632542653504</v>
      </c>
      <c r="F49" s="8">
        <v>94549.233687222499</v>
      </c>
      <c r="G49" s="8">
        <v>94534.683807222507</v>
      </c>
      <c r="H49" s="8">
        <v>14.549880000000257</v>
      </c>
    </row>
    <row r="50" spans="1:8" x14ac:dyDescent="0.2">
      <c r="A50" s="11" t="s">
        <v>114</v>
      </c>
      <c r="B50" s="8">
        <v>14532.43</v>
      </c>
      <c r="C50" s="8">
        <v>1438.854</v>
      </c>
      <c r="D50" s="8">
        <v>0</v>
      </c>
      <c r="E50" s="9">
        <v>1424.4654599999999</v>
      </c>
      <c r="F50" s="8">
        <v>1438.854</v>
      </c>
      <c r="G50" s="8">
        <v>1438.854</v>
      </c>
      <c r="H50" s="8">
        <v>0</v>
      </c>
    </row>
    <row r="51" spans="1:8" x14ac:dyDescent="0.2">
      <c r="A51" s="11" t="s">
        <v>130</v>
      </c>
      <c r="B51" s="8">
        <v>322084.38999999996</v>
      </c>
      <c r="C51" s="8">
        <v>21483.550827155173</v>
      </c>
      <c r="D51" s="8">
        <v>3437.3681323448277</v>
      </c>
      <c r="E51" s="9">
        <v>21053.879810612067</v>
      </c>
      <c r="F51" s="8">
        <v>24920.918959499999</v>
      </c>
      <c r="G51" s="8">
        <v>24819.040219499999</v>
      </c>
      <c r="H51" s="8">
        <v>101.87873999999999</v>
      </c>
    </row>
    <row r="52" spans="1:8" x14ac:dyDescent="0.2">
      <c r="A52" s="11" t="s">
        <v>711</v>
      </c>
      <c r="B52" s="8">
        <v>1844</v>
      </c>
      <c r="C52" s="8">
        <v>158.46500000000003</v>
      </c>
      <c r="D52" s="8">
        <v>25.354400000000005</v>
      </c>
      <c r="E52" s="9">
        <v>155.29570000000004</v>
      </c>
      <c r="F52" s="8">
        <v>183.81940000000003</v>
      </c>
      <c r="G52" s="8">
        <v>183.81940000000003</v>
      </c>
      <c r="H52" s="8">
        <v>0</v>
      </c>
    </row>
    <row r="53" spans="1:8" x14ac:dyDescent="0.2">
      <c r="A53" s="11" t="s">
        <v>86</v>
      </c>
      <c r="B53" s="8">
        <v>2460.36</v>
      </c>
      <c r="C53" s="8">
        <v>315</v>
      </c>
      <c r="D53" s="8">
        <v>50.4</v>
      </c>
      <c r="E53" s="9">
        <v>308.7</v>
      </c>
      <c r="F53" s="8">
        <v>365.4</v>
      </c>
      <c r="G53" s="8">
        <v>365.4</v>
      </c>
      <c r="H53" s="8">
        <v>0</v>
      </c>
    </row>
    <row r="54" spans="1:8" x14ac:dyDescent="0.2">
      <c r="A54" s="10" t="s">
        <v>439</v>
      </c>
      <c r="B54" s="8">
        <v>6668044.3100000005</v>
      </c>
      <c r="C54" s="8">
        <v>314056.352411</v>
      </c>
      <c r="D54" s="8">
        <v>50161.941825760012</v>
      </c>
      <c r="E54" s="9">
        <v>307775.22536278004</v>
      </c>
      <c r="F54" s="8">
        <v>364218.29423676</v>
      </c>
      <c r="G54" s="8">
        <v>364127.15679676004</v>
      </c>
      <c r="H54" s="8">
        <v>91.141199999999984</v>
      </c>
    </row>
    <row r="55" spans="1:8" x14ac:dyDescent="0.2">
      <c r="A55" s="11" t="s">
        <v>66</v>
      </c>
      <c r="B55" s="8">
        <v>53459.51</v>
      </c>
      <c r="C55" s="8">
        <v>8790.8930110000165</v>
      </c>
      <c r="D55" s="8">
        <v>1406.5428817600025</v>
      </c>
      <c r="E55" s="9">
        <v>8615.075150780016</v>
      </c>
      <c r="F55" s="8">
        <v>10197.435892760017</v>
      </c>
      <c r="G55" s="8">
        <v>10197.435892760017</v>
      </c>
      <c r="H55" s="8">
        <v>0</v>
      </c>
    </row>
    <row r="56" spans="1:8" x14ac:dyDescent="0.2">
      <c r="A56" s="11" t="s">
        <v>79</v>
      </c>
      <c r="B56" s="8">
        <v>47511.57</v>
      </c>
      <c r="C56" s="8">
        <v>5469.3044000000009</v>
      </c>
      <c r="D56" s="8">
        <v>788.01414399999999</v>
      </c>
      <c r="E56" s="9">
        <v>5359.9183119999998</v>
      </c>
      <c r="F56" s="8">
        <v>6257.3185440000007</v>
      </c>
      <c r="G56" s="8">
        <v>6257.3185440000007</v>
      </c>
      <c r="H56" s="8">
        <v>0</v>
      </c>
    </row>
    <row r="57" spans="1:8" x14ac:dyDescent="0.2">
      <c r="A57" s="11" t="s">
        <v>107</v>
      </c>
      <c r="B57" s="8">
        <v>5444376.580000001</v>
      </c>
      <c r="C57" s="8">
        <v>249130.101</v>
      </c>
      <c r="D57" s="8">
        <v>39860.816160000009</v>
      </c>
      <c r="E57" s="9">
        <v>244147.49898</v>
      </c>
      <c r="F57" s="8">
        <v>288990.91715999995</v>
      </c>
      <c r="G57" s="8">
        <v>288899.77971999999</v>
      </c>
      <c r="H57" s="8">
        <v>91.141199999999984</v>
      </c>
    </row>
    <row r="58" spans="1:8" x14ac:dyDescent="0.2">
      <c r="A58" s="11" t="s">
        <v>130</v>
      </c>
      <c r="B58" s="8">
        <v>1112195.3499999996</v>
      </c>
      <c r="C58" s="8">
        <v>49765.002499999988</v>
      </c>
      <c r="D58" s="8">
        <v>7962.4003999999986</v>
      </c>
      <c r="E58" s="9">
        <v>48769.70244999999</v>
      </c>
      <c r="F58" s="8">
        <v>57727.402900000016</v>
      </c>
      <c r="G58" s="8">
        <v>57727.402900000016</v>
      </c>
      <c r="H58" s="8">
        <v>0</v>
      </c>
    </row>
    <row r="59" spans="1:8" x14ac:dyDescent="0.2">
      <c r="A59" s="11" t="s">
        <v>86</v>
      </c>
      <c r="B59" s="8">
        <v>10501.3</v>
      </c>
      <c r="C59" s="8">
        <v>901.05150000000015</v>
      </c>
      <c r="D59" s="8">
        <v>144.16824000000003</v>
      </c>
      <c r="E59" s="9">
        <v>883.03047000000026</v>
      </c>
      <c r="F59" s="8">
        <v>1045.2197400000002</v>
      </c>
      <c r="G59" s="8">
        <v>1045.2197400000002</v>
      </c>
      <c r="H59" s="8">
        <v>0</v>
      </c>
    </row>
    <row r="60" spans="1:8" x14ac:dyDescent="0.2">
      <c r="A60" s="10" t="s">
        <v>773</v>
      </c>
      <c r="B60" s="8">
        <v>1301994.8600000001</v>
      </c>
      <c r="C60" s="8">
        <v>129485.04153555752</v>
      </c>
      <c r="D60" s="8">
        <v>17794.748405689214</v>
      </c>
      <c r="E60" s="9">
        <v>126648.50432208774</v>
      </c>
      <c r="F60" s="8">
        <v>147279.78994124674</v>
      </c>
      <c r="G60" s="8">
        <v>146934.40266124683</v>
      </c>
      <c r="H60" s="8">
        <v>345.39</v>
      </c>
    </row>
    <row r="61" spans="1:8" x14ac:dyDescent="0.2">
      <c r="A61" s="11" t="s">
        <v>66</v>
      </c>
      <c r="B61" s="8">
        <v>16494.149999999998</v>
      </c>
      <c r="C61" s="8">
        <v>1961.9390286610596</v>
      </c>
      <c r="D61" s="8">
        <v>313.91024458576959</v>
      </c>
      <c r="E61" s="9">
        <v>1922.7002480878384</v>
      </c>
      <c r="F61" s="8">
        <v>2275.8492732468289</v>
      </c>
      <c r="G61" s="8">
        <v>2275.8492732468289</v>
      </c>
      <c r="H61" s="8">
        <v>0</v>
      </c>
    </row>
    <row r="62" spans="1:8" x14ac:dyDescent="0.2">
      <c r="A62" s="11" t="s">
        <v>79</v>
      </c>
      <c r="B62" s="8">
        <v>54694.539999999994</v>
      </c>
      <c r="C62" s="8">
        <v>5868.2250000000004</v>
      </c>
      <c r="D62" s="8">
        <v>938.91600000000005</v>
      </c>
      <c r="E62" s="9">
        <v>5750.8605000000007</v>
      </c>
      <c r="F62" s="8">
        <v>6807.1409999999996</v>
      </c>
      <c r="G62" s="8">
        <v>6807.1409999999996</v>
      </c>
      <c r="H62" s="8">
        <v>0</v>
      </c>
    </row>
    <row r="63" spans="1:8" x14ac:dyDescent="0.2">
      <c r="A63" s="11" t="s">
        <v>107</v>
      </c>
      <c r="B63" s="8">
        <v>515372.62999999995</v>
      </c>
      <c r="C63" s="8">
        <v>43330.025706896551</v>
      </c>
      <c r="D63" s="8">
        <v>4009.9458731034483</v>
      </c>
      <c r="E63" s="9">
        <v>42216.588809999994</v>
      </c>
      <c r="F63" s="8">
        <v>47339.971579999998</v>
      </c>
      <c r="G63" s="8">
        <v>47044.171580000002</v>
      </c>
      <c r="H63" s="8">
        <v>295.8</v>
      </c>
    </row>
    <row r="64" spans="1:8" x14ac:dyDescent="0.2">
      <c r="A64" s="11" t="s">
        <v>114</v>
      </c>
      <c r="B64" s="8">
        <v>23455.040000000001</v>
      </c>
      <c r="C64" s="8">
        <v>0</v>
      </c>
      <c r="D64" s="8">
        <v>0</v>
      </c>
      <c r="E64" s="9">
        <v>0</v>
      </c>
      <c r="F64" s="8">
        <v>0</v>
      </c>
      <c r="G64" s="8"/>
      <c r="H64" s="8">
        <v>0</v>
      </c>
    </row>
    <row r="65" spans="1:8" x14ac:dyDescent="0.2">
      <c r="A65" s="11" t="s">
        <v>130</v>
      </c>
      <c r="B65" s="8">
        <v>690674.43</v>
      </c>
      <c r="C65" s="8">
        <v>78209.39179999991</v>
      </c>
      <c r="D65" s="8">
        <v>12513.502687999995</v>
      </c>
      <c r="E65" s="9">
        <v>76645.203963999913</v>
      </c>
      <c r="F65" s="8">
        <v>90722.894487999918</v>
      </c>
      <c r="G65" s="8">
        <v>90673.307207999998</v>
      </c>
      <c r="H65" s="8">
        <v>49.589999999999996</v>
      </c>
    </row>
    <row r="66" spans="1:8" x14ac:dyDescent="0.2">
      <c r="A66" s="11" t="s">
        <v>86</v>
      </c>
      <c r="B66" s="8">
        <v>1304.07</v>
      </c>
      <c r="C66" s="8">
        <v>115.46000000000001</v>
      </c>
      <c r="D66" s="8">
        <v>18.473600000000001</v>
      </c>
      <c r="E66" s="9">
        <v>113.1508</v>
      </c>
      <c r="F66" s="8">
        <v>133.93360000000001</v>
      </c>
      <c r="G66" s="8">
        <v>133.93360000000001</v>
      </c>
      <c r="H66" s="8">
        <v>0</v>
      </c>
    </row>
    <row r="67" spans="1:8" x14ac:dyDescent="0.2">
      <c r="A67" s="10" t="s">
        <v>667</v>
      </c>
      <c r="B67" s="8">
        <v>1125221.4199999997</v>
      </c>
      <c r="C67" s="8">
        <v>96974.69825387976</v>
      </c>
      <c r="D67" s="8">
        <v>15515.951720620758</v>
      </c>
      <c r="E67" s="9">
        <v>95035.204288802153</v>
      </c>
      <c r="F67" s="8">
        <v>112490.64997450053</v>
      </c>
      <c r="G67" s="8">
        <v>111075.1119945005</v>
      </c>
      <c r="H67" s="8">
        <v>1415.54162</v>
      </c>
    </row>
    <row r="68" spans="1:8" x14ac:dyDescent="0.2">
      <c r="A68" s="11" t="s">
        <v>66</v>
      </c>
      <c r="B68" s="8">
        <v>21483.45</v>
      </c>
      <c r="C68" s="8">
        <v>2587.0388938797496</v>
      </c>
      <c r="D68" s="8">
        <v>413.92622302075989</v>
      </c>
      <c r="E68" s="9">
        <v>2535.2981160021545</v>
      </c>
      <c r="F68" s="8">
        <v>3000.9651169005092</v>
      </c>
      <c r="G68" s="8">
        <v>3000.9651169005092</v>
      </c>
      <c r="H68" s="8">
        <v>0</v>
      </c>
    </row>
    <row r="69" spans="1:8" x14ac:dyDescent="0.2">
      <c r="A69" s="11" t="s">
        <v>79</v>
      </c>
      <c r="B69" s="8">
        <v>39187</v>
      </c>
      <c r="C69" s="8">
        <v>4969.1339999999991</v>
      </c>
      <c r="D69" s="8">
        <v>795.06143999999995</v>
      </c>
      <c r="E69" s="9">
        <v>4869.7513199999994</v>
      </c>
      <c r="F69" s="8">
        <v>5764.1954399999986</v>
      </c>
      <c r="G69" s="8">
        <v>5746.273439999999</v>
      </c>
      <c r="H69" s="8">
        <v>17.922000000000001</v>
      </c>
    </row>
    <row r="70" spans="1:8" x14ac:dyDescent="0.2">
      <c r="A70" s="11" t="s">
        <v>107</v>
      </c>
      <c r="B70" s="8">
        <v>514370.44999999995</v>
      </c>
      <c r="C70" s="8">
        <v>38086.708860000006</v>
      </c>
      <c r="D70" s="8">
        <v>6093.8734175999998</v>
      </c>
      <c r="E70" s="9">
        <v>37324.974682799999</v>
      </c>
      <c r="F70" s="8">
        <v>44180.582277600006</v>
      </c>
      <c r="G70" s="8">
        <v>44143.645557600001</v>
      </c>
      <c r="H70" s="8">
        <v>36.936720000000001</v>
      </c>
    </row>
    <row r="71" spans="1:8" x14ac:dyDescent="0.2">
      <c r="A71" s="11" t="s">
        <v>130</v>
      </c>
      <c r="B71" s="8">
        <v>420013.77999999985</v>
      </c>
      <c r="C71" s="8">
        <v>39492.825499999992</v>
      </c>
      <c r="D71" s="8">
        <v>6318.8520799999997</v>
      </c>
      <c r="E71" s="9">
        <v>38702.968989999994</v>
      </c>
      <c r="F71" s="8">
        <v>45811.677580000003</v>
      </c>
      <c r="G71" s="8">
        <v>44450.998319999992</v>
      </c>
      <c r="H71" s="8">
        <v>1360.6829</v>
      </c>
    </row>
    <row r="72" spans="1:8" x14ac:dyDescent="0.2">
      <c r="A72" s="11" t="s">
        <v>86</v>
      </c>
      <c r="B72" s="8">
        <v>130166.74</v>
      </c>
      <c r="C72" s="8">
        <v>11838.991000000002</v>
      </c>
      <c r="D72" s="8">
        <v>1894.23856</v>
      </c>
      <c r="E72" s="9">
        <v>11602.21118</v>
      </c>
      <c r="F72" s="8">
        <v>13733.22956</v>
      </c>
      <c r="G72" s="8">
        <v>13733.22956</v>
      </c>
      <c r="H72" s="8">
        <v>0</v>
      </c>
    </row>
    <row r="73" spans="1:8" x14ac:dyDescent="0.2">
      <c r="A73" s="10" t="s">
        <v>1128</v>
      </c>
      <c r="B73" s="8">
        <v>27839750.905250002</v>
      </c>
      <c r="C73" s="8">
        <v>1459758.4524455848</v>
      </c>
      <c r="D73" s="8">
        <v>226458.56886729356</v>
      </c>
      <c r="E73" s="9">
        <v>1430485.9464291646</v>
      </c>
      <c r="F73" s="8">
        <v>1686217.021312878</v>
      </c>
      <c r="G73" s="8">
        <v>1680934.6084728788</v>
      </c>
      <c r="H73" s="8">
        <v>5282.4219599998523</v>
      </c>
    </row>
    <row r="90" spans="1:8" x14ac:dyDescent="0.2">
      <c r="A90" s="8"/>
      <c r="B90" s="8"/>
      <c r="C90" s="8"/>
      <c r="D90" s="8"/>
      <c r="E90" s="8"/>
      <c r="F90" s="8"/>
      <c r="G90" s="8"/>
      <c r="H90" s="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portrait" r:id="rId2"/>
  <headerFooter>
    <oddHeader>&amp;CProduction 2022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3"/>
  <sheetViews>
    <sheetView workbookViewId="0"/>
  </sheetViews>
  <sheetFormatPr baseColWidth="10" defaultColWidth="14.42578125" defaultRowHeight="15.75" customHeight="1" x14ac:dyDescent="0.2"/>
  <cols>
    <col min="1" max="1" width="11.42578125" customWidth="1"/>
    <col min="2" max="2" width="21.28515625" customWidth="1"/>
    <col min="3" max="3" width="13.85546875" customWidth="1"/>
    <col min="4" max="4" width="15.42578125" customWidth="1"/>
    <col min="5" max="5" width="12" customWidth="1"/>
    <col min="6" max="6" width="18.7109375" customWidth="1"/>
    <col min="7" max="7" width="22.5703125" customWidth="1"/>
    <col min="8" max="8" width="12.5703125" customWidth="1"/>
    <col min="9" max="9" width="23.28515625" customWidth="1"/>
    <col min="10" max="10" width="14.28515625" customWidth="1"/>
    <col min="11" max="12" width="23.85546875" customWidth="1"/>
    <col min="13" max="26" width="11.42578125" customWidth="1"/>
  </cols>
  <sheetData>
    <row r="1" spans="1:12" ht="14.25" customHeight="1" x14ac:dyDescent="0.2">
      <c r="A1" s="1" t="s">
        <v>57</v>
      </c>
    </row>
    <row r="2" spans="1:12" ht="14.25" customHeight="1" x14ac:dyDescent="0.2">
      <c r="A2" s="1" t="s">
        <v>273</v>
      </c>
    </row>
    <row r="3" spans="1:12" ht="14.25" customHeight="1" x14ac:dyDescent="0.25">
      <c r="D3" s="3" t="s">
        <v>38</v>
      </c>
      <c r="E3" s="3" t="s">
        <v>1129</v>
      </c>
      <c r="F3" s="3" t="s">
        <v>1130</v>
      </c>
      <c r="G3" s="3" t="s">
        <v>1131</v>
      </c>
      <c r="H3" s="3" t="s">
        <v>16</v>
      </c>
      <c r="I3" s="3" t="s">
        <v>1132</v>
      </c>
      <c r="J3" s="3" t="s">
        <v>1133</v>
      </c>
      <c r="K3" s="4" t="s">
        <v>8</v>
      </c>
      <c r="L3" s="4" t="s">
        <v>51</v>
      </c>
    </row>
    <row r="4" spans="1:12" ht="14.25" customHeight="1" x14ac:dyDescent="0.25">
      <c r="D4" s="1" t="s">
        <v>87</v>
      </c>
      <c r="E4" s="1" t="s">
        <v>56</v>
      </c>
      <c r="F4" s="5" t="s">
        <v>71</v>
      </c>
      <c r="G4" s="1" t="s">
        <v>185</v>
      </c>
      <c r="H4" s="1" t="s">
        <v>66</v>
      </c>
      <c r="I4" s="1" t="s">
        <v>95</v>
      </c>
      <c r="J4" s="1" t="s">
        <v>1134</v>
      </c>
      <c r="K4" s="2" t="s">
        <v>74</v>
      </c>
      <c r="L4" s="2" t="s">
        <v>100</v>
      </c>
    </row>
    <row r="5" spans="1:12" ht="14.25" customHeight="1" x14ac:dyDescent="0.25">
      <c r="D5" s="1" t="s">
        <v>80</v>
      </c>
      <c r="E5" s="1" t="s">
        <v>229</v>
      </c>
      <c r="F5" s="5" t="s">
        <v>90</v>
      </c>
      <c r="G5" s="1" t="s">
        <v>926</v>
      </c>
      <c r="H5" s="1" t="s">
        <v>796</v>
      </c>
      <c r="I5" s="1" t="s">
        <v>84</v>
      </c>
      <c r="J5" s="1" t="s">
        <v>706</v>
      </c>
      <c r="K5" s="2" t="s">
        <v>58</v>
      </c>
      <c r="L5" s="2" t="s">
        <v>162</v>
      </c>
    </row>
    <row r="6" spans="1:12" ht="14.25" customHeight="1" x14ac:dyDescent="0.25">
      <c r="D6" s="1" t="s">
        <v>108</v>
      </c>
      <c r="E6" s="1" t="s">
        <v>496</v>
      </c>
      <c r="F6" s="5" t="s">
        <v>166</v>
      </c>
      <c r="G6" s="1" t="s">
        <v>152</v>
      </c>
      <c r="H6" s="1" t="s">
        <v>99</v>
      </c>
      <c r="I6" s="1" t="s">
        <v>706</v>
      </c>
      <c r="J6" s="1" t="s">
        <v>1135</v>
      </c>
      <c r="K6" s="2" t="s">
        <v>91</v>
      </c>
      <c r="L6" s="1" t="s">
        <v>145</v>
      </c>
    </row>
    <row r="7" spans="1:12" ht="14.25" customHeight="1" x14ac:dyDescent="0.25">
      <c r="D7" s="1" t="s">
        <v>512</v>
      </c>
      <c r="E7" s="1" t="s">
        <v>578</v>
      </c>
      <c r="F7" s="5" t="s">
        <v>65</v>
      </c>
      <c r="G7" s="1" t="s">
        <v>134</v>
      </c>
      <c r="H7" s="1" t="s">
        <v>79</v>
      </c>
      <c r="I7" s="1" t="s">
        <v>62</v>
      </c>
      <c r="K7" s="2" t="s">
        <v>115</v>
      </c>
      <c r="L7" s="2" t="s">
        <v>68</v>
      </c>
    </row>
    <row r="8" spans="1:12" ht="14.25" customHeight="1" x14ac:dyDescent="0.25">
      <c r="D8" s="1" t="s">
        <v>430</v>
      </c>
      <c r="E8" s="1" t="s">
        <v>324</v>
      </c>
      <c r="F8" s="5" t="s">
        <v>73</v>
      </c>
      <c r="G8" s="1" t="s">
        <v>165</v>
      </c>
      <c r="H8" s="1" t="s">
        <v>107</v>
      </c>
      <c r="I8" s="1" t="s">
        <v>1035</v>
      </c>
      <c r="J8" s="1" t="s">
        <v>1136</v>
      </c>
      <c r="K8" s="1" t="s">
        <v>217</v>
      </c>
      <c r="L8" s="2" t="s">
        <v>110</v>
      </c>
    </row>
    <row r="9" spans="1:12" ht="14.25" customHeight="1" x14ac:dyDescent="0.25">
      <c r="D9" s="1" t="s">
        <v>666</v>
      </c>
      <c r="E9" s="1" t="s">
        <v>654</v>
      </c>
      <c r="F9" s="5" t="s">
        <v>186</v>
      </c>
      <c r="G9" s="1" t="s">
        <v>129</v>
      </c>
      <c r="H9" s="1" t="s">
        <v>1137</v>
      </c>
      <c r="I9" s="1" t="s">
        <v>105</v>
      </c>
      <c r="K9" s="1" t="s">
        <v>1138</v>
      </c>
      <c r="L9" s="6" t="s">
        <v>367</v>
      </c>
    </row>
    <row r="10" spans="1:12" ht="14.25" customHeight="1" x14ac:dyDescent="0.25">
      <c r="D10" s="1" t="s">
        <v>289</v>
      </c>
      <c r="E10" s="1" t="s">
        <v>369</v>
      </c>
      <c r="F10" s="5" t="s">
        <v>153</v>
      </c>
      <c r="G10" s="1" t="s">
        <v>935</v>
      </c>
      <c r="H10" s="1" t="s">
        <v>114</v>
      </c>
      <c r="K10" s="1" t="s">
        <v>1139</v>
      </c>
    </row>
    <row r="11" spans="1:12" ht="14.25" customHeight="1" x14ac:dyDescent="0.25">
      <c r="D11" s="1" t="s">
        <v>853</v>
      </c>
      <c r="E11" s="1" t="s">
        <v>773</v>
      </c>
      <c r="F11" s="5" t="s">
        <v>113</v>
      </c>
      <c r="G11" s="1" t="s">
        <v>70</v>
      </c>
      <c r="H11" s="1" t="s">
        <v>130</v>
      </c>
      <c r="K11" s="1" t="s">
        <v>310</v>
      </c>
    </row>
    <row r="12" spans="1:12" ht="14.25" customHeight="1" x14ac:dyDescent="0.25">
      <c r="D12" s="1" t="s">
        <v>393</v>
      </c>
      <c r="E12" s="1" t="s">
        <v>439</v>
      </c>
      <c r="F12" s="5" t="s">
        <v>234</v>
      </c>
      <c r="G12" s="1" t="s">
        <v>308</v>
      </c>
      <c r="H12" s="1" t="s">
        <v>711</v>
      </c>
    </row>
    <row r="13" spans="1:12" ht="14.25" customHeight="1" x14ac:dyDescent="0.25">
      <c r="D13" s="1" t="s">
        <v>738</v>
      </c>
      <c r="E13" s="1" t="s">
        <v>667</v>
      </c>
      <c r="F13" s="5" t="s">
        <v>98</v>
      </c>
      <c r="G13" s="1" t="s">
        <v>747</v>
      </c>
      <c r="H13" s="1" t="s">
        <v>385</v>
      </c>
    </row>
    <row r="14" spans="1:12" ht="14.25" customHeight="1" x14ac:dyDescent="0.25">
      <c r="D14" s="1" t="s">
        <v>937</v>
      </c>
      <c r="E14" s="1" t="s">
        <v>847</v>
      </c>
      <c r="F14" s="5"/>
      <c r="G14" s="1" t="s">
        <v>89</v>
      </c>
      <c r="H14" s="1" t="s">
        <v>86</v>
      </c>
    </row>
    <row r="15" spans="1:12" ht="14.25" customHeight="1" x14ac:dyDescent="0.25">
      <c r="D15" s="1" t="s">
        <v>198</v>
      </c>
      <c r="E15" s="1" t="s">
        <v>992</v>
      </c>
      <c r="F15" s="5"/>
      <c r="G15" s="1" t="s">
        <v>192</v>
      </c>
      <c r="H15" s="2" t="s">
        <v>511</v>
      </c>
    </row>
    <row r="16" spans="1:12" ht="14.25" customHeight="1" x14ac:dyDescent="0.25">
      <c r="F16" s="5"/>
      <c r="G16" s="1" t="s">
        <v>113</v>
      </c>
    </row>
    <row r="17" spans="7:7" ht="14.25" customHeight="1" x14ac:dyDescent="0.2">
      <c r="G17" s="1" t="s">
        <v>883</v>
      </c>
    </row>
    <row r="18" spans="7:7" ht="14.25" customHeight="1" x14ac:dyDescent="0.2">
      <c r="G18" s="1" t="s">
        <v>138</v>
      </c>
    </row>
    <row r="19" spans="7:7" ht="14.25" customHeight="1" x14ac:dyDescent="0.2">
      <c r="G19" s="1" t="s">
        <v>64</v>
      </c>
    </row>
    <row r="20" spans="7:7" ht="14.25" customHeight="1" x14ac:dyDescent="0.2">
      <c r="G20" s="1" t="s">
        <v>97</v>
      </c>
    </row>
    <row r="21" spans="7:7" ht="14.25" customHeight="1" x14ac:dyDescent="0.2">
      <c r="G21" s="1" t="s">
        <v>73</v>
      </c>
    </row>
    <row r="22" spans="7:7" ht="14.25" customHeight="1" x14ac:dyDescent="0.2">
      <c r="G22" s="1" t="s">
        <v>1140</v>
      </c>
    </row>
    <row r="23" spans="7:7" ht="14.25" customHeight="1" x14ac:dyDescent="0.2">
      <c r="G23" s="1" t="s">
        <v>1063</v>
      </c>
    </row>
    <row r="24" spans="7:7" ht="14.25" customHeight="1" x14ac:dyDescent="0.2">
      <c r="G24" s="1" t="s">
        <v>132</v>
      </c>
    </row>
    <row r="25" spans="7:7" ht="14.25" customHeight="1" x14ac:dyDescent="0.2">
      <c r="G25" s="1" t="s">
        <v>466</v>
      </c>
    </row>
    <row r="26" spans="7:7" ht="14.25" customHeight="1" x14ac:dyDescent="0.2">
      <c r="G26" s="1" t="s">
        <v>1141</v>
      </c>
    </row>
    <row r="27" spans="7:7" ht="14.25" customHeight="1" x14ac:dyDescent="0.2">
      <c r="G27" s="1" t="s">
        <v>172</v>
      </c>
    </row>
    <row r="28" spans="7:7" ht="14.25" customHeight="1" x14ac:dyDescent="0.2">
      <c r="G28" s="1" t="s">
        <v>233</v>
      </c>
    </row>
    <row r="29" spans="7:7" ht="14.25" customHeight="1" x14ac:dyDescent="0.2">
      <c r="G29" s="1" t="s">
        <v>662</v>
      </c>
    </row>
    <row r="30" spans="7:7" ht="14.25" customHeight="1" x14ac:dyDescent="0.2">
      <c r="G30" s="1" t="s">
        <v>240</v>
      </c>
    </row>
    <row r="31" spans="7:7" ht="14.25" customHeight="1" x14ac:dyDescent="0.2">
      <c r="G31" s="1" t="s">
        <v>281</v>
      </c>
    </row>
    <row r="32" spans="7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autoFilter ref="D3:L31" xr:uid="{00000000-0009-0000-0000-000002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BDM 2022</vt:lpstr>
      <vt:lpstr>Synthèse 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2023-11-20T09:49:26Z</cp:lastPrinted>
  <dcterms:modified xsi:type="dcterms:W3CDTF">2023-11-26T20:26:00Z</dcterms:modified>
</cp:coreProperties>
</file>