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1FAA2397-D425-4221-8249-24D4EEC994C8}" xr6:coauthVersionLast="47" xr6:coauthVersionMax="47" xr10:uidLastSave="{00000000-0000-0000-0000-000000000000}"/>
  <bookViews>
    <workbookView xWindow="-120" yWindow="-120" windowWidth="20730" windowHeight="11160" tabRatio="779" xr2:uid="{00000000-000D-0000-FFFF-FFFF00000000}"/>
  </bookViews>
  <sheets>
    <sheet name="Renewal 2022-23" sheetId="8" r:id="rId1"/>
  </sheets>
  <definedNames>
    <definedName name="_xlnm.Print_Area" localSheetId="0">'Renewal 2022-23'!$A$9:$L$67</definedName>
  </definedNames>
  <calcPr calcId="191029"/>
</workbook>
</file>

<file path=xl/calcChain.xml><?xml version="1.0" encoding="utf-8"?>
<calcChain xmlns="http://schemas.openxmlformats.org/spreadsheetml/2006/main">
  <c r="D21" i="8" l="1"/>
  <c r="C21" i="8" s="1"/>
  <c r="D44" i="8" s="1"/>
  <c r="E44" i="8" l="1"/>
  <c r="D28" i="8"/>
  <c r="G37" i="8"/>
  <c r="G36" i="8"/>
  <c r="F44" i="8" l="1"/>
  <c r="D29" i="8"/>
  <c r="F29" i="8" s="1"/>
  <c r="D45" i="8" s="1"/>
  <c r="F28" i="8"/>
  <c r="E45" i="8" l="1"/>
  <c r="D46" i="8"/>
  <c r="D56" i="8" l="1"/>
  <c r="E56" i="8" s="1"/>
  <c r="F56" i="8" s="1"/>
  <c r="K56" i="8" s="1"/>
  <c r="D59" i="8"/>
  <c r="E59" i="8" s="1"/>
  <c r="F59" i="8" s="1"/>
  <c r="K59" i="8" s="1"/>
  <c r="D51" i="8"/>
  <c r="E51" i="8" s="1"/>
  <c r="F51" i="8" s="1"/>
  <c r="D52" i="8"/>
  <c r="E52" i="8" s="1"/>
  <c r="F52" i="8" s="1"/>
  <c r="D53" i="8"/>
  <c r="E53" i="8" s="1"/>
  <c r="F53" i="8" s="1"/>
  <c r="D54" i="8"/>
  <c r="E54" i="8" s="1"/>
  <c r="F54" i="8" s="1"/>
  <c r="K54" i="8" s="1"/>
  <c r="D57" i="8"/>
  <c r="E57" i="8" s="1"/>
  <c r="F57" i="8" s="1"/>
  <c r="K57" i="8" s="1"/>
  <c r="D58" i="8"/>
  <c r="E58" i="8" s="1"/>
  <c r="F58" i="8" s="1"/>
  <c r="K58" i="8" s="1"/>
  <c r="D60" i="8"/>
  <c r="E60" i="8" s="1"/>
  <c r="F60" i="8" s="1"/>
  <c r="K60" i="8" s="1"/>
  <c r="D61" i="8"/>
  <c r="E61" i="8" s="1"/>
  <c r="F61" i="8" s="1"/>
  <c r="K61" i="8" s="1"/>
  <c r="D55" i="8"/>
  <c r="E55" i="8" s="1"/>
  <c r="F55" i="8" s="1"/>
  <c r="D50" i="8"/>
  <c r="F45" i="8"/>
  <c r="F46" i="8" s="1"/>
  <c r="E46" i="8"/>
  <c r="E30" i="8"/>
  <c r="E33" i="8" s="1"/>
  <c r="K52" i="8" l="1"/>
  <c r="G53" i="8"/>
  <c r="K53" i="8" s="1"/>
  <c r="K55" i="8"/>
  <c r="F65" i="8"/>
  <c r="E50" i="8"/>
  <c r="D62" i="8"/>
  <c r="D31" i="8"/>
  <c r="D30" i="8"/>
  <c r="H17" i="8"/>
  <c r="C22" i="8" s="1"/>
  <c r="F50" i="8" l="1"/>
  <c r="G51" i="8" s="1"/>
  <c r="E62" i="8"/>
  <c r="D15" i="8"/>
  <c r="L17" i="8"/>
  <c r="D16" i="8"/>
  <c r="C16" i="8"/>
  <c r="G17" i="8"/>
  <c r="C20" i="8" s="1"/>
  <c r="C15" i="8"/>
  <c r="G62" i="8" l="1"/>
  <c r="K51" i="8"/>
  <c r="K50" i="8"/>
  <c r="K62" i="8" s="1"/>
  <c r="F62" i="8"/>
  <c r="E15" i="8"/>
  <c r="F15" i="8" s="1"/>
  <c r="C17" i="8"/>
  <c r="D17" i="8"/>
  <c r="E16" i="8"/>
  <c r="F16" i="8" s="1"/>
  <c r="F17" i="8" l="1"/>
  <c r="C23" i="8" s="1"/>
  <c r="K15" i="8"/>
  <c r="P15" i="8" s="1"/>
  <c r="E17" i="8"/>
  <c r="F36" i="8" l="1"/>
  <c r="F37" i="8"/>
  <c r="K16" i="8"/>
  <c r="F38" i="8" l="1"/>
  <c r="P16" i="8"/>
  <c r="P17" i="8" s="1"/>
  <c r="K17" i="8"/>
  <c r="F31" i="8"/>
  <c r="D33" i="8" l="1"/>
  <c r="F30" i="8"/>
  <c r="F33" i="8" l="1"/>
  <c r="E37" i="8" l="1"/>
  <c r="E36" i="8"/>
  <c r="E3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SFA is suggesting a flexible payment term for the client so they can pay in more than 2 instalments.
As last year, SFA will probably prefinance settlement of the RI premium to avoid any exposure.</t>
        </r>
      </text>
    </comment>
  </commentList>
</comments>
</file>

<file path=xl/sharedStrings.xml><?xml version="1.0" encoding="utf-8"?>
<sst xmlns="http://schemas.openxmlformats.org/spreadsheetml/2006/main" count="102" uniqueCount="92">
  <si>
    <t>Net Premium</t>
  </si>
  <si>
    <t>Period</t>
  </si>
  <si>
    <t>Fronting</t>
  </si>
  <si>
    <t>TVA</t>
  </si>
  <si>
    <t>Arca</t>
  </si>
  <si>
    <t>Frais d'admin</t>
  </si>
  <si>
    <t>Prime Brute</t>
  </si>
  <si>
    <t>CBC</t>
  </si>
  <si>
    <t>Total</t>
  </si>
  <si>
    <t>GSA</t>
  </si>
  <si>
    <t>RI Com</t>
  </si>
  <si>
    <t>SFA</t>
  </si>
  <si>
    <t>NCB</t>
  </si>
  <si>
    <t>Transit Premium</t>
  </si>
  <si>
    <t>Premises Prem</t>
  </si>
  <si>
    <t>Total Premium</t>
  </si>
  <si>
    <t>1st Instalment</t>
  </si>
  <si>
    <t>2nd Instalment</t>
  </si>
  <si>
    <t>Due to SFA by client</t>
  </si>
  <si>
    <t>Due to CBC by SFA</t>
  </si>
  <si>
    <t>Date of payment</t>
  </si>
  <si>
    <t>Balance</t>
  </si>
  <si>
    <t>Paid By</t>
  </si>
  <si>
    <t>Total Payable to CBC</t>
  </si>
  <si>
    <t>Amount paid to CBC</t>
  </si>
  <si>
    <t>Exercice 2021-2022</t>
  </si>
  <si>
    <t>RI Brokerage</t>
  </si>
  <si>
    <t>Cover</t>
  </si>
  <si>
    <t>Cash In transit</t>
  </si>
  <si>
    <t xml:space="preserve"> * Transit risks</t>
  </si>
  <si>
    <t>Guarantees / Risk covered</t>
  </si>
  <si>
    <t>Limits</t>
  </si>
  <si>
    <t xml:space="preserve"> * Premises Risk</t>
  </si>
  <si>
    <t>Client</t>
  </si>
  <si>
    <t>Reinsurers</t>
  </si>
  <si>
    <t>Lloyd's</t>
  </si>
  <si>
    <t>RI Broker</t>
  </si>
  <si>
    <t>Reinsured (cedeing company)</t>
  </si>
  <si>
    <t>NCB Com rebate (TBA%)</t>
  </si>
  <si>
    <t>Minimum Deposit Premium</t>
  </si>
  <si>
    <t>Net due to CBC</t>
  </si>
  <si>
    <t>NCB (15% of last year's prem)</t>
  </si>
  <si>
    <t>Excess</t>
  </si>
  <si>
    <t>Rabate on NCB</t>
  </si>
  <si>
    <t>Debit</t>
  </si>
  <si>
    <t>01/12/2022 - 30/11/2023</t>
  </si>
  <si>
    <t>TBA</t>
  </si>
  <si>
    <t>Exercice 2022-23 - Minimum deposit premium (MDP)</t>
  </si>
  <si>
    <t>Fronting rate (%)</t>
  </si>
  <si>
    <t>%</t>
  </si>
  <si>
    <t>1rst Inst</t>
  </si>
  <si>
    <t>2nd Inst</t>
  </si>
  <si>
    <t>Gross</t>
  </si>
  <si>
    <t>Net</t>
  </si>
  <si>
    <t>Vat</t>
  </si>
  <si>
    <t>Brokerage / RI</t>
  </si>
  <si>
    <t>Brokerage / Fronting</t>
  </si>
  <si>
    <t>50% of the RI Brokerage</t>
  </si>
  <si>
    <t>50% of the Fronting fee</t>
  </si>
  <si>
    <t>Comments</t>
  </si>
  <si>
    <t>AIB RDC Revenue plan</t>
  </si>
  <si>
    <t>RI Premium / Payment terms</t>
  </si>
  <si>
    <t>Tranches</t>
  </si>
  <si>
    <t>Vat @ 16%</t>
  </si>
  <si>
    <t>Mont reçu</t>
  </si>
  <si>
    <t>Date</t>
  </si>
  <si>
    <t>Solde restant dû</t>
  </si>
  <si>
    <t>Ref. Note de débit</t>
  </si>
  <si>
    <t>ND0022/AIB RDC/2023 - Février 2023</t>
  </si>
  <si>
    <t>ND0047/AIB RDC/2023 - Avril 2023</t>
  </si>
  <si>
    <t>Libellé</t>
  </si>
  <si>
    <t>Janvier - Tranche #1</t>
  </si>
  <si>
    <t>Février - Tranche #2</t>
  </si>
  <si>
    <t>Mars - Tranche #3</t>
  </si>
  <si>
    <t>Avril - Tranche #4</t>
  </si>
  <si>
    <t>Mai - Tranche #5</t>
  </si>
  <si>
    <t>Juin - Tranche #6</t>
  </si>
  <si>
    <t>Juillet - Tranche #7</t>
  </si>
  <si>
    <t>Aout - Tranche #8</t>
  </si>
  <si>
    <t>Septembre - Tranche #9</t>
  </si>
  <si>
    <t>Octobre - Tranche #10</t>
  </si>
  <si>
    <t>Novembre - Tranche #11</t>
  </si>
  <si>
    <t>Décembre - Tranche #12</t>
  </si>
  <si>
    <t>Revenu AIB - Détails par tranche</t>
  </si>
  <si>
    <t>1er versement</t>
  </si>
  <si>
    <t>2e versement</t>
  </si>
  <si>
    <t>Montant prêt à collecter:</t>
  </si>
  <si>
    <t>3e versement</t>
  </si>
  <si>
    <t>ND0071/AIB RDC/2023 - Juin 2023</t>
  </si>
  <si>
    <t>Dans le bordereau de Août 2023</t>
  </si>
  <si>
    <t>4e versement</t>
  </si>
  <si>
    <t>5e versement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</si>
</sst>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.0%"/>
    <numFmt numFmtId="166" formatCode="[$-409]d\-mmm\-yy;@"/>
    <numFmt numFmtId="167" formatCode="0.000%"/>
    <numFmt numFmtId="168" formatCode="_(* #,##0.00_);_(* \(#,##0.00\);_(* &quot;-&quot;??_);_(@_)"/>
    <numFmt numFmtId="169" formatCode="[$-409]d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164" fontId="3" fillId="0" borderId="1" xfId="1" applyNumberFormat="1" applyFont="1" applyBorder="1"/>
    <xf numFmtId="164" fontId="2" fillId="0" borderId="1" xfId="0" applyNumberFormat="1" applyFont="1" applyBorder="1"/>
    <xf numFmtId="166" fontId="0" fillId="0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164" fontId="3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2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left"/>
    </xf>
    <xf numFmtId="164" fontId="3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/>
    <xf numFmtId="164" fontId="6" fillId="0" borderId="1" xfId="0" applyNumberFormat="1" applyFont="1" applyBorder="1"/>
    <xf numFmtId="166" fontId="3" fillId="0" borderId="1" xfId="1" applyNumberFormat="1" applyFont="1" applyFill="1" applyBorder="1"/>
    <xf numFmtId="0" fontId="3" fillId="0" borderId="0" xfId="0" applyFont="1" applyAlignment="1">
      <alignment horizontal="right"/>
    </xf>
    <xf numFmtId="164" fontId="6" fillId="0" borderId="0" xfId="0" applyNumberFormat="1" applyFont="1"/>
    <xf numFmtId="0" fontId="5" fillId="2" borderId="0" xfId="0" applyFont="1" applyFill="1" applyAlignment="1">
      <alignment horizontal="right"/>
    </xf>
    <xf numFmtId="164" fontId="5" fillId="2" borderId="0" xfId="0" applyNumberFormat="1" applyFont="1" applyFill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69" fontId="3" fillId="0" borderId="0" xfId="0" applyNumberFormat="1" applyFont="1"/>
    <xf numFmtId="169" fontId="3" fillId="0" borderId="0" xfId="0" applyNumberFormat="1" applyFont="1" applyAlignment="1">
      <alignment wrapText="1"/>
    </xf>
    <xf numFmtId="169" fontId="5" fillId="0" borderId="1" xfId="1" applyNumberFormat="1" applyFont="1" applyBorder="1" applyAlignment="1">
      <alignment horizontal="center"/>
    </xf>
    <xf numFmtId="169" fontId="3" fillId="0" borderId="1" xfId="1" applyNumberFormat="1" applyFont="1" applyFill="1" applyBorder="1"/>
    <xf numFmtId="169" fontId="5" fillId="0" borderId="1" xfId="0" applyNumberFormat="1" applyFont="1" applyBorder="1"/>
    <xf numFmtId="164" fontId="0" fillId="0" borderId="0" xfId="0" applyNumberFormat="1" applyAlignment="1">
      <alignment wrapText="1"/>
    </xf>
    <xf numFmtId="0" fontId="3" fillId="0" borderId="0" xfId="0" applyFont="1" applyAlignment="1">
      <alignment horizontal="left"/>
    </xf>
    <xf numFmtId="167" fontId="3" fillId="0" borderId="0" xfId="1" applyNumberFormat="1" applyFont="1" applyFill="1"/>
    <xf numFmtId="164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169" fontId="5" fillId="0" borderId="0" xfId="0" applyNumberFormat="1" applyFont="1"/>
    <xf numFmtId="169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1" applyNumberFormat="1" applyFont="1" applyFill="1"/>
    <xf numFmtId="165" fontId="3" fillId="0" borderId="0" xfId="1" applyNumberFormat="1" applyFont="1" applyFill="1"/>
    <xf numFmtId="165" fontId="5" fillId="0" borderId="0" xfId="1" applyNumberFormat="1" applyFont="1" applyFill="1"/>
    <xf numFmtId="9" fontId="3" fillId="0" borderId="0" xfId="0" applyNumberFormat="1" applyFont="1"/>
    <xf numFmtId="0" fontId="7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164" fontId="5" fillId="3" borderId="6" xfId="0" applyNumberFormat="1" applyFont="1" applyFill="1" applyBorder="1"/>
    <xf numFmtId="164" fontId="5" fillId="3" borderId="1" xfId="0" applyNumberFormat="1" applyFont="1" applyFill="1" applyBorder="1"/>
    <xf numFmtId="164" fontId="5" fillId="3" borderId="3" xfId="0" applyNumberFormat="1" applyFont="1" applyFill="1" applyBorder="1"/>
    <xf numFmtId="0" fontId="3" fillId="3" borderId="1" xfId="0" applyFont="1" applyFill="1" applyBorder="1" applyAlignment="1">
      <alignment horizontal="right"/>
    </xf>
    <xf numFmtId="164" fontId="3" fillId="3" borderId="6" xfId="0" applyNumberFormat="1" applyFont="1" applyFill="1" applyBorder="1"/>
    <xf numFmtId="164" fontId="3" fillId="3" borderId="1" xfId="0" applyNumberFormat="1" applyFont="1" applyFill="1" applyBorder="1"/>
    <xf numFmtId="164" fontId="3" fillId="3" borderId="3" xfId="0" applyNumberFormat="1" applyFont="1" applyFill="1" applyBorder="1"/>
    <xf numFmtId="164" fontId="5" fillId="3" borderId="7" xfId="0" applyNumberFormat="1" applyFont="1" applyFill="1" applyBorder="1"/>
    <xf numFmtId="164" fontId="5" fillId="3" borderId="4" xfId="0" applyNumberFormat="1" applyFont="1" applyFill="1" applyBorder="1"/>
    <xf numFmtId="164" fontId="5" fillId="3" borderId="5" xfId="0" applyNumberFormat="1" applyFont="1" applyFill="1" applyBorder="1"/>
    <xf numFmtId="0" fontId="3" fillId="0" borderId="11" xfId="0" applyFont="1" applyBorder="1"/>
    <xf numFmtId="16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6" xfId="0" applyFont="1" applyBorder="1"/>
    <xf numFmtId="164" fontId="3" fillId="0" borderId="3" xfId="0" applyNumberFormat="1" applyFont="1" applyBorder="1"/>
    <xf numFmtId="0" fontId="5" fillId="0" borderId="7" xfId="0" applyFont="1" applyBorder="1"/>
    <xf numFmtId="164" fontId="5" fillId="0" borderId="4" xfId="0" applyNumberFormat="1" applyFont="1" applyBorder="1"/>
    <xf numFmtId="164" fontId="5" fillId="0" borderId="5" xfId="0" applyNumberFormat="1" applyFont="1" applyBorder="1"/>
    <xf numFmtId="10" fontId="3" fillId="0" borderId="0" xfId="1" applyNumberFormat="1" applyFont="1"/>
    <xf numFmtId="14" fontId="3" fillId="0" borderId="0" xfId="0" applyNumberFormat="1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wrapText="1"/>
    </xf>
    <xf numFmtId="164" fontId="3" fillId="0" borderId="0" xfId="1" applyNumberFormat="1" applyFont="1" applyFill="1"/>
    <xf numFmtId="164" fontId="3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3" fillId="2" borderId="0" xfId="0" applyFont="1" applyFill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Fill="1"/>
  </cellXfs>
  <cellStyles count="3">
    <cellStyle name="Milliers 2" xfId="2" xr:uid="{00000000-0005-0000-0000-000000000000}"/>
    <cellStyle name="Normal" xfId="0" builtinId="0"/>
    <cellStyle name="Pourcentag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7D9C1-682B-4E10-BBD6-BC1BA0F2DCA5}" name="Tableau1" displayName="Tableau1" ref="C49:K62" totalsRowCount="1" headerRowDxfId="19" dataDxfId="18">
  <autoFilter ref="C49:K61" xr:uid="{27C7D9C1-682B-4E10-BBD6-BC1BA0F2DCA5}"/>
  <tableColumns count="9">
    <tableColumn id="1" xr3:uid="{631D9926-4472-4569-8CB7-383675898810}" name="Tranches" totalsRowLabel="Total" dataDxfId="17" totalsRowDxfId="8"/>
    <tableColumn id="2" xr3:uid="{C121A265-8B08-422E-8146-65DEE8C92A4B}" name="Net" totalsRowFunction="sum" dataDxfId="16" totalsRowDxfId="7">
      <calculatedColumnFormula>$D$46/12</calculatedColumnFormula>
    </tableColumn>
    <tableColumn id="3" xr3:uid="{C2942402-699F-415D-A629-E4BBD912E7EE}" name="Vat @ 16%" totalsRowFunction="sum" dataDxfId="15" totalsRowDxfId="6">
      <calculatedColumnFormula>D50*16%</calculatedColumnFormula>
    </tableColumn>
    <tableColumn id="4" xr3:uid="{97FE1E06-EFEE-48DA-ACFB-C7505DF51202}" name="Gross" totalsRowFunction="sum" dataDxfId="14" totalsRowDxfId="5">
      <calculatedColumnFormula>E50+D50</calculatedColumnFormula>
    </tableColumn>
    <tableColumn id="5" xr3:uid="{DB3094E4-DA68-4961-8EDD-D8818D121175}" name="Mont reçu" totalsRowFunction="sum" dataDxfId="13" totalsRowDxfId="4"/>
    <tableColumn id="6" xr3:uid="{64BC8337-6A39-4A01-BA7C-9AA45C5197D4}" name="Date" dataDxfId="12" totalsRowDxfId="3"/>
    <tableColumn id="9" xr3:uid="{870C041C-93A1-490E-97E7-47134E4E141E}" name="Libellé" dataDxfId="11" totalsRowDxfId="2"/>
    <tableColumn id="7" xr3:uid="{6CB38BED-9421-4EA0-A884-F15C8AAA184F}" name="Ref. Note de débit" dataDxfId="10" totalsRowDxfId="1"/>
    <tableColumn id="8" xr3:uid="{8F91986A-3420-467E-8EAB-EB178E166C81}" name="Solde restant dû" totalsRowFunction="sum" dataDxfId="9" totalsRowDxfId="0">
      <calculatedColumnFormula>F50-G50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5"/>
  <sheetViews>
    <sheetView showGridLines="0" tabSelected="1" topLeftCell="B40" zoomScale="80" zoomScaleNormal="80" zoomScaleSheetLayoutView="80" workbookViewId="0">
      <selection activeCell="G59" sqref="G59"/>
    </sheetView>
  </sheetViews>
  <sheetFormatPr baseColWidth="10" defaultColWidth="8.85546875" defaultRowHeight="15" x14ac:dyDescent="0.25"/>
  <cols>
    <col min="1" max="1" width="4.85546875" customWidth="1"/>
    <col min="2" max="2" width="26.85546875" style="15" bestFit="1" customWidth="1"/>
    <col min="3" max="3" width="26" style="15" customWidth="1"/>
    <col min="4" max="4" width="15" style="15" bestFit="1" customWidth="1"/>
    <col min="5" max="5" width="19.28515625" style="15" customWidth="1"/>
    <col min="6" max="6" width="16.42578125" style="15" customWidth="1"/>
    <col min="7" max="7" width="30" style="12" customWidth="1"/>
    <col min="8" max="8" width="12.85546875" style="15" customWidth="1"/>
    <col min="9" max="9" width="15" style="15" bestFit="1" customWidth="1"/>
    <col min="10" max="10" width="35.85546875" style="15" bestFit="1" customWidth="1"/>
    <col min="11" max="11" width="22.42578125" style="15" customWidth="1"/>
    <col min="12" max="12" width="19.28515625" style="15" bestFit="1" customWidth="1"/>
    <col min="13" max="13" width="19.5703125" style="15" bestFit="1" customWidth="1"/>
    <col min="14" max="14" width="23.85546875" style="37" customWidth="1"/>
    <col min="15" max="15" width="27.28515625" customWidth="1"/>
    <col min="16" max="16" width="12.28515625" style="1" bestFit="1" customWidth="1"/>
    <col min="17" max="17" width="13.140625" style="1" customWidth="1"/>
    <col min="18" max="18" width="12.140625" bestFit="1" customWidth="1"/>
    <col min="19" max="19" width="23.7109375" bestFit="1" customWidth="1"/>
    <col min="20" max="20" width="11.140625" bestFit="1" customWidth="1"/>
    <col min="21" max="21" width="12.28515625" bestFit="1" customWidth="1"/>
    <col min="22" max="22" width="11.28515625" bestFit="1" customWidth="1"/>
    <col min="23" max="23" width="12.140625" bestFit="1" customWidth="1"/>
    <col min="24" max="24" width="16.42578125" bestFit="1" customWidth="1"/>
  </cols>
  <sheetData>
    <row r="1" spans="2:18" x14ac:dyDescent="0.25">
      <c r="B1" s="14" t="s">
        <v>33</v>
      </c>
      <c r="C1" s="15" t="s">
        <v>9</v>
      </c>
    </row>
    <row r="2" spans="2:18" x14ac:dyDescent="0.25">
      <c r="B2" s="14" t="s">
        <v>1</v>
      </c>
      <c r="C2" s="15" t="s">
        <v>45</v>
      </c>
    </row>
    <row r="3" spans="2:18" x14ac:dyDescent="0.25">
      <c r="B3" s="14" t="s">
        <v>27</v>
      </c>
      <c r="C3" s="15" t="s">
        <v>28</v>
      </c>
    </row>
    <row r="4" spans="2:18" x14ac:dyDescent="0.25">
      <c r="B4" s="16" t="s">
        <v>30</v>
      </c>
      <c r="C4" s="17" t="s">
        <v>31</v>
      </c>
      <c r="D4" s="17" t="s">
        <v>42</v>
      </c>
    </row>
    <row r="5" spans="2:18" x14ac:dyDescent="0.25">
      <c r="B5" s="15" t="s">
        <v>29</v>
      </c>
      <c r="C5" s="19" t="s">
        <v>46</v>
      </c>
      <c r="D5" s="19" t="s">
        <v>46</v>
      </c>
      <c r="K5" s="12"/>
    </row>
    <row r="6" spans="2:18" s="10" customFormat="1" x14ac:dyDescent="0.25">
      <c r="B6" s="18" t="s">
        <v>32</v>
      </c>
      <c r="C6" s="19" t="s">
        <v>46</v>
      </c>
      <c r="D6" s="19" t="s">
        <v>46</v>
      </c>
      <c r="E6" s="18"/>
      <c r="F6" s="18"/>
      <c r="G6" s="85"/>
      <c r="H6" s="18"/>
      <c r="I6" s="18"/>
      <c r="J6" s="18"/>
      <c r="K6" s="18"/>
      <c r="L6" s="18"/>
      <c r="M6" s="18"/>
      <c r="N6" s="38"/>
      <c r="P6" s="42"/>
      <c r="Q6" s="42"/>
    </row>
    <row r="7" spans="2:18" x14ac:dyDescent="0.25">
      <c r="B7" s="14" t="s">
        <v>34</v>
      </c>
      <c r="C7" s="12" t="s">
        <v>35</v>
      </c>
    </row>
    <row r="8" spans="2:18" x14ac:dyDescent="0.25">
      <c r="B8" s="14" t="s">
        <v>36</v>
      </c>
      <c r="C8" s="12" t="s">
        <v>7</v>
      </c>
    </row>
    <row r="9" spans="2:18" x14ac:dyDescent="0.25">
      <c r="B9" s="14" t="s">
        <v>37</v>
      </c>
      <c r="C9" s="12" t="s">
        <v>11</v>
      </c>
    </row>
    <row r="10" spans="2:18" x14ac:dyDescent="0.25">
      <c r="C10" s="12"/>
    </row>
    <row r="11" spans="2:18" hidden="1" x14ac:dyDescent="0.25">
      <c r="E11" s="20"/>
      <c r="F11" s="12"/>
      <c r="H11" s="12"/>
      <c r="I11" s="12"/>
      <c r="J11" s="12"/>
      <c r="K11" s="12"/>
      <c r="M11" s="12"/>
      <c r="O11" s="1"/>
      <c r="Q11" s="3"/>
    </row>
    <row r="12" spans="2:18" hidden="1" x14ac:dyDescent="0.25">
      <c r="E12" s="20"/>
      <c r="F12" s="12"/>
      <c r="H12" s="12"/>
      <c r="I12" s="12"/>
      <c r="J12" s="12"/>
      <c r="K12" s="12"/>
      <c r="M12" s="12"/>
      <c r="O12" s="1"/>
      <c r="Q12" s="3"/>
    </row>
    <row r="13" spans="2:18" hidden="1" x14ac:dyDescent="0.25">
      <c r="B13" s="93" t="s">
        <v>25</v>
      </c>
      <c r="C13" s="93"/>
      <c r="D13" s="93"/>
      <c r="E13" s="93"/>
      <c r="F13" s="93"/>
      <c r="G13" s="93"/>
      <c r="H13" s="12"/>
      <c r="I13" s="12"/>
      <c r="J13" s="12"/>
      <c r="K13" s="21"/>
      <c r="L13" s="12"/>
      <c r="M13" s="12"/>
      <c r="O13" s="1"/>
      <c r="R13" s="1"/>
    </row>
    <row r="14" spans="2:18" hidden="1" x14ac:dyDescent="0.25">
      <c r="B14" s="22"/>
      <c r="C14" s="23" t="s">
        <v>13</v>
      </c>
      <c r="D14" s="23" t="s">
        <v>14</v>
      </c>
      <c r="E14" s="24" t="s">
        <v>15</v>
      </c>
      <c r="F14" s="23" t="s">
        <v>10</v>
      </c>
      <c r="G14" s="23" t="s">
        <v>41</v>
      </c>
      <c r="H14" s="25" t="s">
        <v>38</v>
      </c>
      <c r="I14" s="25"/>
      <c r="J14" s="25"/>
      <c r="K14" s="25" t="s">
        <v>23</v>
      </c>
      <c r="L14" s="25" t="s">
        <v>24</v>
      </c>
      <c r="M14" s="25" t="s">
        <v>20</v>
      </c>
      <c r="N14" s="39"/>
      <c r="O14" s="5" t="s">
        <v>22</v>
      </c>
      <c r="P14" s="5" t="s">
        <v>21</v>
      </c>
    </row>
    <row r="15" spans="2:18" hidden="1" x14ac:dyDescent="0.25">
      <c r="B15" s="26" t="s">
        <v>16</v>
      </c>
      <c r="C15" s="22">
        <f>50%*F11</f>
        <v>0</v>
      </c>
      <c r="D15" s="22">
        <f>50%*G11</f>
        <v>0</v>
      </c>
      <c r="E15" s="27">
        <f>D15+C15</f>
        <v>0</v>
      </c>
      <c r="F15" s="28">
        <f>($L$30+$L$31)*E15</f>
        <v>0</v>
      </c>
      <c r="G15" s="28">
        <v>0</v>
      </c>
      <c r="H15" s="7">
        <v>0</v>
      </c>
      <c r="I15" s="7"/>
      <c r="J15" s="7"/>
      <c r="K15" s="22">
        <f>E15-F15-G15+H15</f>
        <v>0</v>
      </c>
      <c r="L15" s="22">
        <v>0</v>
      </c>
      <c r="M15" s="29"/>
      <c r="N15" s="40"/>
      <c r="O15" s="9"/>
      <c r="P15" s="6">
        <f>K15-L15</f>
        <v>0</v>
      </c>
    </row>
    <row r="16" spans="2:18" hidden="1" x14ac:dyDescent="0.25">
      <c r="B16" s="26" t="s">
        <v>17</v>
      </c>
      <c r="C16" s="22">
        <f>50%*F11</f>
        <v>0</v>
      </c>
      <c r="D16" s="22">
        <f>50%*G11</f>
        <v>0</v>
      </c>
      <c r="E16" s="27">
        <f>D16+C16</f>
        <v>0</v>
      </c>
      <c r="F16" s="28">
        <f>($L$30+$L$31)*E16</f>
        <v>0</v>
      </c>
      <c r="G16" s="28">
        <v>0</v>
      </c>
      <c r="H16" s="7">
        <v>0</v>
      </c>
      <c r="I16" s="7"/>
      <c r="J16" s="7"/>
      <c r="K16" s="22">
        <f>E16-F16-G16+H16</f>
        <v>0</v>
      </c>
      <c r="L16" s="22">
        <v>0</v>
      </c>
      <c r="M16" s="29"/>
      <c r="N16" s="40"/>
      <c r="O16" s="9"/>
      <c r="P16" s="6">
        <f>K16-L16</f>
        <v>0</v>
      </c>
    </row>
    <row r="17" spans="1:16" hidden="1" x14ac:dyDescent="0.25">
      <c r="B17" s="26" t="s">
        <v>8</v>
      </c>
      <c r="C17" s="27">
        <f>C16+C15</f>
        <v>0</v>
      </c>
      <c r="D17" s="27">
        <f t="shared" ref="D17:K17" si="0">D16+D15</f>
        <v>0</v>
      </c>
      <c r="E17" s="27">
        <f t="shared" si="0"/>
        <v>0</v>
      </c>
      <c r="F17" s="27">
        <f>F16+F15</f>
        <v>0</v>
      </c>
      <c r="G17" s="27">
        <f t="shared" si="0"/>
        <v>0</v>
      </c>
      <c r="H17" s="27">
        <f>H16+H15</f>
        <v>0</v>
      </c>
      <c r="I17" s="27"/>
      <c r="J17" s="27"/>
      <c r="K17" s="27">
        <f t="shared" si="0"/>
        <v>0</v>
      </c>
      <c r="L17" s="27">
        <f t="shared" ref="L17" si="1">L16+L15</f>
        <v>0</v>
      </c>
      <c r="M17" s="27"/>
      <c r="N17" s="41"/>
      <c r="O17" s="4"/>
      <c r="P17" s="8">
        <f>P16+P15</f>
        <v>0</v>
      </c>
    </row>
    <row r="18" spans="1:16" x14ac:dyDescent="0.25">
      <c r="B18" s="30"/>
      <c r="D18" s="12"/>
      <c r="E18" s="20"/>
      <c r="F18" s="12"/>
      <c r="H18" s="12"/>
      <c r="I18" s="12"/>
      <c r="J18" s="12"/>
      <c r="K18" s="12"/>
    </row>
    <row r="19" spans="1:16" x14ac:dyDescent="0.25">
      <c r="B19" s="30" t="s">
        <v>39</v>
      </c>
      <c r="C19" s="12">
        <v>508750</v>
      </c>
      <c r="D19" s="12"/>
      <c r="E19" s="12"/>
      <c r="F19" s="12"/>
      <c r="H19" s="12"/>
      <c r="I19" s="12"/>
      <c r="J19" s="12"/>
      <c r="K19" s="12"/>
    </row>
    <row r="20" spans="1:16" x14ac:dyDescent="0.25">
      <c r="B20" s="30" t="s">
        <v>12</v>
      </c>
      <c r="C20" s="31">
        <f>G17</f>
        <v>0</v>
      </c>
      <c r="D20" s="12"/>
      <c r="E20" s="12"/>
      <c r="F20" s="12"/>
      <c r="H20" s="12"/>
      <c r="I20" s="12"/>
      <c r="J20" s="12"/>
      <c r="K20" s="12"/>
    </row>
    <row r="21" spans="1:16" x14ac:dyDescent="0.25">
      <c r="B21" s="30" t="s">
        <v>26</v>
      </c>
      <c r="C21" s="31">
        <f>C19*D21</f>
        <v>53418.75</v>
      </c>
      <c r="D21" s="81">
        <f>50%*21%</f>
        <v>0.105</v>
      </c>
      <c r="E21" s="12"/>
      <c r="F21" s="12"/>
      <c r="H21" s="12"/>
      <c r="I21" s="12"/>
      <c r="J21" s="12"/>
      <c r="K21" s="12"/>
    </row>
    <row r="22" spans="1:16" x14ac:dyDescent="0.25">
      <c r="B22" s="30" t="s">
        <v>43</v>
      </c>
      <c r="C22" s="31">
        <f>H17</f>
        <v>0</v>
      </c>
      <c r="D22" s="12"/>
      <c r="E22" s="12"/>
      <c r="F22" s="12"/>
      <c r="H22" s="12"/>
      <c r="I22" s="12"/>
      <c r="J22" s="12"/>
      <c r="K22" s="12"/>
    </row>
    <row r="23" spans="1:16" x14ac:dyDescent="0.25">
      <c r="B23" s="32" t="s">
        <v>40</v>
      </c>
      <c r="C23" s="33">
        <f>C19-C20-C21+C22</f>
        <v>455331.25</v>
      </c>
      <c r="D23" s="13"/>
      <c r="E23" s="12"/>
      <c r="F23" s="12"/>
      <c r="H23" s="12"/>
      <c r="I23" s="12"/>
      <c r="J23" s="12"/>
      <c r="K23" s="12"/>
    </row>
    <row r="24" spans="1:16" x14ac:dyDescent="0.25">
      <c r="F24" s="12"/>
      <c r="H24" s="12"/>
      <c r="I24" s="12"/>
      <c r="J24" s="12"/>
      <c r="K24" s="12"/>
      <c r="M24" s="12"/>
    </row>
    <row r="25" spans="1:16" ht="15.75" thickBot="1" x14ac:dyDescent="0.3">
      <c r="B25" s="14"/>
      <c r="C25" s="16"/>
      <c r="D25" s="13"/>
      <c r="F25" s="12"/>
      <c r="H25" s="12"/>
      <c r="I25" s="12"/>
      <c r="J25" s="12"/>
      <c r="K25" s="12"/>
      <c r="M25" s="12"/>
    </row>
    <row r="26" spans="1:16" x14ac:dyDescent="0.25">
      <c r="C26" s="56"/>
      <c r="D26" s="90" t="s">
        <v>47</v>
      </c>
      <c r="E26" s="91"/>
      <c r="F26" s="92"/>
      <c r="K26" s="44"/>
      <c r="L26" s="45"/>
      <c r="M26" s="46"/>
      <c r="N26" s="47"/>
    </row>
    <row r="27" spans="1:16" x14ac:dyDescent="0.25">
      <c r="B27" s="30"/>
      <c r="C27" s="57"/>
      <c r="D27" s="58" t="s">
        <v>44</v>
      </c>
      <c r="E27" s="59" t="s">
        <v>12</v>
      </c>
      <c r="F27" s="60" t="s">
        <v>21</v>
      </c>
      <c r="H27" s="17"/>
      <c r="I27" s="17"/>
      <c r="J27" s="17"/>
      <c r="M27" s="16"/>
      <c r="N27" s="48"/>
    </row>
    <row r="28" spans="1:16" x14ac:dyDescent="0.25">
      <c r="C28" s="61" t="s">
        <v>0</v>
      </c>
      <c r="D28" s="62">
        <f>C19</f>
        <v>508750</v>
      </c>
      <c r="E28" s="63">
        <v>0</v>
      </c>
      <c r="F28" s="64">
        <f>D28-E28</f>
        <v>508750</v>
      </c>
      <c r="H28" s="34" t="s">
        <v>48</v>
      </c>
      <c r="I28" s="34"/>
      <c r="J28" s="34"/>
      <c r="L28" s="17"/>
      <c r="M28" s="17"/>
      <c r="N28" s="49"/>
      <c r="O28" s="50"/>
    </row>
    <row r="29" spans="1:16" x14ac:dyDescent="0.25">
      <c r="C29" s="65" t="s">
        <v>2</v>
      </c>
      <c r="D29" s="66">
        <f>H29*D28</f>
        <v>76312.5</v>
      </c>
      <c r="E29" s="67">
        <v>0</v>
      </c>
      <c r="F29" s="68">
        <f>D29-E29</f>
        <v>76312.5</v>
      </c>
      <c r="G29" s="86"/>
      <c r="H29" s="51">
        <v>0.15</v>
      </c>
      <c r="I29" s="51"/>
      <c r="J29" s="51"/>
      <c r="L29" s="52"/>
      <c r="O29" s="1"/>
    </row>
    <row r="30" spans="1:16" x14ac:dyDescent="0.25">
      <c r="C30" s="65" t="s">
        <v>3</v>
      </c>
      <c r="D30" s="66">
        <f>16%*(SUM(D28:D29))</f>
        <v>93610</v>
      </c>
      <c r="E30" s="67">
        <f>16%*(SUM(E28:E29))</f>
        <v>0</v>
      </c>
      <c r="F30" s="68">
        <f>D30-E30</f>
        <v>93610</v>
      </c>
      <c r="H30" s="12"/>
      <c r="I30" s="12"/>
      <c r="J30" s="12"/>
      <c r="L30" s="52"/>
      <c r="O30" s="1"/>
    </row>
    <row r="31" spans="1:16" x14ac:dyDescent="0.25">
      <c r="A31" s="2"/>
      <c r="C31" s="65" t="s">
        <v>4</v>
      </c>
      <c r="D31" s="66">
        <f>2%*(D28+D29)</f>
        <v>11701.25</v>
      </c>
      <c r="E31" s="67">
        <v>0</v>
      </c>
      <c r="F31" s="68">
        <f>D31-E31</f>
        <v>11701.25</v>
      </c>
      <c r="H31" s="12"/>
      <c r="I31" s="12"/>
      <c r="J31" s="12"/>
      <c r="L31" s="52"/>
      <c r="O31" s="1"/>
    </row>
    <row r="32" spans="1:16" x14ac:dyDescent="0.25">
      <c r="A32" s="2"/>
      <c r="C32" s="65" t="s">
        <v>5</v>
      </c>
      <c r="D32" s="66">
        <v>0</v>
      </c>
      <c r="E32" s="67">
        <v>0</v>
      </c>
      <c r="F32" s="68">
        <v>0</v>
      </c>
      <c r="H32" s="12"/>
      <c r="I32" s="12"/>
      <c r="J32" s="12"/>
      <c r="L32" s="53"/>
      <c r="M32" s="16"/>
      <c r="N32" s="48"/>
      <c r="O32" s="1"/>
    </row>
    <row r="33" spans="1:15" ht="15.75" thickBot="1" x14ac:dyDescent="0.3">
      <c r="A33" s="2"/>
      <c r="C33" s="61" t="s">
        <v>6</v>
      </c>
      <c r="D33" s="69">
        <f>SUM(D28:D32)</f>
        <v>690373.75</v>
      </c>
      <c r="E33" s="70">
        <f>SUM(E28:E32)</f>
        <v>0</v>
      </c>
      <c r="F33" s="71">
        <f>SUM(F28:F32)</f>
        <v>690373.75</v>
      </c>
      <c r="H33" s="12"/>
      <c r="I33" s="12"/>
      <c r="J33" s="12"/>
      <c r="O33" s="1"/>
    </row>
    <row r="34" spans="1:15" x14ac:dyDescent="0.25">
      <c r="A34" s="2"/>
      <c r="B34" s="14"/>
      <c r="C34" s="13"/>
      <c r="D34" s="13"/>
      <c r="E34" s="12"/>
      <c r="K34" s="12"/>
    </row>
    <row r="35" spans="1:15" ht="17.25" x14ac:dyDescent="0.4">
      <c r="A35" s="2"/>
      <c r="C35" s="35" t="s">
        <v>61</v>
      </c>
      <c r="D35" s="55" t="s">
        <v>49</v>
      </c>
      <c r="E35" s="36" t="s">
        <v>18</v>
      </c>
      <c r="F35" s="11" t="s">
        <v>19</v>
      </c>
      <c r="G35" s="13"/>
      <c r="H35" s="12"/>
      <c r="I35" s="12"/>
      <c r="J35" s="12"/>
      <c r="K35" s="12"/>
    </row>
    <row r="36" spans="1:15" x14ac:dyDescent="0.25">
      <c r="C36" s="30" t="s">
        <v>50</v>
      </c>
      <c r="D36" s="54">
        <v>0.5</v>
      </c>
      <c r="E36" s="12">
        <f>D36*$F$33</f>
        <v>345186.875</v>
      </c>
      <c r="F36" s="12">
        <f>$C$23*D36</f>
        <v>227665.625</v>
      </c>
      <c r="G36" s="87" t="str">
        <f>D36*100 &amp; "% payable within 60 days of inception"</f>
        <v>50% payable within 60 days of inception</v>
      </c>
      <c r="H36" s="43"/>
      <c r="I36" s="43"/>
      <c r="J36" s="43"/>
      <c r="K36" s="43"/>
    </row>
    <row r="37" spans="1:15" x14ac:dyDescent="0.25">
      <c r="C37" s="30" t="s">
        <v>51</v>
      </c>
      <c r="D37" s="54">
        <v>0.5</v>
      </c>
      <c r="E37" s="12">
        <f>D37*$F$33</f>
        <v>345186.875</v>
      </c>
      <c r="F37" s="12">
        <f>$C$23*D37</f>
        <v>227665.625</v>
      </c>
      <c r="G37" s="87" t="str">
        <f>D36*100 &amp; "% payable as an additionnal premium within 180 days of inception"</f>
        <v>50% payable as an additionnal premium within 180 days of inception</v>
      </c>
      <c r="H37" s="43"/>
      <c r="I37" s="43"/>
      <c r="J37" s="43"/>
      <c r="K37" s="43"/>
    </row>
    <row r="38" spans="1:15" x14ac:dyDescent="0.25">
      <c r="C38" s="14" t="s">
        <v>8</v>
      </c>
      <c r="E38" s="13">
        <f>E37+E36</f>
        <v>690373.75</v>
      </c>
      <c r="F38" s="13">
        <f>F37+F36</f>
        <v>455331.25</v>
      </c>
      <c r="H38" s="30"/>
      <c r="I38" s="30"/>
      <c r="J38" s="30"/>
    </row>
    <row r="39" spans="1:15" x14ac:dyDescent="0.25">
      <c r="C39" s="14"/>
      <c r="D39" s="13"/>
    </row>
    <row r="42" spans="1:15" ht="15.75" thickBot="1" x14ac:dyDescent="0.3">
      <c r="C42" s="16" t="s">
        <v>60</v>
      </c>
    </row>
    <row r="43" spans="1:15" x14ac:dyDescent="0.25">
      <c r="C43" s="72"/>
      <c r="D43" s="73" t="s">
        <v>53</v>
      </c>
      <c r="E43" s="74" t="s">
        <v>54</v>
      </c>
      <c r="F43" s="75" t="s">
        <v>52</v>
      </c>
      <c r="G43" s="88" t="s">
        <v>59</v>
      </c>
    </row>
    <row r="44" spans="1:15" x14ac:dyDescent="0.25">
      <c r="C44" s="76" t="s">
        <v>55</v>
      </c>
      <c r="D44" s="22">
        <f>50%*C21</f>
        <v>26709.375</v>
      </c>
      <c r="E44" s="22">
        <f>16%*D44</f>
        <v>4273.5</v>
      </c>
      <c r="F44" s="77">
        <f>E44+D44</f>
        <v>30982.875</v>
      </c>
      <c r="G44" s="12" t="s">
        <v>57</v>
      </c>
    </row>
    <row r="45" spans="1:15" x14ac:dyDescent="0.25">
      <c r="C45" s="76" t="s">
        <v>56</v>
      </c>
      <c r="D45" s="22">
        <f>50%*F29</f>
        <v>38156.25</v>
      </c>
      <c r="E45" s="22">
        <f>16%*D45</f>
        <v>6105</v>
      </c>
      <c r="F45" s="77">
        <f>E45+D45</f>
        <v>44261.25</v>
      </c>
      <c r="G45" s="12" t="s">
        <v>58</v>
      </c>
    </row>
    <row r="46" spans="1:15" ht="15.75" thickBot="1" x14ac:dyDescent="0.3">
      <c r="C46" s="78" t="s">
        <v>8</v>
      </c>
      <c r="D46" s="79">
        <f>SUM(D44:D45)</f>
        <v>64865.625</v>
      </c>
      <c r="E46" s="79">
        <f t="shared" ref="E46:F46" si="2">SUM(E44:E45)</f>
        <v>10378.5</v>
      </c>
      <c r="F46" s="80">
        <f t="shared" si="2"/>
        <v>75244.125</v>
      </c>
    </row>
    <row r="48" spans="1:15" x14ac:dyDescent="0.25">
      <c r="C48" s="16" t="s">
        <v>83</v>
      </c>
    </row>
    <row r="49" spans="3:11" x14ac:dyDescent="0.25">
      <c r="C49" s="83" t="s">
        <v>62</v>
      </c>
      <c r="D49" s="83" t="s">
        <v>53</v>
      </c>
      <c r="E49" s="83" t="s">
        <v>63</v>
      </c>
      <c r="F49" s="84" t="s">
        <v>52</v>
      </c>
      <c r="G49" s="84" t="s">
        <v>64</v>
      </c>
      <c r="H49" s="83" t="s">
        <v>65</v>
      </c>
      <c r="I49" s="83" t="s">
        <v>70</v>
      </c>
      <c r="J49" s="83" t="s">
        <v>67</v>
      </c>
      <c r="K49" s="83" t="s">
        <v>66</v>
      </c>
    </row>
    <row r="50" spans="3:11" x14ac:dyDescent="0.25">
      <c r="C50" s="15" t="s">
        <v>71</v>
      </c>
      <c r="D50" s="12">
        <f>$D$46/12</f>
        <v>5405.46875</v>
      </c>
      <c r="E50" s="12">
        <f>D50*16%</f>
        <v>864.875</v>
      </c>
      <c r="F50" s="12">
        <f>E50+D50</f>
        <v>6270.34375</v>
      </c>
      <c r="G50" s="12">
        <v>0</v>
      </c>
      <c r="H50" s="82"/>
      <c r="I50" s="82"/>
      <c r="J50" s="82"/>
      <c r="K50" s="12">
        <f>F50-G50</f>
        <v>6270.34375</v>
      </c>
    </row>
    <row r="51" spans="3:11" x14ac:dyDescent="0.25">
      <c r="C51" s="15" t="s">
        <v>72</v>
      </c>
      <c r="D51" s="12">
        <f t="shared" ref="D51:D61" si="3">$D$46/12</f>
        <v>5405.46875</v>
      </c>
      <c r="E51" s="12">
        <f t="shared" ref="E51:E61" si="4">D51*16%</f>
        <v>864.875</v>
      </c>
      <c r="F51" s="12">
        <f t="shared" ref="F51:F61" si="5">E51+D51</f>
        <v>6270.34375</v>
      </c>
      <c r="G51" s="12">
        <f>Tableau1[[#This Row],[Gross]]+F50</f>
        <v>12540.6875</v>
      </c>
      <c r="H51" s="82">
        <v>45005</v>
      </c>
      <c r="I51" s="82" t="s">
        <v>84</v>
      </c>
      <c r="J51" s="82" t="s">
        <v>68</v>
      </c>
      <c r="K51" s="12">
        <f t="shared" ref="K51:K61" si="6">F51-G51</f>
        <v>-6270.34375</v>
      </c>
    </row>
    <row r="52" spans="3:11" x14ac:dyDescent="0.25">
      <c r="C52" s="15" t="s">
        <v>73</v>
      </c>
      <c r="D52" s="12">
        <f t="shared" si="3"/>
        <v>5405.46875</v>
      </c>
      <c r="E52" s="12">
        <f t="shared" si="4"/>
        <v>864.875</v>
      </c>
      <c r="F52" s="12">
        <f t="shared" si="5"/>
        <v>6270.34375</v>
      </c>
      <c r="G52" s="12">
        <v>0</v>
      </c>
      <c r="H52" s="82"/>
      <c r="I52" s="82"/>
      <c r="J52" s="82"/>
      <c r="K52" s="12">
        <f t="shared" si="6"/>
        <v>6270.34375</v>
      </c>
    </row>
    <row r="53" spans="3:11" x14ac:dyDescent="0.25">
      <c r="C53" s="15" t="s">
        <v>74</v>
      </c>
      <c r="D53" s="12">
        <f t="shared" si="3"/>
        <v>5405.46875</v>
      </c>
      <c r="E53" s="12">
        <f t="shared" si="4"/>
        <v>864.875</v>
      </c>
      <c r="F53" s="12">
        <f t="shared" si="5"/>
        <v>6270.34375</v>
      </c>
      <c r="G53" s="12">
        <f>Tableau1[[#This Row],[Gross]]+F52</f>
        <v>12540.6875</v>
      </c>
      <c r="H53" s="82">
        <v>45076</v>
      </c>
      <c r="I53" s="82" t="s">
        <v>85</v>
      </c>
      <c r="J53" s="82" t="s">
        <v>69</v>
      </c>
      <c r="K53" s="12">
        <f t="shared" si="6"/>
        <v>-6270.34375</v>
      </c>
    </row>
    <row r="54" spans="3:11" x14ac:dyDescent="0.25">
      <c r="C54" s="15" t="s">
        <v>75</v>
      </c>
      <c r="D54" s="12">
        <f t="shared" si="3"/>
        <v>5405.46875</v>
      </c>
      <c r="E54" s="12">
        <f t="shared" si="4"/>
        <v>864.875</v>
      </c>
      <c r="F54" s="12">
        <f t="shared" si="5"/>
        <v>6270.34375</v>
      </c>
      <c r="G54" s="12">
        <v>0</v>
      </c>
      <c r="H54" s="82"/>
      <c r="I54" s="82"/>
      <c r="J54" s="82"/>
      <c r="K54" s="12">
        <f t="shared" si="6"/>
        <v>6270.34375</v>
      </c>
    </row>
    <row r="55" spans="3:11" x14ac:dyDescent="0.25">
      <c r="C55" s="15" t="s">
        <v>76</v>
      </c>
      <c r="D55" s="12">
        <f t="shared" si="3"/>
        <v>5405.46875</v>
      </c>
      <c r="E55" s="12">
        <f t="shared" si="4"/>
        <v>864.875</v>
      </c>
      <c r="F55" s="12">
        <f t="shared" si="5"/>
        <v>6270.34375</v>
      </c>
      <c r="G55" s="12">
        <v>12540.69</v>
      </c>
      <c r="H55" s="82">
        <v>45135</v>
      </c>
      <c r="I55" s="82" t="s">
        <v>87</v>
      </c>
      <c r="J55" s="82" t="s">
        <v>88</v>
      </c>
      <c r="K55" s="12">
        <f t="shared" si="6"/>
        <v>-6270.3462500000005</v>
      </c>
    </row>
    <row r="56" spans="3:11" x14ac:dyDescent="0.25">
      <c r="C56" s="15" t="s">
        <v>77</v>
      </c>
      <c r="D56" s="12">
        <f t="shared" si="3"/>
        <v>5405.46875</v>
      </c>
      <c r="E56" s="12">
        <f t="shared" si="4"/>
        <v>864.875</v>
      </c>
      <c r="F56" s="94">
        <f t="shared" si="5"/>
        <v>6270.34375</v>
      </c>
      <c r="G56" s="12">
        <v>0</v>
      </c>
      <c r="H56" s="82"/>
      <c r="I56" s="82"/>
      <c r="J56" s="82"/>
      <c r="K56" s="12">
        <f t="shared" si="6"/>
        <v>6270.34375</v>
      </c>
    </row>
    <row r="57" spans="3:11" x14ac:dyDescent="0.25">
      <c r="C57" s="15" t="s">
        <v>78</v>
      </c>
      <c r="D57" s="12">
        <f t="shared" si="3"/>
        <v>5405.46875</v>
      </c>
      <c r="E57" s="12">
        <f t="shared" si="4"/>
        <v>864.875</v>
      </c>
      <c r="F57" s="94">
        <f t="shared" si="5"/>
        <v>6270.34375</v>
      </c>
      <c r="G57" s="12">
        <v>12540.69</v>
      </c>
      <c r="H57" s="82"/>
      <c r="I57" s="82" t="s">
        <v>90</v>
      </c>
      <c r="J57" s="82"/>
      <c r="K57" s="12">
        <f t="shared" si="6"/>
        <v>-6270.3462500000005</v>
      </c>
    </row>
    <row r="58" spans="3:11" x14ac:dyDescent="0.25">
      <c r="C58" s="15" t="s">
        <v>79</v>
      </c>
      <c r="D58" s="12">
        <f t="shared" si="3"/>
        <v>5405.46875</v>
      </c>
      <c r="E58" s="12">
        <f t="shared" si="4"/>
        <v>864.875</v>
      </c>
      <c r="F58" s="12">
        <f t="shared" si="5"/>
        <v>6270.34375</v>
      </c>
      <c r="H58" s="82"/>
      <c r="I58" s="82"/>
      <c r="J58" s="82"/>
      <c r="K58" s="12">
        <f t="shared" si="6"/>
        <v>6270.34375</v>
      </c>
    </row>
    <row r="59" spans="3:11" x14ac:dyDescent="0.25">
      <c r="C59" s="15" t="s">
        <v>80</v>
      </c>
      <c r="D59" s="12">
        <f t="shared" si="3"/>
        <v>5405.46875</v>
      </c>
      <c r="E59" s="12">
        <f t="shared" si="4"/>
        <v>864.875</v>
      </c>
      <c r="F59" s="12">
        <f t="shared" si="5"/>
        <v>6270.34375</v>
      </c>
      <c r="G59" s="12">
        <v>12540.69</v>
      </c>
      <c r="H59" s="82">
        <v>45216</v>
      </c>
      <c r="I59" s="82" t="s">
        <v>91</v>
      </c>
      <c r="J59" s="82"/>
      <c r="K59" s="12">
        <f t="shared" si="6"/>
        <v>-6270.3462500000005</v>
      </c>
    </row>
    <row r="60" spans="3:11" x14ac:dyDescent="0.25">
      <c r="C60" s="15" t="s">
        <v>81</v>
      </c>
      <c r="D60" s="12">
        <f t="shared" si="3"/>
        <v>5405.46875</v>
      </c>
      <c r="E60" s="12">
        <f t="shared" si="4"/>
        <v>864.875</v>
      </c>
      <c r="F60" s="12">
        <f t="shared" si="5"/>
        <v>6270.34375</v>
      </c>
      <c r="H60" s="82"/>
      <c r="I60" s="82"/>
      <c r="J60" s="82"/>
      <c r="K60" s="12">
        <f t="shared" si="6"/>
        <v>6270.34375</v>
      </c>
    </row>
    <row r="61" spans="3:11" x14ac:dyDescent="0.25">
      <c r="C61" s="15" t="s">
        <v>82</v>
      </c>
      <c r="D61" s="12">
        <f t="shared" si="3"/>
        <v>5405.46875</v>
      </c>
      <c r="E61" s="12">
        <f t="shared" si="4"/>
        <v>864.875</v>
      </c>
      <c r="F61" s="12">
        <f t="shared" si="5"/>
        <v>6270.34375</v>
      </c>
      <c r="G61" s="12">
        <v>0</v>
      </c>
      <c r="H61" s="82"/>
      <c r="I61" s="82"/>
      <c r="J61" s="82"/>
      <c r="K61" s="12">
        <f t="shared" si="6"/>
        <v>6270.34375</v>
      </c>
    </row>
    <row r="62" spans="3:11" x14ac:dyDescent="0.25">
      <c r="C62" s="15" t="s">
        <v>8</v>
      </c>
      <c r="D62" s="12">
        <f>SUBTOTAL(109,Tableau1[Net])</f>
        <v>64865.625</v>
      </c>
      <c r="E62" s="12">
        <f>SUBTOTAL(109,Tableau1[Vat @ 16%])</f>
        <v>10378.5</v>
      </c>
      <c r="F62" s="12">
        <f>SUBTOTAL(109,Tableau1[Gross])</f>
        <v>75244.125</v>
      </c>
      <c r="G62" s="12">
        <f>SUBTOTAL(109,Tableau1[Mont reçu])</f>
        <v>62703.445000000007</v>
      </c>
      <c r="K62" s="12">
        <f>SUBTOTAL(109,Tableau1[Solde restant dû])</f>
        <v>12540.679999999998</v>
      </c>
    </row>
    <row r="65" spans="4:7" x14ac:dyDescent="0.25">
      <c r="D65" s="89"/>
      <c r="E65" s="32" t="s">
        <v>86</v>
      </c>
      <c r="F65" s="33">
        <f>F55+F54</f>
        <v>12540.6875</v>
      </c>
      <c r="G65" s="33" t="s">
        <v>89</v>
      </c>
    </row>
  </sheetData>
  <mergeCells count="2">
    <mergeCell ref="D26:F26"/>
    <mergeCell ref="B13:G13"/>
  </mergeCells>
  <phoneticPr fontId="11" type="noConversion"/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57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Renewal 2022-23</vt:lpstr>
      <vt:lpstr>'Renewal 2022-23'!Zone_d_impression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2023-10-31T09:54:19Z</dcterms:modified>
</cp:coreProperties>
</file>