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665E5AC-629D-4D69-9C2D-C7EBC32B7F03}" xr6:coauthVersionLast="47" xr6:coauthVersionMax="47" xr10:uidLastSave="{00000000-0000-0000-0000-000000000000}"/>
  <bookViews>
    <workbookView xWindow="-28920" yWindow="-3645" windowWidth="29040" windowHeight="15840" activeTab="1" xr2:uid="{00000000-000D-0000-FFFF-FFFF00000000}"/>
  </bookViews>
  <sheets>
    <sheet name="BDM 2023" sheetId="1" r:id="rId1"/>
    <sheet name="Synthèse" sheetId="4" r:id="rId2"/>
    <sheet name="Params" sheetId="3" r:id="rId3"/>
  </sheets>
  <definedNames>
    <definedName name="_xlnm._FilterDatabase" localSheetId="0" hidden="1">'BDM 2023'!$A$1:$BE$904</definedName>
    <definedName name="_xlnm._FilterDatabase" localSheetId="2" hidden="1">Params!$D$3:$L$30</definedName>
    <definedName name="AF" localSheetId="0">#REF!</definedName>
    <definedName name="AF">#REF!</definedName>
    <definedName name="brokeragefees" localSheetId="0">#REF!</definedName>
    <definedName name="brokeragefees">#REF!</definedName>
    <definedName name="div_2013" localSheetId="0">#REF!</definedName>
    <definedName name="div_2013">#REF!</definedName>
    <definedName name="div_2014" localSheetId="0">#REF!</definedName>
    <definedName name="div_2014">#REF!</definedName>
    <definedName name="div_2015" localSheetId="0">#REF!</definedName>
    <definedName name="div_2015">#REF!</definedName>
    <definedName name="div_2016" localSheetId="0">#REF!</definedName>
    <definedName name="div_2016">#REF!</definedName>
    <definedName name="div_2017" localSheetId="0">#REF!</definedName>
    <definedName name="div_2017">#REF!</definedName>
    <definedName name="gapril2013" localSheetId="0">#REF!</definedName>
    <definedName name="gapril2013">#REF!</definedName>
    <definedName name="gaugust2013" localSheetId="0">#REF!</definedName>
    <definedName name="gaugust2013">#REF!</definedName>
    <definedName name="gdecember2013" localSheetId="0">#REF!</definedName>
    <definedName name="gdecember2013">#REF!</definedName>
    <definedName name="gjuly2013" localSheetId="0">#REF!</definedName>
    <definedName name="gjuly2013">#REF!</definedName>
    <definedName name="gjune2013" localSheetId="0">#REF!</definedName>
    <definedName name="gjune2013">#REF!</definedName>
    <definedName name="gmarch2013" localSheetId="0">#REF!</definedName>
    <definedName name="gmarch2013">#REF!</definedName>
    <definedName name="gmarch2018" localSheetId="0">#REF!</definedName>
    <definedName name="gmarch2018">#REF!</definedName>
    <definedName name="gmay2013" localSheetId="0">#REF!</definedName>
    <definedName name="gmay2013">#REF!</definedName>
    <definedName name="gnovember2013" localSheetId="0">#REF!</definedName>
    <definedName name="gnovember2013">#REF!</definedName>
    <definedName name="goctober2013" localSheetId="0">#REF!</definedName>
    <definedName name="goctober2013">#REF!</definedName>
    <definedName name="gseptember2013" localSheetId="0">#REF!</definedName>
    <definedName name="gseptember2013">#REF!</definedName>
    <definedName name="minorityinterest" localSheetId="0">#REF!</definedName>
    <definedName name="minorityinterest">#REF!</definedName>
    <definedName name="RFQ_BGFIBANK" localSheetId="0">#REF!</definedName>
    <definedName name="RFQ_BGFIBANK">#REF!</definedName>
    <definedName name="Sheet1" localSheetId="0">#REF!</definedName>
    <definedName name="Sheet1">#REF!</definedName>
    <definedName name="Summary1" localSheetId="0">#REF!</definedName>
    <definedName name="Summary1">#REF!</definedName>
    <definedName name="taxrate" localSheetId="0">#REF!</definedName>
    <definedName name="taxrate">#REF!</definedName>
    <definedName name="WEQER" localSheetId="0">#REF!</definedName>
    <definedName name="WEQER">#REF!</definedName>
    <definedName name="Y" localSheetId="0">#REF!</definedName>
    <definedName name="Y">#REF!</definedName>
    <definedName name="Z_01F26D4B_224A_419B_98BF_3DEB33719D22_.wvu.FilterData" localSheetId="0" hidden="1">'BDM 2023'!$A$1:$BE$904</definedName>
    <definedName name="Z_07893D41_8ADC_4F43_8F94_28AD7FD31C48_.wvu.FilterData" localSheetId="0" hidden="1">'BDM 2023'!$A$1:$BD$10</definedName>
    <definedName name="Z_09F1376D_7B4A_48C1_8FD9_F1C3EB8D72A7_.wvu.FilterData" localSheetId="0" hidden="1">'BDM 2023'!$A$1:$BE$660</definedName>
    <definedName name="Z_2B29265B_8CFE_4AE1_B3F3_5832C5D2C800_.wvu.FilterData" localSheetId="0" hidden="1">'BDM 2023'!$A$1:$BE$670</definedName>
    <definedName name="Z_E30F4EE2_C421_47D4_A4AC_ED91630EA366_.wvu.FilterData" localSheetId="0" hidden="1">'BDM 2023'!$A$1:$BD$904</definedName>
    <definedName name="Z_EAEBF2C7_B300_4F54_97CE_9EFD9CAE3BF7_.wvu.FilterData" localSheetId="0" hidden="1">'BDM 2023'!$A$1:$BE$878</definedName>
    <definedName name="znovember2019" localSheetId="0">#REF!</definedName>
    <definedName name="znovember2019">#REF!</definedName>
  </definedNames>
  <calcPr calcId="191029"/>
  <customWorkbookViews>
    <customWorkbookView name="Vue de Victor" guid="{01F26D4B-224A-419B-98BF-3DEB33719D22}" maximized="1" windowWidth="0" windowHeight="0" activeSheetId="0"/>
    <customWorkbookView name="Filtre 2" guid="{09F1376D-7B4A-48C1-8FD9-F1C3EB8D72A7}" maximized="1" windowWidth="0" windowHeight="0" activeSheetId="0"/>
    <customWorkbookView name="Apphia" guid="{2B29265B-8CFE-4AE1-B3F3-5832C5D2C800}" maximized="1" windowWidth="0" windowHeight="0" activeSheetId="0"/>
    <customWorkbookView name="vue de david" guid="{EAEBF2C7-B300-4F54-97CE-9EFD9CAE3BF7}" maximized="1" windowWidth="0" windowHeight="0" activeSheetId="0"/>
    <customWorkbookView name="Filtre 1" guid="{07893D41-8ADC-4F43-8F94-28AD7FD31C48}" maximized="1" windowWidth="0" windowHeight="0" activeSheetId="0"/>
    <customWorkbookView name="Filtre Serge SULA" guid="{E30F4EE2-C421-47D4-A4AC-ED91630EA366}" maximized="1" windowWidth="0" windowHeight="0" activeSheetId="0"/>
  </customWorkbookViews>
  <pivotCaches>
    <pivotCache cacheId="13" r:id="rId4"/>
  </pivotCaches>
</workbook>
</file>

<file path=xl/calcChain.xml><?xml version="1.0" encoding="utf-8"?>
<calcChain xmlns="http://schemas.openxmlformats.org/spreadsheetml/2006/main">
  <c r="BE905" i="1" l="1"/>
  <c r="AX904" i="1"/>
  <c r="AB904" i="1"/>
  <c r="AI904" i="1" s="1"/>
  <c r="AK904" i="1" s="1"/>
  <c r="Z904" i="1"/>
  <c r="G904" i="1"/>
  <c r="AX869" i="1"/>
  <c r="AB869" i="1"/>
  <c r="AI869" i="1" s="1"/>
  <c r="AK869" i="1" s="1"/>
  <c r="Z869" i="1"/>
  <c r="G869" i="1"/>
  <c r="AX233" i="1"/>
  <c r="AE233" i="1"/>
  <c r="AB233" i="1"/>
  <c r="AF233" i="1" s="1"/>
  <c r="AG233" i="1" s="1"/>
  <c r="AH233" i="1" s="1"/>
  <c r="AV233" i="1" s="1"/>
  <c r="AW233" i="1" s="1"/>
  <c r="Z233" i="1"/>
  <c r="G233" i="1"/>
  <c r="AX901" i="1"/>
  <c r="AC901" i="1"/>
  <c r="AB901" i="1"/>
  <c r="Z901" i="1"/>
  <c r="G901" i="1"/>
  <c r="AX900" i="1"/>
  <c r="AB900" i="1"/>
  <c r="AI900" i="1" s="1"/>
  <c r="AK900" i="1" s="1"/>
  <c r="Z900" i="1"/>
  <c r="G900" i="1"/>
  <c r="AX852" i="1"/>
  <c r="AB852" i="1"/>
  <c r="Z852" i="1"/>
  <c r="G852" i="1"/>
  <c r="AX848" i="1"/>
  <c r="AB848" i="1"/>
  <c r="AF848" i="1" s="1"/>
  <c r="AG848" i="1" s="1"/>
  <c r="Z848" i="1"/>
  <c r="G848" i="1"/>
  <c r="BB785" i="1"/>
  <c r="AX785" i="1"/>
  <c r="AB785" i="1"/>
  <c r="AI785" i="1" s="1"/>
  <c r="AK785" i="1" s="1"/>
  <c r="Z785" i="1"/>
  <c r="G785" i="1"/>
  <c r="BB784" i="1"/>
  <c r="AX784" i="1"/>
  <c r="AB784" i="1"/>
  <c r="AI784" i="1" s="1"/>
  <c r="AK784" i="1" s="1"/>
  <c r="Z784" i="1"/>
  <c r="G784" i="1"/>
  <c r="BB783" i="1"/>
  <c r="AX783" i="1"/>
  <c r="AB783" i="1"/>
  <c r="AI783" i="1" s="1"/>
  <c r="AK783" i="1" s="1"/>
  <c r="Z783" i="1"/>
  <c r="G783" i="1"/>
  <c r="BB782" i="1"/>
  <c r="AX782" i="1"/>
  <c r="AB782" i="1"/>
  <c r="Z782" i="1"/>
  <c r="G782" i="1"/>
  <c r="AX893" i="1"/>
  <c r="AB893" i="1"/>
  <c r="AF893" i="1" s="1"/>
  <c r="Z893" i="1"/>
  <c r="G893" i="1"/>
  <c r="AX892" i="1"/>
  <c r="AB892" i="1"/>
  <c r="AI892" i="1" s="1"/>
  <c r="AK892" i="1" s="1"/>
  <c r="Z892" i="1"/>
  <c r="G892" i="1"/>
  <c r="AX891" i="1"/>
  <c r="AB891" i="1"/>
  <c r="Z891" i="1"/>
  <c r="G891" i="1"/>
  <c r="AX890" i="1"/>
  <c r="AB890" i="1"/>
  <c r="Z890" i="1"/>
  <c r="G890" i="1"/>
  <c r="AX889" i="1"/>
  <c r="AC889" i="1"/>
  <c r="AB889" i="1"/>
  <c r="Z889" i="1"/>
  <c r="G889" i="1"/>
  <c r="AX888" i="1"/>
  <c r="AC888" i="1"/>
  <c r="AB888" i="1"/>
  <c r="Z888" i="1"/>
  <c r="G888" i="1"/>
  <c r="AX887" i="1"/>
  <c r="AU887" i="1"/>
  <c r="AC887" i="1"/>
  <c r="AB887" i="1"/>
  <c r="Z887" i="1"/>
  <c r="G887" i="1"/>
  <c r="AX886" i="1"/>
  <c r="AB886" i="1"/>
  <c r="AF886" i="1" s="1"/>
  <c r="Z886" i="1"/>
  <c r="W886" i="1"/>
  <c r="G886" i="1"/>
  <c r="BB885" i="1"/>
  <c r="AX885" i="1"/>
  <c r="AB885" i="1"/>
  <c r="AF885" i="1" s="1"/>
  <c r="Z885" i="1"/>
  <c r="G885" i="1"/>
  <c r="BB884" i="1"/>
  <c r="AX884" i="1"/>
  <c r="AB884" i="1"/>
  <c r="Z884" i="1"/>
  <c r="G884" i="1"/>
  <c r="BB883" i="1"/>
  <c r="AX883" i="1"/>
  <c r="AB883" i="1"/>
  <c r="AI883" i="1" s="1"/>
  <c r="AK883" i="1" s="1"/>
  <c r="Z883" i="1"/>
  <c r="G883" i="1"/>
  <c r="BB882" i="1"/>
  <c r="AX882" i="1"/>
  <c r="AB882" i="1"/>
  <c r="AI882" i="1" s="1"/>
  <c r="AK882" i="1" s="1"/>
  <c r="Z882" i="1"/>
  <c r="G882" i="1"/>
  <c r="BB881" i="1"/>
  <c r="AX881" i="1"/>
  <c r="AB881" i="1"/>
  <c r="AI881" i="1" s="1"/>
  <c r="AK881" i="1" s="1"/>
  <c r="Z881" i="1"/>
  <c r="W881" i="1"/>
  <c r="G881" i="1"/>
  <c r="AX880" i="1"/>
  <c r="AB880" i="1"/>
  <c r="AF880" i="1" s="1"/>
  <c r="AG880" i="1" s="1"/>
  <c r="AH880" i="1" s="1"/>
  <c r="AV880" i="1" s="1"/>
  <c r="AW880" i="1" s="1"/>
  <c r="Z880" i="1"/>
  <c r="G880" i="1"/>
  <c r="AX879" i="1"/>
  <c r="AB879" i="1"/>
  <c r="AI879" i="1" s="1"/>
  <c r="AK879" i="1" s="1"/>
  <c r="Z879" i="1"/>
  <c r="G879" i="1"/>
  <c r="BB878" i="1"/>
  <c r="AX878" i="1"/>
  <c r="AC878" i="1"/>
  <c r="AB878" i="1"/>
  <c r="Z878" i="1"/>
  <c r="G878" i="1"/>
  <c r="BB877" i="1"/>
  <c r="AX877" i="1"/>
  <c r="AC877" i="1"/>
  <c r="AB877" i="1"/>
  <c r="Z877" i="1"/>
  <c r="G877" i="1"/>
  <c r="BB876" i="1"/>
  <c r="AX876" i="1"/>
  <c r="AC876" i="1"/>
  <c r="AB876" i="1"/>
  <c r="Z876" i="1"/>
  <c r="G876" i="1"/>
  <c r="BB894" i="1"/>
  <c r="AX894" i="1"/>
  <c r="AC894" i="1"/>
  <c r="AB894" i="1"/>
  <c r="Z894" i="1"/>
  <c r="G894" i="1"/>
  <c r="BB874" i="1"/>
  <c r="AX874" i="1"/>
  <c r="AC874" i="1"/>
  <c r="AB874" i="1"/>
  <c r="Z874" i="1"/>
  <c r="G874" i="1"/>
  <c r="BB772" i="1"/>
  <c r="AX772" i="1"/>
  <c r="AC772" i="1"/>
  <c r="AB772" i="1"/>
  <c r="Z772" i="1"/>
  <c r="G772" i="1"/>
  <c r="BB872" i="1"/>
  <c r="AX872" i="1"/>
  <c r="AC872" i="1"/>
  <c r="AB872" i="1"/>
  <c r="Z872" i="1"/>
  <c r="G872" i="1"/>
  <c r="BB787" i="1"/>
  <c r="AX787" i="1"/>
  <c r="AC787" i="1"/>
  <c r="AB787" i="1"/>
  <c r="Z787" i="1"/>
  <c r="G787" i="1"/>
  <c r="BB413" i="1"/>
  <c r="AX413" i="1"/>
  <c r="AC413" i="1"/>
  <c r="AB413" i="1"/>
  <c r="Z413" i="1"/>
  <c r="G413" i="1"/>
  <c r="BB191" i="1"/>
  <c r="AX191" i="1"/>
  <c r="AC191" i="1"/>
  <c r="AB191" i="1"/>
  <c r="Z191" i="1"/>
  <c r="G191" i="1"/>
  <c r="BB516" i="1"/>
  <c r="AX516" i="1"/>
  <c r="AC516" i="1"/>
  <c r="AB516" i="1"/>
  <c r="Z516" i="1"/>
  <c r="G516" i="1"/>
  <c r="BB423" i="1"/>
  <c r="AX423" i="1"/>
  <c r="AC423" i="1"/>
  <c r="AB423" i="1"/>
  <c r="Z423" i="1"/>
  <c r="G423" i="1"/>
  <c r="BB414" i="1"/>
  <c r="AX414" i="1"/>
  <c r="AC414" i="1"/>
  <c r="AB414" i="1"/>
  <c r="Z414" i="1"/>
  <c r="G414" i="1"/>
  <c r="BB610" i="1"/>
  <c r="AX610" i="1"/>
  <c r="AB610" i="1"/>
  <c r="Z610" i="1"/>
  <c r="G610" i="1"/>
  <c r="BB227" i="1"/>
  <c r="AX227" i="1"/>
  <c r="AE227" i="1"/>
  <c r="AB227" i="1"/>
  <c r="AI227" i="1" s="1"/>
  <c r="AK227" i="1" s="1"/>
  <c r="Z227" i="1"/>
  <c r="G227" i="1"/>
  <c r="BB226" i="1"/>
  <c r="AX226" i="1"/>
  <c r="AE226" i="1"/>
  <c r="AB226" i="1"/>
  <c r="AI226" i="1" s="1"/>
  <c r="AK226" i="1" s="1"/>
  <c r="Z226" i="1"/>
  <c r="G226" i="1"/>
  <c r="BB862" i="1"/>
  <c r="AX862" i="1"/>
  <c r="AB862" i="1"/>
  <c r="Z862" i="1"/>
  <c r="G862" i="1"/>
  <c r="BB861" i="1"/>
  <c r="AX861" i="1"/>
  <c r="AB861" i="1"/>
  <c r="AF861" i="1" s="1"/>
  <c r="AG861" i="1" s="1"/>
  <c r="Z861" i="1"/>
  <c r="G861" i="1"/>
  <c r="BB860" i="1"/>
  <c r="AX860" i="1"/>
  <c r="AB860" i="1"/>
  <c r="AI860" i="1" s="1"/>
  <c r="AK860" i="1" s="1"/>
  <c r="Z860" i="1"/>
  <c r="G860" i="1"/>
  <c r="AX740" i="1"/>
  <c r="AB740" i="1"/>
  <c r="Z740" i="1"/>
  <c r="G740" i="1"/>
  <c r="AX781" i="1"/>
  <c r="AB781" i="1"/>
  <c r="AI781" i="1" s="1"/>
  <c r="AK781" i="1" s="1"/>
  <c r="Z781" i="1"/>
  <c r="G781" i="1"/>
  <c r="AX778" i="1"/>
  <c r="AB778" i="1"/>
  <c r="AF778" i="1" s="1"/>
  <c r="Z778" i="1"/>
  <c r="G778" i="1"/>
  <c r="BB856" i="1"/>
  <c r="AX856" i="1"/>
  <c r="AB856" i="1"/>
  <c r="Z856" i="1"/>
  <c r="G856" i="1"/>
  <c r="BB855" i="1"/>
  <c r="AX855" i="1"/>
  <c r="AB855" i="1"/>
  <c r="Z855" i="1"/>
  <c r="G855" i="1"/>
  <c r="BB854" i="1"/>
  <c r="AX854" i="1"/>
  <c r="AB854" i="1"/>
  <c r="AI854" i="1" s="1"/>
  <c r="AK854" i="1" s="1"/>
  <c r="Z854" i="1"/>
  <c r="G854" i="1"/>
  <c r="BB853" i="1"/>
  <c r="AX853" i="1"/>
  <c r="AB853" i="1"/>
  <c r="AI853" i="1" s="1"/>
  <c r="AK853" i="1" s="1"/>
  <c r="Z853" i="1"/>
  <c r="G853" i="1"/>
  <c r="AX902" i="1"/>
  <c r="AB902" i="1"/>
  <c r="AI902" i="1" s="1"/>
  <c r="AK902" i="1" s="1"/>
  <c r="Z902" i="1"/>
  <c r="G902" i="1"/>
  <c r="AX851" i="1"/>
  <c r="AB851" i="1"/>
  <c r="AI851" i="1" s="1"/>
  <c r="AK851" i="1" s="1"/>
  <c r="Z851" i="1"/>
  <c r="G851" i="1"/>
  <c r="AX850" i="1"/>
  <c r="AB850" i="1"/>
  <c r="AF850" i="1" s="1"/>
  <c r="Z850" i="1"/>
  <c r="G850" i="1"/>
  <c r="AX849" i="1"/>
  <c r="AB849" i="1"/>
  <c r="AF849" i="1" s="1"/>
  <c r="AG849" i="1" s="1"/>
  <c r="Z849" i="1"/>
  <c r="G849" i="1"/>
  <c r="BB899" i="1"/>
  <c r="AX899" i="1"/>
  <c r="AB899" i="1"/>
  <c r="AI899" i="1" s="1"/>
  <c r="AK899" i="1" s="1"/>
  <c r="Z899" i="1"/>
  <c r="G899" i="1"/>
  <c r="AX776" i="1"/>
  <c r="AB776" i="1"/>
  <c r="AF776" i="1" s="1"/>
  <c r="AG776" i="1" s="1"/>
  <c r="AH776" i="1" s="1"/>
  <c r="AV776" i="1" s="1"/>
  <c r="AW776" i="1" s="1"/>
  <c r="Z776" i="1"/>
  <c r="G776" i="1"/>
  <c r="AX774" i="1"/>
  <c r="AB774" i="1"/>
  <c r="AF774" i="1" s="1"/>
  <c r="AG774" i="1" s="1"/>
  <c r="AH774" i="1" s="1"/>
  <c r="AV774" i="1" s="1"/>
  <c r="AW774" i="1" s="1"/>
  <c r="Z774" i="1"/>
  <c r="G774" i="1"/>
  <c r="AX845" i="1"/>
  <c r="AB845" i="1"/>
  <c r="AF845" i="1" s="1"/>
  <c r="AG845" i="1" s="1"/>
  <c r="Z845" i="1"/>
  <c r="G845" i="1"/>
  <c r="AX844" i="1"/>
  <c r="AB844" i="1"/>
  <c r="AI844" i="1" s="1"/>
  <c r="AK844" i="1" s="1"/>
  <c r="Z844" i="1"/>
  <c r="G844" i="1"/>
  <c r="AX843" i="1"/>
  <c r="AB843" i="1"/>
  <c r="AF843" i="1" s="1"/>
  <c r="Z843" i="1"/>
  <c r="G843" i="1"/>
  <c r="AX842" i="1"/>
  <c r="AB842" i="1"/>
  <c r="AI842" i="1" s="1"/>
  <c r="AK842" i="1" s="1"/>
  <c r="Z842" i="1"/>
  <c r="G842" i="1"/>
  <c r="AX841" i="1"/>
  <c r="AB841" i="1"/>
  <c r="AF841" i="1" s="1"/>
  <c r="AG841" i="1" s="1"/>
  <c r="AH841" i="1" s="1"/>
  <c r="AV841" i="1" s="1"/>
  <c r="AW841" i="1" s="1"/>
  <c r="Z841" i="1"/>
  <c r="G841" i="1"/>
  <c r="AX840" i="1"/>
  <c r="AB840" i="1"/>
  <c r="AI840" i="1" s="1"/>
  <c r="AK840" i="1" s="1"/>
  <c r="Z840" i="1"/>
  <c r="G840" i="1"/>
  <c r="AX898" i="1"/>
  <c r="AB898" i="1"/>
  <c r="AF898" i="1" s="1"/>
  <c r="AG898" i="1" s="1"/>
  <c r="AH898" i="1" s="1"/>
  <c r="AV898" i="1" s="1"/>
  <c r="AW898" i="1" s="1"/>
  <c r="Z898" i="1"/>
  <c r="G898" i="1"/>
  <c r="BB838" i="1"/>
  <c r="AX838" i="1"/>
  <c r="AB838" i="1"/>
  <c r="AF838" i="1" s="1"/>
  <c r="Z838" i="1"/>
  <c r="G838" i="1"/>
  <c r="AX837" i="1"/>
  <c r="AB837" i="1"/>
  <c r="AI837" i="1" s="1"/>
  <c r="Z837" i="1"/>
  <c r="G837" i="1"/>
  <c r="AX836" i="1"/>
  <c r="AB836" i="1"/>
  <c r="AF836" i="1" s="1"/>
  <c r="AG836" i="1" s="1"/>
  <c r="Z836" i="1"/>
  <c r="G836" i="1"/>
  <c r="AX897" i="1"/>
  <c r="AB897" i="1"/>
  <c r="AF897" i="1" s="1"/>
  <c r="Z897" i="1"/>
  <c r="G897" i="1"/>
  <c r="AX834" i="1"/>
  <c r="AB834" i="1"/>
  <c r="AF834" i="1" s="1"/>
  <c r="Z834" i="1"/>
  <c r="G834" i="1"/>
  <c r="AX833" i="1"/>
  <c r="AF833" i="1"/>
  <c r="AG833" i="1" s="1"/>
  <c r="AB833" i="1"/>
  <c r="AI833" i="1" s="1"/>
  <c r="AK833" i="1" s="1"/>
  <c r="Z833" i="1"/>
  <c r="G833" i="1"/>
  <c r="AX832" i="1"/>
  <c r="AB832" i="1"/>
  <c r="Z832" i="1"/>
  <c r="G832" i="1"/>
  <c r="AX831" i="1"/>
  <c r="AB831" i="1"/>
  <c r="AI831" i="1" s="1"/>
  <c r="AK831" i="1" s="1"/>
  <c r="Z831" i="1"/>
  <c r="G831" i="1"/>
  <c r="AX830" i="1"/>
  <c r="AB830" i="1"/>
  <c r="AF830" i="1" s="1"/>
  <c r="AG830" i="1" s="1"/>
  <c r="Z830" i="1"/>
  <c r="G830" i="1"/>
  <c r="AX829" i="1"/>
  <c r="AB829" i="1"/>
  <c r="AI829" i="1" s="1"/>
  <c r="Z829" i="1"/>
  <c r="G829" i="1"/>
  <c r="AX828" i="1"/>
  <c r="AB828" i="1"/>
  <c r="AF828" i="1" s="1"/>
  <c r="Z828" i="1"/>
  <c r="G828" i="1"/>
  <c r="AX827" i="1"/>
  <c r="AB827" i="1"/>
  <c r="AI827" i="1" s="1"/>
  <c r="AK827" i="1" s="1"/>
  <c r="Z827" i="1"/>
  <c r="G827" i="1"/>
  <c r="AX826" i="1"/>
  <c r="AB826" i="1"/>
  <c r="AF826" i="1" s="1"/>
  <c r="Z826" i="1"/>
  <c r="G826" i="1"/>
  <c r="AX222" i="1"/>
  <c r="AU222" i="1"/>
  <c r="AE222" i="1"/>
  <c r="AB222" i="1"/>
  <c r="Z222" i="1"/>
  <c r="G222" i="1"/>
  <c r="BB824" i="1"/>
  <c r="AX824" i="1"/>
  <c r="AB824" i="1"/>
  <c r="Z824" i="1"/>
  <c r="G824" i="1"/>
  <c r="AX823" i="1"/>
  <c r="AB823" i="1"/>
  <c r="AI823" i="1" s="1"/>
  <c r="AK823" i="1" s="1"/>
  <c r="Z823" i="1"/>
  <c r="G823" i="1"/>
  <c r="AX822" i="1"/>
  <c r="AB822" i="1"/>
  <c r="AF822" i="1" s="1"/>
  <c r="Z822" i="1"/>
  <c r="G822" i="1"/>
  <c r="AX821" i="1"/>
  <c r="AB821" i="1"/>
  <c r="AI821" i="1" s="1"/>
  <c r="AK821" i="1" s="1"/>
  <c r="Z821" i="1"/>
  <c r="G821" i="1"/>
  <c r="AX820" i="1"/>
  <c r="AB820" i="1"/>
  <c r="AI820" i="1" s="1"/>
  <c r="AK820" i="1" s="1"/>
  <c r="Z820" i="1"/>
  <c r="G820" i="1"/>
  <c r="AX819" i="1"/>
  <c r="AB819" i="1"/>
  <c r="AF819" i="1" s="1"/>
  <c r="AG819" i="1" s="1"/>
  <c r="AH819" i="1" s="1"/>
  <c r="AV819" i="1" s="1"/>
  <c r="AW819" i="1" s="1"/>
  <c r="Z819" i="1"/>
  <c r="G819" i="1"/>
  <c r="BB818" i="1"/>
  <c r="AX818" i="1"/>
  <c r="AB818" i="1"/>
  <c r="AF818" i="1" s="1"/>
  <c r="Z818" i="1"/>
  <c r="G818" i="1"/>
  <c r="AX817" i="1"/>
  <c r="AB817" i="1"/>
  <c r="AI817" i="1" s="1"/>
  <c r="AK817" i="1" s="1"/>
  <c r="Z817" i="1"/>
  <c r="G817" i="1"/>
  <c r="AX816" i="1"/>
  <c r="AB816" i="1"/>
  <c r="AF816" i="1" s="1"/>
  <c r="AG816" i="1" s="1"/>
  <c r="AH816" i="1" s="1"/>
  <c r="AV816" i="1" s="1"/>
  <c r="AW816" i="1" s="1"/>
  <c r="Z816" i="1"/>
  <c r="G816" i="1"/>
  <c r="AX815" i="1"/>
  <c r="AB815" i="1"/>
  <c r="AI815" i="1" s="1"/>
  <c r="AK815" i="1" s="1"/>
  <c r="Z815" i="1"/>
  <c r="G815" i="1"/>
  <c r="AX814" i="1"/>
  <c r="AB814" i="1"/>
  <c r="AF814" i="1" s="1"/>
  <c r="AG814" i="1" s="1"/>
  <c r="Z814" i="1"/>
  <c r="G814" i="1"/>
  <c r="AX813" i="1"/>
  <c r="AB813" i="1"/>
  <c r="AI813" i="1" s="1"/>
  <c r="Z813" i="1"/>
  <c r="G813" i="1"/>
  <c r="AX812" i="1"/>
  <c r="AB812" i="1"/>
  <c r="AF812" i="1" s="1"/>
  <c r="AG812" i="1" s="1"/>
  <c r="Z812" i="1"/>
  <c r="G812" i="1"/>
  <c r="AX811" i="1"/>
  <c r="AB811" i="1"/>
  <c r="Z811" i="1"/>
  <c r="G811" i="1"/>
  <c r="AX810" i="1"/>
  <c r="AI810" i="1"/>
  <c r="AK810" i="1" s="1"/>
  <c r="AB810" i="1"/>
  <c r="AF810" i="1" s="1"/>
  <c r="Z810" i="1"/>
  <c r="G810" i="1"/>
  <c r="AX809" i="1"/>
  <c r="AB809" i="1"/>
  <c r="Z809" i="1"/>
  <c r="G809" i="1"/>
  <c r="AX808" i="1"/>
  <c r="AB808" i="1"/>
  <c r="AI808" i="1" s="1"/>
  <c r="AK808" i="1" s="1"/>
  <c r="Z808" i="1"/>
  <c r="G808" i="1"/>
  <c r="AX807" i="1"/>
  <c r="AB807" i="1"/>
  <c r="Z807" i="1"/>
  <c r="G807" i="1"/>
  <c r="AX806" i="1"/>
  <c r="AB806" i="1"/>
  <c r="AI806" i="1" s="1"/>
  <c r="AK806" i="1" s="1"/>
  <c r="Z806" i="1"/>
  <c r="G806" i="1"/>
  <c r="AX805" i="1"/>
  <c r="AB805" i="1"/>
  <c r="AI805" i="1" s="1"/>
  <c r="AK805" i="1" s="1"/>
  <c r="Z805" i="1"/>
  <c r="G805" i="1"/>
  <c r="AX804" i="1"/>
  <c r="AB804" i="1"/>
  <c r="Z804" i="1"/>
  <c r="G804" i="1"/>
  <c r="AX803" i="1"/>
  <c r="AC803" i="1"/>
  <c r="AB803" i="1"/>
  <c r="Z803" i="1"/>
  <c r="G803" i="1"/>
  <c r="AX865" i="1"/>
  <c r="AB865" i="1"/>
  <c r="AF865" i="1" s="1"/>
  <c r="Z865" i="1"/>
  <c r="G865" i="1"/>
  <c r="AX801" i="1"/>
  <c r="AB801" i="1"/>
  <c r="AF801" i="1" s="1"/>
  <c r="Z801" i="1"/>
  <c r="G801" i="1"/>
  <c r="AX800" i="1"/>
  <c r="AB800" i="1"/>
  <c r="Z800" i="1"/>
  <c r="G800" i="1"/>
  <c r="AI799" i="1"/>
  <c r="AK799" i="1" s="1"/>
  <c r="AB799" i="1"/>
  <c r="AF799" i="1" s="1"/>
  <c r="Z799" i="1"/>
  <c r="G799" i="1"/>
  <c r="AX798" i="1"/>
  <c r="AB798" i="1"/>
  <c r="Z798" i="1"/>
  <c r="G798" i="1"/>
  <c r="AX797" i="1"/>
  <c r="AB797" i="1"/>
  <c r="AF797" i="1" s="1"/>
  <c r="Z797" i="1"/>
  <c r="G797" i="1"/>
  <c r="AX896" i="1"/>
  <c r="AF896" i="1"/>
  <c r="AB896" i="1"/>
  <c r="AI896" i="1" s="1"/>
  <c r="AK896" i="1" s="1"/>
  <c r="Z896" i="1"/>
  <c r="G896" i="1"/>
  <c r="AX795" i="1"/>
  <c r="AB795" i="1"/>
  <c r="Z795" i="1"/>
  <c r="G795" i="1"/>
  <c r="AX794" i="1"/>
  <c r="AB794" i="1"/>
  <c r="AI794" i="1" s="1"/>
  <c r="AK794" i="1" s="1"/>
  <c r="Z794" i="1"/>
  <c r="G794" i="1"/>
  <c r="AX793" i="1"/>
  <c r="AB793" i="1"/>
  <c r="AF793" i="1" s="1"/>
  <c r="Z793" i="1"/>
  <c r="G793" i="1"/>
  <c r="AX103" i="1"/>
  <c r="AB103" i="1"/>
  <c r="Z103" i="1"/>
  <c r="G103" i="1"/>
  <c r="AX791" i="1"/>
  <c r="AB791" i="1"/>
  <c r="Z791" i="1"/>
  <c r="G791" i="1"/>
  <c r="AX790" i="1"/>
  <c r="AB790" i="1"/>
  <c r="Z790" i="1"/>
  <c r="G790" i="1"/>
  <c r="AX752" i="1"/>
  <c r="AB752" i="1"/>
  <c r="AF752" i="1" s="1"/>
  <c r="Z752" i="1"/>
  <c r="G752" i="1"/>
  <c r="AX847" i="1"/>
  <c r="AB847" i="1"/>
  <c r="Z847" i="1"/>
  <c r="G847" i="1"/>
  <c r="AX846" i="1"/>
  <c r="AF846" i="1"/>
  <c r="AB846" i="1"/>
  <c r="AI846" i="1" s="1"/>
  <c r="AK846" i="1" s="1"/>
  <c r="Z846" i="1"/>
  <c r="G846" i="1"/>
  <c r="AX839" i="1"/>
  <c r="AB839" i="1"/>
  <c r="Z839" i="1"/>
  <c r="G839" i="1"/>
  <c r="AX835" i="1"/>
  <c r="AB835" i="1"/>
  <c r="AI835" i="1" s="1"/>
  <c r="AK835" i="1" s="1"/>
  <c r="Z835" i="1"/>
  <c r="G835" i="1"/>
  <c r="AX123" i="1"/>
  <c r="AB123" i="1"/>
  <c r="AI123" i="1" s="1"/>
  <c r="AK123" i="1" s="1"/>
  <c r="Z123" i="1"/>
  <c r="G123" i="1"/>
  <c r="AX654" i="1"/>
  <c r="AB654" i="1"/>
  <c r="AF654" i="1" s="1"/>
  <c r="AG654" i="1" s="1"/>
  <c r="AH654" i="1" s="1"/>
  <c r="AV654" i="1" s="1"/>
  <c r="AW654" i="1" s="1"/>
  <c r="Z654" i="1"/>
  <c r="G654" i="1"/>
  <c r="AX652" i="1"/>
  <c r="AB652" i="1"/>
  <c r="Z652" i="1"/>
  <c r="G652" i="1"/>
  <c r="AX670" i="1"/>
  <c r="AB670" i="1"/>
  <c r="AI670" i="1" s="1"/>
  <c r="AK670" i="1" s="1"/>
  <c r="Z670" i="1"/>
  <c r="G670" i="1"/>
  <c r="AX780" i="1"/>
  <c r="AB780" i="1"/>
  <c r="AF780" i="1" s="1"/>
  <c r="AG780" i="1" s="1"/>
  <c r="Z780" i="1"/>
  <c r="G780" i="1"/>
  <c r="AX779" i="1"/>
  <c r="AB779" i="1"/>
  <c r="Z779" i="1"/>
  <c r="G779" i="1"/>
  <c r="BB792" i="1"/>
  <c r="AX792" i="1"/>
  <c r="AB792" i="1"/>
  <c r="Z792" i="1"/>
  <c r="G792" i="1"/>
  <c r="AX777" i="1"/>
  <c r="AB777" i="1"/>
  <c r="AI777" i="1" s="1"/>
  <c r="AK777" i="1" s="1"/>
  <c r="Z777" i="1"/>
  <c r="G777" i="1"/>
  <c r="AX726" i="1"/>
  <c r="AK726" i="1"/>
  <c r="AB726" i="1"/>
  <c r="AI726" i="1" s="1"/>
  <c r="Z726" i="1"/>
  <c r="G726" i="1"/>
  <c r="AX775" i="1"/>
  <c r="AB775" i="1"/>
  <c r="AI775" i="1" s="1"/>
  <c r="AK775" i="1" s="1"/>
  <c r="Z775" i="1"/>
  <c r="G775" i="1"/>
  <c r="AX93" i="1"/>
  <c r="AI93" i="1"/>
  <c r="AK93" i="1" s="1"/>
  <c r="AB93" i="1"/>
  <c r="AF93" i="1" s="1"/>
  <c r="Z93" i="1"/>
  <c r="G93" i="1"/>
  <c r="AX773" i="1"/>
  <c r="AB773" i="1"/>
  <c r="AI773" i="1" s="1"/>
  <c r="AK773" i="1" s="1"/>
  <c r="Z773" i="1"/>
  <c r="G773" i="1"/>
  <c r="BB197" i="1"/>
  <c r="AX197" i="1"/>
  <c r="AB197" i="1"/>
  <c r="Z197" i="1"/>
  <c r="G197" i="1"/>
  <c r="BB196" i="1"/>
  <c r="AX196" i="1"/>
  <c r="AB196" i="1"/>
  <c r="AF196" i="1" s="1"/>
  <c r="AG196" i="1" s="1"/>
  <c r="Z196" i="1"/>
  <c r="G196" i="1"/>
  <c r="BB770" i="1"/>
  <c r="AX770" i="1"/>
  <c r="AB770" i="1"/>
  <c r="AF770" i="1" s="1"/>
  <c r="Z770" i="1"/>
  <c r="G770" i="1"/>
  <c r="BB769" i="1"/>
  <c r="AX769" i="1"/>
  <c r="AB769" i="1"/>
  <c r="Z769" i="1"/>
  <c r="G769" i="1"/>
  <c r="BB768" i="1"/>
  <c r="AX768" i="1"/>
  <c r="AB768" i="1"/>
  <c r="Z768" i="1"/>
  <c r="G768" i="1"/>
  <c r="BB102" i="1"/>
  <c r="AX102" i="1"/>
  <c r="AB102" i="1"/>
  <c r="AI102" i="1" s="1"/>
  <c r="AK102" i="1" s="1"/>
  <c r="Z102" i="1"/>
  <c r="G102" i="1"/>
  <c r="BB95" i="1"/>
  <c r="AX95" i="1"/>
  <c r="AB95" i="1"/>
  <c r="AI95" i="1" s="1"/>
  <c r="AK95" i="1" s="1"/>
  <c r="Z95" i="1"/>
  <c r="G95" i="1"/>
  <c r="BB765" i="1"/>
  <c r="AX765" i="1"/>
  <c r="AB765" i="1"/>
  <c r="AI765" i="1" s="1"/>
  <c r="AK765" i="1" s="1"/>
  <c r="Z765" i="1"/>
  <c r="G765" i="1"/>
  <c r="BB863" i="1"/>
  <c r="AX863" i="1"/>
  <c r="AB863" i="1"/>
  <c r="AI863" i="1" s="1"/>
  <c r="AK863" i="1" s="1"/>
  <c r="Z863" i="1"/>
  <c r="G863" i="1"/>
  <c r="BB859" i="1"/>
  <c r="AX859" i="1"/>
  <c r="AB859" i="1"/>
  <c r="Z859" i="1"/>
  <c r="G859" i="1"/>
  <c r="BB762" i="1"/>
  <c r="AX762" i="1"/>
  <c r="AB762" i="1"/>
  <c r="AF762" i="1" s="1"/>
  <c r="Z762" i="1"/>
  <c r="G762" i="1"/>
  <c r="BB761" i="1"/>
  <c r="AX761" i="1"/>
  <c r="AB761" i="1"/>
  <c r="AI761" i="1" s="1"/>
  <c r="AK761" i="1" s="1"/>
  <c r="Z761" i="1"/>
  <c r="G761" i="1"/>
  <c r="AX760" i="1"/>
  <c r="AB760" i="1"/>
  <c r="AI760" i="1" s="1"/>
  <c r="AK760" i="1" s="1"/>
  <c r="Z760" i="1"/>
  <c r="G760" i="1"/>
  <c r="AX759" i="1"/>
  <c r="AB759" i="1"/>
  <c r="AI759" i="1" s="1"/>
  <c r="AK759" i="1" s="1"/>
  <c r="Z759" i="1"/>
  <c r="G759" i="1"/>
  <c r="BB758" i="1"/>
  <c r="AX758" i="1"/>
  <c r="AB758" i="1"/>
  <c r="AI758" i="1" s="1"/>
  <c r="AK758" i="1" s="1"/>
  <c r="Z758" i="1"/>
  <c r="G758" i="1"/>
  <c r="AX757" i="1"/>
  <c r="AC757" i="1"/>
  <c r="AB757" i="1"/>
  <c r="Z757" i="1"/>
  <c r="G757" i="1"/>
  <c r="AX756" i="1"/>
  <c r="AD756" i="1"/>
  <c r="AC756" i="1"/>
  <c r="AB756" i="1"/>
  <c r="Z756" i="1"/>
  <c r="G756" i="1"/>
  <c r="AX755" i="1"/>
  <c r="AB755" i="1"/>
  <c r="AI755" i="1" s="1"/>
  <c r="AK755" i="1" s="1"/>
  <c r="Z755" i="1"/>
  <c r="W755" i="1"/>
  <c r="G755" i="1"/>
  <c r="AX825" i="1"/>
  <c r="AB825" i="1"/>
  <c r="AF825" i="1" s="1"/>
  <c r="Z825" i="1"/>
  <c r="G825" i="1"/>
  <c r="AX903" i="1"/>
  <c r="AB903" i="1"/>
  <c r="AI903" i="1" s="1"/>
  <c r="AK903" i="1" s="1"/>
  <c r="Z903" i="1"/>
  <c r="G903" i="1"/>
  <c r="AX786" i="1"/>
  <c r="AU786" i="1"/>
  <c r="AD786" i="1"/>
  <c r="AC786" i="1"/>
  <c r="AB786" i="1"/>
  <c r="Z786" i="1"/>
  <c r="G786" i="1"/>
  <c r="AX751" i="1"/>
  <c r="AB751" i="1"/>
  <c r="AI751" i="1" s="1"/>
  <c r="AK751" i="1" s="1"/>
  <c r="Z751" i="1"/>
  <c r="G751" i="1"/>
  <c r="AX750" i="1"/>
  <c r="AB750" i="1"/>
  <c r="Z750" i="1"/>
  <c r="G750" i="1"/>
  <c r="AX749" i="1"/>
  <c r="AB749" i="1"/>
  <c r="AI749" i="1" s="1"/>
  <c r="AK749" i="1" s="1"/>
  <c r="Z749" i="1"/>
  <c r="G749" i="1"/>
  <c r="AX748" i="1"/>
  <c r="AB748" i="1"/>
  <c r="AF748" i="1" s="1"/>
  <c r="Z748" i="1"/>
  <c r="G748" i="1"/>
  <c r="AX747" i="1"/>
  <c r="AB747" i="1"/>
  <c r="AF747" i="1" s="1"/>
  <c r="Z747" i="1"/>
  <c r="G747" i="1"/>
  <c r="AX746" i="1"/>
  <c r="AC746" i="1"/>
  <c r="AB746" i="1"/>
  <c r="Z746" i="1"/>
  <c r="G746" i="1"/>
  <c r="AX745" i="1"/>
  <c r="AB745" i="1"/>
  <c r="AI745" i="1" s="1"/>
  <c r="AK745" i="1" s="1"/>
  <c r="Z745" i="1"/>
  <c r="G745" i="1"/>
  <c r="AX744" i="1"/>
  <c r="AB744" i="1"/>
  <c r="AI744" i="1" s="1"/>
  <c r="AK744" i="1" s="1"/>
  <c r="Z744" i="1"/>
  <c r="G744" i="1"/>
  <c r="AX743" i="1"/>
  <c r="AB743" i="1"/>
  <c r="AI743" i="1" s="1"/>
  <c r="AK743" i="1" s="1"/>
  <c r="Z743" i="1"/>
  <c r="G743" i="1"/>
  <c r="AX742" i="1"/>
  <c r="AB742" i="1"/>
  <c r="AI742" i="1" s="1"/>
  <c r="AK742" i="1" s="1"/>
  <c r="Z742" i="1"/>
  <c r="G742" i="1"/>
  <c r="AX741" i="1"/>
  <c r="AU741" i="1"/>
  <c r="AC741" i="1"/>
  <c r="AB741" i="1"/>
  <c r="Z741" i="1"/>
  <c r="G741" i="1"/>
  <c r="BB558" i="1"/>
  <c r="AX558" i="1"/>
  <c r="AB558" i="1"/>
  <c r="AI558" i="1" s="1"/>
  <c r="AK558" i="1" s="1"/>
  <c r="Z558" i="1"/>
  <c r="G558" i="1"/>
  <c r="AX739" i="1"/>
  <c r="AB739" i="1"/>
  <c r="Z739" i="1"/>
  <c r="G739" i="1"/>
  <c r="AX738" i="1"/>
  <c r="AB738" i="1"/>
  <c r="Z738" i="1"/>
  <c r="G738" i="1"/>
  <c r="AX737" i="1"/>
  <c r="AB737" i="1"/>
  <c r="AI737" i="1" s="1"/>
  <c r="AK737" i="1" s="1"/>
  <c r="Z737" i="1"/>
  <c r="G737" i="1"/>
  <c r="AX736" i="1"/>
  <c r="AB736" i="1"/>
  <c r="AF736" i="1" s="1"/>
  <c r="AG736" i="1" s="1"/>
  <c r="Z736" i="1"/>
  <c r="G736" i="1"/>
  <c r="AX735" i="1"/>
  <c r="AB735" i="1"/>
  <c r="AF735" i="1" s="1"/>
  <c r="AG735" i="1" s="1"/>
  <c r="AH735" i="1" s="1"/>
  <c r="AV735" i="1" s="1"/>
  <c r="AW735" i="1" s="1"/>
  <c r="Z735" i="1"/>
  <c r="G735" i="1"/>
  <c r="AX734" i="1"/>
  <c r="AI734" i="1"/>
  <c r="AK734" i="1" s="1"/>
  <c r="AB734" i="1"/>
  <c r="AF734" i="1" s="1"/>
  <c r="Z734" i="1"/>
  <c r="G734" i="1"/>
  <c r="AX733" i="1"/>
  <c r="AB733" i="1"/>
  <c r="Z733" i="1"/>
  <c r="G733" i="1"/>
  <c r="AX732" i="1"/>
  <c r="AB732" i="1"/>
  <c r="Z732" i="1"/>
  <c r="G732" i="1"/>
  <c r="AX731" i="1"/>
  <c r="AB731" i="1"/>
  <c r="AI731" i="1" s="1"/>
  <c r="AK731" i="1" s="1"/>
  <c r="Z731" i="1"/>
  <c r="G731" i="1"/>
  <c r="BB730" i="1"/>
  <c r="AX730" i="1"/>
  <c r="AB730" i="1"/>
  <c r="AI730" i="1" s="1"/>
  <c r="AK730" i="1" s="1"/>
  <c r="Z730" i="1"/>
  <c r="G730" i="1"/>
  <c r="AX729" i="1"/>
  <c r="AB729" i="1"/>
  <c r="AF729" i="1" s="1"/>
  <c r="AG729" i="1" s="1"/>
  <c r="Z729" i="1"/>
  <c r="G729" i="1"/>
  <c r="AX728" i="1"/>
  <c r="AB728" i="1"/>
  <c r="AI728" i="1" s="1"/>
  <c r="AK728" i="1" s="1"/>
  <c r="Z728" i="1"/>
  <c r="G728" i="1"/>
  <c r="AX727" i="1"/>
  <c r="AB727" i="1"/>
  <c r="AI727" i="1" s="1"/>
  <c r="AK727" i="1" s="1"/>
  <c r="Z727" i="1"/>
  <c r="G727" i="1"/>
  <c r="AX875" i="1"/>
  <c r="AF875" i="1"/>
  <c r="AB875" i="1"/>
  <c r="AI875" i="1" s="1"/>
  <c r="AK875" i="1" s="1"/>
  <c r="Z875" i="1"/>
  <c r="G875" i="1"/>
  <c r="AX873" i="1"/>
  <c r="AB873" i="1"/>
  <c r="Z873" i="1"/>
  <c r="G873" i="1"/>
  <c r="AX871" i="1"/>
  <c r="AI871" i="1"/>
  <c r="AK871" i="1" s="1"/>
  <c r="AB871" i="1"/>
  <c r="AF871" i="1" s="1"/>
  <c r="Z871" i="1"/>
  <c r="G871" i="1"/>
  <c r="AX29" i="1"/>
  <c r="AB29" i="1"/>
  <c r="AF29" i="1" s="1"/>
  <c r="AG29" i="1" s="1"/>
  <c r="Z29" i="1"/>
  <c r="G29" i="1"/>
  <c r="AX722" i="1"/>
  <c r="AB722" i="1"/>
  <c r="Z722" i="1"/>
  <c r="G722" i="1"/>
  <c r="AX721" i="1"/>
  <c r="AB721" i="1"/>
  <c r="AI721" i="1" s="1"/>
  <c r="AK721" i="1" s="1"/>
  <c r="Z721" i="1"/>
  <c r="G721" i="1"/>
  <c r="AX36" i="1"/>
  <c r="AB36" i="1"/>
  <c r="Z36" i="1"/>
  <c r="G36" i="1"/>
  <c r="AX719" i="1"/>
  <c r="AB719" i="1"/>
  <c r="AI719" i="1" s="1"/>
  <c r="AK719" i="1" s="1"/>
  <c r="Z719" i="1"/>
  <c r="G719" i="1"/>
  <c r="AX718" i="1"/>
  <c r="AF718" i="1"/>
  <c r="AG718" i="1" s="1"/>
  <c r="AH718" i="1" s="1"/>
  <c r="AV718" i="1" s="1"/>
  <c r="AW718" i="1" s="1"/>
  <c r="AB718" i="1"/>
  <c r="AI718" i="1" s="1"/>
  <c r="Z718" i="1"/>
  <c r="G718" i="1"/>
  <c r="AX717" i="1"/>
  <c r="AB717" i="1"/>
  <c r="AF717" i="1" s="1"/>
  <c r="AG717" i="1" s="1"/>
  <c r="Z717" i="1"/>
  <c r="G717" i="1"/>
  <c r="AX716" i="1"/>
  <c r="AB716" i="1"/>
  <c r="AI716" i="1" s="1"/>
  <c r="AK716" i="1" s="1"/>
  <c r="Z716" i="1"/>
  <c r="G716" i="1"/>
  <c r="AX715" i="1"/>
  <c r="AB715" i="1"/>
  <c r="Z715" i="1"/>
  <c r="G715" i="1"/>
  <c r="AX754" i="1"/>
  <c r="AB754" i="1"/>
  <c r="AI754" i="1" s="1"/>
  <c r="AK754" i="1" s="1"/>
  <c r="Z754" i="1"/>
  <c r="G754" i="1"/>
  <c r="AX713" i="1"/>
  <c r="AD713" i="1"/>
  <c r="AC713" i="1"/>
  <c r="AB713" i="1"/>
  <c r="Z713" i="1"/>
  <c r="G713" i="1"/>
  <c r="AX712" i="1"/>
  <c r="AD712" i="1"/>
  <c r="AC712" i="1"/>
  <c r="AB712" i="1"/>
  <c r="Z712" i="1"/>
  <c r="G712" i="1"/>
  <c r="AX711" i="1"/>
  <c r="AB711" i="1"/>
  <c r="AI711" i="1" s="1"/>
  <c r="AK711" i="1" s="1"/>
  <c r="Z711" i="1"/>
  <c r="G711" i="1"/>
  <c r="AX710" i="1"/>
  <c r="AC710" i="1"/>
  <c r="AB710" i="1"/>
  <c r="Z710" i="1"/>
  <c r="G710" i="1"/>
  <c r="AX709" i="1"/>
  <c r="AC709" i="1"/>
  <c r="AB709" i="1"/>
  <c r="Z709" i="1"/>
  <c r="G709" i="1"/>
  <c r="AX708" i="1"/>
  <c r="AC708" i="1"/>
  <c r="AB708" i="1"/>
  <c r="Z708" i="1"/>
  <c r="G708" i="1"/>
  <c r="AX720" i="1"/>
  <c r="AC720" i="1"/>
  <c r="AF720" i="1" s="1"/>
  <c r="AB720" i="1"/>
  <c r="Z720" i="1"/>
  <c r="G720" i="1"/>
  <c r="AX706" i="1"/>
  <c r="AB706" i="1"/>
  <c r="AI706" i="1" s="1"/>
  <c r="Z706" i="1"/>
  <c r="G706" i="1"/>
  <c r="AX542" i="1"/>
  <c r="AB542" i="1"/>
  <c r="AI542" i="1" s="1"/>
  <c r="Z542" i="1"/>
  <c r="G542" i="1"/>
  <c r="AX76" i="1"/>
  <c r="AB76" i="1"/>
  <c r="Z76" i="1"/>
  <c r="G76" i="1"/>
  <c r="AX703" i="1"/>
  <c r="AB703" i="1"/>
  <c r="Z703" i="1"/>
  <c r="G703" i="1"/>
  <c r="AX702" i="1"/>
  <c r="AB702" i="1"/>
  <c r="Z702" i="1"/>
  <c r="G702" i="1"/>
  <c r="AX625" i="1"/>
  <c r="AB625" i="1"/>
  <c r="Z625" i="1"/>
  <c r="G625" i="1"/>
  <c r="AX700" i="1"/>
  <c r="AB700" i="1"/>
  <c r="Z700" i="1"/>
  <c r="G700" i="1"/>
  <c r="AX699" i="1"/>
  <c r="AB699" i="1"/>
  <c r="Z699" i="1"/>
  <c r="G699" i="1"/>
  <c r="BB698" i="1"/>
  <c r="AX698" i="1"/>
  <c r="AB698" i="1"/>
  <c r="AF698" i="1" s="1"/>
  <c r="AG698" i="1" s="1"/>
  <c r="Z698" i="1"/>
  <c r="G698" i="1"/>
  <c r="AX697" i="1"/>
  <c r="AI697" i="1"/>
  <c r="AK697" i="1" s="1"/>
  <c r="AF697" i="1"/>
  <c r="AB697" i="1"/>
  <c r="Z697" i="1"/>
  <c r="G697" i="1"/>
  <c r="AX696" i="1"/>
  <c r="AB696" i="1"/>
  <c r="AI696" i="1" s="1"/>
  <c r="AK696" i="1" s="1"/>
  <c r="Z696" i="1"/>
  <c r="G696" i="1"/>
  <c r="AX725" i="1"/>
  <c r="AB725" i="1"/>
  <c r="AI725" i="1" s="1"/>
  <c r="AK725" i="1" s="1"/>
  <c r="Z725" i="1"/>
  <c r="G725" i="1"/>
  <c r="AX694" i="1"/>
  <c r="AB694" i="1"/>
  <c r="Z694" i="1"/>
  <c r="G694" i="1"/>
  <c r="BB693" i="1"/>
  <c r="AX693" i="1"/>
  <c r="AB693" i="1"/>
  <c r="AF693" i="1" s="1"/>
  <c r="AG693" i="1" s="1"/>
  <c r="AH693" i="1" s="1"/>
  <c r="AV693" i="1" s="1"/>
  <c r="AW693" i="1" s="1"/>
  <c r="Z693" i="1"/>
  <c r="G693" i="1"/>
  <c r="AX692" i="1"/>
  <c r="AB692" i="1"/>
  <c r="AF692" i="1" s="1"/>
  <c r="Z692" i="1"/>
  <c r="G692" i="1"/>
  <c r="AX691" i="1"/>
  <c r="AB691" i="1"/>
  <c r="AI691" i="1" s="1"/>
  <c r="AK691" i="1" s="1"/>
  <c r="Z691" i="1"/>
  <c r="G691" i="1"/>
  <c r="AX690" i="1"/>
  <c r="AB690" i="1"/>
  <c r="AI690" i="1" s="1"/>
  <c r="AK690" i="1" s="1"/>
  <c r="Z690" i="1"/>
  <c r="G690" i="1"/>
  <c r="AX689" i="1"/>
  <c r="AB689" i="1"/>
  <c r="AF689" i="1" s="1"/>
  <c r="Z689" i="1"/>
  <c r="G689" i="1"/>
  <c r="AX688" i="1"/>
  <c r="AB688" i="1"/>
  <c r="AI688" i="1" s="1"/>
  <c r="AK688" i="1" s="1"/>
  <c r="Z688" i="1"/>
  <c r="G688" i="1"/>
  <c r="AX657" i="1"/>
  <c r="AI657" i="1"/>
  <c r="AK657" i="1" s="1"/>
  <c r="AB657" i="1"/>
  <c r="AF657" i="1" s="1"/>
  <c r="Z657" i="1"/>
  <c r="G657" i="1"/>
  <c r="AX686" i="1"/>
  <c r="AB686" i="1"/>
  <c r="AF686" i="1" s="1"/>
  <c r="AG686" i="1" s="1"/>
  <c r="Z686" i="1"/>
  <c r="G686" i="1"/>
  <c r="AX868" i="1"/>
  <c r="AB868" i="1"/>
  <c r="AI868" i="1" s="1"/>
  <c r="AK868" i="1" s="1"/>
  <c r="Z868" i="1"/>
  <c r="G868" i="1"/>
  <c r="AX866" i="1"/>
  <c r="AF866" i="1"/>
  <c r="AB866" i="1"/>
  <c r="AI866" i="1" s="1"/>
  <c r="AK866" i="1" s="1"/>
  <c r="Z866" i="1"/>
  <c r="G866" i="1"/>
  <c r="AX683" i="1"/>
  <c r="AB683" i="1"/>
  <c r="AF683" i="1" s="1"/>
  <c r="Z683" i="1"/>
  <c r="G683" i="1"/>
  <c r="AX682" i="1"/>
  <c r="AB682" i="1"/>
  <c r="AI682" i="1" s="1"/>
  <c r="AK682" i="1" s="1"/>
  <c r="Z682" i="1"/>
  <c r="G682" i="1"/>
  <c r="BB681" i="1"/>
  <c r="AX681" i="1"/>
  <c r="AB681" i="1"/>
  <c r="AF681" i="1" s="1"/>
  <c r="Z681" i="1"/>
  <c r="G681" i="1"/>
  <c r="AX680" i="1"/>
  <c r="AB680" i="1"/>
  <c r="Z680" i="1"/>
  <c r="G680" i="1"/>
  <c r="AX679" i="1"/>
  <c r="AB679" i="1"/>
  <c r="Z679" i="1"/>
  <c r="G679" i="1"/>
  <c r="BB678" i="1"/>
  <c r="AX678" i="1"/>
  <c r="AB678" i="1"/>
  <c r="Z678" i="1"/>
  <c r="G678" i="1"/>
  <c r="BB677" i="1"/>
  <c r="AX677" i="1"/>
  <c r="AB677" i="1"/>
  <c r="Z677" i="1"/>
  <c r="G677" i="1"/>
  <c r="AX676" i="1"/>
  <c r="AB676" i="1"/>
  <c r="Z676" i="1"/>
  <c r="G676" i="1"/>
  <c r="BB675" i="1"/>
  <c r="AX675" i="1"/>
  <c r="AB675" i="1"/>
  <c r="AI675" i="1" s="1"/>
  <c r="AK675" i="1" s="1"/>
  <c r="Z675" i="1"/>
  <c r="G675" i="1"/>
  <c r="AX674" i="1"/>
  <c r="AB674" i="1"/>
  <c r="Z674" i="1"/>
  <c r="G674" i="1"/>
  <c r="AX673" i="1"/>
  <c r="AC673" i="1"/>
  <c r="AB673" i="1"/>
  <c r="Z673" i="1"/>
  <c r="G673" i="1"/>
  <c r="AX672" i="1"/>
  <c r="AB672" i="1"/>
  <c r="Z672" i="1"/>
  <c r="G672" i="1"/>
  <c r="AX671" i="1"/>
  <c r="AC671" i="1"/>
  <c r="AB671" i="1"/>
  <c r="Z671" i="1"/>
  <c r="G671" i="1"/>
  <c r="AX771" i="1"/>
  <c r="AD771" i="1"/>
  <c r="AC771" i="1"/>
  <c r="AB771" i="1"/>
  <c r="Z771" i="1"/>
  <c r="X771" i="1"/>
  <c r="G771" i="1"/>
  <c r="BB669" i="1"/>
  <c r="AX669" i="1"/>
  <c r="AB669" i="1"/>
  <c r="AF669" i="1" s="1"/>
  <c r="Z669" i="1"/>
  <c r="G669" i="1"/>
  <c r="BB668" i="1"/>
  <c r="AX668" i="1"/>
  <c r="AB668" i="1"/>
  <c r="AI668" i="1" s="1"/>
  <c r="AK668" i="1" s="1"/>
  <c r="Z668" i="1"/>
  <c r="G668" i="1"/>
  <c r="BB667" i="1"/>
  <c r="AX667" i="1"/>
  <c r="AI667" i="1"/>
  <c r="AK667" i="1" s="1"/>
  <c r="AB667" i="1"/>
  <c r="AF667" i="1" s="1"/>
  <c r="Z667" i="1"/>
  <c r="G667" i="1"/>
  <c r="BB666" i="1"/>
  <c r="AX666" i="1"/>
  <c r="AB666" i="1"/>
  <c r="AI666" i="1" s="1"/>
  <c r="AK666" i="1" s="1"/>
  <c r="Z666" i="1"/>
  <c r="G666" i="1"/>
  <c r="BB665" i="1"/>
  <c r="AX665" i="1"/>
  <c r="AB665" i="1"/>
  <c r="AF665" i="1" s="1"/>
  <c r="Z665" i="1"/>
  <c r="G665" i="1"/>
  <c r="BB664" i="1"/>
  <c r="AX664" i="1"/>
  <c r="AB664" i="1"/>
  <c r="AI664" i="1" s="1"/>
  <c r="Z664" i="1"/>
  <c r="G664" i="1"/>
  <c r="AX663" i="1"/>
  <c r="AB663" i="1"/>
  <c r="Z663" i="1"/>
  <c r="G663" i="1"/>
  <c r="AX662" i="1"/>
  <c r="AB662" i="1"/>
  <c r="AI662" i="1" s="1"/>
  <c r="AK662" i="1" s="1"/>
  <c r="Z662" i="1"/>
  <c r="G662" i="1"/>
  <c r="AX661" i="1"/>
  <c r="AB661" i="1"/>
  <c r="AI661" i="1" s="1"/>
  <c r="AK661" i="1" s="1"/>
  <c r="Z661" i="1"/>
  <c r="G661" i="1"/>
  <c r="AX660" i="1"/>
  <c r="AB660" i="1"/>
  <c r="AF660" i="1" s="1"/>
  <c r="Z660" i="1"/>
  <c r="AX659" i="1"/>
  <c r="AB659" i="1"/>
  <c r="Z659" i="1"/>
  <c r="G659" i="1"/>
  <c r="AX658" i="1"/>
  <c r="AB658" i="1"/>
  <c r="AF658" i="1" s="1"/>
  <c r="Z658" i="1"/>
  <c r="G658" i="1"/>
  <c r="AX764" i="1"/>
  <c r="AB764" i="1"/>
  <c r="AF764" i="1" s="1"/>
  <c r="AG764" i="1" s="1"/>
  <c r="Z764" i="1"/>
  <c r="G764" i="1"/>
  <c r="AX656" i="1"/>
  <c r="AB656" i="1"/>
  <c r="AF656" i="1" s="1"/>
  <c r="Z656" i="1"/>
  <c r="G656" i="1"/>
  <c r="AX655" i="1"/>
  <c r="AB655" i="1"/>
  <c r="AI655" i="1" s="1"/>
  <c r="AK655" i="1" s="1"/>
  <c r="Z655" i="1"/>
  <c r="G655" i="1"/>
  <c r="AX789" i="1"/>
  <c r="AB789" i="1"/>
  <c r="AI789" i="1" s="1"/>
  <c r="Z789" i="1"/>
  <c r="G789" i="1"/>
  <c r="AX653" i="1"/>
  <c r="AB653" i="1"/>
  <c r="Z653" i="1"/>
  <c r="G653" i="1"/>
  <c r="AX534" i="1"/>
  <c r="AB534" i="1"/>
  <c r="AF534" i="1" s="1"/>
  <c r="Z534" i="1"/>
  <c r="G534" i="1"/>
  <c r="AX651" i="1"/>
  <c r="AB651" i="1"/>
  <c r="Z651" i="1"/>
  <c r="G651" i="1"/>
  <c r="AX650" i="1"/>
  <c r="AB650" i="1"/>
  <c r="Z650" i="1"/>
  <c r="G650" i="1"/>
  <c r="AX649" i="1"/>
  <c r="AB649" i="1"/>
  <c r="AI649" i="1" s="1"/>
  <c r="AK649" i="1" s="1"/>
  <c r="Z649" i="1"/>
  <c r="G649" i="1"/>
  <c r="AX648" i="1"/>
  <c r="AB648" i="1"/>
  <c r="AI648" i="1" s="1"/>
  <c r="AK648" i="1" s="1"/>
  <c r="Z648" i="1"/>
  <c r="G648" i="1"/>
  <c r="BB647" i="1"/>
  <c r="AX647" i="1"/>
  <c r="AB647" i="1"/>
  <c r="AI647" i="1" s="1"/>
  <c r="AK647" i="1" s="1"/>
  <c r="Z647" i="1"/>
  <c r="G647" i="1"/>
  <c r="BB646" i="1"/>
  <c r="AX646" i="1"/>
  <c r="AB646" i="1"/>
  <c r="AI646" i="1" s="1"/>
  <c r="AK646" i="1" s="1"/>
  <c r="Z646" i="1"/>
  <c r="G646" i="1"/>
  <c r="AX645" i="1"/>
  <c r="AB645" i="1"/>
  <c r="Z645" i="1"/>
  <c r="G645" i="1"/>
  <c r="AX644" i="1"/>
  <c r="AB644" i="1"/>
  <c r="Z644" i="1"/>
  <c r="G644" i="1"/>
  <c r="AX643" i="1"/>
  <c r="AB643" i="1"/>
  <c r="AF643" i="1" s="1"/>
  <c r="AG643" i="1" s="1"/>
  <c r="Z643" i="1"/>
  <c r="G643" i="1"/>
  <c r="AX642" i="1"/>
  <c r="AB642" i="1"/>
  <c r="AI642" i="1" s="1"/>
  <c r="AK642" i="1" s="1"/>
  <c r="Z642" i="1"/>
  <c r="G642" i="1"/>
  <c r="AX641" i="1"/>
  <c r="AB641" i="1"/>
  <c r="AI641" i="1" s="1"/>
  <c r="AK641" i="1" s="1"/>
  <c r="Z641" i="1"/>
  <c r="G641" i="1"/>
  <c r="AX640" i="1"/>
  <c r="AB640" i="1"/>
  <c r="AI640" i="1" s="1"/>
  <c r="AK640" i="1" s="1"/>
  <c r="Z640" i="1"/>
  <c r="G640" i="1"/>
  <c r="AX639" i="1"/>
  <c r="AB639" i="1"/>
  <c r="AF639" i="1" s="1"/>
  <c r="AG639" i="1" s="1"/>
  <c r="Z639" i="1"/>
  <c r="G639" i="1"/>
  <c r="AX638" i="1"/>
  <c r="AB638" i="1"/>
  <c r="AI638" i="1" s="1"/>
  <c r="AK638" i="1" s="1"/>
  <c r="Z638" i="1"/>
  <c r="G638" i="1"/>
  <c r="AX637" i="1"/>
  <c r="AB637" i="1"/>
  <c r="AI637" i="1" s="1"/>
  <c r="AK637" i="1" s="1"/>
  <c r="Z637" i="1"/>
  <c r="G637" i="1"/>
  <c r="AX636" i="1"/>
  <c r="AB636" i="1"/>
  <c r="AI636" i="1" s="1"/>
  <c r="AK636" i="1" s="1"/>
  <c r="Z636" i="1"/>
  <c r="G636" i="1"/>
  <c r="BB635" i="1"/>
  <c r="AX635" i="1"/>
  <c r="AB635" i="1"/>
  <c r="Z635" i="1"/>
  <c r="G635" i="1"/>
  <c r="AX634" i="1"/>
  <c r="AD634" i="1"/>
  <c r="AC634" i="1"/>
  <c r="Z634" i="1"/>
  <c r="G634" i="1"/>
  <c r="AX633" i="1"/>
  <c r="AB633" i="1"/>
  <c r="Z633" i="1"/>
  <c r="G633" i="1"/>
  <c r="AX632" i="1"/>
  <c r="AB632" i="1"/>
  <c r="Z632" i="1"/>
  <c r="G632" i="1"/>
  <c r="AX631" i="1"/>
  <c r="AB631" i="1"/>
  <c r="Z631" i="1"/>
  <c r="G631" i="1"/>
  <c r="AX630" i="1"/>
  <c r="AB630" i="1"/>
  <c r="Z630" i="1"/>
  <c r="G630" i="1"/>
  <c r="AX629" i="1"/>
  <c r="AF629" i="1"/>
  <c r="AB629" i="1"/>
  <c r="AI629" i="1" s="1"/>
  <c r="AK629" i="1" s="1"/>
  <c r="Z629" i="1"/>
  <c r="G629" i="1"/>
  <c r="AX628" i="1"/>
  <c r="AB628" i="1"/>
  <c r="AF628" i="1" s="1"/>
  <c r="AG628" i="1" s="1"/>
  <c r="Z628" i="1"/>
  <c r="G628" i="1"/>
  <c r="AX627" i="1"/>
  <c r="AB627" i="1"/>
  <c r="AF627" i="1" s="1"/>
  <c r="AG627" i="1" s="1"/>
  <c r="Z627" i="1"/>
  <c r="G627" i="1"/>
  <c r="AX626" i="1"/>
  <c r="AB626" i="1"/>
  <c r="AI626" i="1" s="1"/>
  <c r="AK626" i="1" s="1"/>
  <c r="Z626" i="1"/>
  <c r="G626" i="1"/>
  <c r="AX724" i="1"/>
  <c r="AB724" i="1"/>
  <c r="Z724" i="1"/>
  <c r="G724" i="1"/>
  <c r="AX624" i="1"/>
  <c r="AB624" i="1"/>
  <c r="AF624" i="1" s="1"/>
  <c r="AG624" i="1" s="1"/>
  <c r="AH624" i="1" s="1"/>
  <c r="AV624" i="1" s="1"/>
  <c r="AW624" i="1" s="1"/>
  <c r="Z624" i="1"/>
  <c r="G624" i="1"/>
  <c r="AX623" i="1"/>
  <c r="AB623" i="1"/>
  <c r="AF623" i="1" s="1"/>
  <c r="Z623" i="1"/>
  <c r="G623" i="1"/>
  <c r="AX622" i="1"/>
  <c r="AB622" i="1"/>
  <c r="AF622" i="1" s="1"/>
  <c r="AG622" i="1" s="1"/>
  <c r="AH622" i="1" s="1"/>
  <c r="AV622" i="1" s="1"/>
  <c r="AW622" i="1" s="1"/>
  <c r="Z622" i="1"/>
  <c r="G622" i="1"/>
  <c r="AX6" i="1"/>
  <c r="AB6" i="1"/>
  <c r="AF6" i="1" s="1"/>
  <c r="Z6" i="1"/>
  <c r="G6" i="1"/>
  <c r="AX620" i="1"/>
  <c r="AB620" i="1"/>
  <c r="AF620" i="1" s="1"/>
  <c r="Z620" i="1"/>
  <c r="G620" i="1"/>
  <c r="AX619" i="1"/>
  <c r="AB619" i="1"/>
  <c r="Z619" i="1"/>
  <c r="G619" i="1"/>
  <c r="AX618" i="1"/>
  <c r="AB618" i="1"/>
  <c r="AI618" i="1" s="1"/>
  <c r="AK618" i="1" s="1"/>
  <c r="Z618" i="1"/>
  <c r="G618" i="1"/>
  <c r="AX617" i="1"/>
  <c r="AB617" i="1"/>
  <c r="AI617" i="1" s="1"/>
  <c r="AK617" i="1" s="1"/>
  <c r="Z617" i="1"/>
  <c r="G617" i="1"/>
  <c r="AX616" i="1"/>
  <c r="AB616" i="1"/>
  <c r="Z616" i="1"/>
  <c r="G616" i="1"/>
  <c r="AX615" i="1"/>
  <c r="AB615" i="1"/>
  <c r="AI615" i="1" s="1"/>
  <c r="AK615" i="1" s="1"/>
  <c r="Z615" i="1"/>
  <c r="G615" i="1"/>
  <c r="AX614" i="1"/>
  <c r="AB614" i="1"/>
  <c r="Z614" i="1"/>
  <c r="G614" i="1"/>
  <c r="AX613" i="1"/>
  <c r="AB613" i="1"/>
  <c r="Z613" i="1"/>
  <c r="G613" i="1"/>
  <c r="AX723" i="1"/>
  <c r="AB723" i="1"/>
  <c r="AI723" i="1" s="1"/>
  <c r="AK723" i="1" s="1"/>
  <c r="Z723" i="1"/>
  <c r="G723" i="1"/>
  <c r="AX611" i="1"/>
  <c r="AB611" i="1"/>
  <c r="AI611" i="1" s="1"/>
  <c r="Z611" i="1"/>
  <c r="G611" i="1"/>
  <c r="AX612" i="1"/>
  <c r="AD612" i="1"/>
  <c r="AC612" i="1"/>
  <c r="AB612" i="1"/>
  <c r="Z612" i="1"/>
  <c r="G612" i="1"/>
  <c r="AX609" i="1"/>
  <c r="AB609" i="1"/>
  <c r="AI609" i="1" s="1"/>
  <c r="AK609" i="1" s="1"/>
  <c r="Z609" i="1"/>
  <c r="G609" i="1"/>
  <c r="AX608" i="1"/>
  <c r="AU608" i="1"/>
  <c r="AI608" i="1"/>
  <c r="AK608" i="1" s="1"/>
  <c r="AE608" i="1"/>
  <c r="AB608" i="1"/>
  <c r="Z608" i="1"/>
  <c r="G608" i="1"/>
  <c r="AX607" i="1"/>
  <c r="AB607" i="1"/>
  <c r="Z607" i="1"/>
  <c r="G607" i="1"/>
  <c r="AX606" i="1"/>
  <c r="AB606" i="1"/>
  <c r="AF606" i="1" s="1"/>
  <c r="Z606" i="1"/>
  <c r="G606" i="1"/>
  <c r="AX605" i="1"/>
  <c r="AD605" i="1"/>
  <c r="AC605" i="1"/>
  <c r="AB605" i="1"/>
  <c r="Z605" i="1"/>
  <c r="G605" i="1"/>
  <c r="AX604" i="1"/>
  <c r="AB604" i="1"/>
  <c r="Z604" i="1"/>
  <c r="G604" i="1"/>
  <c r="BB767" i="1"/>
  <c r="AX767" i="1"/>
  <c r="AD767" i="1"/>
  <c r="AC767" i="1"/>
  <c r="AB767" i="1"/>
  <c r="Z767" i="1"/>
  <c r="G767" i="1"/>
  <c r="BB602" i="1"/>
  <c r="AX602" i="1"/>
  <c r="AB602" i="1"/>
  <c r="AI602" i="1" s="1"/>
  <c r="AK602" i="1" s="1"/>
  <c r="Z602" i="1"/>
  <c r="G602" i="1"/>
  <c r="BB601" i="1"/>
  <c r="AX601" i="1"/>
  <c r="AB601" i="1"/>
  <c r="AF601" i="1" s="1"/>
  <c r="AG601" i="1" s="1"/>
  <c r="Z601" i="1"/>
  <c r="G601" i="1"/>
  <c r="BB600" i="1"/>
  <c r="AX600" i="1"/>
  <c r="AB600" i="1"/>
  <c r="Z600" i="1"/>
  <c r="G600" i="1"/>
  <c r="BB599" i="1"/>
  <c r="AX599" i="1"/>
  <c r="AB599" i="1"/>
  <c r="AF599" i="1" s="1"/>
  <c r="Z599" i="1"/>
  <c r="G599" i="1"/>
  <c r="BB598" i="1"/>
  <c r="AX598" i="1"/>
  <c r="AB598" i="1"/>
  <c r="Z598" i="1"/>
  <c r="G598" i="1"/>
  <c r="AX597" i="1"/>
  <c r="AB597" i="1"/>
  <c r="AI597" i="1" s="1"/>
  <c r="AK597" i="1" s="1"/>
  <c r="Z597" i="1"/>
  <c r="G597" i="1"/>
  <c r="BB596" i="1"/>
  <c r="AX596" i="1"/>
  <c r="AB596" i="1"/>
  <c r="Z596" i="1"/>
  <c r="G596" i="1"/>
  <c r="BB595" i="1"/>
  <c r="AX595" i="1"/>
  <c r="AB595" i="1"/>
  <c r="AI595" i="1" s="1"/>
  <c r="AK595" i="1" s="1"/>
  <c r="Z595" i="1"/>
  <c r="G595" i="1"/>
  <c r="AX594" i="1"/>
  <c r="AB594" i="1"/>
  <c r="AI594" i="1" s="1"/>
  <c r="AK594" i="1" s="1"/>
  <c r="Z594" i="1"/>
  <c r="G594" i="1"/>
  <c r="AX593" i="1"/>
  <c r="AB593" i="1"/>
  <c r="Z593" i="1"/>
  <c r="G593" i="1"/>
  <c r="BB592" i="1"/>
  <c r="AX592" i="1"/>
  <c r="AB592" i="1"/>
  <c r="AI592" i="1" s="1"/>
  <c r="AK592" i="1" s="1"/>
  <c r="Z592" i="1"/>
  <c r="G592" i="1"/>
  <c r="AX591" i="1"/>
  <c r="AB591" i="1"/>
  <c r="Z591" i="1"/>
  <c r="G591" i="1"/>
  <c r="AX590" i="1"/>
  <c r="AB590" i="1"/>
  <c r="AI590" i="1" s="1"/>
  <c r="AK590" i="1" s="1"/>
  <c r="Z590" i="1"/>
  <c r="G590" i="1"/>
  <c r="AX589" i="1"/>
  <c r="AB589" i="1"/>
  <c r="AF589" i="1" s="1"/>
  <c r="Z589" i="1"/>
  <c r="G589" i="1"/>
  <c r="AX588" i="1"/>
  <c r="AB588" i="1"/>
  <c r="AI588" i="1" s="1"/>
  <c r="AK588" i="1" s="1"/>
  <c r="Z588" i="1"/>
  <c r="G588" i="1"/>
  <c r="AX587" i="1"/>
  <c r="AB587" i="1"/>
  <c r="AI587" i="1" s="1"/>
  <c r="AK587" i="1" s="1"/>
  <c r="Z587" i="1"/>
  <c r="G587" i="1"/>
  <c r="AX586" i="1"/>
  <c r="AB586" i="1"/>
  <c r="AF586" i="1" s="1"/>
  <c r="S586" i="1"/>
  <c r="Z586" i="1" s="1"/>
  <c r="G586" i="1"/>
  <c r="BB585" i="1"/>
  <c r="AX585" i="1"/>
  <c r="AB585" i="1"/>
  <c r="AI585" i="1" s="1"/>
  <c r="AK585" i="1" s="1"/>
  <c r="Z585" i="1"/>
  <c r="G585" i="1"/>
  <c r="BB584" i="1"/>
  <c r="AX584" i="1"/>
  <c r="AB584" i="1"/>
  <c r="Z584" i="1"/>
  <c r="G584" i="1"/>
  <c r="AX583" i="1"/>
  <c r="AB583" i="1"/>
  <c r="Z583" i="1"/>
  <c r="G583" i="1"/>
  <c r="AX582" i="1"/>
  <c r="AB582" i="1"/>
  <c r="Z582" i="1"/>
  <c r="G582" i="1"/>
  <c r="AX581" i="1"/>
  <c r="AU581" i="1"/>
  <c r="AB581" i="1"/>
  <c r="Z581" i="1"/>
  <c r="G581" i="1"/>
  <c r="AX404" i="1"/>
  <c r="AB404" i="1"/>
  <c r="AI404" i="1" s="1"/>
  <c r="AK404" i="1" s="1"/>
  <c r="Z404" i="1"/>
  <c r="G404" i="1"/>
  <c r="AX579" i="1"/>
  <c r="AB579" i="1"/>
  <c r="AI579" i="1" s="1"/>
  <c r="AK579" i="1" s="1"/>
  <c r="Z579" i="1"/>
  <c r="G579" i="1"/>
  <c r="AX578" i="1"/>
  <c r="AB578" i="1"/>
  <c r="AF578" i="1" s="1"/>
  <c r="Z578" i="1"/>
  <c r="G578" i="1"/>
  <c r="AX577" i="1"/>
  <c r="AB577" i="1"/>
  <c r="AI577" i="1" s="1"/>
  <c r="AK577" i="1" s="1"/>
  <c r="Z577" i="1"/>
  <c r="G577" i="1"/>
  <c r="AX895" i="1"/>
  <c r="AU895" i="1"/>
  <c r="AD895" i="1"/>
  <c r="AC895" i="1"/>
  <c r="AB895" i="1"/>
  <c r="Z895" i="1"/>
  <c r="G895" i="1"/>
  <c r="AX575" i="1"/>
  <c r="AB575" i="1"/>
  <c r="AI575" i="1" s="1"/>
  <c r="AK575" i="1" s="1"/>
  <c r="Z575" i="1"/>
  <c r="G575" i="1"/>
  <c r="BB574" i="1"/>
  <c r="AX574" i="1"/>
  <c r="AB574" i="1"/>
  <c r="AI574" i="1" s="1"/>
  <c r="AK574" i="1" s="1"/>
  <c r="Z574" i="1"/>
  <c r="G574" i="1"/>
  <c r="BB573" i="1"/>
  <c r="AX573" i="1"/>
  <c r="AB573" i="1"/>
  <c r="Z573" i="1"/>
  <c r="G573" i="1"/>
  <c r="AX572" i="1"/>
  <c r="AB572" i="1"/>
  <c r="Z572" i="1"/>
  <c r="G572" i="1"/>
  <c r="AX571" i="1"/>
  <c r="AB571" i="1"/>
  <c r="Z571" i="1"/>
  <c r="G571" i="1"/>
  <c r="AX570" i="1"/>
  <c r="AB570" i="1"/>
  <c r="AI570" i="1" s="1"/>
  <c r="AK570" i="1" s="1"/>
  <c r="Z570" i="1"/>
  <c r="G570" i="1"/>
  <c r="AX569" i="1"/>
  <c r="AB569" i="1"/>
  <c r="Z569" i="1"/>
  <c r="G569" i="1"/>
  <c r="AX568" i="1"/>
  <c r="AW568" i="1"/>
  <c r="AU568" i="1"/>
  <c r="AE568" i="1"/>
  <c r="AB568" i="1"/>
  <c r="Z568" i="1"/>
  <c r="G568" i="1"/>
  <c r="AX567" i="1"/>
  <c r="AU567" i="1"/>
  <c r="AW567" i="1" s="1"/>
  <c r="AE567" i="1"/>
  <c r="AB567" i="1"/>
  <c r="AI567" i="1" s="1"/>
  <c r="AK567" i="1" s="1"/>
  <c r="Z567" i="1"/>
  <c r="G567" i="1"/>
  <c r="AX566" i="1"/>
  <c r="AB566" i="1"/>
  <c r="Z566" i="1"/>
  <c r="G566" i="1"/>
  <c r="BB565" i="1"/>
  <c r="AX565" i="1"/>
  <c r="AB565" i="1"/>
  <c r="AI565" i="1" s="1"/>
  <c r="AK565" i="1" s="1"/>
  <c r="Z565" i="1"/>
  <c r="G565" i="1"/>
  <c r="BB564" i="1"/>
  <c r="AX564" i="1"/>
  <c r="AB564" i="1"/>
  <c r="Z564" i="1"/>
  <c r="G564" i="1"/>
  <c r="AX563" i="1"/>
  <c r="AB563" i="1"/>
  <c r="AF563" i="1" s="1"/>
  <c r="Z563" i="1"/>
  <c r="G563" i="1"/>
  <c r="AX562" i="1"/>
  <c r="AB562" i="1"/>
  <c r="AI562" i="1" s="1"/>
  <c r="AK562" i="1" s="1"/>
  <c r="Z562" i="1"/>
  <c r="G562" i="1"/>
  <c r="AX561" i="1"/>
  <c r="AB561" i="1"/>
  <c r="Z561" i="1"/>
  <c r="G561" i="1"/>
  <c r="AX560" i="1"/>
  <c r="AB560" i="1"/>
  <c r="AI560" i="1" s="1"/>
  <c r="AK560" i="1" s="1"/>
  <c r="Z560" i="1"/>
  <c r="G560" i="1"/>
  <c r="AX559" i="1"/>
  <c r="AB559" i="1"/>
  <c r="Z559" i="1"/>
  <c r="G559" i="1"/>
  <c r="AX526" i="1"/>
  <c r="AB526" i="1"/>
  <c r="Z526" i="1"/>
  <c r="G526" i="1"/>
  <c r="AX603" i="1"/>
  <c r="AD603" i="1"/>
  <c r="AC603" i="1"/>
  <c r="AB603" i="1"/>
  <c r="Z603" i="1"/>
  <c r="G603" i="1"/>
  <c r="AX386" i="1"/>
  <c r="AB386" i="1"/>
  <c r="AF386" i="1" s="1"/>
  <c r="Z386" i="1"/>
  <c r="G386" i="1"/>
  <c r="AX555" i="1"/>
  <c r="AC555" i="1"/>
  <c r="AB555" i="1"/>
  <c r="Z555" i="1"/>
  <c r="G555" i="1"/>
  <c r="AX554" i="1"/>
  <c r="AW554" i="1"/>
  <c r="AU554" i="1"/>
  <c r="AE554" i="1"/>
  <c r="AB554" i="1"/>
  <c r="Z554" i="1"/>
  <c r="G554" i="1"/>
  <c r="AX553" i="1"/>
  <c r="AW553" i="1"/>
  <c r="AU553" i="1"/>
  <c r="AE553" i="1"/>
  <c r="AB553" i="1"/>
  <c r="AI553" i="1" s="1"/>
  <c r="Z553" i="1"/>
  <c r="G553" i="1"/>
  <c r="BB552" i="1"/>
  <c r="AX552" i="1"/>
  <c r="AB552" i="1"/>
  <c r="AF552" i="1" s="1"/>
  <c r="Z552" i="1"/>
  <c r="G552" i="1"/>
  <c r="BB551" i="1"/>
  <c r="AX551" i="1"/>
  <c r="AB551" i="1"/>
  <c r="AI551" i="1" s="1"/>
  <c r="Z551" i="1"/>
  <c r="G551" i="1"/>
  <c r="AX550" i="1"/>
  <c r="AB550" i="1"/>
  <c r="AI550" i="1" s="1"/>
  <c r="AK550" i="1" s="1"/>
  <c r="Z550" i="1"/>
  <c r="G550" i="1"/>
  <c r="AX190" i="1"/>
  <c r="AB190" i="1"/>
  <c r="AI190" i="1" s="1"/>
  <c r="AK190" i="1" s="1"/>
  <c r="Z190" i="1"/>
  <c r="G190" i="1"/>
  <c r="AX766" i="1"/>
  <c r="AB766" i="1"/>
  <c r="AF766" i="1" s="1"/>
  <c r="Z766" i="1"/>
  <c r="G766" i="1"/>
  <c r="AX547" i="1"/>
  <c r="AB547" i="1"/>
  <c r="AF547" i="1" s="1"/>
  <c r="Z547" i="1"/>
  <c r="G547" i="1"/>
  <c r="AX788" i="1"/>
  <c r="AB788" i="1"/>
  <c r="AI788" i="1" s="1"/>
  <c r="Z788" i="1"/>
  <c r="G788" i="1"/>
  <c r="AX545" i="1"/>
  <c r="AB545" i="1"/>
  <c r="AI545" i="1" s="1"/>
  <c r="AK545" i="1" s="1"/>
  <c r="Z545" i="1"/>
  <c r="G545" i="1"/>
  <c r="AX544" i="1"/>
  <c r="AB544" i="1"/>
  <c r="AF544" i="1" s="1"/>
  <c r="Z544" i="1"/>
  <c r="G544" i="1"/>
  <c r="AX705" i="1"/>
  <c r="AB705" i="1"/>
  <c r="Z705" i="1"/>
  <c r="G705" i="1"/>
  <c r="AX704" i="1"/>
  <c r="AB704" i="1"/>
  <c r="AF704" i="1" s="1"/>
  <c r="Z704" i="1"/>
  <c r="G704" i="1"/>
  <c r="AX701" i="1"/>
  <c r="AB701" i="1"/>
  <c r="AF701" i="1" s="1"/>
  <c r="Z701" i="1"/>
  <c r="G701" i="1"/>
  <c r="AX540" i="1"/>
  <c r="AB540" i="1"/>
  <c r="AI540" i="1" s="1"/>
  <c r="AK540" i="1" s="1"/>
  <c r="Z540" i="1"/>
  <c r="G540" i="1"/>
  <c r="AX539" i="1"/>
  <c r="AB539" i="1"/>
  <c r="AI539" i="1" s="1"/>
  <c r="AK539" i="1" s="1"/>
  <c r="Z539" i="1"/>
  <c r="G539" i="1"/>
  <c r="AX538" i="1"/>
  <c r="AB538" i="1"/>
  <c r="Z538" i="1"/>
  <c r="G538" i="1"/>
  <c r="AX537" i="1"/>
  <c r="AB537" i="1"/>
  <c r="AI537" i="1" s="1"/>
  <c r="AK537" i="1" s="1"/>
  <c r="Z537" i="1"/>
  <c r="G537" i="1"/>
  <c r="AX536" i="1"/>
  <c r="AB536" i="1"/>
  <c r="AF536" i="1" s="1"/>
  <c r="Z536" i="1"/>
  <c r="G536" i="1"/>
  <c r="AX535" i="1"/>
  <c r="AB535" i="1"/>
  <c r="AF535" i="1" s="1"/>
  <c r="AG535" i="1" s="1"/>
  <c r="AH535" i="1" s="1"/>
  <c r="AV535" i="1" s="1"/>
  <c r="AW535" i="1" s="1"/>
  <c r="Z535" i="1"/>
  <c r="G535" i="1"/>
  <c r="AX621" i="1"/>
  <c r="AB621" i="1"/>
  <c r="AI621" i="1" s="1"/>
  <c r="AK621" i="1" s="1"/>
  <c r="Z621" i="1"/>
  <c r="G621" i="1"/>
  <c r="AX533" i="1"/>
  <c r="AB533" i="1"/>
  <c r="AI533" i="1" s="1"/>
  <c r="AK533" i="1" s="1"/>
  <c r="Z533" i="1"/>
  <c r="G533" i="1"/>
  <c r="AX532" i="1"/>
  <c r="AB532" i="1"/>
  <c r="AI532" i="1" s="1"/>
  <c r="AK532" i="1" s="1"/>
  <c r="Z532" i="1"/>
  <c r="G532" i="1"/>
  <c r="BB857" i="1"/>
  <c r="AX857" i="1"/>
  <c r="AF857" i="1"/>
  <c r="AG857" i="1" s="1"/>
  <c r="AH857" i="1" s="1"/>
  <c r="AV857" i="1" s="1"/>
  <c r="AW857" i="1" s="1"/>
  <c r="AB857" i="1"/>
  <c r="AI857" i="1" s="1"/>
  <c r="Z857" i="1"/>
  <c r="G857" i="1"/>
  <c r="BB530" i="1"/>
  <c r="AX530" i="1"/>
  <c r="AG530" i="1"/>
  <c r="AB530" i="1"/>
  <c r="AF530" i="1" s="1"/>
  <c r="Z530" i="1"/>
  <c r="G530" i="1"/>
  <c r="AX529" i="1"/>
  <c r="AB529" i="1"/>
  <c r="AI529" i="1" s="1"/>
  <c r="AK529" i="1" s="1"/>
  <c r="Z529" i="1"/>
  <c r="G529" i="1"/>
  <c r="BB528" i="1"/>
  <c r="AX528" i="1"/>
  <c r="AB528" i="1"/>
  <c r="AI528" i="1" s="1"/>
  <c r="AK528" i="1" s="1"/>
  <c r="Z528" i="1"/>
  <c r="G528" i="1"/>
  <c r="AX527" i="1"/>
  <c r="AB527" i="1"/>
  <c r="Z527" i="1"/>
  <c r="G527" i="1"/>
  <c r="BB215" i="1"/>
  <c r="AX215" i="1"/>
  <c r="AE215" i="1"/>
  <c r="AB215" i="1"/>
  <c r="Z215" i="1"/>
  <c r="G215" i="1"/>
  <c r="BB198" i="1"/>
  <c r="AX198" i="1"/>
  <c r="AE198" i="1"/>
  <c r="AB198" i="1"/>
  <c r="Z198" i="1"/>
  <c r="G198" i="1"/>
  <c r="AX524" i="1"/>
  <c r="AB524" i="1"/>
  <c r="Z524" i="1"/>
  <c r="G524" i="1"/>
  <c r="AX523" i="1"/>
  <c r="AB523" i="1"/>
  <c r="AI523" i="1" s="1"/>
  <c r="AK523" i="1" s="1"/>
  <c r="Z523" i="1"/>
  <c r="G523" i="1"/>
  <c r="BB522" i="1"/>
  <c r="AX522" i="1"/>
  <c r="AB522" i="1"/>
  <c r="AI522" i="1" s="1"/>
  <c r="AK522" i="1" s="1"/>
  <c r="Z522" i="1"/>
  <c r="G522" i="1"/>
  <c r="BB521" i="1"/>
  <c r="AX521" i="1"/>
  <c r="AB521" i="1"/>
  <c r="Z521" i="1"/>
  <c r="G521" i="1"/>
  <c r="AX520" i="1"/>
  <c r="AB520" i="1"/>
  <c r="AI520" i="1" s="1"/>
  <c r="AK520" i="1" s="1"/>
  <c r="Z520" i="1"/>
  <c r="G520" i="1"/>
  <c r="BB519" i="1"/>
  <c r="AX519" i="1"/>
  <c r="AB519" i="1"/>
  <c r="Z519" i="1"/>
  <c r="G519" i="1"/>
  <c r="BB518" i="1"/>
  <c r="AX518" i="1"/>
  <c r="AI518" i="1"/>
  <c r="AK518" i="1" s="1"/>
  <c r="AB518" i="1"/>
  <c r="AF518" i="1" s="1"/>
  <c r="Z518" i="1"/>
  <c r="G518" i="1"/>
  <c r="BB517" i="1"/>
  <c r="AX517" i="1"/>
  <c r="AB517" i="1"/>
  <c r="AF517" i="1" s="1"/>
  <c r="Z517" i="1"/>
  <c r="G517" i="1"/>
  <c r="AX695" i="1"/>
  <c r="AB695" i="1"/>
  <c r="Z695" i="1"/>
  <c r="G695" i="1"/>
  <c r="AX515" i="1"/>
  <c r="AK515" i="1"/>
  <c r="AB515" i="1"/>
  <c r="AI515" i="1" s="1"/>
  <c r="Z515" i="1"/>
  <c r="G515" i="1"/>
  <c r="BB514" i="1"/>
  <c r="AX514" i="1"/>
  <c r="AB514" i="1"/>
  <c r="Z514" i="1"/>
  <c r="G514" i="1"/>
  <c r="BB513" i="1"/>
  <c r="AX513" i="1"/>
  <c r="AB513" i="1"/>
  <c r="AI513" i="1" s="1"/>
  <c r="AK513" i="1" s="1"/>
  <c r="Z513" i="1"/>
  <c r="G513" i="1"/>
  <c r="BB512" i="1"/>
  <c r="AX512" i="1"/>
  <c r="AB512" i="1"/>
  <c r="AF512" i="1" s="1"/>
  <c r="Z512" i="1"/>
  <c r="G512" i="1"/>
  <c r="BB511" i="1"/>
  <c r="AX511" i="1"/>
  <c r="AB511" i="1"/>
  <c r="AI511" i="1" s="1"/>
  <c r="AK511" i="1" s="1"/>
  <c r="Z511" i="1"/>
  <c r="G511" i="1"/>
  <c r="BB510" i="1"/>
  <c r="AX510" i="1"/>
  <c r="AB510" i="1"/>
  <c r="AF510" i="1" s="1"/>
  <c r="Z510" i="1"/>
  <c r="G510" i="1"/>
  <c r="BB509" i="1"/>
  <c r="AX509" i="1"/>
  <c r="AB509" i="1"/>
  <c r="Z509" i="1"/>
  <c r="G509" i="1"/>
  <c r="BB508" i="1"/>
  <c r="AX508" i="1"/>
  <c r="AB508" i="1"/>
  <c r="AF508" i="1" s="1"/>
  <c r="AG508" i="1" s="1"/>
  <c r="AH508" i="1" s="1"/>
  <c r="AV508" i="1" s="1"/>
  <c r="AW508" i="1" s="1"/>
  <c r="Z508" i="1"/>
  <c r="G508" i="1"/>
  <c r="BB507" i="1"/>
  <c r="AX507" i="1"/>
  <c r="AB507" i="1"/>
  <c r="AI507" i="1" s="1"/>
  <c r="AK507" i="1" s="1"/>
  <c r="Z507" i="1"/>
  <c r="G507" i="1"/>
  <c r="BB506" i="1"/>
  <c r="AX506" i="1"/>
  <c r="AB506" i="1"/>
  <c r="Z506" i="1"/>
  <c r="G506" i="1"/>
  <c r="BB505" i="1"/>
  <c r="AX505" i="1"/>
  <c r="AB505" i="1"/>
  <c r="AI505" i="1" s="1"/>
  <c r="AK505" i="1" s="1"/>
  <c r="Z505" i="1"/>
  <c r="G505" i="1"/>
  <c r="BB504" i="1"/>
  <c r="AX504" i="1"/>
  <c r="AB504" i="1"/>
  <c r="AI504" i="1" s="1"/>
  <c r="AK504" i="1" s="1"/>
  <c r="Z504" i="1"/>
  <c r="G504" i="1"/>
  <c r="BB503" i="1"/>
  <c r="AX503" i="1"/>
  <c r="AI503" i="1"/>
  <c r="AK503" i="1" s="1"/>
  <c r="AB503" i="1"/>
  <c r="AF503" i="1" s="1"/>
  <c r="Z503" i="1"/>
  <c r="G503" i="1"/>
  <c r="BB502" i="1"/>
  <c r="AX502" i="1"/>
  <c r="AB502" i="1"/>
  <c r="AF502" i="1" s="1"/>
  <c r="Z502" i="1"/>
  <c r="G502" i="1"/>
  <c r="BB501" i="1"/>
  <c r="AX501" i="1"/>
  <c r="AB501" i="1"/>
  <c r="AI501" i="1" s="1"/>
  <c r="AK501" i="1" s="1"/>
  <c r="Z501" i="1"/>
  <c r="G501" i="1"/>
  <c r="BB500" i="1"/>
  <c r="AX500" i="1"/>
  <c r="AB500" i="1"/>
  <c r="AF500" i="1" s="1"/>
  <c r="Z500" i="1"/>
  <c r="G500" i="1"/>
  <c r="BB499" i="1"/>
  <c r="AX499" i="1"/>
  <c r="AB499" i="1"/>
  <c r="AI499" i="1" s="1"/>
  <c r="Z499" i="1"/>
  <c r="G499" i="1"/>
  <c r="BB498" i="1"/>
  <c r="AX498" i="1"/>
  <c r="AB498" i="1"/>
  <c r="AF498" i="1" s="1"/>
  <c r="Z498" i="1"/>
  <c r="G498" i="1"/>
  <c r="AX497" i="1"/>
  <c r="AB497" i="1"/>
  <c r="Z497" i="1"/>
  <c r="G497" i="1"/>
  <c r="AX496" i="1"/>
  <c r="AB496" i="1"/>
  <c r="AI496" i="1" s="1"/>
  <c r="AK496" i="1" s="1"/>
  <c r="Z496" i="1"/>
  <c r="G496" i="1"/>
  <c r="AX495" i="1"/>
  <c r="AB495" i="1"/>
  <c r="AI495" i="1" s="1"/>
  <c r="AK495" i="1" s="1"/>
  <c r="Z495" i="1"/>
  <c r="G495" i="1"/>
  <c r="AX494" i="1"/>
  <c r="AB494" i="1"/>
  <c r="Z494" i="1"/>
  <c r="G494" i="1"/>
  <c r="AX493" i="1"/>
  <c r="AB493" i="1"/>
  <c r="Z493" i="1"/>
  <c r="G493" i="1"/>
  <c r="AX492" i="1"/>
  <c r="AB492" i="1"/>
  <c r="AF492" i="1" s="1"/>
  <c r="Z492" i="1"/>
  <c r="G492" i="1"/>
  <c r="AX491" i="1"/>
  <c r="AB491" i="1"/>
  <c r="AI491" i="1" s="1"/>
  <c r="AK491" i="1" s="1"/>
  <c r="Z491" i="1"/>
  <c r="G491" i="1"/>
  <c r="AX490" i="1"/>
  <c r="AB490" i="1"/>
  <c r="AI490" i="1" s="1"/>
  <c r="AK490" i="1" s="1"/>
  <c r="Z490" i="1"/>
  <c r="G490" i="1"/>
  <c r="BB489" i="1"/>
  <c r="AX489" i="1"/>
  <c r="AB489" i="1"/>
  <c r="AF489" i="1" s="1"/>
  <c r="Z489" i="1"/>
  <c r="G489" i="1"/>
  <c r="BB488" i="1"/>
  <c r="AX488" i="1"/>
  <c r="AB488" i="1"/>
  <c r="AF488" i="1" s="1"/>
  <c r="Z488" i="1"/>
  <c r="G488" i="1"/>
  <c r="BB487" i="1"/>
  <c r="AX487" i="1"/>
  <c r="AB487" i="1"/>
  <c r="Z487" i="1"/>
  <c r="G487" i="1"/>
  <c r="BB486" i="1"/>
  <c r="AX486" i="1"/>
  <c r="AB486" i="1"/>
  <c r="Z486" i="1"/>
  <c r="G486" i="1"/>
  <c r="AX485" i="1"/>
  <c r="AB485" i="1"/>
  <c r="Z485" i="1"/>
  <c r="G485" i="1"/>
  <c r="AX484" i="1"/>
  <c r="AU484" i="1"/>
  <c r="AW484" i="1" s="1"/>
  <c r="AC484" i="1"/>
  <c r="AB484" i="1"/>
  <c r="Z484" i="1"/>
  <c r="G484" i="1"/>
  <c r="AX483" i="1"/>
  <c r="AU483" i="1"/>
  <c r="AC483" i="1"/>
  <c r="AB483" i="1"/>
  <c r="Z483" i="1"/>
  <c r="G483" i="1"/>
  <c r="AX482" i="1"/>
  <c r="AB482" i="1"/>
  <c r="AI482" i="1" s="1"/>
  <c r="AK482" i="1" s="1"/>
  <c r="Z482" i="1"/>
  <c r="G482" i="1"/>
  <c r="BB481" i="1"/>
  <c r="AX481" i="1"/>
  <c r="AB481" i="1"/>
  <c r="Z481" i="1"/>
  <c r="G481" i="1"/>
  <c r="AX480" i="1"/>
  <c r="AB480" i="1"/>
  <c r="AF480" i="1" s="1"/>
  <c r="Z480" i="1"/>
  <c r="G480" i="1"/>
  <c r="AX479" i="1"/>
  <c r="AB479" i="1"/>
  <c r="Z479" i="1"/>
  <c r="G479" i="1"/>
  <c r="BB478" i="1"/>
  <c r="AX478" i="1"/>
  <c r="AB478" i="1"/>
  <c r="Z478" i="1"/>
  <c r="G478" i="1"/>
  <c r="BB477" i="1"/>
  <c r="AX477" i="1"/>
  <c r="AB477" i="1"/>
  <c r="AI477" i="1" s="1"/>
  <c r="AK477" i="1" s="1"/>
  <c r="Z477" i="1"/>
  <c r="G477" i="1"/>
  <c r="AX476" i="1"/>
  <c r="AP476" i="1"/>
  <c r="AS476" i="1" s="1"/>
  <c r="AB476" i="1"/>
  <c r="AI476" i="1" s="1"/>
  <c r="AK476" i="1" s="1"/>
  <c r="Z476" i="1"/>
  <c r="G476" i="1"/>
  <c r="AX475" i="1"/>
  <c r="AB475" i="1"/>
  <c r="AI475" i="1" s="1"/>
  <c r="AK475" i="1" s="1"/>
  <c r="Z475" i="1"/>
  <c r="G475" i="1"/>
  <c r="AX474" i="1"/>
  <c r="AB474" i="1"/>
  <c r="AF474" i="1" s="1"/>
  <c r="Z474" i="1"/>
  <c r="G474" i="1"/>
  <c r="AX473" i="1"/>
  <c r="AC473" i="1"/>
  <c r="AB473" i="1"/>
  <c r="Z473" i="1"/>
  <c r="G473" i="1"/>
  <c r="AX472" i="1"/>
  <c r="AB472" i="1"/>
  <c r="AI472" i="1" s="1"/>
  <c r="AK472" i="1" s="1"/>
  <c r="Z472" i="1"/>
  <c r="G472" i="1"/>
  <c r="BB471" i="1"/>
  <c r="AX471" i="1"/>
  <c r="AB471" i="1"/>
  <c r="AI471" i="1" s="1"/>
  <c r="AK471" i="1" s="1"/>
  <c r="Z471" i="1"/>
  <c r="G471" i="1"/>
  <c r="BB470" i="1"/>
  <c r="AX470" i="1"/>
  <c r="AB470" i="1"/>
  <c r="Z470" i="1"/>
  <c r="G470" i="1"/>
  <c r="BB469" i="1"/>
  <c r="AX469" i="1"/>
  <c r="AB469" i="1"/>
  <c r="AF469" i="1" s="1"/>
  <c r="AG469" i="1" s="1"/>
  <c r="Z469" i="1"/>
  <c r="G469" i="1"/>
  <c r="BB468" i="1"/>
  <c r="AX468" i="1"/>
  <c r="AB468" i="1"/>
  <c r="AI468" i="1" s="1"/>
  <c r="AK468" i="1" s="1"/>
  <c r="Z468" i="1"/>
  <c r="G468" i="1"/>
  <c r="BB467" i="1"/>
  <c r="AX467" i="1"/>
  <c r="AB467" i="1"/>
  <c r="Z467" i="1"/>
  <c r="G467" i="1"/>
  <c r="BB466" i="1"/>
  <c r="AX466" i="1"/>
  <c r="AB466" i="1"/>
  <c r="Z466" i="1"/>
  <c r="G466" i="1"/>
  <c r="BB465" i="1"/>
  <c r="AX465" i="1"/>
  <c r="AB465" i="1"/>
  <c r="AF465" i="1" s="1"/>
  <c r="Z465" i="1"/>
  <c r="G465" i="1"/>
  <c r="BB464" i="1"/>
  <c r="AX464" i="1"/>
  <c r="AB464" i="1"/>
  <c r="Z464" i="1"/>
  <c r="G464" i="1"/>
  <c r="BB463" i="1"/>
  <c r="AX463" i="1"/>
  <c r="AB463" i="1"/>
  <c r="AI463" i="1" s="1"/>
  <c r="AK463" i="1" s="1"/>
  <c r="Z463" i="1"/>
  <c r="G463" i="1"/>
  <c r="AX462" i="1"/>
  <c r="AB462" i="1"/>
  <c r="Z462" i="1"/>
  <c r="G462" i="1"/>
  <c r="AX461" i="1"/>
  <c r="AI461" i="1"/>
  <c r="AK461" i="1" s="1"/>
  <c r="AB461" i="1"/>
  <c r="AF461" i="1" s="1"/>
  <c r="Z461" i="1"/>
  <c r="Y461" i="1"/>
  <c r="G461" i="1"/>
  <c r="AX460" i="1"/>
  <c r="AB460" i="1"/>
  <c r="AI460" i="1" s="1"/>
  <c r="AK460" i="1" s="1"/>
  <c r="Z460" i="1"/>
  <c r="G460" i="1"/>
  <c r="BB459" i="1"/>
  <c r="AX459" i="1"/>
  <c r="AB459" i="1"/>
  <c r="Z459" i="1"/>
  <c r="G459" i="1"/>
  <c r="BB458" i="1"/>
  <c r="AX458" i="1"/>
  <c r="AB458" i="1"/>
  <c r="AI458" i="1" s="1"/>
  <c r="AK458" i="1" s="1"/>
  <c r="Z458" i="1"/>
  <c r="G458" i="1"/>
  <c r="BB457" i="1"/>
  <c r="AX457" i="1"/>
  <c r="AB457" i="1"/>
  <c r="AI457" i="1" s="1"/>
  <c r="AK457" i="1" s="1"/>
  <c r="Z457" i="1"/>
  <c r="G457" i="1"/>
  <c r="BB456" i="1"/>
  <c r="AX456" i="1"/>
  <c r="AB456" i="1"/>
  <c r="Z456" i="1"/>
  <c r="G456" i="1"/>
  <c r="BB455" i="1"/>
  <c r="AX455" i="1"/>
  <c r="AB455" i="1"/>
  <c r="Z455" i="1"/>
  <c r="G455" i="1"/>
  <c r="BB454" i="1"/>
  <c r="AX454" i="1"/>
  <c r="AB454" i="1"/>
  <c r="S454" i="1"/>
  <c r="Z454" i="1" s="1"/>
  <c r="G454" i="1"/>
  <c r="BB453" i="1"/>
  <c r="AX453" i="1"/>
  <c r="Z453" i="1"/>
  <c r="Y453" i="1"/>
  <c r="X453" i="1"/>
  <c r="AB453" i="1" s="1"/>
  <c r="AF453" i="1" s="1"/>
  <c r="W453" i="1"/>
  <c r="S453" i="1"/>
  <c r="G453" i="1"/>
  <c r="BB452" i="1"/>
  <c r="AX452" i="1"/>
  <c r="AB452" i="1"/>
  <c r="Z452" i="1"/>
  <c r="S452" i="1"/>
  <c r="G452" i="1"/>
  <c r="BB451" i="1"/>
  <c r="AX451" i="1"/>
  <c r="AB451" i="1"/>
  <c r="AI451" i="1" s="1"/>
  <c r="AK451" i="1" s="1"/>
  <c r="Z451" i="1"/>
  <c r="G451" i="1"/>
  <c r="BB450" i="1"/>
  <c r="AX450" i="1"/>
  <c r="AB450" i="1"/>
  <c r="AF450" i="1" s="1"/>
  <c r="Z450" i="1"/>
  <c r="G450" i="1"/>
  <c r="BB449" i="1"/>
  <c r="AX449" i="1"/>
  <c r="AB449" i="1"/>
  <c r="Z449" i="1"/>
  <c r="G449" i="1"/>
  <c r="BB448" i="1"/>
  <c r="AX448" i="1"/>
  <c r="AF448" i="1"/>
  <c r="AB448" i="1"/>
  <c r="AI448" i="1" s="1"/>
  <c r="AK448" i="1" s="1"/>
  <c r="Z448" i="1"/>
  <c r="G448" i="1"/>
  <c r="BB447" i="1"/>
  <c r="AX447" i="1"/>
  <c r="AB447" i="1"/>
  <c r="AF447" i="1" s="1"/>
  <c r="Z447" i="1"/>
  <c r="G447" i="1"/>
  <c r="BB446" i="1"/>
  <c r="AX446" i="1"/>
  <c r="AB446" i="1"/>
  <c r="AF446" i="1" s="1"/>
  <c r="Z446" i="1"/>
  <c r="G446" i="1"/>
  <c r="BB445" i="1"/>
  <c r="AX445" i="1"/>
  <c r="AB445" i="1"/>
  <c r="Z445" i="1"/>
  <c r="Y445" i="1"/>
  <c r="G445" i="1"/>
  <c r="BB444" i="1"/>
  <c r="AX444" i="1"/>
  <c r="AB444" i="1"/>
  <c r="Z444" i="1"/>
  <c r="G444" i="1"/>
  <c r="BB443" i="1"/>
  <c r="AX443" i="1"/>
  <c r="AB443" i="1"/>
  <c r="AF443" i="1" s="1"/>
  <c r="AG443" i="1" s="1"/>
  <c r="AH443" i="1" s="1"/>
  <c r="AV443" i="1" s="1"/>
  <c r="AW443" i="1" s="1"/>
  <c r="Z443" i="1"/>
  <c r="G443" i="1"/>
  <c r="BB442" i="1"/>
  <c r="AX442" i="1"/>
  <c r="AB442" i="1"/>
  <c r="Z442" i="1"/>
  <c r="G442" i="1"/>
  <c r="BB441" i="1"/>
  <c r="AX441" i="1"/>
  <c r="AB441" i="1"/>
  <c r="Z441" i="1"/>
  <c r="G441" i="1"/>
  <c r="BB440" i="1"/>
  <c r="AX440" i="1"/>
  <c r="AB440" i="1"/>
  <c r="AF440" i="1" s="1"/>
  <c r="Z440" i="1"/>
  <c r="G440" i="1"/>
  <c r="BB439" i="1"/>
  <c r="AX439" i="1"/>
  <c r="AB439" i="1"/>
  <c r="AI439" i="1" s="1"/>
  <c r="AK439" i="1" s="1"/>
  <c r="Z439" i="1"/>
  <c r="G439" i="1"/>
  <c r="BB438" i="1"/>
  <c r="AX438" i="1"/>
  <c r="AB438" i="1"/>
  <c r="Z438" i="1"/>
  <c r="G438" i="1"/>
  <c r="BB437" i="1"/>
  <c r="AX437" i="1"/>
  <c r="AB437" i="1"/>
  <c r="Z437" i="1"/>
  <c r="G437" i="1"/>
  <c r="BB436" i="1"/>
  <c r="AX436" i="1"/>
  <c r="AB436" i="1"/>
  <c r="Z436" i="1"/>
  <c r="G436" i="1"/>
  <c r="BB435" i="1"/>
  <c r="AX435" i="1"/>
  <c r="AC435" i="1"/>
  <c r="AB435" i="1"/>
  <c r="Z435" i="1"/>
  <c r="G435" i="1"/>
  <c r="BB434" i="1"/>
  <c r="AX434" i="1"/>
  <c r="AF434" i="1"/>
  <c r="AG434" i="1" s="1"/>
  <c r="AB434" i="1"/>
  <c r="AI434" i="1" s="1"/>
  <c r="AK434" i="1" s="1"/>
  <c r="Z434" i="1"/>
  <c r="G434" i="1"/>
  <c r="BB433" i="1"/>
  <c r="AX433" i="1"/>
  <c r="AB433" i="1"/>
  <c r="AF433" i="1" s="1"/>
  <c r="Z433" i="1"/>
  <c r="G433" i="1"/>
  <c r="BB432" i="1"/>
  <c r="AX432" i="1"/>
  <c r="AB432" i="1"/>
  <c r="AF432" i="1" s="1"/>
  <c r="Z432" i="1"/>
  <c r="G432" i="1"/>
  <c r="BB431" i="1"/>
  <c r="AX431" i="1"/>
  <c r="AB431" i="1"/>
  <c r="AF431" i="1" s="1"/>
  <c r="AG431" i="1" s="1"/>
  <c r="Z431" i="1"/>
  <c r="G431" i="1"/>
  <c r="BB430" i="1"/>
  <c r="AX430" i="1"/>
  <c r="AB430" i="1"/>
  <c r="AI430" i="1" s="1"/>
  <c r="AK430" i="1" s="1"/>
  <c r="Z430" i="1"/>
  <c r="G430" i="1"/>
  <c r="BB429" i="1"/>
  <c r="AX429" i="1"/>
  <c r="AB429" i="1"/>
  <c r="AF429" i="1" s="1"/>
  <c r="AG429" i="1" s="1"/>
  <c r="Z429" i="1"/>
  <c r="Y429" i="1"/>
  <c r="G429" i="1"/>
  <c r="BB428" i="1"/>
  <c r="AX428" i="1"/>
  <c r="AB428" i="1"/>
  <c r="AI428" i="1" s="1"/>
  <c r="AK428" i="1" s="1"/>
  <c r="Z428" i="1"/>
  <c r="G428" i="1"/>
  <c r="BB427" i="1"/>
  <c r="AX427" i="1"/>
  <c r="AB427" i="1"/>
  <c r="AF427" i="1" s="1"/>
  <c r="Z427" i="1"/>
  <c r="G427" i="1"/>
  <c r="BB426" i="1"/>
  <c r="AX426" i="1"/>
  <c r="AB426" i="1"/>
  <c r="Z426" i="1"/>
  <c r="G426" i="1"/>
  <c r="BB425" i="1"/>
  <c r="AX425" i="1"/>
  <c r="AB425" i="1"/>
  <c r="AI425" i="1" s="1"/>
  <c r="AK425" i="1" s="1"/>
  <c r="Z425" i="1"/>
  <c r="G425" i="1"/>
  <c r="BB424" i="1"/>
  <c r="AX424" i="1"/>
  <c r="AB424" i="1"/>
  <c r="AI424" i="1" s="1"/>
  <c r="AK424" i="1" s="1"/>
  <c r="Z424" i="1"/>
  <c r="G424" i="1"/>
  <c r="BB556" i="1"/>
  <c r="AX556" i="1"/>
  <c r="AB556" i="1"/>
  <c r="AF556" i="1" s="1"/>
  <c r="Z556" i="1"/>
  <c r="G556" i="1"/>
  <c r="BB422" i="1"/>
  <c r="AX422" i="1"/>
  <c r="AB422" i="1"/>
  <c r="AI422" i="1" s="1"/>
  <c r="AK422" i="1" s="1"/>
  <c r="Z422" i="1"/>
  <c r="G422" i="1"/>
  <c r="BB421" i="1"/>
  <c r="AX421" i="1"/>
  <c r="AB421" i="1"/>
  <c r="Z421" i="1"/>
  <c r="G421" i="1"/>
  <c r="BB420" i="1"/>
  <c r="AX420" i="1"/>
  <c r="AB420" i="1"/>
  <c r="AI420" i="1" s="1"/>
  <c r="Z420" i="1"/>
  <c r="G420" i="1"/>
  <c r="BB419" i="1"/>
  <c r="AX419" i="1"/>
  <c r="AB419" i="1"/>
  <c r="AI419" i="1" s="1"/>
  <c r="AK419" i="1" s="1"/>
  <c r="Z419" i="1"/>
  <c r="G419" i="1"/>
  <c r="BB418" i="1"/>
  <c r="AX418" i="1"/>
  <c r="AB418" i="1"/>
  <c r="Z418" i="1"/>
  <c r="G418" i="1"/>
  <c r="BB417" i="1"/>
  <c r="AX417" i="1"/>
  <c r="AC417" i="1"/>
  <c r="AB417" i="1"/>
  <c r="Z417" i="1"/>
  <c r="G417" i="1"/>
  <c r="BB416" i="1"/>
  <c r="AX416" i="1"/>
  <c r="AB416" i="1"/>
  <c r="AF416" i="1" s="1"/>
  <c r="Z416" i="1"/>
  <c r="G416" i="1"/>
  <c r="BB415" i="1"/>
  <c r="AX415" i="1"/>
  <c r="AB415" i="1"/>
  <c r="Z415" i="1"/>
  <c r="G415" i="1"/>
  <c r="BB685" i="1"/>
  <c r="AX685" i="1"/>
  <c r="AB685" i="1"/>
  <c r="Z685" i="1"/>
  <c r="G685" i="1"/>
  <c r="BB684" i="1"/>
  <c r="AX684" i="1"/>
  <c r="AB684" i="1"/>
  <c r="AF684" i="1" s="1"/>
  <c r="AG684" i="1" s="1"/>
  <c r="Z684" i="1"/>
  <c r="G684" i="1"/>
  <c r="BB412" i="1"/>
  <c r="AX412" i="1"/>
  <c r="AB412" i="1"/>
  <c r="AF412" i="1" s="1"/>
  <c r="Z412" i="1"/>
  <c r="G412" i="1"/>
  <c r="BB411" i="1"/>
  <c r="AX411" i="1"/>
  <c r="AB411" i="1"/>
  <c r="Z411" i="1"/>
  <c r="G411" i="1"/>
  <c r="BB410" i="1"/>
  <c r="AX410" i="1"/>
  <c r="AB410" i="1"/>
  <c r="AI410" i="1" s="1"/>
  <c r="AK410" i="1" s="1"/>
  <c r="Z410" i="1"/>
  <c r="G410" i="1"/>
  <c r="BB409" i="1"/>
  <c r="AX409" i="1"/>
  <c r="AB409" i="1"/>
  <c r="Z409" i="1"/>
  <c r="G409" i="1"/>
  <c r="BB408" i="1"/>
  <c r="AX408" i="1"/>
  <c r="AB408" i="1"/>
  <c r="AF408" i="1" s="1"/>
  <c r="AG408" i="1" s="1"/>
  <c r="Z408" i="1"/>
  <c r="G408" i="1"/>
  <c r="BB407" i="1"/>
  <c r="AX407" i="1"/>
  <c r="AB407" i="1"/>
  <c r="AF407" i="1" s="1"/>
  <c r="AG407" i="1" s="1"/>
  <c r="Z407" i="1"/>
  <c r="G407" i="1"/>
  <c r="BB406" i="1"/>
  <c r="AX406" i="1"/>
  <c r="AB406" i="1"/>
  <c r="AI406" i="1" s="1"/>
  <c r="AK406" i="1" s="1"/>
  <c r="Z406" i="1"/>
  <c r="G406" i="1"/>
  <c r="BB405" i="1"/>
  <c r="AX405" i="1"/>
  <c r="AB405" i="1"/>
  <c r="AI405" i="1" s="1"/>
  <c r="AK405" i="1" s="1"/>
  <c r="Z405" i="1"/>
  <c r="G405" i="1"/>
  <c r="BB531" i="1"/>
  <c r="AX531" i="1"/>
  <c r="AB531" i="1"/>
  <c r="AI531" i="1" s="1"/>
  <c r="Z531" i="1"/>
  <c r="G531" i="1"/>
  <c r="BB403" i="1"/>
  <c r="AX403" i="1"/>
  <c r="AB403" i="1"/>
  <c r="AF403" i="1" s="1"/>
  <c r="Z403" i="1"/>
  <c r="G403" i="1"/>
  <c r="BB402" i="1"/>
  <c r="AX402" i="1"/>
  <c r="AB402" i="1"/>
  <c r="AI402" i="1" s="1"/>
  <c r="AK402" i="1" s="1"/>
  <c r="Z402" i="1"/>
  <c r="G402" i="1"/>
  <c r="BB401" i="1"/>
  <c r="AX401" i="1"/>
  <c r="AB401" i="1"/>
  <c r="Z401" i="1"/>
  <c r="G401" i="1"/>
  <c r="BB400" i="1"/>
  <c r="AX400" i="1"/>
  <c r="AF400" i="1"/>
  <c r="AG400" i="1" s="1"/>
  <c r="AB400" i="1"/>
  <c r="AI400" i="1" s="1"/>
  <c r="AK400" i="1" s="1"/>
  <c r="Z400" i="1"/>
  <c r="G400" i="1"/>
  <c r="BB399" i="1"/>
  <c r="AX399" i="1"/>
  <c r="AB399" i="1"/>
  <c r="Z399" i="1"/>
  <c r="G399" i="1"/>
  <c r="BB398" i="1"/>
  <c r="AX398" i="1"/>
  <c r="AB398" i="1"/>
  <c r="AI398" i="1" s="1"/>
  <c r="AK398" i="1" s="1"/>
  <c r="Z398" i="1"/>
  <c r="G398" i="1"/>
  <c r="AX397" i="1"/>
  <c r="AB397" i="1"/>
  <c r="AI397" i="1" s="1"/>
  <c r="AK397" i="1" s="1"/>
  <c r="S397" i="1"/>
  <c r="Z397" i="1" s="1"/>
  <c r="G397" i="1"/>
  <c r="BB396" i="1"/>
  <c r="AX396" i="1"/>
  <c r="AB396" i="1"/>
  <c r="AI396" i="1" s="1"/>
  <c r="AK396" i="1" s="1"/>
  <c r="Z396" i="1"/>
  <c r="G396" i="1"/>
  <c r="BB395" i="1"/>
  <c r="AX395" i="1"/>
  <c r="AB395" i="1"/>
  <c r="AF395" i="1" s="1"/>
  <c r="Z395" i="1"/>
  <c r="G395" i="1"/>
  <c r="BB394" i="1"/>
  <c r="AX394" i="1"/>
  <c r="AB394" i="1"/>
  <c r="Z394" i="1"/>
  <c r="G394" i="1"/>
  <c r="BB393" i="1"/>
  <c r="AX393" i="1"/>
  <c r="AB393" i="1"/>
  <c r="AI393" i="1" s="1"/>
  <c r="AK393" i="1" s="1"/>
  <c r="Z393" i="1"/>
  <c r="G393" i="1"/>
  <c r="BB392" i="1"/>
  <c r="AX392" i="1"/>
  <c r="AB392" i="1"/>
  <c r="AI392" i="1" s="1"/>
  <c r="AK392" i="1" s="1"/>
  <c r="Z392" i="1"/>
  <c r="G392" i="1"/>
  <c r="BB391" i="1"/>
  <c r="AX391" i="1"/>
  <c r="AB391" i="1"/>
  <c r="AI391" i="1" s="1"/>
  <c r="AK391" i="1" s="1"/>
  <c r="Z391" i="1"/>
  <c r="G391" i="1"/>
  <c r="BB390" i="1"/>
  <c r="AX390" i="1"/>
  <c r="AB390" i="1"/>
  <c r="AI390" i="1" s="1"/>
  <c r="AK390" i="1" s="1"/>
  <c r="Z390" i="1"/>
  <c r="G390" i="1"/>
  <c r="BB389" i="1"/>
  <c r="AX389" i="1"/>
  <c r="AB389" i="1"/>
  <c r="AI389" i="1" s="1"/>
  <c r="Z389" i="1"/>
  <c r="G389" i="1"/>
  <c r="BB388" i="1"/>
  <c r="AX388" i="1"/>
  <c r="AW388" i="1"/>
  <c r="AU388" i="1"/>
  <c r="AB388" i="1"/>
  <c r="AI388" i="1" s="1"/>
  <c r="AK388" i="1" s="1"/>
  <c r="Z388" i="1"/>
  <c r="G388" i="1"/>
  <c r="BB387" i="1"/>
  <c r="AX387" i="1"/>
  <c r="AU387" i="1"/>
  <c r="AW387" i="1" s="1"/>
  <c r="AB387" i="1"/>
  <c r="AI387" i="1" s="1"/>
  <c r="AK387" i="1" s="1"/>
  <c r="Z387" i="1"/>
  <c r="G387" i="1"/>
  <c r="BB47" i="1"/>
  <c r="AX47" i="1"/>
  <c r="AB47" i="1"/>
  <c r="Z47" i="1"/>
  <c r="G47" i="1"/>
  <c r="BB45" i="1"/>
  <c r="AX45" i="1"/>
  <c r="AB45" i="1"/>
  <c r="Z45" i="1"/>
  <c r="G45" i="1"/>
  <c r="BB384" i="1"/>
  <c r="AX384" i="1"/>
  <c r="AU384" i="1"/>
  <c r="AC384" i="1"/>
  <c r="AB384" i="1"/>
  <c r="Z384" i="1"/>
  <c r="G384" i="1"/>
  <c r="BB383" i="1"/>
  <c r="AX383" i="1"/>
  <c r="AB383" i="1"/>
  <c r="AF383" i="1" s="1"/>
  <c r="Z383" i="1"/>
  <c r="G383" i="1"/>
  <c r="BB382" i="1"/>
  <c r="AX382" i="1"/>
  <c r="AB382" i="1"/>
  <c r="AI382" i="1" s="1"/>
  <c r="AK382" i="1" s="1"/>
  <c r="Z382" i="1"/>
  <c r="G382" i="1"/>
  <c r="BB381" i="1"/>
  <c r="AX381" i="1"/>
  <c r="AB381" i="1"/>
  <c r="AF381" i="1" s="1"/>
  <c r="Z381" i="1"/>
  <c r="G381" i="1"/>
  <c r="BB380" i="1"/>
  <c r="AX380" i="1"/>
  <c r="AB380" i="1"/>
  <c r="AI380" i="1" s="1"/>
  <c r="AK380" i="1" s="1"/>
  <c r="Z380" i="1"/>
  <c r="G380" i="1"/>
  <c r="BB379" i="1"/>
  <c r="AX379" i="1"/>
  <c r="AB379" i="1"/>
  <c r="AF379" i="1" s="1"/>
  <c r="Z379" i="1"/>
  <c r="G379" i="1"/>
  <c r="BB378" i="1"/>
  <c r="AX378" i="1"/>
  <c r="AB378" i="1"/>
  <c r="AI378" i="1" s="1"/>
  <c r="AK378" i="1" s="1"/>
  <c r="Z378" i="1"/>
  <c r="G378" i="1"/>
  <c r="BB377" i="1"/>
  <c r="AX377" i="1"/>
  <c r="AB377" i="1"/>
  <c r="Z377" i="1"/>
  <c r="G377" i="1"/>
  <c r="BB376" i="1"/>
  <c r="AX376" i="1"/>
  <c r="AB376" i="1"/>
  <c r="AI376" i="1" s="1"/>
  <c r="AK376" i="1" s="1"/>
  <c r="Z376" i="1"/>
  <c r="G376" i="1"/>
  <c r="BB375" i="1"/>
  <c r="AX375" i="1"/>
  <c r="AB375" i="1"/>
  <c r="AF375" i="1" s="1"/>
  <c r="Z375" i="1"/>
  <c r="G375" i="1"/>
  <c r="BB374" i="1"/>
  <c r="AX374" i="1"/>
  <c r="AB374" i="1"/>
  <c r="AF374" i="1" s="1"/>
  <c r="Z374" i="1"/>
  <c r="G374" i="1"/>
  <c r="BB373" i="1"/>
  <c r="AX373" i="1"/>
  <c r="AB373" i="1"/>
  <c r="Z373" i="1"/>
  <c r="G373" i="1"/>
  <c r="BB372" i="1"/>
  <c r="AX372" i="1"/>
  <c r="AB372" i="1"/>
  <c r="AI372" i="1" s="1"/>
  <c r="AK372" i="1" s="1"/>
  <c r="Z372" i="1"/>
  <c r="G372" i="1"/>
  <c r="BB371" i="1"/>
  <c r="AX371" i="1"/>
  <c r="AB371" i="1"/>
  <c r="AI371" i="1" s="1"/>
  <c r="AK371" i="1" s="1"/>
  <c r="Z371" i="1"/>
  <c r="G371" i="1"/>
  <c r="BB370" i="1"/>
  <c r="AX370" i="1"/>
  <c r="AB370" i="1"/>
  <c r="AI370" i="1" s="1"/>
  <c r="AK370" i="1" s="1"/>
  <c r="Z370" i="1"/>
  <c r="S370" i="1"/>
  <c r="G370" i="1"/>
  <c r="BB369" i="1"/>
  <c r="AX369" i="1"/>
  <c r="AB369" i="1"/>
  <c r="AF369" i="1" s="1"/>
  <c r="Z369" i="1"/>
  <c r="G369" i="1"/>
  <c r="BB368" i="1"/>
  <c r="AX368" i="1"/>
  <c r="AB368" i="1"/>
  <c r="AI368" i="1" s="1"/>
  <c r="AK368" i="1" s="1"/>
  <c r="Z368" i="1"/>
  <c r="G368" i="1"/>
  <c r="BB367" i="1"/>
  <c r="AX367" i="1"/>
  <c r="AB367" i="1"/>
  <c r="AF367" i="1" s="1"/>
  <c r="Z367" i="1"/>
  <c r="G367" i="1"/>
  <c r="BB366" i="1"/>
  <c r="AX366" i="1"/>
  <c r="AB366" i="1"/>
  <c r="AI366" i="1" s="1"/>
  <c r="AK366" i="1" s="1"/>
  <c r="Z366" i="1"/>
  <c r="G366" i="1"/>
  <c r="BB365" i="1"/>
  <c r="AX365" i="1"/>
  <c r="AB365" i="1"/>
  <c r="AI365" i="1" s="1"/>
  <c r="Z365" i="1"/>
  <c r="G365" i="1"/>
  <c r="BB364" i="1"/>
  <c r="AX364" i="1"/>
  <c r="AB364" i="1"/>
  <c r="AF364" i="1" s="1"/>
  <c r="Z364" i="1"/>
  <c r="G364" i="1"/>
  <c r="BB363" i="1"/>
  <c r="AX363" i="1"/>
  <c r="AB363" i="1"/>
  <c r="AI363" i="1" s="1"/>
  <c r="AK363" i="1" s="1"/>
  <c r="Z363" i="1"/>
  <c r="G363" i="1"/>
  <c r="BB362" i="1"/>
  <c r="AX362" i="1"/>
  <c r="AB362" i="1"/>
  <c r="AI362" i="1" s="1"/>
  <c r="AK362" i="1" s="1"/>
  <c r="Z362" i="1"/>
  <c r="G362" i="1"/>
  <c r="BB361" i="1"/>
  <c r="AX361" i="1"/>
  <c r="AB361" i="1"/>
  <c r="AI361" i="1" s="1"/>
  <c r="AK361" i="1" s="1"/>
  <c r="Z361" i="1"/>
  <c r="G361" i="1"/>
  <c r="AX360" i="1"/>
  <c r="AB360" i="1"/>
  <c r="AF360" i="1" s="1"/>
  <c r="Z360" i="1"/>
  <c r="G360" i="1"/>
  <c r="AX359" i="1"/>
  <c r="AB359" i="1"/>
  <c r="AF359" i="1" s="1"/>
  <c r="AG359" i="1" s="1"/>
  <c r="Z359" i="1"/>
  <c r="G359" i="1"/>
  <c r="AX358" i="1"/>
  <c r="AB358" i="1"/>
  <c r="AI358" i="1" s="1"/>
  <c r="AK358" i="1" s="1"/>
  <c r="Z358" i="1"/>
  <c r="G358" i="1"/>
  <c r="AX357" i="1"/>
  <c r="AB357" i="1"/>
  <c r="AI357" i="1" s="1"/>
  <c r="AK357" i="1" s="1"/>
  <c r="Z357" i="1"/>
  <c r="G357" i="1"/>
  <c r="AX356" i="1"/>
  <c r="AB356" i="1"/>
  <c r="Z356" i="1"/>
  <c r="G356" i="1"/>
  <c r="AX355" i="1"/>
  <c r="AB355" i="1"/>
  <c r="Z355" i="1"/>
  <c r="G355" i="1"/>
  <c r="AX354" i="1"/>
  <c r="AB354" i="1"/>
  <c r="Z354" i="1"/>
  <c r="G354" i="1"/>
  <c r="AX353" i="1"/>
  <c r="AB353" i="1"/>
  <c r="AI353" i="1" s="1"/>
  <c r="AK353" i="1" s="1"/>
  <c r="Z353" i="1"/>
  <c r="G353" i="1"/>
  <c r="AX352" i="1"/>
  <c r="AB352" i="1"/>
  <c r="Z352" i="1"/>
  <c r="G352" i="1"/>
  <c r="AX351" i="1"/>
  <c r="AB351" i="1"/>
  <c r="AI351" i="1" s="1"/>
  <c r="AK351" i="1" s="1"/>
  <c r="Z351" i="1"/>
  <c r="G351" i="1"/>
  <c r="AX350" i="1"/>
  <c r="AB350" i="1"/>
  <c r="AI350" i="1" s="1"/>
  <c r="AK350" i="1" s="1"/>
  <c r="Z350" i="1"/>
  <c r="G350" i="1"/>
  <c r="AX349" i="1"/>
  <c r="AB349" i="1"/>
  <c r="AI349" i="1" s="1"/>
  <c r="AK349" i="1" s="1"/>
  <c r="Z349" i="1"/>
  <c r="G349" i="1"/>
  <c r="AX348" i="1"/>
  <c r="AB348" i="1"/>
  <c r="AF348" i="1" s="1"/>
  <c r="AG348" i="1" s="1"/>
  <c r="AH348" i="1" s="1"/>
  <c r="AV348" i="1" s="1"/>
  <c r="AW348" i="1" s="1"/>
  <c r="Z348" i="1"/>
  <c r="G348" i="1"/>
  <c r="AX347" i="1"/>
  <c r="AB347" i="1"/>
  <c r="AF347" i="1" s="1"/>
  <c r="AG347" i="1" s="1"/>
  <c r="Z347" i="1"/>
  <c r="G347" i="1"/>
  <c r="AX346" i="1"/>
  <c r="AB346" i="1"/>
  <c r="AF346" i="1" s="1"/>
  <c r="Z346" i="1"/>
  <c r="G346" i="1"/>
  <c r="AX345" i="1"/>
  <c r="AB345" i="1"/>
  <c r="AI345" i="1" s="1"/>
  <c r="AK345" i="1" s="1"/>
  <c r="Z345" i="1"/>
  <c r="G345" i="1"/>
  <c r="AX344" i="1"/>
  <c r="AB344" i="1"/>
  <c r="AF344" i="1" s="1"/>
  <c r="Z344" i="1"/>
  <c r="G344" i="1"/>
  <c r="AX343" i="1"/>
  <c r="AB343" i="1"/>
  <c r="AF343" i="1" s="1"/>
  <c r="Z343" i="1"/>
  <c r="G343" i="1"/>
  <c r="AX342" i="1"/>
  <c r="AB342" i="1"/>
  <c r="AF342" i="1" s="1"/>
  <c r="Z342" i="1"/>
  <c r="G342" i="1"/>
  <c r="AX341" i="1"/>
  <c r="AB341" i="1"/>
  <c r="AI341" i="1" s="1"/>
  <c r="AK341" i="1" s="1"/>
  <c r="Z341" i="1"/>
  <c r="G341" i="1"/>
  <c r="AX340" i="1"/>
  <c r="AB340" i="1"/>
  <c r="AI340" i="1" s="1"/>
  <c r="AK340" i="1" s="1"/>
  <c r="Z340" i="1"/>
  <c r="G340" i="1"/>
  <c r="AX339" i="1"/>
  <c r="AB339" i="1"/>
  <c r="AI339" i="1" s="1"/>
  <c r="AK339" i="1" s="1"/>
  <c r="Z339" i="1"/>
  <c r="G339" i="1"/>
  <c r="AX338" i="1"/>
  <c r="AB338" i="1"/>
  <c r="AF338" i="1" s="1"/>
  <c r="Z338" i="1"/>
  <c r="G338" i="1"/>
  <c r="AX337" i="1"/>
  <c r="AB337" i="1"/>
  <c r="AI337" i="1" s="1"/>
  <c r="AK337" i="1" s="1"/>
  <c r="Z337" i="1"/>
  <c r="G337" i="1"/>
  <c r="AX336" i="1"/>
  <c r="AB336" i="1"/>
  <c r="AF336" i="1" s="1"/>
  <c r="AG336" i="1" s="1"/>
  <c r="AH336" i="1" s="1"/>
  <c r="AV336" i="1" s="1"/>
  <c r="AW336" i="1" s="1"/>
  <c r="Z336" i="1"/>
  <c r="G336" i="1"/>
  <c r="AX335" i="1"/>
  <c r="AB335" i="1"/>
  <c r="AF335" i="1" s="1"/>
  <c r="AG335" i="1" s="1"/>
  <c r="Z335" i="1"/>
  <c r="G335" i="1"/>
  <c r="AX334" i="1"/>
  <c r="AB334" i="1"/>
  <c r="AI334" i="1" s="1"/>
  <c r="AK334" i="1" s="1"/>
  <c r="Z334" i="1"/>
  <c r="G334" i="1"/>
  <c r="AX333" i="1"/>
  <c r="AB333" i="1"/>
  <c r="Z333" i="1"/>
  <c r="G333" i="1"/>
  <c r="AX332" i="1"/>
  <c r="AB332" i="1"/>
  <c r="AI332" i="1" s="1"/>
  <c r="AK332" i="1" s="1"/>
  <c r="Z332" i="1"/>
  <c r="G332" i="1"/>
  <c r="AX331" i="1"/>
  <c r="AI331" i="1"/>
  <c r="AK331" i="1" s="1"/>
  <c r="AB331" i="1"/>
  <c r="AF331" i="1" s="1"/>
  <c r="Z331" i="1"/>
  <c r="G331" i="1"/>
  <c r="AX330" i="1"/>
  <c r="AG330" i="1"/>
  <c r="AB330" i="1"/>
  <c r="AF330" i="1" s="1"/>
  <c r="Z330" i="1"/>
  <c r="G330" i="1"/>
  <c r="AX329" i="1"/>
  <c r="AB329" i="1"/>
  <c r="AI329" i="1" s="1"/>
  <c r="AK329" i="1" s="1"/>
  <c r="Z329" i="1"/>
  <c r="G329" i="1"/>
  <c r="BB328" i="1"/>
  <c r="AX328" i="1"/>
  <c r="AB328" i="1"/>
  <c r="AI328" i="1" s="1"/>
  <c r="AK328" i="1" s="1"/>
  <c r="Z328" i="1"/>
  <c r="G328" i="1"/>
  <c r="BB327" i="1"/>
  <c r="AX327" i="1"/>
  <c r="AB327" i="1"/>
  <c r="Z327" i="1"/>
  <c r="G327" i="1"/>
  <c r="BB326" i="1"/>
  <c r="AX326" i="1"/>
  <c r="AB326" i="1"/>
  <c r="AI326" i="1" s="1"/>
  <c r="AK326" i="1" s="1"/>
  <c r="Z326" i="1"/>
  <c r="G326" i="1"/>
  <c r="AX325" i="1"/>
  <c r="AF325" i="1"/>
  <c r="AG325" i="1" s="1"/>
  <c r="AB325" i="1"/>
  <c r="AI325" i="1" s="1"/>
  <c r="Z325" i="1"/>
  <c r="G325" i="1"/>
  <c r="AX324" i="1"/>
  <c r="AB324" i="1"/>
  <c r="Z324" i="1"/>
  <c r="G324" i="1"/>
  <c r="AX323" i="1"/>
  <c r="AB323" i="1"/>
  <c r="AF323" i="1" s="1"/>
  <c r="AG323" i="1" s="1"/>
  <c r="Z323" i="1"/>
  <c r="G323" i="1"/>
  <c r="AX322" i="1"/>
  <c r="AB322" i="1"/>
  <c r="AI322" i="1" s="1"/>
  <c r="Z322" i="1"/>
  <c r="G322" i="1"/>
  <c r="AX321" i="1"/>
  <c r="AB321" i="1"/>
  <c r="AI321" i="1" s="1"/>
  <c r="AK321" i="1" s="1"/>
  <c r="Z321" i="1"/>
  <c r="G321" i="1"/>
  <c r="BB320" i="1"/>
  <c r="AX320" i="1"/>
  <c r="AB320" i="1"/>
  <c r="Z320" i="1"/>
  <c r="G320" i="1"/>
  <c r="BB319" i="1"/>
  <c r="AX319" i="1"/>
  <c r="AB319" i="1"/>
  <c r="Z319" i="1"/>
  <c r="G319" i="1"/>
  <c r="BB318" i="1"/>
  <c r="AX318" i="1"/>
  <c r="AB318" i="1"/>
  <c r="Z318" i="1"/>
  <c r="G318" i="1"/>
  <c r="BB317" i="1"/>
  <c r="AX317" i="1"/>
  <c r="AB317" i="1"/>
  <c r="AI317" i="1" s="1"/>
  <c r="AK317" i="1" s="1"/>
  <c r="Z317" i="1"/>
  <c r="G317" i="1"/>
  <c r="BB316" i="1"/>
  <c r="AX316" i="1"/>
  <c r="AB316" i="1"/>
  <c r="Z316" i="1"/>
  <c r="G316" i="1"/>
  <c r="BB315" i="1"/>
  <c r="AX315" i="1"/>
  <c r="AB315" i="1"/>
  <c r="Z315" i="1"/>
  <c r="G315" i="1"/>
  <c r="BB314" i="1"/>
  <c r="AX314" i="1"/>
  <c r="AB314" i="1"/>
  <c r="AI314" i="1" s="1"/>
  <c r="AK314" i="1" s="1"/>
  <c r="Z314" i="1"/>
  <c r="G314" i="1"/>
  <c r="BB313" i="1"/>
  <c r="AX313" i="1"/>
  <c r="AB313" i="1"/>
  <c r="Z313" i="1"/>
  <c r="G313" i="1"/>
  <c r="AX312" i="1"/>
  <c r="AB312" i="1"/>
  <c r="AI312" i="1" s="1"/>
  <c r="AK312" i="1" s="1"/>
  <c r="Z312" i="1"/>
  <c r="G312" i="1"/>
  <c r="AX311" i="1"/>
  <c r="AB311" i="1"/>
  <c r="AI311" i="1" s="1"/>
  <c r="AK311" i="1" s="1"/>
  <c r="Z311" i="1"/>
  <c r="G311" i="1"/>
  <c r="AX310" i="1"/>
  <c r="AB310" i="1"/>
  <c r="Z310" i="1"/>
  <c r="G310" i="1"/>
  <c r="BB309" i="1"/>
  <c r="AX309" i="1"/>
  <c r="AB309" i="1"/>
  <c r="AI309" i="1" s="1"/>
  <c r="AK309" i="1" s="1"/>
  <c r="Z309" i="1"/>
  <c r="G309" i="1"/>
  <c r="BB308" i="1"/>
  <c r="AX308" i="1"/>
  <c r="AB308" i="1"/>
  <c r="AI308" i="1" s="1"/>
  <c r="AK308" i="1" s="1"/>
  <c r="Z308" i="1"/>
  <c r="G308" i="1"/>
  <c r="AX307" i="1"/>
  <c r="AB307" i="1"/>
  <c r="AF307" i="1" s="1"/>
  <c r="Z307" i="1"/>
  <c r="G307" i="1"/>
  <c r="AX306" i="1"/>
  <c r="AB306" i="1"/>
  <c r="Z306" i="1"/>
  <c r="G306" i="1"/>
  <c r="AX305" i="1"/>
  <c r="AB305" i="1"/>
  <c r="AF305" i="1" s="1"/>
  <c r="Z305" i="1"/>
  <c r="G305" i="1"/>
  <c r="AX304" i="1"/>
  <c r="AB304" i="1"/>
  <c r="Z304" i="1"/>
  <c r="G304" i="1"/>
  <c r="AX303" i="1"/>
  <c r="AB303" i="1"/>
  <c r="Z303" i="1"/>
  <c r="G303" i="1"/>
  <c r="AX302" i="1"/>
  <c r="AB302" i="1"/>
  <c r="Z302" i="1"/>
  <c r="G302" i="1"/>
  <c r="AX301" i="1"/>
  <c r="AB301" i="1"/>
  <c r="AI301" i="1" s="1"/>
  <c r="AK301" i="1" s="1"/>
  <c r="Z301" i="1"/>
  <c r="G301" i="1"/>
  <c r="AX300" i="1"/>
  <c r="AB300" i="1"/>
  <c r="AF300" i="1" s="1"/>
  <c r="Z300" i="1"/>
  <c r="G300" i="1"/>
  <c r="AX299" i="1"/>
  <c r="AB299" i="1"/>
  <c r="AF299" i="1" s="1"/>
  <c r="AG299" i="1" s="1"/>
  <c r="Z299" i="1"/>
  <c r="G299" i="1"/>
  <c r="AX298" i="1"/>
  <c r="AB298" i="1"/>
  <c r="AF298" i="1" s="1"/>
  <c r="Z298" i="1"/>
  <c r="G298" i="1"/>
  <c r="AX297" i="1"/>
  <c r="AB297" i="1"/>
  <c r="AF297" i="1" s="1"/>
  <c r="AG297" i="1" s="1"/>
  <c r="Z297" i="1"/>
  <c r="G297" i="1"/>
  <c r="AX296" i="1"/>
  <c r="AF296" i="1"/>
  <c r="AB296" i="1"/>
  <c r="AI296" i="1" s="1"/>
  <c r="AK296" i="1" s="1"/>
  <c r="Z296" i="1"/>
  <c r="G296" i="1"/>
  <c r="BB295" i="1"/>
  <c r="AX295" i="1"/>
  <c r="AB295" i="1"/>
  <c r="AI295" i="1" s="1"/>
  <c r="AK295" i="1" s="1"/>
  <c r="Z295" i="1"/>
  <c r="G295" i="1"/>
  <c r="BB294" i="1"/>
  <c r="AX294" i="1"/>
  <c r="AB294" i="1"/>
  <c r="Z294" i="1"/>
  <c r="G294" i="1"/>
  <c r="BB293" i="1"/>
  <c r="AX293" i="1"/>
  <c r="AB293" i="1"/>
  <c r="AI293" i="1" s="1"/>
  <c r="AK293" i="1" s="1"/>
  <c r="Z293" i="1"/>
  <c r="G293" i="1"/>
  <c r="BB292" i="1"/>
  <c r="AX292" i="1"/>
  <c r="AB292" i="1"/>
  <c r="AI292" i="1" s="1"/>
  <c r="AK292" i="1" s="1"/>
  <c r="Z292" i="1"/>
  <c r="G292" i="1"/>
  <c r="BB291" i="1"/>
  <c r="AX291" i="1"/>
  <c r="AB291" i="1"/>
  <c r="AI291" i="1" s="1"/>
  <c r="AK291" i="1" s="1"/>
  <c r="Z291" i="1"/>
  <c r="G291" i="1"/>
  <c r="BB290" i="1"/>
  <c r="AX290" i="1"/>
  <c r="AG290" i="1"/>
  <c r="AH290" i="1" s="1"/>
  <c r="AV290" i="1" s="1"/>
  <c r="AW290" i="1" s="1"/>
  <c r="AB290" i="1"/>
  <c r="AF290" i="1" s="1"/>
  <c r="Z290" i="1"/>
  <c r="G290" i="1"/>
  <c r="BB289" i="1"/>
  <c r="AX289" i="1"/>
  <c r="AB289" i="1"/>
  <c r="AI289" i="1" s="1"/>
  <c r="AK289" i="1" s="1"/>
  <c r="Z289" i="1"/>
  <c r="G289" i="1"/>
  <c r="BB288" i="1"/>
  <c r="AX288" i="1"/>
  <c r="AB288" i="1"/>
  <c r="AI288" i="1" s="1"/>
  <c r="AK288" i="1" s="1"/>
  <c r="Z288" i="1"/>
  <c r="G288" i="1"/>
  <c r="BB287" i="1"/>
  <c r="AX287" i="1"/>
  <c r="AB287" i="1"/>
  <c r="AI287" i="1" s="1"/>
  <c r="AK287" i="1" s="1"/>
  <c r="Z287" i="1"/>
  <c r="G287" i="1"/>
  <c r="BB286" i="1"/>
  <c r="AX286" i="1"/>
  <c r="AB286" i="1"/>
  <c r="AF286" i="1" s="1"/>
  <c r="AG286" i="1" s="1"/>
  <c r="AH286" i="1" s="1"/>
  <c r="AV286" i="1" s="1"/>
  <c r="AW286" i="1" s="1"/>
  <c r="Z286" i="1"/>
  <c r="G286" i="1"/>
  <c r="BB285" i="1"/>
  <c r="AX285" i="1"/>
  <c r="AB285" i="1"/>
  <c r="AI285" i="1" s="1"/>
  <c r="AK285" i="1" s="1"/>
  <c r="Z285" i="1"/>
  <c r="G285" i="1"/>
  <c r="BB284" i="1"/>
  <c r="AX284" i="1"/>
  <c r="AB284" i="1"/>
  <c r="AI284" i="1" s="1"/>
  <c r="AK284" i="1" s="1"/>
  <c r="Z284" i="1"/>
  <c r="G284" i="1"/>
  <c r="BB283" i="1"/>
  <c r="AX283" i="1"/>
  <c r="AB283" i="1"/>
  <c r="AI283" i="1" s="1"/>
  <c r="AK283" i="1" s="1"/>
  <c r="Z283" i="1"/>
  <c r="G283" i="1"/>
  <c r="BB282" i="1"/>
  <c r="AX282" i="1"/>
  <c r="AB282" i="1"/>
  <c r="AF282" i="1" s="1"/>
  <c r="Z282" i="1"/>
  <c r="G282" i="1"/>
  <c r="AX281" i="1"/>
  <c r="AB281" i="1"/>
  <c r="AI281" i="1" s="1"/>
  <c r="AK281" i="1" s="1"/>
  <c r="Z281" i="1"/>
  <c r="G281" i="1"/>
  <c r="BB280" i="1"/>
  <c r="AX280" i="1"/>
  <c r="AB280" i="1"/>
  <c r="AF280" i="1" s="1"/>
  <c r="AG280" i="1" s="1"/>
  <c r="Z280" i="1"/>
  <c r="G280" i="1"/>
  <c r="BB279" i="1"/>
  <c r="AX279" i="1"/>
  <c r="AB279" i="1"/>
  <c r="AF279" i="1" s="1"/>
  <c r="AG279" i="1" s="1"/>
  <c r="AH279" i="1" s="1"/>
  <c r="AV279" i="1" s="1"/>
  <c r="AW279" i="1" s="1"/>
  <c r="Z279" i="1"/>
  <c r="G279" i="1"/>
  <c r="BB278" i="1"/>
  <c r="AX278" i="1"/>
  <c r="AB278" i="1"/>
  <c r="AI278" i="1" s="1"/>
  <c r="AK278" i="1" s="1"/>
  <c r="Z278" i="1"/>
  <c r="G278" i="1"/>
  <c r="BB277" i="1"/>
  <c r="AX277" i="1"/>
  <c r="AB277" i="1"/>
  <c r="AI277" i="1" s="1"/>
  <c r="AK277" i="1" s="1"/>
  <c r="Z277" i="1"/>
  <c r="G277" i="1"/>
  <c r="AX276" i="1"/>
  <c r="AB276" i="1"/>
  <c r="AI276" i="1" s="1"/>
  <c r="AK276" i="1" s="1"/>
  <c r="Z276" i="1"/>
  <c r="G276" i="1"/>
  <c r="AX275" i="1"/>
  <c r="AB275" i="1"/>
  <c r="AI275" i="1" s="1"/>
  <c r="AK275" i="1" s="1"/>
  <c r="Z275" i="1"/>
  <c r="G275" i="1"/>
  <c r="AX274" i="1"/>
  <c r="AB274" i="1"/>
  <c r="AI274" i="1" s="1"/>
  <c r="AK274" i="1" s="1"/>
  <c r="Z274" i="1"/>
  <c r="G274" i="1"/>
  <c r="AX273" i="1"/>
  <c r="AB273" i="1"/>
  <c r="AF273" i="1" s="1"/>
  <c r="Z273" i="1"/>
  <c r="G273" i="1"/>
  <c r="AX272" i="1"/>
  <c r="AB272" i="1"/>
  <c r="AF272" i="1" s="1"/>
  <c r="AG272" i="1" s="1"/>
  <c r="AH272" i="1" s="1"/>
  <c r="AV272" i="1" s="1"/>
  <c r="AW272" i="1" s="1"/>
  <c r="Z272" i="1"/>
  <c r="G272" i="1"/>
  <c r="AX271" i="1"/>
  <c r="AB271" i="1"/>
  <c r="AI271" i="1" s="1"/>
  <c r="AK271" i="1" s="1"/>
  <c r="Z271" i="1"/>
  <c r="G271" i="1"/>
  <c r="AX270" i="1"/>
  <c r="AB270" i="1"/>
  <c r="AF270" i="1" s="1"/>
  <c r="Z270" i="1"/>
  <c r="G270" i="1"/>
  <c r="AX269" i="1"/>
  <c r="AB269" i="1"/>
  <c r="AF269" i="1" s="1"/>
  <c r="AG269" i="1" s="1"/>
  <c r="Z269" i="1"/>
  <c r="G269" i="1"/>
  <c r="AX268" i="1"/>
  <c r="AC268" i="1"/>
  <c r="AB268" i="1"/>
  <c r="Z268" i="1"/>
  <c r="G268" i="1"/>
  <c r="AX267" i="1"/>
  <c r="AB267" i="1"/>
  <c r="AF267" i="1" s="1"/>
  <c r="Z267" i="1"/>
  <c r="G267" i="1"/>
  <c r="BB266" i="1"/>
  <c r="AX266" i="1"/>
  <c r="AB266" i="1"/>
  <c r="AF266" i="1" s="1"/>
  <c r="Z266" i="1"/>
  <c r="G266" i="1"/>
  <c r="BB265" i="1"/>
  <c r="AX265" i="1"/>
  <c r="AB265" i="1"/>
  <c r="AI265" i="1" s="1"/>
  <c r="AK265" i="1" s="1"/>
  <c r="Z265" i="1"/>
  <c r="G265" i="1"/>
  <c r="BB264" i="1"/>
  <c r="AX264" i="1"/>
  <c r="AB264" i="1"/>
  <c r="AF264" i="1" s="1"/>
  <c r="Z264" i="1"/>
  <c r="G264" i="1"/>
  <c r="BB263" i="1"/>
  <c r="AX263" i="1"/>
  <c r="AB263" i="1"/>
  <c r="Z263" i="1"/>
  <c r="G263" i="1"/>
  <c r="AB262" i="1"/>
  <c r="AI262" i="1" s="1"/>
  <c r="AK262" i="1" s="1"/>
  <c r="Z262" i="1"/>
  <c r="G262" i="1"/>
  <c r="BB261" i="1"/>
  <c r="AX261" i="1"/>
  <c r="AB261" i="1"/>
  <c r="AI261" i="1" s="1"/>
  <c r="Z261" i="1"/>
  <c r="G261" i="1"/>
  <c r="AX260" i="1"/>
  <c r="AB260" i="1"/>
  <c r="AF260" i="1" s="1"/>
  <c r="Z260" i="1"/>
  <c r="G260" i="1"/>
  <c r="AX259" i="1"/>
  <c r="AB259" i="1"/>
  <c r="AF259" i="1" s="1"/>
  <c r="AG259" i="1" s="1"/>
  <c r="Z259" i="1"/>
  <c r="G259" i="1"/>
  <c r="AX796" i="1"/>
  <c r="AB796" i="1"/>
  <c r="Z796" i="1"/>
  <c r="G796" i="1"/>
  <c r="AX257" i="1"/>
  <c r="AB257" i="1"/>
  <c r="AF257" i="1" s="1"/>
  <c r="Z257" i="1"/>
  <c r="G257" i="1"/>
  <c r="AX256" i="1"/>
  <c r="AI256" i="1"/>
  <c r="AK256" i="1" s="1"/>
  <c r="AB256" i="1"/>
  <c r="AF256" i="1" s="1"/>
  <c r="Z256" i="1"/>
  <c r="S256" i="1"/>
  <c r="G256" i="1"/>
  <c r="AX255" i="1"/>
  <c r="AB255" i="1"/>
  <c r="AF255" i="1" s="1"/>
  <c r="AG255" i="1" s="1"/>
  <c r="Z255" i="1"/>
  <c r="G255" i="1"/>
  <c r="BB254" i="1"/>
  <c r="AX254" i="1"/>
  <c r="AB254" i="1"/>
  <c r="AF254" i="1" s="1"/>
  <c r="AG254" i="1" s="1"/>
  <c r="Z254" i="1"/>
  <c r="G254" i="1"/>
  <c r="BB253" i="1"/>
  <c r="AX253" i="1"/>
  <c r="AB253" i="1"/>
  <c r="AI253" i="1" s="1"/>
  <c r="AK253" i="1" s="1"/>
  <c r="Z253" i="1"/>
  <c r="G253" i="1"/>
  <c r="BB252" i="1"/>
  <c r="AX252" i="1"/>
  <c r="AB252" i="1"/>
  <c r="AI252" i="1" s="1"/>
  <c r="AK252" i="1" s="1"/>
  <c r="Z252" i="1"/>
  <c r="G252" i="1"/>
  <c r="BB251" i="1"/>
  <c r="AX251" i="1"/>
  <c r="AB251" i="1"/>
  <c r="AI251" i="1" s="1"/>
  <c r="AK251" i="1" s="1"/>
  <c r="Z251" i="1"/>
  <c r="G251" i="1"/>
  <c r="BB250" i="1"/>
  <c r="AC250" i="1"/>
  <c r="AI250" i="1" s="1"/>
  <c r="AK250" i="1" s="1"/>
  <c r="Z250" i="1"/>
  <c r="G250" i="1"/>
  <c r="BB44" i="1"/>
  <c r="AU44" i="1"/>
  <c r="AC44" i="1"/>
  <c r="AB44" i="1"/>
  <c r="Z44" i="1"/>
  <c r="G44" i="1"/>
  <c r="BB248" i="1"/>
  <c r="AX248" i="1"/>
  <c r="AB248" i="1"/>
  <c r="AF248" i="1" s="1"/>
  <c r="Z248" i="1"/>
  <c r="G248" i="1"/>
  <c r="BB247" i="1"/>
  <c r="AX247" i="1"/>
  <c r="AB247" i="1"/>
  <c r="AI247" i="1" s="1"/>
  <c r="AK247" i="1" s="1"/>
  <c r="Z247" i="1"/>
  <c r="G247" i="1"/>
  <c r="BB246" i="1"/>
  <c r="AX246" i="1"/>
  <c r="AB246" i="1"/>
  <c r="Z246" i="1"/>
  <c r="G246" i="1"/>
  <c r="BB245" i="1"/>
  <c r="AX245" i="1"/>
  <c r="AB245" i="1"/>
  <c r="Z245" i="1"/>
  <c r="G245" i="1"/>
  <c r="BB244" i="1"/>
  <c r="AX244" i="1"/>
  <c r="AB244" i="1"/>
  <c r="Z244" i="1"/>
  <c r="G244" i="1"/>
  <c r="BB243" i="1"/>
  <c r="AX243" i="1"/>
  <c r="AB243" i="1"/>
  <c r="Z243" i="1"/>
  <c r="G243" i="1"/>
  <c r="BB242" i="1"/>
  <c r="AX242" i="1"/>
  <c r="AB242" i="1"/>
  <c r="Z242" i="1"/>
  <c r="G242" i="1"/>
  <c r="BB241" i="1"/>
  <c r="AX241" i="1"/>
  <c r="AB241" i="1"/>
  <c r="AF241" i="1" s="1"/>
  <c r="AG241" i="1" s="1"/>
  <c r="Z241" i="1"/>
  <c r="G241" i="1"/>
  <c r="BB240" i="1"/>
  <c r="AX240" i="1"/>
  <c r="AB240" i="1"/>
  <c r="Z240" i="1"/>
  <c r="G240" i="1"/>
  <c r="BB239" i="1"/>
  <c r="AX239" i="1"/>
  <c r="AB239" i="1"/>
  <c r="AI239" i="1" s="1"/>
  <c r="AK239" i="1" s="1"/>
  <c r="Z239" i="1"/>
  <c r="G239" i="1"/>
  <c r="BB238" i="1"/>
  <c r="AX238" i="1"/>
  <c r="AB238" i="1"/>
  <c r="AI238" i="1" s="1"/>
  <c r="AK238" i="1" s="1"/>
  <c r="Z238" i="1"/>
  <c r="G238" i="1"/>
  <c r="BB237" i="1"/>
  <c r="AX237" i="1"/>
  <c r="AB237" i="1"/>
  <c r="AI237" i="1" s="1"/>
  <c r="AK237" i="1" s="1"/>
  <c r="Z237" i="1"/>
  <c r="G237" i="1"/>
  <c r="BB236" i="1"/>
  <c r="AX236" i="1"/>
  <c r="AB236" i="1"/>
  <c r="Z236" i="1"/>
  <c r="G236" i="1"/>
  <c r="BB687" i="1"/>
  <c r="AX687" i="1"/>
  <c r="AB687" i="1"/>
  <c r="AI687" i="1" s="1"/>
  <c r="AK687" i="1" s="1"/>
  <c r="Z687" i="1"/>
  <c r="G687" i="1"/>
  <c r="BB234" i="1"/>
  <c r="AX234" i="1"/>
  <c r="AB234" i="1"/>
  <c r="AI234" i="1" s="1"/>
  <c r="AK234" i="1" s="1"/>
  <c r="Z234" i="1"/>
  <c r="G234" i="1"/>
  <c r="BB385" i="1"/>
  <c r="AX385" i="1"/>
  <c r="AB385" i="1"/>
  <c r="AI385" i="1" s="1"/>
  <c r="Z385" i="1"/>
  <c r="G385" i="1"/>
  <c r="AX232" i="1"/>
  <c r="AB232" i="1"/>
  <c r="AI232" i="1" s="1"/>
  <c r="AK232" i="1" s="1"/>
  <c r="Z232" i="1"/>
  <c r="G232" i="1"/>
  <c r="BB231" i="1"/>
  <c r="AX231" i="1"/>
  <c r="AB231" i="1"/>
  <c r="AI231" i="1" s="1"/>
  <c r="AK231" i="1" s="1"/>
  <c r="Z231" i="1"/>
  <c r="G231" i="1"/>
  <c r="BB230" i="1"/>
  <c r="AX230" i="1"/>
  <c r="AB230" i="1"/>
  <c r="AI230" i="1" s="1"/>
  <c r="AK230" i="1" s="1"/>
  <c r="Z230" i="1"/>
  <c r="G230" i="1"/>
  <c r="BB229" i="1"/>
  <c r="AX229" i="1"/>
  <c r="AB229" i="1"/>
  <c r="AI229" i="1" s="1"/>
  <c r="AK229" i="1" s="1"/>
  <c r="Z229" i="1"/>
  <c r="G229" i="1"/>
  <c r="BB228" i="1"/>
  <c r="AX228" i="1"/>
  <c r="AB228" i="1"/>
  <c r="AI228" i="1" s="1"/>
  <c r="Z228" i="1"/>
  <c r="G228" i="1"/>
  <c r="BB258" i="1"/>
  <c r="AX258" i="1"/>
  <c r="AB258" i="1"/>
  <c r="AF258" i="1" s="1"/>
  <c r="Z258" i="1"/>
  <c r="G258" i="1"/>
  <c r="BB249" i="1"/>
  <c r="AX249" i="1"/>
  <c r="AB249" i="1"/>
  <c r="AF249" i="1" s="1"/>
  <c r="Z249" i="1"/>
  <c r="G249" i="1"/>
  <c r="BB225" i="1"/>
  <c r="AX225" i="1"/>
  <c r="AB225" i="1"/>
  <c r="AF225" i="1" s="1"/>
  <c r="Z225" i="1"/>
  <c r="G225" i="1"/>
  <c r="BB224" i="1"/>
  <c r="AX224" i="1"/>
  <c r="AB224" i="1"/>
  <c r="AF224" i="1" s="1"/>
  <c r="AH224" i="1" s="1"/>
  <c r="AV224" i="1" s="1"/>
  <c r="AW224" i="1" s="1"/>
  <c r="Z224" i="1"/>
  <c r="G224" i="1"/>
  <c r="BB223" i="1"/>
  <c r="AX223" i="1"/>
  <c r="AB223" i="1"/>
  <c r="AI223" i="1" s="1"/>
  <c r="AK223" i="1" s="1"/>
  <c r="Z223" i="1"/>
  <c r="G223" i="1"/>
  <c r="BB541" i="1"/>
  <c r="AX541" i="1"/>
  <c r="AB541" i="1"/>
  <c r="AF541" i="1" s="1"/>
  <c r="Z541" i="1"/>
  <c r="G541" i="1"/>
  <c r="BB221" i="1"/>
  <c r="AX221" i="1"/>
  <c r="AB221" i="1"/>
  <c r="AI221" i="1" s="1"/>
  <c r="AK221" i="1" s="1"/>
  <c r="Z221" i="1"/>
  <c r="G221" i="1"/>
  <c r="BB220" i="1"/>
  <c r="AX220" i="1"/>
  <c r="AB220" i="1"/>
  <c r="Z220" i="1"/>
  <c r="G220" i="1"/>
  <c r="BB219" i="1"/>
  <c r="AX219" i="1"/>
  <c r="AB219" i="1"/>
  <c r="Z219" i="1"/>
  <c r="G219" i="1"/>
  <c r="BB218" i="1"/>
  <c r="AX218" i="1"/>
  <c r="AB218" i="1"/>
  <c r="Z218" i="1"/>
  <c r="G218" i="1"/>
  <c r="BB217" i="1"/>
  <c r="AX217" i="1"/>
  <c r="AB217" i="1"/>
  <c r="Z217" i="1"/>
  <c r="G217" i="1"/>
  <c r="BB216" i="1"/>
  <c r="AX216" i="1"/>
  <c r="AB216" i="1"/>
  <c r="AF216" i="1" s="1"/>
  <c r="AG216" i="1" s="1"/>
  <c r="Z216" i="1"/>
  <c r="G216" i="1"/>
  <c r="BB858" i="1"/>
  <c r="AX858" i="1"/>
  <c r="AU858" i="1"/>
  <c r="AB858" i="1"/>
  <c r="AI858" i="1" s="1"/>
  <c r="AK858" i="1" s="1"/>
  <c r="Z858" i="1"/>
  <c r="G858" i="1"/>
  <c r="AX214" i="1"/>
  <c r="AB214" i="1"/>
  <c r="AI214" i="1" s="1"/>
  <c r="AK214" i="1" s="1"/>
  <c r="Z214" i="1"/>
  <c r="G214" i="1"/>
  <c r="AX213" i="1"/>
  <c r="AB213" i="1"/>
  <c r="AI213" i="1" s="1"/>
  <c r="AK213" i="1" s="1"/>
  <c r="Z213" i="1"/>
  <c r="G213" i="1"/>
  <c r="BB212" i="1"/>
  <c r="AX212" i="1"/>
  <c r="AB212" i="1"/>
  <c r="AF212" i="1" s="1"/>
  <c r="Z212" i="1"/>
  <c r="G212" i="1"/>
  <c r="BB211" i="1"/>
  <c r="AX211" i="1"/>
  <c r="AB211" i="1"/>
  <c r="AF211" i="1" s="1"/>
  <c r="Z211" i="1"/>
  <c r="G211" i="1"/>
  <c r="BB210" i="1"/>
  <c r="AX210" i="1"/>
  <c r="AB210" i="1"/>
  <c r="AI210" i="1" s="1"/>
  <c r="AK210" i="1" s="1"/>
  <c r="Z210" i="1"/>
  <c r="G210" i="1"/>
  <c r="BB209" i="1"/>
  <c r="AX209" i="1"/>
  <c r="AB209" i="1"/>
  <c r="AF209" i="1" s="1"/>
  <c r="Z209" i="1"/>
  <c r="G209" i="1"/>
  <c r="BB208" i="1"/>
  <c r="AX208" i="1"/>
  <c r="AB208" i="1"/>
  <c r="AF208" i="1" s="1"/>
  <c r="Z208" i="1"/>
  <c r="G208" i="1"/>
  <c r="BB207" i="1"/>
  <c r="AX207" i="1"/>
  <c r="AB207" i="1"/>
  <c r="Z207" i="1"/>
  <c r="G207" i="1"/>
  <c r="BB206" i="1"/>
  <c r="AX206" i="1"/>
  <c r="AC206" i="1"/>
  <c r="AB206" i="1"/>
  <c r="Z206" i="1"/>
  <c r="G206" i="1"/>
  <c r="BB205" i="1"/>
  <c r="AX205" i="1"/>
  <c r="AC205" i="1"/>
  <c r="AB205" i="1"/>
  <c r="Z205" i="1"/>
  <c r="G205" i="1"/>
  <c r="BB204" i="1"/>
  <c r="AX204" i="1"/>
  <c r="AB204" i="1"/>
  <c r="AF204" i="1" s="1"/>
  <c r="Z204" i="1"/>
  <c r="G204" i="1"/>
  <c r="BB203" i="1"/>
  <c r="AX203" i="1"/>
  <c r="AB203" i="1"/>
  <c r="AF203" i="1" s="1"/>
  <c r="Z203" i="1"/>
  <c r="G203" i="1"/>
  <c r="BB202" i="1"/>
  <c r="AX202" i="1"/>
  <c r="AB202" i="1"/>
  <c r="AI202" i="1" s="1"/>
  <c r="AK202" i="1" s="1"/>
  <c r="Z202" i="1"/>
  <c r="G202" i="1"/>
  <c r="BB201" i="1"/>
  <c r="AX201" i="1"/>
  <c r="AB201" i="1"/>
  <c r="AI201" i="1" s="1"/>
  <c r="AK201" i="1" s="1"/>
  <c r="Z201" i="1"/>
  <c r="G201" i="1"/>
  <c r="BB200" i="1"/>
  <c r="AX200" i="1"/>
  <c r="AB200" i="1"/>
  <c r="AI200" i="1" s="1"/>
  <c r="AK200" i="1" s="1"/>
  <c r="Z200" i="1"/>
  <c r="G200" i="1"/>
  <c r="BB199" i="1"/>
  <c r="AX199" i="1"/>
  <c r="AI199" i="1"/>
  <c r="AK199" i="1" s="1"/>
  <c r="AB199" i="1"/>
  <c r="AF199" i="1" s="1"/>
  <c r="Z199" i="1"/>
  <c r="G199" i="1"/>
  <c r="BB580" i="1"/>
  <c r="AX580" i="1"/>
  <c r="AB580" i="1"/>
  <c r="AI580" i="1" s="1"/>
  <c r="AK580" i="1" s="1"/>
  <c r="Z580" i="1"/>
  <c r="G580" i="1"/>
  <c r="BB576" i="1"/>
  <c r="AX576" i="1"/>
  <c r="AB576" i="1"/>
  <c r="AF576" i="1" s="1"/>
  <c r="Z576" i="1"/>
  <c r="G576" i="1"/>
  <c r="BB235" i="1"/>
  <c r="AX235" i="1"/>
  <c r="AB235" i="1"/>
  <c r="AF235" i="1" s="1"/>
  <c r="Z235" i="1"/>
  <c r="G235" i="1"/>
  <c r="BB195" i="1"/>
  <c r="AX195" i="1"/>
  <c r="AB195" i="1"/>
  <c r="AF195" i="1" s="1"/>
  <c r="Z195" i="1"/>
  <c r="G195" i="1"/>
  <c r="BB194" i="1"/>
  <c r="AX194" i="1"/>
  <c r="AW194" i="1"/>
  <c r="AU194" i="1"/>
  <c r="AE194" i="1"/>
  <c r="AB194" i="1"/>
  <c r="AI194" i="1" s="1"/>
  <c r="AK194" i="1" s="1"/>
  <c r="Z194" i="1"/>
  <c r="G194" i="1"/>
  <c r="BB193" i="1"/>
  <c r="AX193" i="1"/>
  <c r="AU193" i="1"/>
  <c r="AW193" i="1" s="1"/>
  <c r="AE193" i="1"/>
  <c r="AB193" i="1"/>
  <c r="Z193" i="1"/>
  <c r="G193" i="1"/>
  <c r="BB192" i="1"/>
  <c r="AX192" i="1"/>
  <c r="AB192" i="1"/>
  <c r="AF192" i="1" s="1"/>
  <c r="Z192" i="1"/>
  <c r="G192" i="1"/>
  <c r="BB714" i="1"/>
  <c r="AX714" i="1"/>
  <c r="AB714" i="1"/>
  <c r="AF714" i="1" s="1"/>
  <c r="Z714" i="1"/>
  <c r="G714" i="1"/>
  <c r="BB707" i="1"/>
  <c r="AX707" i="1"/>
  <c r="AB707" i="1"/>
  <c r="AF707" i="1" s="1"/>
  <c r="Z707" i="1"/>
  <c r="G707" i="1"/>
  <c r="BB189" i="1"/>
  <c r="AX189" i="1"/>
  <c r="AB189" i="1"/>
  <c r="AI189" i="1" s="1"/>
  <c r="AK189" i="1" s="1"/>
  <c r="Z189" i="1"/>
  <c r="G189" i="1"/>
  <c r="BB188" i="1"/>
  <c r="AX188" i="1"/>
  <c r="AB188" i="1"/>
  <c r="AI188" i="1" s="1"/>
  <c r="AK188" i="1" s="1"/>
  <c r="Z188" i="1"/>
  <c r="G188" i="1"/>
  <c r="BB187" i="1"/>
  <c r="AX187" i="1"/>
  <c r="AB187" i="1"/>
  <c r="AI187" i="1" s="1"/>
  <c r="AK187" i="1" s="1"/>
  <c r="Z187" i="1"/>
  <c r="G187" i="1"/>
  <c r="BB186" i="1"/>
  <c r="AX186" i="1"/>
  <c r="AB186" i="1"/>
  <c r="AF186" i="1" s="1"/>
  <c r="Z186" i="1"/>
  <c r="G186" i="1"/>
  <c r="BB185" i="1"/>
  <c r="AX185" i="1"/>
  <c r="AB185" i="1"/>
  <c r="AI185" i="1" s="1"/>
  <c r="AK185" i="1" s="1"/>
  <c r="Z185" i="1"/>
  <c r="G185" i="1"/>
  <c r="BB184" i="1"/>
  <c r="AX184" i="1"/>
  <c r="AB184" i="1"/>
  <c r="AI184" i="1" s="1"/>
  <c r="AK184" i="1" s="1"/>
  <c r="Z184" i="1"/>
  <c r="G184" i="1"/>
  <c r="BB183" i="1"/>
  <c r="AX183" i="1"/>
  <c r="AB183" i="1"/>
  <c r="AF183" i="1" s="1"/>
  <c r="Z183" i="1"/>
  <c r="G183" i="1"/>
  <c r="BB182" i="1"/>
  <c r="AX182" i="1"/>
  <c r="AB182" i="1"/>
  <c r="AF182" i="1" s="1"/>
  <c r="Z182" i="1"/>
  <c r="G182" i="1"/>
  <c r="AX181" i="1"/>
  <c r="AB181" i="1"/>
  <c r="AI181" i="1" s="1"/>
  <c r="AK181" i="1" s="1"/>
  <c r="Z181" i="1"/>
  <c r="G181" i="1"/>
  <c r="AX180" i="1"/>
  <c r="AB180" i="1"/>
  <c r="AF180" i="1" s="1"/>
  <c r="Z180" i="1"/>
  <c r="G180" i="1"/>
  <c r="AX179" i="1"/>
  <c r="AB179" i="1"/>
  <c r="AI179" i="1" s="1"/>
  <c r="AK179" i="1" s="1"/>
  <c r="Z179" i="1"/>
  <c r="G179" i="1"/>
  <c r="BB178" i="1"/>
  <c r="AX178" i="1"/>
  <c r="AB178" i="1"/>
  <c r="Z178" i="1"/>
  <c r="G178" i="1"/>
  <c r="BB177" i="1"/>
  <c r="AX177" i="1"/>
  <c r="AB177" i="1"/>
  <c r="AI177" i="1" s="1"/>
  <c r="AK177" i="1" s="1"/>
  <c r="Z177" i="1"/>
  <c r="G177" i="1"/>
  <c r="BB176" i="1"/>
  <c r="AX176" i="1"/>
  <c r="AB176" i="1"/>
  <c r="AI176" i="1" s="1"/>
  <c r="AK176" i="1" s="1"/>
  <c r="Z176" i="1"/>
  <c r="G176" i="1"/>
  <c r="BB175" i="1"/>
  <c r="AX175" i="1"/>
  <c r="AB175" i="1"/>
  <c r="AF175" i="1" s="1"/>
  <c r="Z175" i="1"/>
  <c r="G175" i="1"/>
  <c r="BB174" i="1"/>
  <c r="AX174" i="1"/>
  <c r="AB174" i="1"/>
  <c r="AF174" i="1" s="1"/>
  <c r="Z174" i="1"/>
  <c r="G174" i="1"/>
  <c r="BB173" i="1"/>
  <c r="AX173" i="1"/>
  <c r="AB173" i="1"/>
  <c r="AF173" i="1" s="1"/>
  <c r="Z173" i="1"/>
  <c r="G173" i="1"/>
  <c r="BB172" i="1"/>
  <c r="AX172" i="1"/>
  <c r="AB172" i="1"/>
  <c r="AF172" i="1" s="1"/>
  <c r="AG172" i="1" s="1"/>
  <c r="Z172" i="1"/>
  <c r="G172" i="1"/>
  <c r="BB171" i="1"/>
  <c r="AX171" i="1"/>
  <c r="AB171" i="1"/>
  <c r="AI171" i="1" s="1"/>
  <c r="AK171" i="1" s="1"/>
  <c r="Z171" i="1"/>
  <c r="G171" i="1"/>
  <c r="BB170" i="1"/>
  <c r="AX170" i="1"/>
  <c r="AB170" i="1"/>
  <c r="AI170" i="1" s="1"/>
  <c r="AK170" i="1" s="1"/>
  <c r="Z170" i="1"/>
  <c r="G170" i="1"/>
  <c r="BB169" i="1"/>
  <c r="AX169" i="1"/>
  <c r="AB169" i="1"/>
  <c r="Z169" i="1"/>
  <c r="G169" i="1"/>
  <c r="BB168" i="1"/>
  <c r="AX168" i="1"/>
  <c r="AB168" i="1"/>
  <c r="AI168" i="1" s="1"/>
  <c r="AK168" i="1" s="1"/>
  <c r="Z168" i="1"/>
  <c r="G168" i="1"/>
  <c r="BB167" i="1"/>
  <c r="AX167" i="1"/>
  <c r="AB167" i="1"/>
  <c r="AI167" i="1" s="1"/>
  <c r="Z167" i="1"/>
  <c r="G167" i="1"/>
  <c r="BB166" i="1"/>
  <c r="AX166" i="1"/>
  <c r="AB166" i="1"/>
  <c r="AI166" i="1" s="1"/>
  <c r="Z166" i="1"/>
  <c r="G166" i="1"/>
  <c r="BB165" i="1"/>
  <c r="AX165" i="1"/>
  <c r="AB165" i="1"/>
  <c r="AI165" i="1" s="1"/>
  <c r="AK165" i="1" s="1"/>
  <c r="Z165" i="1"/>
  <c r="G165" i="1"/>
  <c r="BB164" i="1"/>
  <c r="AX164" i="1"/>
  <c r="AB164" i="1"/>
  <c r="Z164" i="1"/>
  <c r="G164" i="1"/>
  <c r="BB163" i="1"/>
  <c r="AX163" i="1"/>
  <c r="AB163" i="1"/>
  <c r="AF163" i="1" s="1"/>
  <c r="AG163" i="1" s="1"/>
  <c r="Z163" i="1"/>
  <c r="G163" i="1"/>
  <c r="BB162" i="1"/>
  <c r="AX162" i="1"/>
  <c r="AB162" i="1"/>
  <c r="AI162" i="1" s="1"/>
  <c r="AK162" i="1" s="1"/>
  <c r="Z162" i="1"/>
  <c r="G162" i="1"/>
  <c r="BB161" i="1"/>
  <c r="AX161" i="1"/>
  <c r="AB161" i="1"/>
  <c r="AI161" i="1" s="1"/>
  <c r="AK161" i="1" s="1"/>
  <c r="Z161" i="1"/>
  <c r="G161" i="1"/>
  <c r="BB160" i="1"/>
  <c r="AX160" i="1"/>
  <c r="AB160" i="1"/>
  <c r="AI160" i="1" s="1"/>
  <c r="AK160" i="1" s="1"/>
  <c r="Z160" i="1"/>
  <c r="G160" i="1"/>
  <c r="BB159" i="1"/>
  <c r="AX159" i="1"/>
  <c r="AB159" i="1"/>
  <c r="AF159" i="1" s="1"/>
  <c r="AG159" i="1" s="1"/>
  <c r="AH159" i="1" s="1"/>
  <c r="AV159" i="1" s="1"/>
  <c r="AW159" i="1" s="1"/>
  <c r="Z159" i="1"/>
  <c r="G159" i="1"/>
  <c r="BB158" i="1"/>
  <c r="AX158" i="1"/>
  <c r="AB158" i="1"/>
  <c r="AI158" i="1" s="1"/>
  <c r="Z158" i="1"/>
  <c r="G158" i="1"/>
  <c r="BB157" i="1"/>
  <c r="AX157" i="1"/>
  <c r="AB157" i="1"/>
  <c r="AI157" i="1" s="1"/>
  <c r="AK157" i="1" s="1"/>
  <c r="Z157" i="1"/>
  <c r="G157" i="1"/>
  <c r="BB156" i="1"/>
  <c r="AX156" i="1"/>
  <c r="AB156" i="1"/>
  <c r="AI156" i="1" s="1"/>
  <c r="AK156" i="1" s="1"/>
  <c r="Z156" i="1"/>
  <c r="G156" i="1"/>
  <c r="BB155" i="1"/>
  <c r="AX155" i="1"/>
  <c r="AB155" i="1"/>
  <c r="AF155" i="1" s="1"/>
  <c r="Z155" i="1"/>
  <c r="G155" i="1"/>
  <c r="BB154" i="1"/>
  <c r="AX154" i="1"/>
  <c r="AB154" i="1"/>
  <c r="AI154" i="1" s="1"/>
  <c r="Z154" i="1"/>
  <c r="G154" i="1"/>
  <c r="BB153" i="1"/>
  <c r="AX153" i="1"/>
  <c r="AB153" i="1"/>
  <c r="AI153" i="1" s="1"/>
  <c r="AK153" i="1" s="1"/>
  <c r="Z153" i="1"/>
  <c r="G153" i="1"/>
  <c r="BB152" i="1"/>
  <c r="AX152" i="1"/>
  <c r="AB152" i="1"/>
  <c r="Z152" i="1"/>
  <c r="G152" i="1"/>
  <c r="BB151" i="1"/>
  <c r="AX151" i="1"/>
  <c r="AB151" i="1"/>
  <c r="AF151" i="1" s="1"/>
  <c r="AG151" i="1" s="1"/>
  <c r="AH151" i="1" s="1"/>
  <c r="AV151" i="1" s="1"/>
  <c r="AW151" i="1" s="1"/>
  <c r="Z151" i="1"/>
  <c r="G151" i="1"/>
  <c r="BB150" i="1"/>
  <c r="AX150" i="1"/>
  <c r="AB150" i="1"/>
  <c r="AI150" i="1" s="1"/>
  <c r="Z150" i="1"/>
  <c r="G150" i="1"/>
  <c r="BB149" i="1"/>
  <c r="AX149" i="1"/>
  <c r="AB149" i="1"/>
  <c r="AI149" i="1" s="1"/>
  <c r="AK149" i="1" s="1"/>
  <c r="Z149" i="1"/>
  <c r="G149" i="1"/>
  <c r="BB148" i="1"/>
  <c r="AX148" i="1"/>
  <c r="AD148" i="1"/>
  <c r="AC148" i="1"/>
  <c r="AB148" i="1"/>
  <c r="Z148" i="1"/>
  <c r="G148" i="1"/>
  <c r="BB147" i="1"/>
  <c r="AX147" i="1"/>
  <c r="AB147" i="1"/>
  <c r="AF147" i="1" s="1"/>
  <c r="Z147" i="1"/>
  <c r="G147" i="1"/>
  <c r="BB146" i="1"/>
  <c r="AX146" i="1"/>
  <c r="AI146" i="1"/>
  <c r="AK146" i="1" s="1"/>
  <c r="AF146" i="1"/>
  <c r="Z146" i="1"/>
  <c r="G146" i="1"/>
  <c r="BB145" i="1"/>
  <c r="AX145" i="1"/>
  <c r="AB145" i="1"/>
  <c r="Z145" i="1"/>
  <c r="G145" i="1"/>
  <c r="BB144" i="1"/>
  <c r="AX144" i="1"/>
  <c r="AB144" i="1"/>
  <c r="AI144" i="1" s="1"/>
  <c r="AK144" i="1" s="1"/>
  <c r="Z144" i="1"/>
  <c r="G144" i="1"/>
  <c r="BB143" i="1"/>
  <c r="AX143" i="1"/>
  <c r="AB143" i="1"/>
  <c r="AF143" i="1" s="1"/>
  <c r="AG143" i="1" s="1"/>
  <c r="Z143" i="1"/>
  <c r="G143" i="1"/>
  <c r="BB142" i="1"/>
  <c r="AX142" i="1"/>
  <c r="AB142" i="1"/>
  <c r="Z142" i="1"/>
  <c r="G142" i="1"/>
  <c r="BB141" i="1"/>
  <c r="AX141" i="1"/>
  <c r="AB141" i="1"/>
  <c r="Z141" i="1"/>
  <c r="G141" i="1"/>
  <c r="BB140" i="1"/>
  <c r="AX140" i="1"/>
  <c r="AK140" i="1"/>
  <c r="AB140" i="1"/>
  <c r="AI140" i="1" s="1"/>
  <c r="Z140" i="1"/>
  <c r="G140" i="1"/>
  <c r="BB139" i="1"/>
  <c r="AX139" i="1"/>
  <c r="AB139" i="1"/>
  <c r="AF139" i="1" s="1"/>
  <c r="AG139" i="1" s="1"/>
  <c r="Z139" i="1"/>
  <c r="G139" i="1"/>
  <c r="BB138" i="1"/>
  <c r="AX138" i="1"/>
  <c r="AB138" i="1"/>
  <c r="Z138" i="1"/>
  <c r="G138" i="1"/>
  <c r="BB137" i="1"/>
  <c r="AX137" i="1"/>
  <c r="AB137" i="1"/>
  <c r="Z137" i="1"/>
  <c r="G137" i="1"/>
  <c r="BB136" i="1"/>
  <c r="AX136" i="1"/>
  <c r="AB136" i="1"/>
  <c r="AI136" i="1" s="1"/>
  <c r="AK136" i="1" s="1"/>
  <c r="Z136" i="1"/>
  <c r="G136" i="1"/>
  <c r="BB135" i="1"/>
  <c r="AX135" i="1"/>
  <c r="AB135" i="1"/>
  <c r="AF135" i="1" s="1"/>
  <c r="AG135" i="1" s="1"/>
  <c r="AH135" i="1" s="1"/>
  <c r="AV135" i="1" s="1"/>
  <c r="AW135" i="1" s="1"/>
  <c r="Z135" i="1"/>
  <c r="G135" i="1"/>
  <c r="BB134" i="1"/>
  <c r="AX134" i="1"/>
  <c r="AB134" i="1"/>
  <c r="Z134" i="1"/>
  <c r="G134" i="1"/>
  <c r="BB133" i="1"/>
  <c r="AX133" i="1"/>
  <c r="AB133" i="1"/>
  <c r="AI133" i="1" s="1"/>
  <c r="AK133" i="1" s="1"/>
  <c r="Z133" i="1"/>
  <c r="G133" i="1"/>
  <c r="BB132" i="1"/>
  <c r="AX132" i="1"/>
  <c r="AB132" i="1"/>
  <c r="AF132" i="1" s="1"/>
  <c r="Z132" i="1"/>
  <c r="G132" i="1"/>
  <c r="BB131" i="1"/>
  <c r="AX131" i="1"/>
  <c r="AB131" i="1"/>
  <c r="AI131" i="1" s="1"/>
  <c r="AK131" i="1" s="1"/>
  <c r="Z131" i="1"/>
  <c r="G131" i="1"/>
  <c r="BB130" i="1"/>
  <c r="AX130" i="1"/>
  <c r="AB130" i="1"/>
  <c r="Z130" i="1"/>
  <c r="G130" i="1"/>
  <c r="BB129" i="1"/>
  <c r="AX129" i="1"/>
  <c r="AB129" i="1"/>
  <c r="AI129" i="1" s="1"/>
  <c r="AK129" i="1" s="1"/>
  <c r="Z129" i="1"/>
  <c r="G129" i="1"/>
  <c r="BB128" i="1"/>
  <c r="AX128" i="1"/>
  <c r="AB128" i="1"/>
  <c r="AF128" i="1" s="1"/>
  <c r="Z128" i="1"/>
  <c r="G128" i="1"/>
  <c r="BB127" i="1"/>
  <c r="AX127" i="1"/>
  <c r="AB127" i="1"/>
  <c r="AF127" i="1" s="1"/>
  <c r="Z127" i="1"/>
  <c r="G127" i="1"/>
  <c r="BB126" i="1"/>
  <c r="AX126" i="1"/>
  <c r="AB126" i="1"/>
  <c r="Z126" i="1"/>
  <c r="G126" i="1"/>
  <c r="BB125" i="1"/>
  <c r="AX125" i="1"/>
  <c r="AB125" i="1"/>
  <c r="AI125" i="1" s="1"/>
  <c r="AK125" i="1" s="1"/>
  <c r="Z125" i="1"/>
  <c r="G125" i="1"/>
  <c r="BB124" i="1"/>
  <c r="AX124" i="1"/>
  <c r="AB124" i="1"/>
  <c r="AI124" i="1" s="1"/>
  <c r="AK124" i="1" s="1"/>
  <c r="Z124" i="1"/>
  <c r="G124" i="1"/>
  <c r="BB802" i="1"/>
  <c r="AX802" i="1"/>
  <c r="AC802" i="1"/>
  <c r="AB802" i="1"/>
  <c r="AF802" i="1" s="1"/>
  <c r="AG802" i="1" s="1"/>
  <c r="Z802" i="1"/>
  <c r="G802" i="1"/>
  <c r="BB122" i="1"/>
  <c r="AX122" i="1"/>
  <c r="AB122" i="1"/>
  <c r="AI122" i="1" s="1"/>
  <c r="AK122" i="1" s="1"/>
  <c r="Z122" i="1"/>
  <c r="G122" i="1"/>
  <c r="BB121" i="1"/>
  <c r="AX121" i="1"/>
  <c r="AB121" i="1"/>
  <c r="AF121" i="1" s="1"/>
  <c r="Z121" i="1"/>
  <c r="G121" i="1"/>
  <c r="BB120" i="1"/>
  <c r="AX120" i="1"/>
  <c r="AB120" i="1"/>
  <c r="AF120" i="1" s="1"/>
  <c r="AG120" i="1" s="1"/>
  <c r="AH120" i="1" s="1"/>
  <c r="AV120" i="1" s="1"/>
  <c r="AW120" i="1" s="1"/>
  <c r="Z120" i="1"/>
  <c r="G120" i="1"/>
  <c r="BB119" i="1"/>
  <c r="AX119" i="1"/>
  <c r="AB119" i="1"/>
  <c r="AF119" i="1" s="1"/>
  <c r="Z119" i="1"/>
  <c r="G119" i="1"/>
  <c r="BB118" i="1"/>
  <c r="AX118" i="1"/>
  <c r="AB118" i="1"/>
  <c r="Z118" i="1"/>
  <c r="G118" i="1"/>
  <c r="BB117" i="1"/>
  <c r="AX117" i="1"/>
  <c r="AB117" i="1"/>
  <c r="AF117" i="1" s="1"/>
  <c r="Z117" i="1"/>
  <c r="G117" i="1"/>
  <c r="BB116" i="1"/>
  <c r="AX116" i="1"/>
  <c r="AB116" i="1"/>
  <c r="AI116" i="1" s="1"/>
  <c r="AK116" i="1" s="1"/>
  <c r="Z116" i="1"/>
  <c r="G116" i="1"/>
  <c r="BB115" i="1"/>
  <c r="AX115" i="1"/>
  <c r="AW115" i="1"/>
  <c r="AU115" i="1"/>
  <c r="AE115" i="1"/>
  <c r="AB115" i="1"/>
  <c r="AI115" i="1" s="1"/>
  <c r="AK115" i="1" s="1"/>
  <c r="Z115" i="1"/>
  <c r="G115" i="1"/>
  <c r="BB114" i="1"/>
  <c r="AX114" i="1"/>
  <c r="AB114" i="1"/>
  <c r="AI114" i="1" s="1"/>
  <c r="AK114" i="1" s="1"/>
  <c r="Z114" i="1"/>
  <c r="G114" i="1"/>
  <c r="BB113" i="1"/>
  <c r="AX113" i="1"/>
  <c r="AB113" i="1"/>
  <c r="AI113" i="1" s="1"/>
  <c r="AK113" i="1" s="1"/>
  <c r="Z113" i="1"/>
  <c r="G113" i="1"/>
  <c r="BB112" i="1"/>
  <c r="AX112" i="1"/>
  <c r="AB112" i="1"/>
  <c r="AF112" i="1" s="1"/>
  <c r="Z112" i="1"/>
  <c r="G112" i="1"/>
  <c r="BB111" i="1"/>
  <c r="AX111" i="1"/>
  <c r="AC111" i="1"/>
  <c r="AB111" i="1"/>
  <c r="Z111" i="1"/>
  <c r="G111" i="1"/>
  <c r="BB110" i="1"/>
  <c r="AX110" i="1"/>
  <c r="AC110" i="1"/>
  <c r="AB110" i="1"/>
  <c r="Z110" i="1"/>
  <c r="G110" i="1"/>
  <c r="BB109" i="1"/>
  <c r="AX109" i="1"/>
  <c r="AB109" i="1"/>
  <c r="AF109" i="1" s="1"/>
  <c r="Z109" i="1"/>
  <c r="G109" i="1"/>
  <c r="BB108" i="1"/>
  <c r="AX108" i="1"/>
  <c r="AB108" i="1"/>
  <c r="AF108" i="1" s="1"/>
  <c r="Z108" i="1"/>
  <c r="G108" i="1"/>
  <c r="BB107" i="1"/>
  <c r="AX107" i="1"/>
  <c r="AB107" i="1"/>
  <c r="AI107" i="1" s="1"/>
  <c r="AK107" i="1" s="1"/>
  <c r="Z107" i="1"/>
  <c r="G107" i="1"/>
  <c r="BB106" i="1"/>
  <c r="AX106" i="1"/>
  <c r="AB106" i="1"/>
  <c r="AF106" i="1" s="1"/>
  <c r="Z106" i="1"/>
  <c r="G106" i="1"/>
  <c r="BB105" i="1"/>
  <c r="AX105" i="1"/>
  <c r="AB105" i="1"/>
  <c r="AF105" i="1" s="1"/>
  <c r="Z105" i="1"/>
  <c r="G105" i="1"/>
  <c r="BB104" i="1"/>
  <c r="AX104" i="1"/>
  <c r="AB104" i="1"/>
  <c r="AF104" i="1" s="1"/>
  <c r="Z104" i="1"/>
  <c r="G104" i="1"/>
  <c r="BB870" i="1"/>
  <c r="AX870" i="1"/>
  <c r="AB870" i="1"/>
  <c r="Z870" i="1"/>
  <c r="G870" i="1"/>
  <c r="BB557" i="1"/>
  <c r="AX557" i="1"/>
  <c r="AF557" i="1"/>
  <c r="AG557" i="1" s="1"/>
  <c r="AB557" i="1"/>
  <c r="AI557" i="1" s="1"/>
  <c r="AK557" i="1" s="1"/>
  <c r="Z557" i="1"/>
  <c r="G557" i="1"/>
  <c r="BB101" i="1"/>
  <c r="AX101" i="1"/>
  <c r="AB101" i="1"/>
  <c r="AI101" i="1" s="1"/>
  <c r="AK101" i="1" s="1"/>
  <c r="Z101" i="1"/>
  <c r="G101" i="1"/>
  <c r="BB100" i="1"/>
  <c r="AX100" i="1"/>
  <c r="AB100" i="1"/>
  <c r="AF100" i="1" s="1"/>
  <c r="Z100" i="1"/>
  <c r="G100" i="1"/>
  <c r="BB99" i="1"/>
  <c r="AX99" i="1"/>
  <c r="AB99" i="1"/>
  <c r="AI99" i="1" s="1"/>
  <c r="AK99" i="1" s="1"/>
  <c r="Z99" i="1"/>
  <c r="G99" i="1"/>
  <c r="BB98" i="1"/>
  <c r="AX98" i="1"/>
  <c r="AB98" i="1"/>
  <c r="AI98" i="1" s="1"/>
  <c r="AK98" i="1" s="1"/>
  <c r="Z98" i="1"/>
  <c r="G98" i="1"/>
  <c r="BB97" i="1"/>
  <c r="AX97" i="1"/>
  <c r="AB97" i="1"/>
  <c r="AF97" i="1" s="1"/>
  <c r="Z97" i="1"/>
  <c r="G97" i="1"/>
  <c r="BB96" i="1"/>
  <c r="AX96" i="1"/>
  <c r="AB96" i="1"/>
  <c r="AI96" i="1" s="1"/>
  <c r="Z96" i="1"/>
  <c r="G96" i="1"/>
  <c r="BB864" i="1"/>
  <c r="AX864" i="1"/>
  <c r="AB864" i="1"/>
  <c r="AI864" i="1" s="1"/>
  <c r="AK864" i="1" s="1"/>
  <c r="Z864" i="1"/>
  <c r="G864" i="1"/>
  <c r="BB94" i="1"/>
  <c r="AX94" i="1"/>
  <c r="AB94" i="1"/>
  <c r="AF94" i="1" s="1"/>
  <c r="Z94" i="1"/>
  <c r="G94" i="1"/>
  <c r="BB867" i="1"/>
  <c r="AX867" i="1"/>
  <c r="AI867" i="1"/>
  <c r="AK867" i="1" s="1"/>
  <c r="AB867" i="1"/>
  <c r="AF867" i="1" s="1"/>
  <c r="Z867" i="1"/>
  <c r="G867" i="1"/>
  <c r="BB92" i="1"/>
  <c r="AX92" i="1"/>
  <c r="AB92" i="1"/>
  <c r="AI92" i="1" s="1"/>
  <c r="AK92" i="1" s="1"/>
  <c r="Z92" i="1"/>
  <c r="G92" i="1"/>
  <c r="BB91" i="1"/>
  <c r="AX91" i="1"/>
  <c r="AB91" i="1"/>
  <c r="AI91" i="1" s="1"/>
  <c r="AK91" i="1" s="1"/>
  <c r="Z91" i="1"/>
  <c r="G91" i="1"/>
  <c r="BB90" i="1"/>
  <c r="AX90" i="1"/>
  <c r="AB90" i="1"/>
  <c r="AF90" i="1" s="1"/>
  <c r="AG90" i="1" s="1"/>
  <c r="Z90" i="1"/>
  <c r="G90" i="1"/>
  <c r="BB89" i="1"/>
  <c r="AX89" i="1"/>
  <c r="AB89" i="1"/>
  <c r="AF89" i="1" s="1"/>
  <c r="Z89" i="1"/>
  <c r="G89" i="1"/>
  <c r="BB88" i="1"/>
  <c r="AX88" i="1"/>
  <c r="AB88" i="1"/>
  <c r="AI88" i="1" s="1"/>
  <c r="AK88" i="1" s="1"/>
  <c r="Z88" i="1"/>
  <c r="G88" i="1"/>
  <c r="BB87" i="1"/>
  <c r="AX87" i="1"/>
  <c r="AB87" i="1"/>
  <c r="AI87" i="1" s="1"/>
  <c r="AK87" i="1" s="1"/>
  <c r="Z87" i="1"/>
  <c r="G87" i="1"/>
  <c r="BB86" i="1"/>
  <c r="AX86" i="1"/>
  <c r="AB86" i="1"/>
  <c r="AF86" i="1" s="1"/>
  <c r="Z86" i="1"/>
  <c r="G86" i="1"/>
  <c r="BB85" i="1"/>
  <c r="AX85" i="1"/>
  <c r="AB85" i="1"/>
  <c r="AF85" i="1" s="1"/>
  <c r="AG85" i="1" s="1"/>
  <c r="Z85" i="1"/>
  <c r="G85" i="1"/>
  <c r="BB84" i="1"/>
  <c r="AX84" i="1"/>
  <c r="AB84" i="1"/>
  <c r="AF84" i="1" s="1"/>
  <c r="Z84" i="1"/>
  <c r="G84" i="1"/>
  <c r="BB83" i="1"/>
  <c r="AX83" i="1"/>
  <c r="AB83" i="1"/>
  <c r="AI83" i="1" s="1"/>
  <c r="AK83" i="1" s="1"/>
  <c r="Z83" i="1"/>
  <c r="G83" i="1"/>
  <c r="BB82" i="1"/>
  <c r="AX82" i="1"/>
  <c r="AB82" i="1"/>
  <c r="AF82" i="1" s="1"/>
  <c r="Z82" i="1"/>
  <c r="G82" i="1"/>
  <c r="BB81" i="1"/>
  <c r="AX81" i="1"/>
  <c r="AB81" i="1"/>
  <c r="AI81" i="1" s="1"/>
  <c r="AK81" i="1" s="1"/>
  <c r="Z81" i="1"/>
  <c r="G81" i="1"/>
  <c r="BB80" i="1"/>
  <c r="AX80" i="1"/>
  <c r="AB80" i="1"/>
  <c r="AI80" i="1" s="1"/>
  <c r="AK80" i="1" s="1"/>
  <c r="Z80" i="1"/>
  <c r="G80" i="1"/>
  <c r="BB79" i="1"/>
  <c r="AX79" i="1"/>
  <c r="AB79" i="1"/>
  <c r="AI79" i="1" s="1"/>
  <c r="AK79" i="1" s="1"/>
  <c r="Z79" i="1"/>
  <c r="G79" i="1"/>
  <c r="BB78" i="1"/>
  <c r="AX78" i="1"/>
  <c r="AB78" i="1"/>
  <c r="AI78" i="1" s="1"/>
  <c r="Z78" i="1"/>
  <c r="G78" i="1"/>
  <c r="BB77" i="1"/>
  <c r="AU77" i="1"/>
  <c r="AD77" i="1"/>
  <c r="AC77" i="1"/>
  <c r="AB77" i="1"/>
  <c r="Z77" i="1"/>
  <c r="G77" i="1"/>
  <c r="BB525" i="1"/>
  <c r="AX525" i="1"/>
  <c r="AU525" i="1"/>
  <c r="AC525" i="1"/>
  <c r="AB525" i="1"/>
  <c r="Z525" i="1"/>
  <c r="G525" i="1"/>
  <c r="BB75" i="1"/>
  <c r="AX75" i="1"/>
  <c r="AC75" i="1"/>
  <c r="AB75" i="1"/>
  <c r="Z75" i="1"/>
  <c r="G75" i="1"/>
  <c r="BB74" i="1"/>
  <c r="AX74" i="1"/>
  <c r="AB74" i="1"/>
  <c r="AF74" i="1" s="1"/>
  <c r="AG74" i="1" s="1"/>
  <c r="Z74" i="1"/>
  <c r="G74" i="1"/>
  <c r="BB73" i="1"/>
  <c r="AX73" i="1"/>
  <c r="AE73" i="1"/>
  <c r="AB73" i="1"/>
  <c r="Z73" i="1"/>
  <c r="G73" i="1"/>
  <c r="BB72" i="1"/>
  <c r="AX72" i="1"/>
  <c r="AB72" i="1"/>
  <c r="AI72" i="1" s="1"/>
  <c r="AK72" i="1" s="1"/>
  <c r="Z72" i="1"/>
  <c r="G72" i="1"/>
  <c r="BB71" i="1"/>
  <c r="AX71" i="1"/>
  <c r="AB71" i="1"/>
  <c r="AI71" i="1" s="1"/>
  <c r="AK71" i="1" s="1"/>
  <c r="Z71" i="1"/>
  <c r="G71" i="1"/>
  <c r="BB70" i="1"/>
  <c r="AX70" i="1"/>
  <c r="AB70" i="1"/>
  <c r="AF70" i="1" s="1"/>
  <c r="Z70" i="1"/>
  <c r="G70" i="1"/>
  <c r="BB69" i="1"/>
  <c r="AX69" i="1"/>
  <c r="AB69" i="1"/>
  <c r="AF69" i="1" s="1"/>
  <c r="Z69" i="1"/>
  <c r="G69" i="1"/>
  <c r="BB68" i="1"/>
  <c r="AX68" i="1"/>
  <c r="AB68" i="1"/>
  <c r="AF68" i="1" s="1"/>
  <c r="Z68" i="1"/>
  <c r="G68" i="1"/>
  <c r="BB67" i="1"/>
  <c r="AX67" i="1"/>
  <c r="AB67" i="1"/>
  <c r="AF67" i="1" s="1"/>
  <c r="Z67" i="1"/>
  <c r="G67" i="1"/>
  <c r="BB66" i="1"/>
  <c r="AX66" i="1"/>
  <c r="AB66" i="1"/>
  <c r="AI66" i="1" s="1"/>
  <c r="AK66" i="1" s="1"/>
  <c r="Z66" i="1"/>
  <c r="G66" i="1"/>
  <c r="BB65" i="1"/>
  <c r="AX65" i="1"/>
  <c r="AU65" i="1"/>
  <c r="AB65" i="1"/>
  <c r="Z65" i="1"/>
  <c r="G65" i="1"/>
  <c r="BB64" i="1"/>
  <c r="AX64" i="1"/>
  <c r="AB64" i="1"/>
  <c r="Z64" i="1"/>
  <c r="G64" i="1"/>
  <c r="BB63" i="1"/>
  <c r="AX63" i="1"/>
  <c r="AB63" i="1"/>
  <c r="AF63" i="1" s="1"/>
  <c r="Z63" i="1"/>
  <c r="G63" i="1"/>
  <c r="BB62" i="1"/>
  <c r="AX62" i="1"/>
  <c r="AB62" i="1"/>
  <c r="AI62" i="1" s="1"/>
  <c r="AK62" i="1" s="1"/>
  <c r="Z62" i="1"/>
  <c r="G62" i="1"/>
  <c r="AX61" i="1"/>
  <c r="AB61" i="1"/>
  <c r="AI61" i="1" s="1"/>
  <c r="AK61" i="1" s="1"/>
  <c r="Z61" i="1"/>
  <c r="G61" i="1"/>
  <c r="BB60" i="1"/>
  <c r="AX60" i="1"/>
  <c r="AB60" i="1"/>
  <c r="AI60" i="1" s="1"/>
  <c r="AK60" i="1" s="1"/>
  <c r="Z60" i="1"/>
  <c r="G60" i="1"/>
  <c r="BB59" i="1"/>
  <c r="AX59" i="1"/>
  <c r="AB59" i="1"/>
  <c r="AI59" i="1" s="1"/>
  <c r="AK59" i="1" s="1"/>
  <c r="Z59" i="1"/>
  <c r="G59" i="1"/>
  <c r="BB58" i="1"/>
  <c r="AX58" i="1"/>
  <c r="AB58" i="1"/>
  <c r="AI58" i="1" s="1"/>
  <c r="AK58" i="1" s="1"/>
  <c r="Z58" i="1"/>
  <c r="G58" i="1"/>
  <c r="BB57" i="1"/>
  <c r="AX57" i="1"/>
  <c r="AB57" i="1"/>
  <c r="AI57" i="1" s="1"/>
  <c r="AK57" i="1" s="1"/>
  <c r="Z57" i="1"/>
  <c r="G57" i="1"/>
  <c r="BB56" i="1"/>
  <c r="AX56" i="1"/>
  <c r="AB56" i="1"/>
  <c r="AF56" i="1" s="1"/>
  <c r="Z56" i="1"/>
  <c r="G56" i="1"/>
  <c r="BB55" i="1"/>
  <c r="AX55" i="1"/>
  <c r="AB55" i="1"/>
  <c r="AI55" i="1" s="1"/>
  <c r="AK55" i="1" s="1"/>
  <c r="Z55" i="1"/>
  <c r="G55" i="1"/>
  <c r="AX54" i="1"/>
  <c r="AB54" i="1"/>
  <c r="AF54" i="1" s="1"/>
  <c r="AG54" i="1" s="1"/>
  <c r="Z54" i="1"/>
  <c r="G54" i="1"/>
  <c r="BB53" i="1"/>
  <c r="AX53" i="1"/>
  <c r="AB53" i="1"/>
  <c r="Z53" i="1"/>
  <c r="G53" i="1"/>
  <c r="BB52" i="1"/>
  <c r="AX52" i="1"/>
  <c r="AB52" i="1"/>
  <c r="AI52" i="1" s="1"/>
  <c r="AK52" i="1" s="1"/>
  <c r="Z52" i="1"/>
  <c r="G52" i="1"/>
  <c r="BB51" i="1"/>
  <c r="AX51" i="1"/>
  <c r="AB51" i="1"/>
  <c r="AF51" i="1" s="1"/>
  <c r="Z51" i="1"/>
  <c r="G51" i="1"/>
  <c r="BB50" i="1"/>
  <c r="AX50" i="1"/>
  <c r="AB50" i="1"/>
  <c r="AI50" i="1" s="1"/>
  <c r="AK50" i="1" s="1"/>
  <c r="Z50" i="1"/>
  <c r="G50" i="1"/>
  <c r="BB49" i="1"/>
  <c r="AX49" i="1"/>
  <c r="AB49" i="1"/>
  <c r="Z49" i="1"/>
  <c r="G49" i="1"/>
  <c r="BB48" i="1"/>
  <c r="AX48" i="1"/>
  <c r="AB48" i="1"/>
  <c r="Z48" i="1"/>
  <c r="G48" i="1"/>
  <c r="BB549" i="1"/>
  <c r="AX549" i="1"/>
  <c r="AB549" i="1"/>
  <c r="Z549" i="1"/>
  <c r="G549" i="1"/>
  <c r="BB46" i="1"/>
  <c r="AX46" i="1"/>
  <c r="AF46" i="1"/>
  <c r="AB46" i="1"/>
  <c r="AI46" i="1" s="1"/>
  <c r="AK46" i="1" s="1"/>
  <c r="Z46" i="1"/>
  <c r="G46" i="1"/>
  <c r="BB548" i="1"/>
  <c r="AX548" i="1"/>
  <c r="AB548" i="1"/>
  <c r="AF548" i="1" s="1"/>
  <c r="AG548" i="1" s="1"/>
  <c r="Z548" i="1"/>
  <c r="G548" i="1"/>
  <c r="BB546" i="1"/>
  <c r="AX546" i="1"/>
  <c r="AB546" i="1"/>
  <c r="Z546" i="1"/>
  <c r="G546" i="1"/>
  <c r="BB43" i="1"/>
  <c r="AX43" i="1"/>
  <c r="AB43" i="1"/>
  <c r="AI43" i="1" s="1"/>
  <c r="AK43" i="1" s="1"/>
  <c r="Z43" i="1"/>
  <c r="G43" i="1"/>
  <c r="BB42" i="1"/>
  <c r="AX42" i="1"/>
  <c r="AB42" i="1"/>
  <c r="AF42" i="1" s="1"/>
  <c r="AG42" i="1" s="1"/>
  <c r="Z42" i="1"/>
  <c r="G42" i="1"/>
  <c r="BB41" i="1"/>
  <c r="AX41" i="1"/>
  <c r="AB41" i="1"/>
  <c r="AI41" i="1" s="1"/>
  <c r="Z41" i="1"/>
  <c r="G41" i="1"/>
  <c r="BB40" i="1"/>
  <c r="AX40" i="1"/>
  <c r="AB40" i="1"/>
  <c r="Z40" i="1"/>
  <c r="G40" i="1"/>
  <c r="BB39" i="1"/>
  <c r="AX39" i="1"/>
  <c r="AB39" i="1"/>
  <c r="Z39" i="1"/>
  <c r="G39" i="1"/>
  <c r="BB38" i="1"/>
  <c r="AX38" i="1"/>
  <c r="AB38" i="1"/>
  <c r="AI38" i="1" s="1"/>
  <c r="AK38" i="1" s="1"/>
  <c r="Z38" i="1"/>
  <c r="G38" i="1"/>
  <c r="BB37" i="1"/>
  <c r="AX37" i="1"/>
  <c r="AB37" i="1"/>
  <c r="AI37" i="1" s="1"/>
  <c r="AK37" i="1" s="1"/>
  <c r="Z37" i="1"/>
  <c r="G37" i="1"/>
  <c r="BB543" i="1"/>
  <c r="AX543" i="1"/>
  <c r="AB543" i="1"/>
  <c r="AF543" i="1" s="1"/>
  <c r="AG543" i="1" s="1"/>
  <c r="Z543" i="1"/>
  <c r="G543" i="1"/>
  <c r="BB35" i="1"/>
  <c r="AX35" i="1"/>
  <c r="AB35" i="1"/>
  <c r="AI35" i="1" s="1"/>
  <c r="AK35" i="1" s="1"/>
  <c r="Z35" i="1"/>
  <c r="G35" i="1"/>
  <c r="BB34" i="1"/>
  <c r="AX34" i="1"/>
  <c r="AB34" i="1"/>
  <c r="Z34" i="1"/>
  <c r="G34" i="1"/>
  <c r="BB33" i="1"/>
  <c r="AX33" i="1"/>
  <c r="AB33" i="1"/>
  <c r="AI33" i="1" s="1"/>
  <c r="AK33" i="1" s="1"/>
  <c r="Z33" i="1"/>
  <c r="G33" i="1"/>
  <c r="BB32" i="1"/>
  <c r="AX32" i="1"/>
  <c r="AB32" i="1"/>
  <c r="AF32" i="1" s="1"/>
  <c r="AG32" i="1" s="1"/>
  <c r="Z32" i="1"/>
  <c r="G32" i="1"/>
  <c r="BB31" i="1"/>
  <c r="AX31" i="1"/>
  <c r="AB31" i="1"/>
  <c r="AF31" i="1" s="1"/>
  <c r="Z31" i="1"/>
  <c r="G31" i="1"/>
  <c r="BB30" i="1"/>
  <c r="AX30" i="1"/>
  <c r="AB30" i="1"/>
  <c r="AI30" i="1" s="1"/>
  <c r="AK30" i="1" s="1"/>
  <c r="Z30" i="1"/>
  <c r="G30" i="1"/>
  <c r="BB753" i="1"/>
  <c r="AX753" i="1"/>
  <c r="AU753" i="1"/>
  <c r="AB753" i="1"/>
  <c r="Z753" i="1"/>
  <c r="G753" i="1"/>
  <c r="BB28" i="1"/>
  <c r="AX28" i="1"/>
  <c r="AD28" i="1"/>
  <c r="AC28" i="1"/>
  <c r="Z28" i="1"/>
  <c r="G28" i="1"/>
  <c r="BB27" i="1"/>
  <c r="AX27" i="1"/>
  <c r="AB27" i="1"/>
  <c r="AI27" i="1" s="1"/>
  <c r="AK27" i="1" s="1"/>
  <c r="Z27" i="1"/>
  <c r="G27" i="1"/>
  <c r="BB26" i="1"/>
  <c r="AX26" i="1"/>
  <c r="AB26" i="1"/>
  <c r="AF26" i="1" s="1"/>
  <c r="Z26" i="1"/>
  <c r="G26" i="1"/>
  <c r="BB25" i="1"/>
  <c r="AX25" i="1"/>
  <c r="AB25" i="1"/>
  <c r="AI25" i="1" s="1"/>
  <c r="AK25" i="1" s="1"/>
  <c r="Z25" i="1"/>
  <c r="G25" i="1"/>
  <c r="BB24" i="1"/>
  <c r="AX24" i="1"/>
  <c r="AU24" i="1"/>
  <c r="AW24" i="1" s="1"/>
  <c r="AB24" i="1"/>
  <c r="AI24" i="1" s="1"/>
  <c r="AK24" i="1" s="1"/>
  <c r="Z24" i="1"/>
  <c r="G24" i="1"/>
  <c r="BB23" i="1"/>
  <c r="AX23" i="1"/>
  <c r="AB23" i="1"/>
  <c r="Z23" i="1"/>
  <c r="G23" i="1"/>
  <c r="BB22" i="1"/>
  <c r="AX22" i="1"/>
  <c r="AB22" i="1"/>
  <c r="AI22" i="1" s="1"/>
  <c r="AK22" i="1" s="1"/>
  <c r="Z22" i="1"/>
  <c r="G22" i="1"/>
  <c r="BB21" i="1"/>
  <c r="AX21" i="1"/>
  <c r="AB21" i="1"/>
  <c r="AF21" i="1" s="1"/>
  <c r="AH21" i="1" s="1"/>
  <c r="AV21" i="1" s="1"/>
  <c r="AW21" i="1" s="1"/>
  <c r="Z21" i="1"/>
  <c r="G21" i="1"/>
  <c r="BB20" i="1"/>
  <c r="AX20" i="1"/>
  <c r="AB20" i="1"/>
  <c r="Z20" i="1"/>
  <c r="G20" i="1"/>
  <c r="BB19" i="1"/>
  <c r="AX19" i="1"/>
  <c r="AB19" i="1"/>
  <c r="AF19" i="1" s="1"/>
  <c r="Z19" i="1"/>
  <c r="G19" i="1"/>
  <c r="BB18" i="1"/>
  <c r="AX18" i="1"/>
  <c r="AB18" i="1"/>
  <c r="AF18" i="1" s="1"/>
  <c r="AG18" i="1" s="1"/>
  <c r="Z18" i="1"/>
  <c r="G18" i="1"/>
  <c r="BB17" i="1"/>
  <c r="AX17" i="1"/>
  <c r="AB17" i="1"/>
  <c r="Z17" i="1"/>
  <c r="G17" i="1"/>
  <c r="BB16" i="1"/>
  <c r="AX16" i="1"/>
  <c r="AB16" i="1"/>
  <c r="Z16" i="1"/>
  <c r="G16" i="1"/>
  <c r="BB15" i="1"/>
  <c r="AX15" i="1"/>
  <c r="AB15" i="1"/>
  <c r="AI15" i="1" s="1"/>
  <c r="AK15" i="1" s="1"/>
  <c r="Z15" i="1"/>
  <c r="G15" i="1"/>
  <c r="BB14" i="1"/>
  <c r="AX14" i="1"/>
  <c r="AB14" i="1"/>
  <c r="AF14" i="1" s="1"/>
  <c r="Z14" i="1"/>
  <c r="G14" i="1"/>
  <c r="BB13" i="1"/>
  <c r="AX13" i="1"/>
  <c r="AB13" i="1"/>
  <c r="AF13" i="1" s="1"/>
  <c r="AG13" i="1" s="1"/>
  <c r="Z13" i="1"/>
  <c r="G13" i="1"/>
  <c r="BB12" i="1"/>
  <c r="AX12" i="1"/>
  <c r="AU12" i="1"/>
  <c r="AW12" i="1" s="1"/>
  <c r="AC12" i="1"/>
  <c r="AB12" i="1"/>
  <c r="Z12" i="1"/>
  <c r="G12" i="1"/>
  <c r="BB11" i="1"/>
  <c r="AX11" i="1"/>
  <c r="AW11" i="1"/>
  <c r="AU11" i="1"/>
  <c r="AC11" i="1"/>
  <c r="AB11" i="1"/>
  <c r="Z11" i="1"/>
  <c r="G11" i="1"/>
  <c r="BB10" i="1"/>
  <c r="AX10" i="1"/>
  <c r="AF10" i="1"/>
  <c r="AM10" i="1" s="1"/>
  <c r="AP10" i="1" s="1"/>
  <c r="AS10" i="1" s="1"/>
  <c r="AB10" i="1"/>
  <c r="AI10" i="1" s="1"/>
  <c r="AK10" i="1" s="1"/>
  <c r="Z10" i="1"/>
  <c r="G10" i="1"/>
  <c r="BB9" i="1"/>
  <c r="AX9" i="1"/>
  <c r="AB9" i="1"/>
  <c r="AF9" i="1" s="1"/>
  <c r="AG9" i="1" s="1"/>
  <c r="Z9" i="1"/>
  <c r="T9" i="1"/>
  <c r="G9" i="1"/>
  <c r="BB8" i="1"/>
  <c r="AX8" i="1"/>
  <c r="AB8" i="1"/>
  <c r="AF8" i="1" s="1"/>
  <c r="AH8" i="1" s="1"/>
  <c r="AV8" i="1" s="1"/>
  <c r="AW8" i="1" s="1"/>
  <c r="Z8" i="1"/>
  <c r="G8" i="1"/>
  <c r="BB7" i="1"/>
  <c r="AX7" i="1"/>
  <c r="AB7" i="1"/>
  <c r="AI7" i="1" s="1"/>
  <c r="Z7" i="1"/>
  <c r="G7" i="1"/>
  <c r="BB763" i="1"/>
  <c r="AX763" i="1"/>
  <c r="AB763" i="1"/>
  <c r="Z763" i="1"/>
  <c r="G763" i="1"/>
  <c r="BB5" i="1"/>
  <c r="AX5" i="1"/>
  <c r="AB5" i="1"/>
  <c r="AF5" i="1" s="1"/>
  <c r="Z5" i="1"/>
  <c r="G5" i="1"/>
  <c r="BB4" i="1"/>
  <c r="AX4" i="1"/>
  <c r="AB4" i="1"/>
  <c r="AF4" i="1" s="1"/>
  <c r="Z4" i="1"/>
  <c r="G4" i="1"/>
  <c r="BB3" i="1"/>
  <c r="AX3" i="1"/>
  <c r="AF3" i="1"/>
  <c r="AB3" i="1"/>
  <c r="AI3" i="1" s="1"/>
  <c r="AK3" i="1" s="1"/>
  <c r="Z3" i="1"/>
  <c r="G3" i="1"/>
  <c r="BB2" i="1"/>
  <c r="AX2" i="1"/>
  <c r="AB2" i="1"/>
  <c r="AF2" i="1" s="1"/>
  <c r="AG2" i="1" s="1"/>
  <c r="Z2" i="1"/>
  <c r="G2" i="1"/>
  <c r="AF171" i="1" l="1"/>
  <c r="AM171" i="1" s="1"/>
  <c r="AP171" i="1" s="1"/>
  <c r="AS171" i="1" s="1"/>
  <c r="AF405" i="1"/>
  <c r="AF457" i="1"/>
  <c r="AF863" i="1"/>
  <c r="AG863" i="1" s="1"/>
  <c r="AI85" i="1"/>
  <c r="AK85" i="1" s="1"/>
  <c r="AI173" i="1"/>
  <c r="AK173" i="1" s="1"/>
  <c r="AI541" i="1"/>
  <c r="AK541" i="1" s="1"/>
  <c r="AI264" i="1"/>
  <c r="AK264" i="1" s="1"/>
  <c r="AF387" i="1"/>
  <c r="AG387" i="1" s="1"/>
  <c r="AH387" i="1" s="1"/>
  <c r="AI498" i="1"/>
  <c r="AK498" i="1" s="1"/>
  <c r="AF554" i="1"/>
  <c r="AF618" i="1"/>
  <c r="AG618" i="1" s="1"/>
  <c r="AH618" i="1" s="1"/>
  <c r="AV618" i="1" s="1"/>
  <c r="AW618" i="1" s="1"/>
  <c r="AI673" i="1"/>
  <c r="AK673" i="1" s="1"/>
  <c r="AI822" i="1"/>
  <c r="AK822" i="1" s="1"/>
  <c r="AF827" i="1"/>
  <c r="AF889" i="1"/>
  <c r="AI203" i="1"/>
  <c r="AK203" i="1" s="1"/>
  <c r="AF649" i="1"/>
  <c r="AI841" i="1"/>
  <c r="AK841" i="1" s="1"/>
  <c r="AF198" i="1"/>
  <c r="AM325" i="1"/>
  <c r="AP325" i="1" s="1"/>
  <c r="AS325" i="1" s="1"/>
  <c r="AI480" i="1"/>
  <c r="AK480" i="1" s="1"/>
  <c r="AI709" i="1"/>
  <c r="AI367" i="1"/>
  <c r="AK367" i="1" s="1"/>
  <c r="AF422" i="1"/>
  <c r="AG422" i="1" s="1"/>
  <c r="AF424" i="1"/>
  <c r="AF565" i="1"/>
  <c r="AM565" i="1" s="1"/>
  <c r="AP565" i="1" s="1"/>
  <c r="AS565" i="1" s="1"/>
  <c r="AF662" i="1"/>
  <c r="AG662" i="1" s="1"/>
  <c r="AF806" i="1"/>
  <c r="AI872" i="1"/>
  <c r="AK872" i="1" s="1"/>
  <c r="AI684" i="1"/>
  <c r="AK684" i="1" s="1"/>
  <c r="AF28" i="1"/>
  <c r="AF602" i="1"/>
  <c r="AG602" i="1" s="1"/>
  <c r="AF611" i="1"/>
  <c r="AG611" i="1" s="1"/>
  <c r="AH611" i="1" s="1"/>
  <c r="AV611" i="1" s="1"/>
  <c r="AW611" i="1" s="1"/>
  <c r="AI665" i="1"/>
  <c r="AK665" i="1" s="1"/>
  <c r="AF758" i="1"/>
  <c r="AM758" i="1" s="1"/>
  <c r="AP758" i="1" s="1"/>
  <c r="AS758" i="1" s="1"/>
  <c r="AI801" i="1"/>
  <c r="AK801" i="1" s="1"/>
  <c r="AF59" i="1"/>
  <c r="AG59" i="1" s="1"/>
  <c r="AH59" i="1" s="1"/>
  <c r="AV59" i="1" s="1"/>
  <c r="AW59" i="1" s="1"/>
  <c r="AF179" i="1"/>
  <c r="AF268" i="1"/>
  <c r="AF402" i="1"/>
  <c r="AM402" i="1" s="1"/>
  <c r="AP402" i="1" s="1"/>
  <c r="AS402" i="1" s="1"/>
  <c r="AF789" i="1"/>
  <c r="AG789" i="1" s="1"/>
  <c r="AH789" i="1" s="1"/>
  <c r="AV789" i="1" s="1"/>
  <c r="AW789" i="1" s="1"/>
  <c r="AF542" i="1"/>
  <c r="AM799" i="1"/>
  <c r="AP799" i="1" s="1"/>
  <c r="AS799" i="1" s="1"/>
  <c r="AI19" i="1"/>
  <c r="AK19" i="1" s="1"/>
  <c r="AI895" i="1"/>
  <c r="AK895" i="1" s="1"/>
  <c r="AI379" i="1"/>
  <c r="AK379" i="1" s="1"/>
  <c r="AF869" i="1"/>
  <c r="AM869" i="1" s="1"/>
  <c r="AP869" i="1" s="1"/>
  <c r="AS869" i="1" s="1"/>
  <c r="AF33" i="1"/>
  <c r="AF129" i="1"/>
  <c r="AM129" i="1" s="1"/>
  <c r="AP129" i="1" s="1"/>
  <c r="AS129" i="1" s="1"/>
  <c r="AI235" i="1"/>
  <c r="AK235" i="1" s="1"/>
  <c r="AF840" i="1"/>
  <c r="AI97" i="1"/>
  <c r="AK97" i="1" s="1"/>
  <c r="AI279" i="1"/>
  <c r="AK279" i="1" s="1"/>
  <c r="AI544" i="1"/>
  <c r="AK544" i="1" s="1"/>
  <c r="AI764" i="1"/>
  <c r="AK764" i="1" s="1"/>
  <c r="AI887" i="1"/>
  <c r="AK887" i="1" s="1"/>
  <c r="AI693" i="1"/>
  <c r="AK693" i="1" s="1"/>
  <c r="AI67" i="1"/>
  <c r="AI69" i="1"/>
  <c r="AK69" i="1" s="1"/>
  <c r="AF71" i="1"/>
  <c r="AF115" i="1"/>
  <c r="AG115" i="1" s="1"/>
  <c r="AH115" i="1" s="1"/>
  <c r="AF153" i="1"/>
  <c r="AM153" i="1" s="1"/>
  <c r="AP153" i="1" s="1"/>
  <c r="AS153" i="1" s="1"/>
  <c r="AI155" i="1"/>
  <c r="AK155" i="1" s="1"/>
  <c r="AI175" i="1"/>
  <c r="AK175" i="1" s="1"/>
  <c r="AF341" i="1"/>
  <c r="AG341" i="1" s="1"/>
  <c r="AH341" i="1" s="1"/>
  <c r="AV341" i="1" s="1"/>
  <c r="AW341" i="1" s="1"/>
  <c r="AI383" i="1"/>
  <c r="AK383" i="1" s="1"/>
  <c r="AI433" i="1"/>
  <c r="AK433" i="1" s="1"/>
  <c r="AF451" i="1"/>
  <c r="AM451" i="1" s="1"/>
  <c r="AP451" i="1" s="1"/>
  <c r="AS451" i="1" s="1"/>
  <c r="AF490" i="1"/>
  <c r="AG490" i="1" s="1"/>
  <c r="AI578" i="1"/>
  <c r="AK578" i="1" s="1"/>
  <c r="AI627" i="1"/>
  <c r="AK627" i="1" s="1"/>
  <c r="AF690" i="1"/>
  <c r="AI748" i="1"/>
  <c r="AK748" i="1" s="1"/>
  <c r="AI880" i="1"/>
  <c r="AK880" i="1" s="1"/>
  <c r="AF900" i="1"/>
  <c r="AG900" i="1" s="1"/>
  <c r="AH900" i="1" s="1"/>
  <c r="AV900" i="1" s="1"/>
  <c r="AW900" i="1" s="1"/>
  <c r="AF213" i="1"/>
  <c r="AG213" i="1" s="1"/>
  <c r="AH213" i="1" s="1"/>
  <c r="AV213" i="1" s="1"/>
  <c r="AW213" i="1" s="1"/>
  <c r="AF368" i="1"/>
  <c r="AG368" i="1" s="1"/>
  <c r="AI447" i="1"/>
  <c r="AK447" i="1" s="1"/>
  <c r="AF688" i="1"/>
  <c r="AF80" i="1"/>
  <c r="AM80" i="1" s="1"/>
  <c r="AP80" i="1" s="1"/>
  <c r="AS80" i="1" s="1"/>
  <c r="AF234" i="1"/>
  <c r="AM234" i="1" s="1"/>
  <c r="AP234" i="1" s="1"/>
  <c r="AS234" i="1" s="1"/>
  <c r="AI556" i="1"/>
  <c r="AK556" i="1" s="1"/>
  <c r="AF545" i="1"/>
  <c r="AM545" i="1" s="1"/>
  <c r="AP545" i="1" s="1"/>
  <c r="AS545" i="1" s="1"/>
  <c r="AH686" i="1"/>
  <c r="AV686" i="1" s="1"/>
  <c r="AW686" i="1" s="1"/>
  <c r="AI127" i="1"/>
  <c r="AK127" i="1" s="1"/>
  <c r="AI225" i="1"/>
  <c r="AM225" i="1" s="1"/>
  <c r="AP225" i="1" s="1"/>
  <c r="AS225" i="1" s="1"/>
  <c r="AF232" i="1"/>
  <c r="AM232" i="1" s="1"/>
  <c r="AP232" i="1" s="1"/>
  <c r="AS232" i="1" s="1"/>
  <c r="AF326" i="1"/>
  <c r="AM326" i="1" s="1"/>
  <c r="AP326" i="1" s="1"/>
  <c r="AS326" i="1" s="1"/>
  <c r="AI342" i="1"/>
  <c r="AK342" i="1" s="1"/>
  <c r="AI359" i="1"/>
  <c r="AM359" i="1" s="1"/>
  <c r="AP359" i="1" s="1"/>
  <c r="AS359" i="1" s="1"/>
  <c r="AI375" i="1"/>
  <c r="AK375" i="1" s="1"/>
  <c r="AF458" i="1"/>
  <c r="AG458" i="1" s="1"/>
  <c r="AH458" i="1" s="1"/>
  <c r="AV458" i="1" s="1"/>
  <c r="AW458" i="1" s="1"/>
  <c r="AF460" i="1"/>
  <c r="AM460" i="1" s="1"/>
  <c r="AP460" i="1" s="1"/>
  <c r="AS460" i="1" s="1"/>
  <c r="AI474" i="1"/>
  <c r="AK474" i="1" s="1"/>
  <c r="AI766" i="1"/>
  <c r="AK766" i="1" s="1"/>
  <c r="AI686" i="1"/>
  <c r="AK686" i="1" s="1"/>
  <c r="AF691" i="1"/>
  <c r="AG691" i="1" s="1"/>
  <c r="AF899" i="1"/>
  <c r="AI901" i="1"/>
  <c r="AK901" i="1" s="1"/>
  <c r="AI865" i="1"/>
  <c r="AK865" i="1" s="1"/>
  <c r="AI147" i="1"/>
  <c r="AK147" i="1" s="1"/>
  <c r="AI68" i="1"/>
  <c r="AK68" i="1" s="1"/>
  <c r="AI70" i="1"/>
  <c r="AK70" i="1" s="1"/>
  <c r="AF154" i="1"/>
  <c r="AM154" i="1" s="1"/>
  <c r="AP154" i="1" s="1"/>
  <c r="AS154" i="1" s="1"/>
  <c r="AF156" i="1"/>
  <c r="AG156" i="1" s="1"/>
  <c r="AH156" i="1" s="1"/>
  <c r="AV156" i="1" s="1"/>
  <c r="AW156" i="1" s="1"/>
  <c r="AI241" i="1"/>
  <c r="AK241" i="1" s="1"/>
  <c r="AI752" i="1"/>
  <c r="AM752" i="1" s="1"/>
  <c r="AP752" i="1" s="1"/>
  <c r="AS752" i="1" s="1"/>
  <c r="AI814" i="1"/>
  <c r="AK814" i="1" s="1"/>
  <c r="AI897" i="1"/>
  <c r="AK897" i="1" s="1"/>
  <c r="AI850" i="1"/>
  <c r="AK850" i="1" s="1"/>
  <c r="AF185" i="1"/>
  <c r="AM185" i="1" s="1"/>
  <c r="AP185" i="1" s="1"/>
  <c r="AS185" i="1" s="1"/>
  <c r="AF107" i="1"/>
  <c r="AG107" i="1" s="1"/>
  <c r="AH107" i="1" s="1"/>
  <c r="AV107" i="1" s="1"/>
  <c r="AW107" i="1" s="1"/>
  <c r="AI429" i="1"/>
  <c r="AK429" i="1" s="1"/>
  <c r="AF621" i="1"/>
  <c r="AM621" i="1" s="1"/>
  <c r="AP621" i="1" s="1"/>
  <c r="AS621" i="1" s="1"/>
  <c r="AF771" i="1"/>
  <c r="AF227" i="1"/>
  <c r="AG227" i="1" s="1"/>
  <c r="AI89" i="1"/>
  <c r="AK89" i="1" s="1"/>
  <c r="AI654" i="1"/>
  <c r="AK654" i="1" s="1"/>
  <c r="AI248" i="1"/>
  <c r="AK248" i="1" s="1"/>
  <c r="AI255" i="1"/>
  <c r="AK255" i="1" s="1"/>
  <c r="AI260" i="1"/>
  <c r="AK260" i="1" s="1"/>
  <c r="AF265" i="1"/>
  <c r="AM265" i="1" s="1"/>
  <c r="AP265" i="1" s="1"/>
  <c r="AS265" i="1" s="1"/>
  <c r="AI270" i="1"/>
  <c r="AK270" i="1" s="1"/>
  <c r="AF334" i="1"/>
  <c r="AM334" i="1" s="1"/>
  <c r="AP334" i="1" s="1"/>
  <c r="AS334" i="1" s="1"/>
  <c r="AI502" i="1"/>
  <c r="AK502" i="1" s="1"/>
  <c r="AF504" i="1"/>
  <c r="AI530" i="1"/>
  <c r="AK530" i="1" s="1"/>
  <c r="AF551" i="1"/>
  <c r="AG551" i="1" s="1"/>
  <c r="AF603" i="1"/>
  <c r="AG603" i="1" s="1"/>
  <c r="AH603" i="1" s="1"/>
  <c r="AV603" i="1" s="1"/>
  <c r="AW603" i="1" s="1"/>
  <c r="AF585" i="1"/>
  <c r="AF723" i="1"/>
  <c r="AG723" i="1" s="1"/>
  <c r="AI623" i="1"/>
  <c r="AK623" i="1" s="1"/>
  <c r="AI671" i="1"/>
  <c r="AK671" i="1" s="1"/>
  <c r="AF759" i="1"/>
  <c r="AM759" i="1" s="1"/>
  <c r="AP759" i="1" s="1"/>
  <c r="AS759" i="1" s="1"/>
  <c r="AI191" i="1"/>
  <c r="AK191" i="1" s="1"/>
  <c r="AF772" i="1"/>
  <c r="AG772" i="1" s="1"/>
  <c r="AH772" i="1" s="1"/>
  <c r="AV772" i="1" s="1"/>
  <c r="AW772" i="1" s="1"/>
  <c r="AF877" i="1"/>
  <c r="AI204" i="1"/>
  <c r="AK204" i="1" s="1"/>
  <c r="AI305" i="1"/>
  <c r="AK305" i="1" s="1"/>
  <c r="AF719" i="1"/>
  <c r="AG719" i="1" s="1"/>
  <c r="AF902" i="1"/>
  <c r="AG902" i="1" s="1"/>
  <c r="AH902" i="1" s="1"/>
  <c r="AV902" i="1" s="1"/>
  <c r="AW902" i="1" s="1"/>
  <c r="AH543" i="1"/>
  <c r="AV543" i="1" s="1"/>
  <c r="AW543" i="1" s="1"/>
  <c r="AI112" i="1"/>
  <c r="AK112" i="1" s="1"/>
  <c r="AI802" i="1"/>
  <c r="AK802" i="1" s="1"/>
  <c r="AI132" i="1"/>
  <c r="AK132" i="1" s="1"/>
  <c r="AF184" i="1"/>
  <c r="AG184" i="1" s="1"/>
  <c r="AH184" i="1" s="1"/>
  <c r="AV184" i="1" s="1"/>
  <c r="AW184" i="1" s="1"/>
  <c r="AI563" i="1"/>
  <c r="AK563" i="1" s="1"/>
  <c r="AI710" i="1"/>
  <c r="AK710" i="1" s="1"/>
  <c r="AI109" i="1"/>
  <c r="AK109" i="1" s="1"/>
  <c r="AI818" i="1"/>
  <c r="AI51" i="1"/>
  <c r="AK51" i="1" s="1"/>
  <c r="AI427" i="1"/>
  <c r="AK427" i="1" s="1"/>
  <c r="AF574" i="1"/>
  <c r="AM574" i="1" s="1"/>
  <c r="AP574" i="1" s="1"/>
  <c r="AS574" i="1" s="1"/>
  <c r="AF661" i="1"/>
  <c r="AG661" i="1" s="1"/>
  <c r="AF410" i="1"/>
  <c r="AM410" i="1" s="1"/>
  <c r="AP410" i="1" s="1"/>
  <c r="AS410" i="1" s="1"/>
  <c r="AI492" i="1"/>
  <c r="AK492" i="1" s="1"/>
  <c r="AF511" i="1"/>
  <c r="AM511" i="1" s="1"/>
  <c r="AP511" i="1" s="1"/>
  <c r="AS511" i="1" s="1"/>
  <c r="AI535" i="1"/>
  <c r="AF570" i="1"/>
  <c r="AG570" i="1" s="1"/>
  <c r="AF637" i="1"/>
  <c r="AH259" i="1"/>
  <c r="AV259" i="1" s="1"/>
  <c r="AW259" i="1" s="1"/>
  <c r="AH780" i="1"/>
  <c r="AV780" i="1" s="1"/>
  <c r="AW780" i="1" s="1"/>
  <c r="AF730" i="1"/>
  <c r="AM730" i="1" s="1"/>
  <c r="AP730" i="1" s="1"/>
  <c r="AS730" i="1" s="1"/>
  <c r="AI42" i="1"/>
  <c r="AK42" i="1" s="1"/>
  <c r="AI816" i="1"/>
  <c r="AK816" i="1" s="1"/>
  <c r="AI778" i="1"/>
  <c r="AK778" i="1" s="1"/>
  <c r="AI75" i="1"/>
  <c r="AK75" i="1" s="1"/>
  <c r="AF81" i="1"/>
  <c r="AG81" i="1" s="1"/>
  <c r="AH81" i="1" s="1"/>
  <c r="AV81" i="1" s="1"/>
  <c r="AW81" i="1" s="1"/>
  <c r="AF144" i="1"/>
  <c r="AM144" i="1" s="1"/>
  <c r="AP144" i="1" s="1"/>
  <c r="AS144" i="1" s="1"/>
  <c r="AI576" i="1"/>
  <c r="AG199" i="1"/>
  <c r="AH199" i="1" s="1"/>
  <c r="AV199" i="1" s="1"/>
  <c r="AW199" i="1" s="1"/>
  <c r="AI224" i="1"/>
  <c r="AK224" i="1" s="1"/>
  <c r="AF687" i="1"/>
  <c r="AM687" i="1" s="1"/>
  <c r="AP687" i="1" s="1"/>
  <c r="AS687" i="1" s="1"/>
  <c r="AF317" i="1"/>
  <c r="AG317" i="1" s="1"/>
  <c r="AH317" i="1" s="1"/>
  <c r="AV317" i="1" s="1"/>
  <c r="AW317" i="1" s="1"/>
  <c r="AI346" i="1"/>
  <c r="AK346" i="1" s="1"/>
  <c r="AF737" i="1"/>
  <c r="AG737" i="1" s="1"/>
  <c r="AI762" i="1"/>
  <c r="AK762" i="1" s="1"/>
  <c r="AF844" i="1"/>
  <c r="AH861" i="1"/>
  <c r="AV861" i="1" s="1"/>
  <c r="AW861" i="1" s="1"/>
  <c r="AG586" i="1"/>
  <c r="AH586" i="1" s="1"/>
  <c r="AV586" i="1" s="1"/>
  <c r="AW586" i="1" s="1"/>
  <c r="AH282" i="1"/>
  <c r="AV282" i="1" s="1"/>
  <c r="AW282" i="1" s="1"/>
  <c r="AG331" i="1"/>
  <c r="AH331" i="1"/>
  <c r="AV331" i="1" s="1"/>
  <c r="AW331" i="1" s="1"/>
  <c r="AM331" i="1"/>
  <c r="AP331" i="1" s="1"/>
  <c r="AS331" i="1" s="1"/>
  <c r="AG260" i="1"/>
  <c r="AH260" i="1" s="1"/>
  <c r="AV260" i="1" s="1"/>
  <c r="AW260" i="1" s="1"/>
  <c r="AM298" i="1"/>
  <c r="AP298" i="1" s="1"/>
  <c r="AS298" i="1" s="1"/>
  <c r="AG298" i="1"/>
  <c r="AH298" i="1" s="1"/>
  <c r="AV298" i="1" s="1"/>
  <c r="AW298" i="1" s="1"/>
  <c r="AK789" i="1"/>
  <c r="AM789" i="1"/>
  <c r="AP789" i="1" s="1"/>
  <c r="AS789" i="1" s="1"/>
  <c r="AM686" i="1"/>
  <c r="AP686" i="1" s="1"/>
  <c r="AS686" i="1" s="1"/>
  <c r="AM26" i="1"/>
  <c r="AP26" i="1" s="1"/>
  <c r="AS26" i="1" s="1"/>
  <c r="AM179" i="1"/>
  <c r="AP179" i="1" s="1"/>
  <c r="AS179" i="1" s="1"/>
  <c r="AI5" i="1"/>
  <c r="AK5" i="1" s="1"/>
  <c r="AI26" i="1"/>
  <c r="AK26" i="1" s="1"/>
  <c r="AI543" i="1"/>
  <c r="AK543" i="1" s="1"/>
  <c r="AI74" i="1"/>
  <c r="AI117" i="1"/>
  <c r="AK117" i="1" s="1"/>
  <c r="AI151" i="1"/>
  <c r="AK151" i="1" s="1"/>
  <c r="AI163" i="1"/>
  <c r="AK163" i="1" s="1"/>
  <c r="AF177" i="1"/>
  <c r="AG177" i="1" s="1"/>
  <c r="AH177" i="1" s="1"/>
  <c r="AV177" i="1" s="1"/>
  <c r="AW177" i="1" s="1"/>
  <c r="AF194" i="1"/>
  <c r="AG194" i="1" s="1"/>
  <c r="AH194" i="1" s="1"/>
  <c r="AF253" i="1"/>
  <c r="AG253" i="1" s="1"/>
  <c r="AF275" i="1"/>
  <c r="AM275" i="1" s="1"/>
  <c r="AP275" i="1" s="1"/>
  <c r="AS275" i="1" s="1"/>
  <c r="AF288" i="1"/>
  <c r="AG288" i="1" s="1"/>
  <c r="AH288" i="1" s="1"/>
  <c r="AV288" i="1" s="1"/>
  <c r="AW288" i="1" s="1"/>
  <c r="AI290" i="1"/>
  <c r="AI298" i="1"/>
  <c r="AK298" i="1" s="1"/>
  <c r="AF308" i="1"/>
  <c r="AM308" i="1" s="1"/>
  <c r="AP308" i="1" s="1"/>
  <c r="AS308" i="1" s="1"/>
  <c r="AI323" i="1"/>
  <c r="AK323" i="1" s="1"/>
  <c r="AI335" i="1"/>
  <c r="AF345" i="1"/>
  <c r="AM345" i="1" s="1"/>
  <c r="AP345" i="1" s="1"/>
  <c r="AS345" i="1" s="1"/>
  <c r="AI347" i="1"/>
  <c r="AM347" i="1" s="1"/>
  <c r="AP347" i="1" s="1"/>
  <c r="AS347" i="1" s="1"/>
  <c r="AI407" i="1"/>
  <c r="AK407" i="1" s="1"/>
  <c r="AF473" i="1"/>
  <c r="AG473" i="1" s="1"/>
  <c r="AI500" i="1"/>
  <c r="AK500" i="1" s="1"/>
  <c r="AI508" i="1"/>
  <c r="AF523" i="1"/>
  <c r="AI547" i="1"/>
  <c r="AF647" i="1"/>
  <c r="AF675" i="1"/>
  <c r="AF708" i="1"/>
  <c r="AG708" i="1" s="1"/>
  <c r="AI717" i="1"/>
  <c r="AM717" i="1" s="1"/>
  <c r="AP717" i="1" s="1"/>
  <c r="AS717" i="1" s="1"/>
  <c r="AI729" i="1"/>
  <c r="AM729" i="1" s="1"/>
  <c r="AP729" i="1" s="1"/>
  <c r="AS729" i="1" s="1"/>
  <c r="AF731" i="1"/>
  <c r="AG731" i="1" s="1"/>
  <c r="AH731" i="1" s="1"/>
  <c r="AV731" i="1" s="1"/>
  <c r="AW731" i="1" s="1"/>
  <c r="AF751" i="1"/>
  <c r="AG751" i="1" s="1"/>
  <c r="AH751" i="1" s="1"/>
  <c r="AV751" i="1" s="1"/>
  <c r="AW751" i="1" s="1"/>
  <c r="AF775" i="1"/>
  <c r="AM775" i="1" s="1"/>
  <c r="AP775" i="1" s="1"/>
  <c r="AS775" i="1" s="1"/>
  <c r="AI780" i="1"/>
  <c r="AM780" i="1" s="1"/>
  <c r="AP780" i="1" s="1"/>
  <c r="AS780" i="1" s="1"/>
  <c r="AI838" i="1"/>
  <c r="AK838" i="1" s="1"/>
  <c r="AI414" i="1"/>
  <c r="AK414" i="1" s="1"/>
  <c r="AI516" i="1"/>
  <c r="AK516" i="1" s="1"/>
  <c r="AF784" i="1"/>
  <c r="AF901" i="1"/>
  <c r="AH548" i="1"/>
  <c r="AV548" i="1" s="1"/>
  <c r="AW548" i="1" s="1"/>
  <c r="AF420" i="1"/>
  <c r="AM420" i="1" s="1"/>
  <c r="AP420" i="1" s="1"/>
  <c r="AS420" i="1" s="1"/>
  <c r="AI440" i="1"/>
  <c r="AK440" i="1" s="1"/>
  <c r="AF706" i="1"/>
  <c r="AM706" i="1" s="1"/>
  <c r="AP706" i="1" s="1"/>
  <c r="AS706" i="1" s="1"/>
  <c r="AI756" i="1"/>
  <c r="AK756" i="1" s="1"/>
  <c r="AF95" i="1"/>
  <c r="AH95" i="1" s="1"/>
  <c r="AV95" i="1" s="1"/>
  <c r="AW95" i="1" s="1"/>
  <c r="AF92" i="1"/>
  <c r="AM92" i="1" s="1"/>
  <c r="AP92" i="1" s="1"/>
  <c r="AS92" i="1" s="1"/>
  <c r="AI135" i="1"/>
  <c r="AK135" i="1" s="1"/>
  <c r="AI249" i="1"/>
  <c r="AK249" i="1" s="1"/>
  <c r="AF372" i="1"/>
  <c r="AG372" i="1" s="1"/>
  <c r="AF428" i="1"/>
  <c r="AI432" i="1"/>
  <c r="AK432" i="1" s="1"/>
  <c r="AI386" i="1"/>
  <c r="AK386" i="1" s="1"/>
  <c r="AF626" i="1"/>
  <c r="AG626" i="1" s="1"/>
  <c r="AH698" i="1"/>
  <c r="AV698" i="1" s="1"/>
  <c r="AW698" i="1" s="1"/>
  <c r="AM810" i="1"/>
  <c r="AP810" i="1" s="1"/>
  <c r="AS810" i="1" s="1"/>
  <c r="AI843" i="1"/>
  <c r="AK843" i="1" s="1"/>
  <c r="AH845" i="1"/>
  <c r="AV845" i="1" s="1"/>
  <c r="AW845" i="1" s="1"/>
  <c r="AI776" i="1"/>
  <c r="AK776" i="1" s="1"/>
  <c r="AF883" i="1"/>
  <c r="AI885" i="1"/>
  <c r="AK885" i="1" s="1"/>
  <c r="AF892" i="1"/>
  <c r="AG892" i="1" s="1"/>
  <c r="AH892" i="1" s="1"/>
  <c r="AV892" i="1" s="1"/>
  <c r="AW892" i="1" s="1"/>
  <c r="AF262" i="1"/>
  <c r="AM262" i="1" s="1"/>
  <c r="AP262" i="1" s="1"/>
  <c r="AS262" i="1" s="1"/>
  <c r="AG282" i="1"/>
  <c r="AF640" i="1"/>
  <c r="AG640" i="1" s="1"/>
  <c r="AF887" i="1"/>
  <c r="AG887" i="1" s="1"/>
  <c r="AH887" i="1" s="1"/>
  <c r="AV887" i="1" s="1"/>
  <c r="AW887" i="1" s="1"/>
  <c r="AI714" i="1"/>
  <c r="AK714" i="1" s="1"/>
  <c r="AI266" i="1"/>
  <c r="AK266" i="1" s="1"/>
  <c r="AI273" i="1"/>
  <c r="AM273" i="1" s="1"/>
  <c r="AP273" i="1" s="1"/>
  <c r="AS273" i="1" s="1"/>
  <c r="AI338" i="1"/>
  <c r="AK338" i="1" s="1"/>
  <c r="AF353" i="1"/>
  <c r="AF358" i="1"/>
  <c r="AG358" i="1" s="1"/>
  <c r="AH358" i="1" s="1"/>
  <c r="AV358" i="1" s="1"/>
  <c r="AW358" i="1" s="1"/>
  <c r="AI364" i="1"/>
  <c r="AK364" i="1" s="1"/>
  <c r="AI374" i="1"/>
  <c r="AK374" i="1" s="1"/>
  <c r="AF388" i="1"/>
  <c r="AH388" i="1" s="1"/>
  <c r="AI416" i="1"/>
  <c r="AK416" i="1" s="1"/>
  <c r="AH469" i="1"/>
  <c r="AV469" i="1" s="1"/>
  <c r="AW469" i="1" s="1"/>
  <c r="AI8" i="1"/>
  <c r="AK8" i="1" s="1"/>
  <c r="AI54" i="1"/>
  <c r="AK54" i="1" s="1"/>
  <c r="AI82" i="1"/>
  <c r="AK82" i="1" s="1"/>
  <c r="AI84" i="1"/>
  <c r="AK84" i="1" s="1"/>
  <c r="AI90" i="1"/>
  <c r="AK90" i="1" s="1"/>
  <c r="AI120" i="1"/>
  <c r="AK120" i="1" s="1"/>
  <c r="AF122" i="1"/>
  <c r="AM122" i="1" s="1"/>
  <c r="AP122" i="1" s="1"/>
  <c r="AS122" i="1" s="1"/>
  <c r="AF158" i="1"/>
  <c r="AF166" i="1"/>
  <c r="AM166" i="1" s="1"/>
  <c r="AP166" i="1" s="1"/>
  <c r="AS166" i="1" s="1"/>
  <c r="AF168" i="1"/>
  <c r="AH172" i="1"/>
  <c r="AV172" i="1" s="1"/>
  <c r="AW172" i="1" s="1"/>
  <c r="AF580" i="1"/>
  <c r="AI208" i="1"/>
  <c r="AK208" i="1" s="1"/>
  <c r="AI212" i="1"/>
  <c r="AK212" i="1" s="1"/>
  <c r="AI280" i="1"/>
  <c r="AK280" i="1" s="1"/>
  <c r="AI282" i="1"/>
  <c r="AK282" i="1" s="1"/>
  <c r="AF322" i="1"/>
  <c r="AG322" i="1" s="1"/>
  <c r="AH322" i="1" s="1"/>
  <c r="AV322" i="1" s="1"/>
  <c r="AW322" i="1" s="1"/>
  <c r="AG360" i="1"/>
  <c r="AH360" i="1" s="1"/>
  <c r="AV360" i="1" s="1"/>
  <c r="AW360" i="1" s="1"/>
  <c r="AF390" i="1"/>
  <c r="AM390" i="1" s="1"/>
  <c r="AP390" i="1" s="1"/>
  <c r="AS390" i="1" s="1"/>
  <c r="AI469" i="1"/>
  <c r="AK469" i="1" s="1"/>
  <c r="AI517" i="1"/>
  <c r="AK517" i="1" s="1"/>
  <c r="AF532" i="1"/>
  <c r="AM532" i="1" s="1"/>
  <c r="AP532" i="1" s="1"/>
  <c r="AS532" i="1" s="1"/>
  <c r="AI701" i="1"/>
  <c r="AK701" i="1" s="1"/>
  <c r="AF577" i="1"/>
  <c r="AM577" i="1" s="1"/>
  <c r="AP577" i="1" s="1"/>
  <c r="AS577" i="1" s="1"/>
  <c r="AF579" i="1"/>
  <c r="AI586" i="1"/>
  <c r="AM586" i="1" s="1"/>
  <c r="AP586" i="1" s="1"/>
  <c r="AS586" i="1" s="1"/>
  <c r="AF638" i="1"/>
  <c r="AG638" i="1" s="1"/>
  <c r="AF646" i="1"/>
  <c r="AM646" i="1" s="1"/>
  <c r="AP646" i="1" s="1"/>
  <c r="AS646" i="1" s="1"/>
  <c r="AF664" i="1"/>
  <c r="AF671" i="1"/>
  <c r="AI681" i="1"/>
  <c r="AK681" i="1" s="1"/>
  <c r="AI683" i="1"/>
  <c r="AK683" i="1" s="1"/>
  <c r="AF744" i="1"/>
  <c r="AF761" i="1"/>
  <c r="AG761" i="1" s="1"/>
  <c r="AH761" i="1" s="1"/>
  <c r="AV761" i="1" s="1"/>
  <c r="AW761" i="1" s="1"/>
  <c r="AI797" i="1"/>
  <c r="AK797" i="1" s="1"/>
  <c r="AG810" i="1"/>
  <c r="AH810" i="1" s="1"/>
  <c r="AV810" i="1" s="1"/>
  <c r="AW810" i="1" s="1"/>
  <c r="AI834" i="1"/>
  <c r="AM834" i="1" s="1"/>
  <c r="AP834" i="1" s="1"/>
  <c r="AS834" i="1" s="1"/>
  <c r="AI845" i="1"/>
  <c r="AM845" i="1" s="1"/>
  <c r="AP845" i="1" s="1"/>
  <c r="AS845" i="1" s="1"/>
  <c r="AF851" i="1"/>
  <c r="AM851" i="1" s="1"/>
  <c r="AP851" i="1" s="1"/>
  <c r="AS851" i="1" s="1"/>
  <c r="AF380" i="1"/>
  <c r="AM380" i="1" s="1"/>
  <c r="AP380" i="1" s="1"/>
  <c r="AS380" i="1" s="1"/>
  <c r="AI488" i="1"/>
  <c r="AK488" i="1" s="1"/>
  <c r="AI512" i="1"/>
  <c r="AK512" i="1" s="1"/>
  <c r="AI56" i="1"/>
  <c r="AK56" i="1" s="1"/>
  <c r="AI4" i="1"/>
  <c r="AK4" i="1" s="1"/>
  <c r="AF27" i="1"/>
  <c r="AG31" i="1"/>
  <c r="AI63" i="1"/>
  <c r="AK63" i="1" s="1"/>
  <c r="AF75" i="1"/>
  <c r="AG75" i="1" s="1"/>
  <c r="AH75" i="1" s="1"/>
  <c r="AV75" i="1" s="1"/>
  <c r="AW75" i="1" s="1"/>
  <c r="AI110" i="1"/>
  <c r="AK110" i="1" s="1"/>
  <c r="AI174" i="1"/>
  <c r="AK174" i="1" s="1"/>
  <c r="AI180" i="1"/>
  <c r="AK180" i="1" s="1"/>
  <c r="AF221" i="1"/>
  <c r="AG221" i="1" s="1"/>
  <c r="AH221" i="1" s="1"/>
  <c r="AV221" i="1" s="1"/>
  <c r="AW221" i="1" s="1"/>
  <c r="AF237" i="1"/>
  <c r="AF252" i="1"/>
  <c r="AM252" i="1" s="1"/>
  <c r="AP252" i="1" s="1"/>
  <c r="AS252" i="1" s="1"/>
  <c r="AH299" i="1"/>
  <c r="AV299" i="1" s="1"/>
  <c r="AW299" i="1" s="1"/>
  <c r="AF309" i="1"/>
  <c r="AF351" i="1"/>
  <c r="AM351" i="1" s="1"/>
  <c r="AP351" i="1" s="1"/>
  <c r="AS351" i="1" s="1"/>
  <c r="AI465" i="1"/>
  <c r="AK465" i="1" s="1"/>
  <c r="AI484" i="1"/>
  <c r="AK484" i="1" s="1"/>
  <c r="AF491" i="1"/>
  <c r="AG491" i="1" s="1"/>
  <c r="AH491" i="1" s="1"/>
  <c r="AV491" i="1" s="1"/>
  <c r="AW491" i="1" s="1"/>
  <c r="AF501" i="1"/>
  <c r="AM501" i="1" s="1"/>
  <c r="AP501" i="1" s="1"/>
  <c r="AS501" i="1" s="1"/>
  <c r="AG511" i="1"/>
  <c r="AH511" i="1" s="1"/>
  <c r="AV511" i="1" s="1"/>
  <c r="AW511" i="1" s="1"/>
  <c r="AF537" i="1"/>
  <c r="AF539" i="1"/>
  <c r="AF788" i="1"/>
  <c r="AF592" i="1"/>
  <c r="AI628" i="1"/>
  <c r="AK628" i="1" s="1"/>
  <c r="AF636" i="1"/>
  <c r="AF655" i="1"/>
  <c r="AM655" i="1" s="1"/>
  <c r="AP655" i="1" s="1"/>
  <c r="AS655" i="1" s="1"/>
  <c r="AI660" i="1"/>
  <c r="AK660" i="1" s="1"/>
  <c r="AF728" i="1"/>
  <c r="AM728" i="1" s="1"/>
  <c r="AP728" i="1" s="1"/>
  <c r="AS728" i="1" s="1"/>
  <c r="AI747" i="1"/>
  <c r="AM747" i="1" s="1"/>
  <c r="AP747" i="1" s="1"/>
  <c r="AS747" i="1" s="1"/>
  <c r="AF765" i="1"/>
  <c r="AG765" i="1" s="1"/>
  <c r="AH765" i="1" s="1"/>
  <c r="AV765" i="1" s="1"/>
  <c r="AW765" i="1" s="1"/>
  <c r="AF815" i="1"/>
  <c r="AM815" i="1" s="1"/>
  <c r="AP815" i="1" s="1"/>
  <c r="AS815" i="1" s="1"/>
  <c r="AF837" i="1"/>
  <c r="AG837" i="1" s="1"/>
  <c r="AI898" i="1"/>
  <c r="AK898" i="1" s="1"/>
  <c r="AI849" i="1"/>
  <c r="AK849" i="1" s="1"/>
  <c r="AI861" i="1"/>
  <c r="AK861" i="1" s="1"/>
  <c r="AI423" i="1"/>
  <c r="AK423" i="1" s="1"/>
  <c r="AF785" i="1"/>
  <c r="AF904" i="1"/>
  <c r="AM904" i="1" s="1"/>
  <c r="AP904" i="1" s="1"/>
  <c r="AS904" i="1" s="1"/>
  <c r="AM541" i="1"/>
  <c r="AP541" i="1" s="1"/>
  <c r="AS541" i="1" s="1"/>
  <c r="AF230" i="1"/>
  <c r="AM230" i="1" s="1"/>
  <c r="AP230" i="1" s="1"/>
  <c r="AS230" i="1" s="1"/>
  <c r="AI31" i="1"/>
  <c r="AK31" i="1" s="1"/>
  <c r="AI299" i="1"/>
  <c r="AK299" i="1" s="1"/>
  <c r="AF529" i="1"/>
  <c r="AM529" i="1" s="1"/>
  <c r="AP529" i="1" s="1"/>
  <c r="AS529" i="1" s="1"/>
  <c r="AI603" i="1"/>
  <c r="AF594" i="1"/>
  <c r="AI599" i="1"/>
  <c r="AK599" i="1" s="1"/>
  <c r="AF641" i="1"/>
  <c r="AG641" i="1" s="1"/>
  <c r="AH641" i="1" s="1"/>
  <c r="AV641" i="1" s="1"/>
  <c r="AW641" i="1" s="1"/>
  <c r="AF648" i="1"/>
  <c r="AM648" i="1" s="1"/>
  <c r="AP648" i="1" s="1"/>
  <c r="AS648" i="1" s="1"/>
  <c r="AF668" i="1"/>
  <c r="AM668" i="1" s="1"/>
  <c r="AP668" i="1" s="1"/>
  <c r="AS668" i="1" s="1"/>
  <c r="AF709" i="1"/>
  <c r="AG709" i="1" s="1"/>
  <c r="AH709" i="1" s="1"/>
  <c r="AV709" i="1" s="1"/>
  <c r="AW709" i="1" s="1"/>
  <c r="AF716" i="1"/>
  <c r="AM716" i="1" s="1"/>
  <c r="AP716" i="1" s="1"/>
  <c r="AS716" i="1" s="1"/>
  <c r="AI735" i="1"/>
  <c r="AM735" i="1" s="1"/>
  <c r="AP735" i="1" s="1"/>
  <c r="AS735" i="1" s="1"/>
  <c r="AI757" i="1"/>
  <c r="AK757" i="1" s="1"/>
  <c r="AF813" i="1"/>
  <c r="AG813" i="1" s="1"/>
  <c r="AF817" i="1"/>
  <c r="AG817" i="1" s="1"/>
  <c r="AI819" i="1"/>
  <c r="AK819" i="1" s="1"/>
  <c r="AI877" i="1"/>
  <c r="AK877" i="1" s="1"/>
  <c r="AI233" i="1"/>
  <c r="AK233" i="1" s="1"/>
  <c r="AF329" i="1"/>
  <c r="AG329" i="1" s="1"/>
  <c r="AH329" i="1" s="1"/>
  <c r="AV329" i="1" s="1"/>
  <c r="AW329" i="1" s="1"/>
  <c r="AI812" i="1"/>
  <c r="AM812" i="1" s="1"/>
  <c r="AP812" i="1" s="1"/>
  <c r="AS812" i="1" s="1"/>
  <c r="AK166" i="1"/>
  <c r="AM59" i="1"/>
  <c r="AP59" i="1" s="1"/>
  <c r="AS59" i="1" s="1"/>
  <c r="AF858" i="1"/>
  <c r="AG858" i="1" s="1"/>
  <c r="AF229" i="1"/>
  <c r="AM229" i="1" s="1"/>
  <c r="AP229" i="1" s="1"/>
  <c r="AS229" i="1" s="1"/>
  <c r="AF261" i="1"/>
  <c r="AF321" i="1"/>
  <c r="AF332" i="1"/>
  <c r="AF419" i="1"/>
  <c r="AF439" i="1"/>
  <c r="AG439" i="1" s="1"/>
  <c r="AH439" i="1" s="1"/>
  <c r="AV439" i="1" s="1"/>
  <c r="AW439" i="1" s="1"/>
  <c r="AI453" i="1"/>
  <c r="AK453" i="1" s="1"/>
  <c r="AF513" i="1"/>
  <c r="AM857" i="1"/>
  <c r="AP857" i="1" s="1"/>
  <c r="AS857" i="1" s="1"/>
  <c r="AH639" i="1"/>
  <c r="AV639" i="1" s="1"/>
  <c r="AW639" i="1" s="1"/>
  <c r="AF102" i="1"/>
  <c r="AH102" i="1" s="1"/>
  <c r="AV102" i="1" s="1"/>
  <c r="AW102" i="1" s="1"/>
  <c r="AM861" i="1"/>
  <c r="AP861" i="1" s="1"/>
  <c r="AS861" i="1" s="1"/>
  <c r="AF58" i="1"/>
  <c r="AM58" i="1" s="1"/>
  <c r="AP58" i="1" s="1"/>
  <c r="AS58" i="1" s="1"/>
  <c r="AF228" i="1"/>
  <c r="AF575" i="1"/>
  <c r="AG575" i="1" s="1"/>
  <c r="AF609" i="1"/>
  <c r="AI534" i="1"/>
  <c r="AK534" i="1" s="1"/>
  <c r="AI741" i="1"/>
  <c r="AK741" i="1" s="1"/>
  <c r="AF853" i="1"/>
  <c r="AF162" i="1"/>
  <c r="AM162" i="1" s="1"/>
  <c r="AP162" i="1" s="1"/>
  <c r="AS162" i="1" s="1"/>
  <c r="AM42" i="1"/>
  <c r="AP42" i="1" s="1"/>
  <c r="AS42" i="1" s="1"/>
  <c r="AH143" i="1"/>
  <c r="AV143" i="1" s="1"/>
  <c r="AW143" i="1" s="1"/>
  <c r="AI13" i="1"/>
  <c r="AK13" i="1" s="1"/>
  <c r="AH54" i="1"/>
  <c r="AV54" i="1" s="1"/>
  <c r="AW54" i="1" s="1"/>
  <c r="AF60" i="1"/>
  <c r="AM60" i="1" s="1"/>
  <c r="AP60" i="1" s="1"/>
  <c r="AS60" i="1" s="1"/>
  <c r="AI624" i="1"/>
  <c r="AH9" i="1"/>
  <c r="AV9" i="1" s="1"/>
  <c r="AW9" i="1" s="1"/>
  <c r="AI143" i="1"/>
  <c r="AI159" i="1"/>
  <c r="AK159" i="1" s="1"/>
  <c r="AI192" i="1"/>
  <c r="AK192" i="1" s="1"/>
  <c r="AF205" i="1"/>
  <c r="AG205" i="1" s="1"/>
  <c r="AH205" i="1" s="1"/>
  <c r="AV205" i="1" s="1"/>
  <c r="AW205" i="1" s="1"/>
  <c r="AI209" i="1"/>
  <c r="AK209" i="1" s="1"/>
  <c r="AI257" i="1"/>
  <c r="AK257" i="1" s="1"/>
  <c r="AF312" i="1"/>
  <c r="AM312" i="1" s="1"/>
  <c r="AP312" i="1" s="1"/>
  <c r="AS312" i="1" s="1"/>
  <c r="AH325" i="1"/>
  <c r="AV325" i="1" s="1"/>
  <c r="AW325" i="1" s="1"/>
  <c r="AF361" i="1"/>
  <c r="AM361" i="1" s="1"/>
  <c r="AP361" i="1" s="1"/>
  <c r="AS361" i="1" s="1"/>
  <c r="AI446" i="1"/>
  <c r="AK446" i="1" s="1"/>
  <c r="AI450" i="1"/>
  <c r="AI704" i="1"/>
  <c r="AK704" i="1" s="1"/>
  <c r="AI606" i="1"/>
  <c r="AK606" i="1" s="1"/>
  <c r="AF615" i="1"/>
  <c r="AM615" i="1" s="1"/>
  <c r="AP615" i="1" s="1"/>
  <c r="AS615" i="1" s="1"/>
  <c r="AI620" i="1"/>
  <c r="AK620" i="1" s="1"/>
  <c r="AI658" i="1"/>
  <c r="AK658" i="1" s="1"/>
  <c r="AF682" i="1"/>
  <c r="AF721" i="1"/>
  <c r="AG721" i="1" s="1"/>
  <c r="AH721" i="1" s="1"/>
  <c r="AV721" i="1" s="1"/>
  <c r="AW721" i="1" s="1"/>
  <c r="AI793" i="1"/>
  <c r="AK793" i="1" s="1"/>
  <c r="AI830" i="1"/>
  <c r="AK830" i="1" s="1"/>
  <c r="AG867" i="1"/>
  <c r="AH867" i="1" s="1"/>
  <c r="AV867" i="1" s="1"/>
  <c r="AW867" i="1" s="1"/>
  <c r="AM867" i="1"/>
  <c r="AP867" i="1" s="1"/>
  <c r="AS867" i="1" s="1"/>
  <c r="AH51" i="1"/>
  <c r="AV51" i="1" s="1"/>
  <c r="AW51" i="1" s="1"/>
  <c r="AM51" i="1"/>
  <c r="AP51" i="1" s="1"/>
  <c r="AS51" i="1" s="1"/>
  <c r="AK420" i="1"/>
  <c r="AG105" i="1"/>
  <c r="AH105" i="1" s="1"/>
  <c r="AV105" i="1" s="1"/>
  <c r="AW105" i="1" s="1"/>
  <c r="AG447" i="1"/>
  <c r="AH447" i="1" s="1"/>
  <c r="AV447" i="1" s="1"/>
  <c r="AW447" i="1" s="1"/>
  <c r="AG4" i="1"/>
  <c r="AH4" i="1" s="1"/>
  <c r="AV4" i="1" s="1"/>
  <c r="AW4" i="1" s="1"/>
  <c r="AM4" i="1"/>
  <c r="AP4" i="1" s="1"/>
  <c r="AS4" i="1" s="1"/>
  <c r="AG89" i="1"/>
  <c r="AH89" i="1" s="1"/>
  <c r="AV89" i="1" s="1"/>
  <c r="AW89" i="1" s="1"/>
  <c r="AG127" i="1"/>
  <c r="AH127" i="1" s="1"/>
  <c r="AV127" i="1" s="1"/>
  <c r="AW127" i="1" s="1"/>
  <c r="AM127" i="1"/>
  <c r="AP127" i="1" s="1"/>
  <c r="AS127" i="1" s="1"/>
  <c r="AK385" i="1"/>
  <c r="AG307" i="1"/>
  <c r="AH307" i="1" s="1"/>
  <c r="AV307" i="1" s="1"/>
  <c r="AW307" i="1" s="1"/>
  <c r="AI685" i="1"/>
  <c r="AK685" i="1" s="1"/>
  <c r="AF685" i="1"/>
  <c r="AF435" i="1"/>
  <c r="AG435" i="1" s="1"/>
  <c r="AH435" i="1" s="1"/>
  <c r="AV435" i="1" s="1"/>
  <c r="AW435" i="1" s="1"/>
  <c r="AI435" i="1"/>
  <c r="AI644" i="1"/>
  <c r="AK644" i="1" s="1"/>
  <c r="AF644" i="1"/>
  <c r="AM644" i="1" s="1"/>
  <c r="AP644" i="1" s="1"/>
  <c r="AS644" i="1" s="1"/>
  <c r="AK664" i="1"/>
  <c r="AF676" i="1"/>
  <c r="AG676" i="1" s="1"/>
  <c r="AI676" i="1"/>
  <c r="AK676" i="1" s="1"/>
  <c r="AI790" i="1"/>
  <c r="AK790" i="1" s="1"/>
  <c r="AF790" i="1"/>
  <c r="AI21" i="1"/>
  <c r="AK21" i="1" s="1"/>
  <c r="AM543" i="1"/>
  <c r="AP543" i="1" s="1"/>
  <c r="AS543" i="1" s="1"/>
  <c r="AI548" i="1"/>
  <c r="AK548" i="1" s="1"/>
  <c r="AF52" i="1"/>
  <c r="AF57" i="1"/>
  <c r="AG57" i="1" s="1"/>
  <c r="AF72" i="1"/>
  <c r="AI77" i="1"/>
  <c r="AK77" i="1" s="1"/>
  <c r="AI104" i="1"/>
  <c r="AK104" i="1" s="1"/>
  <c r="AI105" i="1"/>
  <c r="AK105" i="1" s="1"/>
  <c r="AI128" i="1"/>
  <c r="AK128" i="1" s="1"/>
  <c r="AF149" i="1"/>
  <c r="AG149" i="1" s="1"/>
  <c r="AF167" i="1"/>
  <c r="AM167" i="1" s="1"/>
  <c r="AP167" i="1" s="1"/>
  <c r="AS167" i="1" s="1"/>
  <c r="AI183" i="1"/>
  <c r="AK183" i="1" s="1"/>
  <c r="AF385" i="1"/>
  <c r="AG385" i="1" s="1"/>
  <c r="AH385" i="1" s="1"/>
  <c r="AV385" i="1" s="1"/>
  <c r="AW385" i="1" s="1"/>
  <c r="AF44" i="1"/>
  <c r="AH44" i="1" s="1"/>
  <c r="AV44" i="1" s="1"/>
  <c r="AW44" i="1" s="1"/>
  <c r="AH254" i="1"/>
  <c r="AV254" i="1" s="1"/>
  <c r="AW254" i="1" s="1"/>
  <c r="AI268" i="1"/>
  <c r="AM268" i="1" s="1"/>
  <c r="AP268" i="1" s="1"/>
  <c r="AS268" i="1" s="1"/>
  <c r="AF271" i="1"/>
  <c r="AM271" i="1" s="1"/>
  <c r="AP271" i="1" s="1"/>
  <c r="AS271" i="1" s="1"/>
  <c r="AF277" i="1"/>
  <c r="AF291" i="1"/>
  <c r="AF292" i="1"/>
  <c r="AG292" i="1" s="1"/>
  <c r="AI300" i="1"/>
  <c r="AK300" i="1" s="1"/>
  <c r="AI307" i="1"/>
  <c r="AK307" i="1" s="1"/>
  <c r="AF371" i="1"/>
  <c r="AG371" i="1" s="1"/>
  <c r="AH371" i="1" s="1"/>
  <c r="AV371" i="1" s="1"/>
  <c r="AW371" i="1" s="1"/>
  <c r="AF376" i="1"/>
  <c r="AM376" i="1" s="1"/>
  <c r="AP376" i="1" s="1"/>
  <c r="AS376" i="1" s="1"/>
  <c r="AF378" i="1"/>
  <c r="AM378" i="1" s="1"/>
  <c r="AP378" i="1" s="1"/>
  <c r="AS378" i="1" s="1"/>
  <c r="AI381" i="1"/>
  <c r="AM381" i="1" s="1"/>
  <c r="AP381" i="1" s="1"/>
  <c r="AS381" i="1" s="1"/>
  <c r="AI408" i="1"/>
  <c r="AK408" i="1" s="1"/>
  <c r="AG488" i="1"/>
  <c r="AH488" i="1" s="1"/>
  <c r="AV488" i="1" s="1"/>
  <c r="AW488" i="1" s="1"/>
  <c r="AF695" i="1"/>
  <c r="AI695" i="1"/>
  <c r="AK695" i="1" s="1"/>
  <c r="AK857" i="1"/>
  <c r="AI564" i="1"/>
  <c r="AK564" i="1" s="1"/>
  <c r="AF564" i="1"/>
  <c r="AG801" i="1"/>
  <c r="AH801" i="1" s="1"/>
  <c r="AV801" i="1" s="1"/>
  <c r="AW801" i="1" s="1"/>
  <c r="AM801" i="1"/>
  <c r="AP801" i="1" s="1"/>
  <c r="AS801" i="1" s="1"/>
  <c r="AF787" i="1"/>
  <c r="AI787" i="1"/>
  <c r="AK787" i="1" s="1"/>
  <c r="AF782" i="1"/>
  <c r="AG782" i="1" s="1"/>
  <c r="AH782" i="1" s="1"/>
  <c r="AV782" i="1" s="1"/>
  <c r="AW782" i="1" s="1"/>
  <c r="AI782" i="1"/>
  <c r="AK782" i="1" s="1"/>
  <c r="AM3" i="1"/>
  <c r="AP3" i="1" s="1"/>
  <c r="AS3" i="1" s="1"/>
  <c r="AM85" i="1"/>
  <c r="AP85" i="1" s="1"/>
  <c r="AS85" i="1" s="1"/>
  <c r="AI172" i="1"/>
  <c r="AK172" i="1" s="1"/>
  <c r="AI254" i="1"/>
  <c r="AK254" i="1" s="1"/>
  <c r="AI336" i="1"/>
  <c r="AK336" i="1" s="1"/>
  <c r="AM474" i="1"/>
  <c r="AP474" i="1" s="1"/>
  <c r="AS474" i="1" s="1"/>
  <c r="AG474" i="1"/>
  <c r="AH474" i="1" s="1"/>
  <c r="AV474" i="1" s="1"/>
  <c r="AW474" i="1" s="1"/>
  <c r="AI479" i="1"/>
  <c r="AK479" i="1" s="1"/>
  <c r="AF479" i="1"/>
  <c r="AF553" i="1"/>
  <c r="AG553" i="1" s="1"/>
  <c r="AH553" i="1" s="1"/>
  <c r="AI573" i="1"/>
  <c r="AK573" i="1" s="1"/>
  <c r="AF573" i="1"/>
  <c r="AG573" i="1" s="1"/>
  <c r="AI600" i="1"/>
  <c r="AK600" i="1" s="1"/>
  <c r="AF600" i="1"/>
  <c r="AG600" i="1" s="1"/>
  <c r="AH600" i="1" s="1"/>
  <c r="AV600" i="1" s="1"/>
  <c r="AW600" i="1" s="1"/>
  <c r="AI674" i="1"/>
  <c r="AK674" i="1" s="1"/>
  <c r="AF674" i="1"/>
  <c r="AG674" i="1" s="1"/>
  <c r="AI713" i="1"/>
  <c r="AK713" i="1" s="1"/>
  <c r="AF713" i="1"/>
  <c r="AG713" i="1" s="1"/>
  <c r="AI36" i="1"/>
  <c r="AK36" i="1" s="1"/>
  <c r="AF36" i="1"/>
  <c r="AM36" i="1" s="1"/>
  <c r="AP36" i="1" s="1"/>
  <c r="AS36" i="1" s="1"/>
  <c r="AI768" i="1"/>
  <c r="AK768" i="1" s="1"/>
  <c r="AF768" i="1"/>
  <c r="AG768" i="1" s="1"/>
  <c r="AH768" i="1" s="1"/>
  <c r="AV768" i="1" s="1"/>
  <c r="AW768" i="1" s="1"/>
  <c r="AI455" i="1"/>
  <c r="AK455" i="1" s="1"/>
  <c r="AF455" i="1"/>
  <c r="AM457" i="1"/>
  <c r="AP457" i="1" s="1"/>
  <c r="AS457" i="1" s="1"/>
  <c r="AG465" i="1"/>
  <c r="AH465" i="1" s="1"/>
  <c r="AV465" i="1" s="1"/>
  <c r="AW465" i="1" s="1"/>
  <c r="AF521" i="1"/>
  <c r="AG521" i="1" s="1"/>
  <c r="AH521" i="1" s="1"/>
  <c r="AV521" i="1" s="1"/>
  <c r="AW521" i="1" s="1"/>
  <c r="AI521" i="1"/>
  <c r="AK521" i="1" s="1"/>
  <c r="AI598" i="1"/>
  <c r="AK598" i="1" s="1"/>
  <c r="AF598" i="1"/>
  <c r="AG598" i="1" s="1"/>
  <c r="AI724" i="1"/>
  <c r="AK724" i="1" s="1"/>
  <c r="AF724" i="1"/>
  <c r="AG658" i="1"/>
  <c r="AH658" i="1" s="1"/>
  <c r="AV658" i="1" s="1"/>
  <c r="AW658" i="1" s="1"/>
  <c r="AG692" i="1"/>
  <c r="AH692" i="1" s="1"/>
  <c r="AV692" i="1" s="1"/>
  <c r="AW692" i="1" s="1"/>
  <c r="AM542" i="1"/>
  <c r="AP542" i="1" s="1"/>
  <c r="AS542" i="1" s="1"/>
  <c r="AG720" i="1"/>
  <c r="AH720" i="1" s="1"/>
  <c r="AV720" i="1" s="1"/>
  <c r="AW720" i="1" s="1"/>
  <c r="AI873" i="1"/>
  <c r="AK873" i="1" s="1"/>
  <c r="AF873" i="1"/>
  <c r="AG873" i="1" s="1"/>
  <c r="AM63" i="1"/>
  <c r="AP63" i="1" s="1"/>
  <c r="AS63" i="1" s="1"/>
  <c r="AI18" i="1"/>
  <c r="AK18" i="1" s="1"/>
  <c r="AF38" i="1"/>
  <c r="AG38" i="1" s="1"/>
  <c r="AH38" i="1" s="1"/>
  <c r="AV38" i="1" s="1"/>
  <c r="AW38" i="1" s="1"/>
  <c r="AF61" i="1"/>
  <c r="AG61" i="1" s="1"/>
  <c r="AH61" i="1" s="1"/>
  <c r="AV61" i="1" s="1"/>
  <c r="AW61" i="1" s="1"/>
  <c r="AG63" i="1"/>
  <c r="AH63" i="1" s="1"/>
  <c r="AV63" i="1" s="1"/>
  <c r="AW63" i="1" s="1"/>
  <c r="AH74" i="1"/>
  <c r="AV74" i="1" s="1"/>
  <c r="AW74" i="1" s="1"/>
  <c r="AF79" i="1"/>
  <c r="AM79" i="1" s="1"/>
  <c r="AP79" i="1" s="1"/>
  <c r="AS79" i="1" s="1"/>
  <c r="AF101" i="1"/>
  <c r="AF116" i="1"/>
  <c r="AM116" i="1" s="1"/>
  <c r="AP116" i="1" s="1"/>
  <c r="AS116" i="1" s="1"/>
  <c r="AI707" i="1"/>
  <c r="AK707" i="1" s="1"/>
  <c r="AM329" i="1"/>
  <c r="AP329" i="1" s="1"/>
  <c r="AS329" i="1" s="1"/>
  <c r="AM428" i="1"/>
  <c r="AP428" i="1" s="1"/>
  <c r="AS428" i="1" s="1"/>
  <c r="AI493" i="1"/>
  <c r="AK493" i="1" s="1"/>
  <c r="AF493" i="1"/>
  <c r="AI538" i="1"/>
  <c r="AK538" i="1" s="1"/>
  <c r="AF538" i="1"/>
  <c r="AG538" i="1" s="1"/>
  <c r="AH538" i="1" s="1"/>
  <c r="AV538" i="1" s="1"/>
  <c r="AW538" i="1" s="1"/>
  <c r="AM637" i="1"/>
  <c r="AP637" i="1" s="1"/>
  <c r="AS637" i="1" s="1"/>
  <c r="AG637" i="1"/>
  <c r="AH637" i="1" s="1"/>
  <c r="AV637" i="1" s="1"/>
  <c r="AW637" i="1" s="1"/>
  <c r="AG866" i="1"/>
  <c r="AH866" i="1" s="1"/>
  <c r="AV866" i="1" s="1"/>
  <c r="AW866" i="1" s="1"/>
  <c r="AI855" i="1"/>
  <c r="AK855" i="1" s="1"/>
  <c r="AF855" i="1"/>
  <c r="AF373" i="1"/>
  <c r="AG373" i="1" s="1"/>
  <c r="AH373" i="1" s="1"/>
  <c r="AV373" i="1" s="1"/>
  <c r="AW373" i="1" s="1"/>
  <c r="AI373" i="1"/>
  <c r="AM684" i="1"/>
  <c r="AP684" i="1" s="1"/>
  <c r="AS684" i="1" s="1"/>
  <c r="AF663" i="1"/>
  <c r="AI663" i="1"/>
  <c r="AK663" i="1" s="1"/>
  <c r="AI672" i="1"/>
  <c r="AK672" i="1" s="1"/>
  <c r="AF672" i="1"/>
  <c r="AM761" i="1"/>
  <c r="AP761" i="1" s="1"/>
  <c r="AS761" i="1" s="1"/>
  <c r="AK818" i="1"/>
  <c r="AM818" i="1"/>
  <c r="AP818" i="1" s="1"/>
  <c r="AS818" i="1" s="1"/>
  <c r="AI862" i="1"/>
  <c r="AK862" i="1" s="1"/>
  <c r="AF862" i="1"/>
  <c r="AG886" i="1"/>
  <c r="AH886" i="1" s="1"/>
  <c r="AV886" i="1" s="1"/>
  <c r="AW886" i="1" s="1"/>
  <c r="AF7" i="1"/>
  <c r="AH7" i="1" s="1"/>
  <c r="AV7" i="1" s="1"/>
  <c r="AW7" i="1" s="1"/>
  <c r="AF24" i="1"/>
  <c r="AG24" i="1" s="1"/>
  <c r="AH24" i="1" s="1"/>
  <c r="AI525" i="1"/>
  <c r="AK525" i="1" s="1"/>
  <c r="AI121" i="1"/>
  <c r="AK121" i="1" s="1"/>
  <c r="AF131" i="1"/>
  <c r="AI148" i="1"/>
  <c r="AK148" i="1" s="1"/>
  <c r="AF157" i="1"/>
  <c r="AM157" i="1" s="1"/>
  <c r="AP157" i="1" s="1"/>
  <c r="AS157" i="1" s="1"/>
  <c r="AI182" i="1"/>
  <c r="AK182" i="1" s="1"/>
  <c r="AG195" i="1"/>
  <c r="AH195" i="1" s="1"/>
  <c r="AV195" i="1" s="1"/>
  <c r="AW195" i="1" s="1"/>
  <c r="AF200" i="1"/>
  <c r="AM200" i="1" s="1"/>
  <c r="AP200" i="1" s="1"/>
  <c r="AS200" i="1" s="1"/>
  <c r="AF202" i="1"/>
  <c r="AM202" i="1" s="1"/>
  <c r="AP202" i="1" s="1"/>
  <c r="AS202" i="1" s="1"/>
  <c r="AI258" i="1"/>
  <c r="AK258" i="1" s="1"/>
  <c r="AF239" i="1"/>
  <c r="AM239" i="1" s="1"/>
  <c r="AP239" i="1" s="1"/>
  <c r="AS239" i="1" s="1"/>
  <c r="AG270" i="1"/>
  <c r="AH270" i="1" s="1"/>
  <c r="AV270" i="1" s="1"/>
  <c r="AW270" i="1" s="1"/>
  <c r="AF370" i="1"/>
  <c r="AF377" i="1"/>
  <c r="AG377" i="1" s="1"/>
  <c r="AI377" i="1"/>
  <c r="AK377" i="1" s="1"/>
  <c r="AM400" i="1"/>
  <c r="AP400" i="1" s="1"/>
  <c r="AS400" i="1" s="1"/>
  <c r="AI417" i="1"/>
  <c r="AK417" i="1" s="1"/>
  <c r="AF417" i="1"/>
  <c r="AG417" i="1" s="1"/>
  <c r="AH417" i="1" s="1"/>
  <c r="AV417" i="1" s="1"/>
  <c r="AW417" i="1" s="1"/>
  <c r="AI582" i="1"/>
  <c r="AK582" i="1" s="1"/>
  <c r="AF582" i="1"/>
  <c r="AG534" i="1"/>
  <c r="AH534" i="1" s="1"/>
  <c r="AV534" i="1" s="1"/>
  <c r="AW534" i="1" s="1"/>
  <c r="AG797" i="1"/>
  <c r="AH797" i="1" s="1"/>
  <c r="AV797" i="1" s="1"/>
  <c r="AW797" i="1" s="1"/>
  <c r="AI886" i="1"/>
  <c r="AF712" i="1"/>
  <c r="AI712" i="1"/>
  <c r="AK712" i="1" s="1"/>
  <c r="AI605" i="1"/>
  <c r="AK605" i="1" s="1"/>
  <c r="AF605" i="1"/>
  <c r="AG605" i="1" s="1"/>
  <c r="AF50" i="1"/>
  <c r="AH50" i="1" s="1"/>
  <c r="AV50" i="1" s="1"/>
  <c r="AW50" i="1" s="1"/>
  <c r="AF55" i="1"/>
  <c r="AF88" i="1"/>
  <c r="AM88" i="1" s="1"/>
  <c r="AP88" i="1" s="1"/>
  <c r="AS88" i="1" s="1"/>
  <c r="AF96" i="1"/>
  <c r="AM96" i="1" s="1"/>
  <c r="AP96" i="1" s="1"/>
  <c r="AS96" i="1" s="1"/>
  <c r="AF113" i="1"/>
  <c r="AM113" i="1" s="1"/>
  <c r="AP113" i="1" s="1"/>
  <c r="AS113" i="1" s="1"/>
  <c r="AH139" i="1"/>
  <c r="AV139" i="1" s="1"/>
  <c r="AW139" i="1" s="1"/>
  <c r="AF150" i="1"/>
  <c r="AM150" i="1" s="1"/>
  <c r="AP150" i="1" s="1"/>
  <c r="AS150" i="1" s="1"/>
  <c r="AF161" i="1"/>
  <c r="AG161" i="1" s="1"/>
  <c r="AF188" i="1"/>
  <c r="AF189" i="1"/>
  <c r="AM189" i="1" s="1"/>
  <c r="AP189" i="1" s="1"/>
  <c r="AS189" i="1" s="1"/>
  <c r="AI195" i="1"/>
  <c r="AK195" i="1" s="1"/>
  <c r="AF231" i="1"/>
  <c r="AG231" i="1" s="1"/>
  <c r="AF250" i="1"/>
  <c r="AI259" i="1"/>
  <c r="AK259" i="1" s="1"/>
  <c r="AH269" i="1"/>
  <c r="AV269" i="1" s="1"/>
  <c r="AW269" i="1" s="1"/>
  <c r="AF276" i="1"/>
  <c r="AM276" i="1" s="1"/>
  <c r="AP276" i="1" s="1"/>
  <c r="AS276" i="1" s="1"/>
  <c r="AF278" i="1"/>
  <c r="AM278" i="1" s="1"/>
  <c r="AP278" i="1" s="1"/>
  <c r="AS278" i="1" s="1"/>
  <c r="AF284" i="1"/>
  <c r="AM284" i="1" s="1"/>
  <c r="AP284" i="1" s="1"/>
  <c r="AS284" i="1" s="1"/>
  <c r="AF289" i="1"/>
  <c r="AG289" i="1" s="1"/>
  <c r="AH289" i="1" s="1"/>
  <c r="AV289" i="1" s="1"/>
  <c r="AW289" i="1" s="1"/>
  <c r="AF293" i="1"/>
  <c r="AF295" i="1"/>
  <c r="AG308" i="1"/>
  <c r="AH308" i="1" s="1"/>
  <c r="AV308" i="1" s="1"/>
  <c r="AW308" i="1" s="1"/>
  <c r="AF337" i="1"/>
  <c r="AH379" i="1"/>
  <c r="AV379" i="1" s="1"/>
  <c r="AW379" i="1" s="1"/>
  <c r="AF382" i="1"/>
  <c r="AM382" i="1" s="1"/>
  <c r="AP382" i="1" s="1"/>
  <c r="AS382" i="1" s="1"/>
  <c r="AF389" i="1"/>
  <c r="AG389" i="1" s="1"/>
  <c r="AF531" i="1"/>
  <c r="AG531" i="1" s="1"/>
  <c r="AH531" i="1" s="1"/>
  <c r="AV531" i="1" s="1"/>
  <c r="AW531" i="1" s="1"/>
  <c r="AI445" i="1"/>
  <c r="AK445" i="1" s="1"/>
  <c r="AF445" i="1"/>
  <c r="AI456" i="1"/>
  <c r="AK456" i="1" s="1"/>
  <c r="AF456" i="1"/>
  <c r="AG456" i="1" s="1"/>
  <c r="AH456" i="1" s="1"/>
  <c r="AV456" i="1" s="1"/>
  <c r="AW456" i="1" s="1"/>
  <c r="AI489" i="1"/>
  <c r="AK489" i="1" s="1"/>
  <c r="AI509" i="1"/>
  <c r="AK509" i="1" s="1"/>
  <c r="AF509" i="1"/>
  <c r="AM509" i="1" s="1"/>
  <c r="AP509" i="1" s="1"/>
  <c r="AS509" i="1" s="1"/>
  <c r="AH601" i="1"/>
  <c r="AV601" i="1" s="1"/>
  <c r="AW601" i="1" s="1"/>
  <c r="AI659" i="1"/>
  <c r="AK659" i="1" s="1"/>
  <c r="AF659" i="1"/>
  <c r="AG659" i="1" s="1"/>
  <c r="AI669" i="1"/>
  <c r="AK669" i="1" s="1"/>
  <c r="AI103" i="1"/>
  <c r="AK103" i="1" s="1"/>
  <c r="AF103" i="1"/>
  <c r="AG103" i="1" s="1"/>
  <c r="AI800" i="1"/>
  <c r="AK800" i="1" s="1"/>
  <c r="AF800" i="1"/>
  <c r="AG826" i="1"/>
  <c r="AH826" i="1" s="1"/>
  <c r="AV826" i="1" s="1"/>
  <c r="AW826" i="1" s="1"/>
  <c r="AI878" i="1"/>
  <c r="AK878" i="1" s="1"/>
  <c r="AI891" i="1"/>
  <c r="AK891" i="1" s="1"/>
  <c r="AF891" i="1"/>
  <c r="AM891" i="1" s="1"/>
  <c r="AP891" i="1" s="1"/>
  <c r="AS891" i="1" s="1"/>
  <c r="AI2" i="1"/>
  <c r="AK2" i="1" s="1"/>
  <c r="AF37" i="1"/>
  <c r="AM37" i="1" s="1"/>
  <c r="AP37" i="1" s="1"/>
  <c r="AS37" i="1" s="1"/>
  <c r="AF41" i="1"/>
  <c r="AG41" i="1" s="1"/>
  <c r="AI9" i="1"/>
  <c r="AM9" i="1" s="1"/>
  <c r="AP9" i="1" s="1"/>
  <c r="AS9" i="1" s="1"/>
  <c r="AF62" i="1"/>
  <c r="AG62" i="1" s="1"/>
  <c r="AF78" i="1"/>
  <c r="AI86" i="1"/>
  <c r="AK86" i="1" s="1"/>
  <c r="AI94" i="1"/>
  <c r="AK94" i="1" s="1"/>
  <c r="AI100" i="1"/>
  <c r="AK100" i="1" s="1"/>
  <c r="AI106" i="1"/>
  <c r="AK106" i="1" s="1"/>
  <c r="AI108" i="1"/>
  <c r="AK108" i="1" s="1"/>
  <c r="AI139" i="1"/>
  <c r="AK139" i="1" s="1"/>
  <c r="AF170" i="1"/>
  <c r="AI186" i="1"/>
  <c r="AK186" i="1" s="1"/>
  <c r="AI267" i="1"/>
  <c r="AK267" i="1" s="1"/>
  <c r="AI269" i="1"/>
  <c r="AK269" i="1" s="1"/>
  <c r="AF274" i="1"/>
  <c r="AG274" i="1" s="1"/>
  <c r="AH274" i="1" s="1"/>
  <c r="AV274" i="1" s="1"/>
  <c r="AW274" i="1" s="1"/>
  <c r="AH347" i="1"/>
  <c r="AV347" i="1" s="1"/>
  <c r="AW347" i="1" s="1"/>
  <c r="AF365" i="1"/>
  <c r="AG365" i="1" s="1"/>
  <c r="AH365" i="1" s="1"/>
  <c r="AV365" i="1" s="1"/>
  <c r="AW365" i="1" s="1"/>
  <c r="AG379" i="1"/>
  <c r="AI443" i="1"/>
  <c r="AK443" i="1" s="1"/>
  <c r="AI473" i="1"/>
  <c r="AK473" i="1" s="1"/>
  <c r="AM386" i="1"/>
  <c r="AP386" i="1" s="1"/>
  <c r="AS386" i="1" s="1"/>
  <c r="AI678" i="1"/>
  <c r="AK678" i="1" s="1"/>
  <c r="AF678" i="1"/>
  <c r="AG871" i="1"/>
  <c r="AH871" i="1" s="1"/>
  <c r="AV871" i="1" s="1"/>
  <c r="AW871" i="1" s="1"/>
  <c r="AM871" i="1"/>
  <c r="AP871" i="1" s="1"/>
  <c r="AS871" i="1" s="1"/>
  <c r="AF757" i="1"/>
  <c r="AG757" i="1" s="1"/>
  <c r="AF824" i="1"/>
  <c r="AG824" i="1" s="1"/>
  <c r="AH824" i="1" s="1"/>
  <c r="AV824" i="1" s="1"/>
  <c r="AW824" i="1" s="1"/>
  <c r="AI824" i="1"/>
  <c r="AK824" i="1" s="1"/>
  <c r="AI856" i="1"/>
  <c r="AF856" i="1"/>
  <c r="AH372" i="1"/>
  <c r="AV372" i="1" s="1"/>
  <c r="AW372" i="1" s="1"/>
  <c r="AM461" i="1"/>
  <c r="AP461" i="1" s="1"/>
  <c r="AS461" i="1" s="1"/>
  <c r="AG461" i="1"/>
  <c r="AH461" i="1" s="1"/>
  <c r="AV461" i="1" s="1"/>
  <c r="AW461" i="1" s="1"/>
  <c r="AM112" i="1"/>
  <c r="AP112" i="1" s="1"/>
  <c r="AS112" i="1" s="1"/>
  <c r="AH297" i="1"/>
  <c r="AV297" i="1" s="1"/>
  <c r="AW297" i="1" s="1"/>
  <c r="AM305" i="1"/>
  <c r="AP305" i="1" s="1"/>
  <c r="AS305" i="1" s="1"/>
  <c r="AM372" i="1"/>
  <c r="AP372" i="1" s="1"/>
  <c r="AS372" i="1" s="1"/>
  <c r="AG556" i="1"/>
  <c r="AH556" i="1" s="1"/>
  <c r="AV556" i="1" s="1"/>
  <c r="AW556" i="1" s="1"/>
  <c r="AI454" i="1"/>
  <c r="AK454" i="1" s="1"/>
  <c r="AF454" i="1"/>
  <c r="AG454" i="1" s="1"/>
  <c r="AH454" i="1" s="1"/>
  <c r="AV454" i="1" s="1"/>
  <c r="AW454" i="1" s="1"/>
  <c r="AI572" i="1"/>
  <c r="AK572" i="1" s="1"/>
  <c r="AF572" i="1"/>
  <c r="AI583" i="1"/>
  <c r="AK583" i="1" s="1"/>
  <c r="AF583" i="1"/>
  <c r="AM683" i="1"/>
  <c r="AP683" i="1" s="1"/>
  <c r="AS683" i="1" s="1"/>
  <c r="AG683" i="1"/>
  <c r="AF197" i="1"/>
  <c r="AG197" i="1" s="1"/>
  <c r="AI197" i="1"/>
  <c r="AK197" i="1" s="1"/>
  <c r="AF832" i="1"/>
  <c r="AI832" i="1"/>
  <c r="AK832" i="1" s="1"/>
  <c r="AM184" i="1"/>
  <c r="AP184" i="1" s="1"/>
  <c r="AS184" i="1" s="1"/>
  <c r="AF421" i="1"/>
  <c r="AI421" i="1"/>
  <c r="AK421" i="1" s="1"/>
  <c r="AM21" i="1"/>
  <c r="AP21" i="1" s="1"/>
  <c r="AS21" i="1" s="1"/>
  <c r="AI28" i="1"/>
  <c r="AK28" i="1" s="1"/>
  <c r="AF43" i="1"/>
  <c r="AM43" i="1" s="1"/>
  <c r="AP43" i="1" s="1"/>
  <c r="AS43" i="1" s="1"/>
  <c r="AH85" i="1"/>
  <c r="AV85" i="1" s="1"/>
  <c r="AW85" i="1" s="1"/>
  <c r="AG112" i="1"/>
  <c r="AH112" i="1" s="1"/>
  <c r="AV112" i="1" s="1"/>
  <c r="AW112" i="1" s="1"/>
  <c r="AI119" i="1"/>
  <c r="AK119" i="1" s="1"/>
  <c r="AF283" i="1"/>
  <c r="AI286" i="1"/>
  <c r="AK286" i="1" s="1"/>
  <c r="AI297" i="1"/>
  <c r="AG305" i="1"/>
  <c r="AH305" i="1" s="1"/>
  <c r="AV305" i="1" s="1"/>
  <c r="AW305" i="1" s="1"/>
  <c r="AF314" i="1"/>
  <c r="AG314" i="1" s="1"/>
  <c r="AI330" i="1"/>
  <c r="AK330" i="1" s="1"/>
  <c r="AF339" i="1"/>
  <c r="AM379" i="1"/>
  <c r="AP379" i="1" s="1"/>
  <c r="AS379" i="1" s="1"/>
  <c r="AI384" i="1"/>
  <c r="AK384" i="1" s="1"/>
  <c r="AI412" i="1"/>
  <c r="AI437" i="1"/>
  <c r="AK437" i="1" s="1"/>
  <c r="AF437" i="1"/>
  <c r="AG437" i="1" s="1"/>
  <c r="AH437" i="1" s="1"/>
  <c r="AV437" i="1" s="1"/>
  <c r="AW437" i="1" s="1"/>
  <c r="AM439" i="1"/>
  <c r="AP439" i="1" s="1"/>
  <c r="AS439" i="1" s="1"/>
  <c r="AI449" i="1"/>
  <c r="AK449" i="1" s="1"/>
  <c r="AF449" i="1"/>
  <c r="AI485" i="1"/>
  <c r="AK485" i="1" s="1"/>
  <c r="AF485" i="1"/>
  <c r="AI527" i="1"/>
  <c r="AK527" i="1" s="1"/>
  <c r="AF527" i="1"/>
  <c r="AM657" i="1"/>
  <c r="AP657" i="1" s="1"/>
  <c r="AS657" i="1" s="1"/>
  <c r="AG657" i="1"/>
  <c r="AH657" i="1" s="1"/>
  <c r="AV657" i="1" s="1"/>
  <c r="AW657" i="1" s="1"/>
  <c r="AI76" i="1"/>
  <c r="AK76" i="1" s="1"/>
  <c r="AF76" i="1"/>
  <c r="AF710" i="1"/>
  <c r="AI715" i="1"/>
  <c r="AK715" i="1" s="1"/>
  <c r="AF715" i="1"/>
  <c r="AI722" i="1"/>
  <c r="AK722" i="1" s="1"/>
  <c r="AF722" i="1"/>
  <c r="AM722" i="1" s="1"/>
  <c r="AP722" i="1" s="1"/>
  <c r="AS722" i="1" s="1"/>
  <c r="AI738" i="1"/>
  <c r="AK738" i="1" s="1"/>
  <c r="AF738" i="1"/>
  <c r="AF798" i="1"/>
  <c r="AG798" i="1" s="1"/>
  <c r="AI798" i="1"/>
  <c r="AK798" i="1" s="1"/>
  <c r="AI601" i="1"/>
  <c r="AK601" i="1" s="1"/>
  <c r="AI767" i="1"/>
  <c r="AK767" i="1" s="1"/>
  <c r="AI698" i="1"/>
  <c r="AK698" i="1" s="1"/>
  <c r="AI736" i="1"/>
  <c r="AK736" i="1" s="1"/>
  <c r="AM892" i="1"/>
  <c r="AP892" i="1" s="1"/>
  <c r="AS892" i="1" s="1"/>
  <c r="AM718" i="1"/>
  <c r="AP718" i="1" s="1"/>
  <c r="AS718" i="1" s="1"/>
  <c r="AF472" i="1"/>
  <c r="AM472" i="1" s="1"/>
  <c r="AP472" i="1" s="1"/>
  <c r="AS472" i="1" s="1"/>
  <c r="AF476" i="1"/>
  <c r="AG476" i="1" s="1"/>
  <c r="AH476" i="1" s="1"/>
  <c r="AV476" i="1" s="1"/>
  <c r="AW476" i="1" s="1"/>
  <c r="AF533" i="1"/>
  <c r="AM533" i="1" s="1"/>
  <c r="AP533" i="1" s="1"/>
  <c r="AS533" i="1" s="1"/>
  <c r="AF540" i="1"/>
  <c r="AM540" i="1" s="1"/>
  <c r="AP540" i="1" s="1"/>
  <c r="AS540" i="1" s="1"/>
  <c r="AF550" i="1"/>
  <c r="AM550" i="1" s="1"/>
  <c r="AP550" i="1" s="1"/>
  <c r="AS550" i="1" s="1"/>
  <c r="AF587" i="1"/>
  <c r="AM587" i="1" s="1"/>
  <c r="AP587" i="1" s="1"/>
  <c r="AS587" i="1" s="1"/>
  <c r="AF597" i="1"/>
  <c r="AI622" i="1"/>
  <c r="AK622" i="1" s="1"/>
  <c r="AM628" i="1"/>
  <c r="AP628" i="1" s="1"/>
  <c r="AS628" i="1" s="1"/>
  <c r="AG656" i="1"/>
  <c r="AH656" i="1" s="1"/>
  <c r="AV656" i="1" s="1"/>
  <c r="AW656" i="1" s="1"/>
  <c r="AF727" i="1"/>
  <c r="AF742" i="1"/>
  <c r="AM742" i="1" s="1"/>
  <c r="AP742" i="1" s="1"/>
  <c r="AS742" i="1" s="1"/>
  <c r="AF749" i="1"/>
  <c r="AG749" i="1" s="1"/>
  <c r="AH749" i="1" s="1"/>
  <c r="AV749" i="1" s="1"/>
  <c r="AW749" i="1" s="1"/>
  <c r="AF670" i="1"/>
  <c r="AF805" i="1"/>
  <c r="AF642" i="1"/>
  <c r="AG642" i="1" s="1"/>
  <c r="AH642" i="1" s="1"/>
  <c r="AV642" i="1" s="1"/>
  <c r="AW642" i="1" s="1"/>
  <c r="AI656" i="1"/>
  <c r="AK656" i="1" s="1"/>
  <c r="AF777" i="1"/>
  <c r="AG777" i="1" s="1"/>
  <c r="AF820" i="1"/>
  <c r="AM820" i="1" s="1"/>
  <c r="AP820" i="1" s="1"/>
  <c r="AS820" i="1" s="1"/>
  <c r="AI774" i="1"/>
  <c r="AG457" i="1"/>
  <c r="AH457" i="1" s="1"/>
  <c r="AV457" i="1" s="1"/>
  <c r="AW457" i="1" s="1"/>
  <c r="AF482" i="1"/>
  <c r="AM482" i="1" s="1"/>
  <c r="AP482" i="1" s="1"/>
  <c r="AS482" i="1" s="1"/>
  <c r="AF484" i="1"/>
  <c r="AG484" i="1" s="1"/>
  <c r="AH484" i="1" s="1"/>
  <c r="AF515" i="1"/>
  <c r="AM515" i="1" s="1"/>
  <c r="AP515" i="1" s="1"/>
  <c r="AS515" i="1" s="1"/>
  <c r="AI552" i="1"/>
  <c r="AM552" i="1" s="1"/>
  <c r="AP552" i="1" s="1"/>
  <c r="AS552" i="1" s="1"/>
  <c r="AF555" i="1"/>
  <c r="AG555" i="1" s="1"/>
  <c r="AH555" i="1" s="1"/>
  <c r="AV555" i="1" s="1"/>
  <c r="AW555" i="1" s="1"/>
  <c r="AF562" i="1"/>
  <c r="AG636" i="1"/>
  <c r="AH636" i="1" s="1"/>
  <c r="AV636" i="1" s="1"/>
  <c r="AW636" i="1" s="1"/>
  <c r="AG655" i="1"/>
  <c r="AI689" i="1"/>
  <c r="AK689" i="1" s="1"/>
  <c r="AF725" i="1"/>
  <c r="AG725" i="1" s="1"/>
  <c r="AK717" i="1"/>
  <c r="AF741" i="1"/>
  <c r="AG741" i="1" s="1"/>
  <c r="AH741" i="1" s="1"/>
  <c r="AV741" i="1" s="1"/>
  <c r="AW741" i="1" s="1"/>
  <c r="AF745" i="1"/>
  <c r="AM745" i="1" s="1"/>
  <c r="AP745" i="1" s="1"/>
  <c r="AS745" i="1" s="1"/>
  <c r="AI825" i="1"/>
  <c r="AK825" i="1" s="1"/>
  <c r="AH196" i="1"/>
  <c r="AV196" i="1" s="1"/>
  <c r="AW196" i="1" s="1"/>
  <c r="AG752" i="1"/>
  <c r="AH752" i="1" s="1"/>
  <c r="AV752" i="1" s="1"/>
  <c r="AW752" i="1" s="1"/>
  <c r="AG799" i="1"/>
  <c r="AH799" i="1" s="1"/>
  <c r="AV799" i="1" s="1"/>
  <c r="AW799" i="1" s="1"/>
  <c r="AF829" i="1"/>
  <c r="AG829" i="1" s="1"/>
  <c r="AF831" i="1"/>
  <c r="AM831" i="1" s="1"/>
  <c r="AP831" i="1" s="1"/>
  <c r="AS831" i="1" s="1"/>
  <c r="AI836" i="1"/>
  <c r="AK836" i="1" s="1"/>
  <c r="AG838" i="1"/>
  <c r="AH838" i="1" s="1"/>
  <c r="AV838" i="1" s="1"/>
  <c r="AW838" i="1" s="1"/>
  <c r="AM849" i="1"/>
  <c r="AP849" i="1" s="1"/>
  <c r="AS849" i="1" s="1"/>
  <c r="AF516" i="1"/>
  <c r="AM516" i="1" s="1"/>
  <c r="AP516" i="1" s="1"/>
  <c r="AS516" i="1" s="1"/>
  <c r="AF879" i="1"/>
  <c r="AG879" i="1" s="1"/>
  <c r="AH879" i="1" s="1"/>
  <c r="AV879" i="1" s="1"/>
  <c r="AW879" i="1" s="1"/>
  <c r="AG893" i="1"/>
  <c r="AH893" i="1" s="1"/>
  <c r="AV893" i="1" s="1"/>
  <c r="AW893" i="1" s="1"/>
  <c r="AI708" i="1"/>
  <c r="AK708" i="1" s="1"/>
  <c r="AF756" i="1"/>
  <c r="AI196" i="1"/>
  <c r="AK196" i="1" s="1"/>
  <c r="AM814" i="1"/>
  <c r="AP814" i="1" s="1"/>
  <c r="AS814" i="1" s="1"/>
  <c r="AM817" i="1"/>
  <c r="AP817" i="1" s="1"/>
  <c r="AS817" i="1" s="1"/>
  <c r="AF414" i="1"/>
  <c r="AI893" i="1"/>
  <c r="AK893" i="1" s="1"/>
  <c r="AF520" i="1"/>
  <c r="AG520" i="1" s="1"/>
  <c r="AH520" i="1" s="1"/>
  <c r="AV520" i="1" s="1"/>
  <c r="AW520" i="1" s="1"/>
  <c r="AF528" i="1"/>
  <c r="AM528" i="1" s="1"/>
  <c r="AP528" i="1" s="1"/>
  <c r="AS528" i="1" s="1"/>
  <c r="AF499" i="1"/>
  <c r="AG499" i="1" s="1"/>
  <c r="AI510" i="1"/>
  <c r="AK510" i="1" s="1"/>
  <c r="AF522" i="1"/>
  <c r="AH530" i="1"/>
  <c r="AV530" i="1" s="1"/>
  <c r="AW530" i="1" s="1"/>
  <c r="AF567" i="1"/>
  <c r="AM567" i="1" s="1"/>
  <c r="AP567" i="1" s="1"/>
  <c r="AS567" i="1" s="1"/>
  <c r="AF895" i="1"/>
  <c r="AG577" i="1"/>
  <c r="AH577" i="1" s="1"/>
  <c r="AV577" i="1" s="1"/>
  <c r="AW577" i="1" s="1"/>
  <c r="AF588" i="1"/>
  <c r="AF590" i="1"/>
  <c r="AG590" i="1" s="1"/>
  <c r="AG606" i="1"/>
  <c r="AH606" i="1" s="1"/>
  <c r="AV606" i="1" s="1"/>
  <c r="AW606" i="1" s="1"/>
  <c r="AI6" i="1"/>
  <c r="AK6" i="1" s="1"/>
  <c r="AG665" i="1"/>
  <c r="AH665" i="1" s="1"/>
  <c r="AV665" i="1" s="1"/>
  <c r="AW665" i="1" s="1"/>
  <c r="AF868" i="1"/>
  <c r="AF711" i="1"/>
  <c r="AM711" i="1" s="1"/>
  <c r="AP711" i="1" s="1"/>
  <c r="AS711" i="1" s="1"/>
  <c r="AF754" i="1"/>
  <c r="AI29" i="1"/>
  <c r="AF773" i="1"/>
  <c r="AM773" i="1" s="1"/>
  <c r="AP773" i="1" s="1"/>
  <c r="AS773" i="1" s="1"/>
  <c r="AF726" i="1"/>
  <c r="AG726" i="1" s="1"/>
  <c r="AK752" i="1"/>
  <c r="AF423" i="1"/>
  <c r="AM423" i="1" s="1"/>
  <c r="AP423" i="1" s="1"/>
  <c r="AS423" i="1" s="1"/>
  <c r="AF874" i="1"/>
  <c r="AG874" i="1" s="1"/>
  <c r="AH874" i="1" s="1"/>
  <c r="AV874" i="1" s="1"/>
  <c r="AW874" i="1" s="1"/>
  <c r="AI888" i="1"/>
  <c r="AK888" i="1" s="1"/>
  <c r="AI554" i="1"/>
  <c r="AK554" i="1" s="1"/>
  <c r="AI771" i="1"/>
  <c r="AM771" i="1" s="1"/>
  <c r="AP771" i="1" s="1"/>
  <c r="AS771" i="1" s="1"/>
  <c r="AH736" i="1"/>
  <c r="AV736" i="1" s="1"/>
  <c r="AW736" i="1" s="1"/>
  <c r="AF226" i="1"/>
  <c r="AG28" i="1"/>
  <c r="AH28" i="1" s="1"/>
  <c r="AV28" i="1" s="1"/>
  <c r="AW28" i="1" s="1"/>
  <c r="AH19" i="1"/>
  <c r="AV19" i="1" s="1"/>
  <c r="AW19" i="1" s="1"/>
  <c r="AI39" i="1"/>
  <c r="AK39" i="1" s="1"/>
  <c r="AF39" i="1"/>
  <c r="AI118" i="1"/>
  <c r="AK118" i="1" s="1"/>
  <c r="AF118" i="1"/>
  <c r="AH2" i="1"/>
  <c r="AV2" i="1" s="1"/>
  <c r="AW2" i="1" s="1"/>
  <c r="AG3" i="1"/>
  <c r="AH3" i="1" s="1"/>
  <c r="AV3" i="1" s="1"/>
  <c r="AW3" i="1" s="1"/>
  <c r="AG10" i="1"/>
  <c r="AH10" i="1" s="1"/>
  <c r="AV10" i="1" s="1"/>
  <c r="AW10" i="1" s="1"/>
  <c r="AF15" i="1"/>
  <c r="AH18" i="1"/>
  <c r="AV18" i="1" s="1"/>
  <c r="AW18" i="1" s="1"/>
  <c r="AI34" i="1"/>
  <c r="AK34" i="1" s="1"/>
  <c r="AF34" i="1"/>
  <c r="AK78" i="1"/>
  <c r="AG121" i="1"/>
  <c r="AH121" i="1" s="1"/>
  <c r="AV121" i="1" s="1"/>
  <c r="AW121" i="1" s="1"/>
  <c r="AM71" i="1"/>
  <c r="AP71" i="1" s="1"/>
  <c r="AS71" i="1" s="1"/>
  <c r="AG71" i="1"/>
  <c r="AH71" i="1" s="1"/>
  <c r="AV71" i="1" s="1"/>
  <c r="AW71" i="1" s="1"/>
  <c r="AG132" i="1"/>
  <c r="AH132" i="1" s="1"/>
  <c r="AV132" i="1" s="1"/>
  <c r="AW132" i="1" s="1"/>
  <c r="AI193" i="1"/>
  <c r="AK193" i="1" s="1"/>
  <c r="AF193" i="1"/>
  <c r="AM86" i="1"/>
  <c r="AP86" i="1" s="1"/>
  <c r="AS86" i="1" s="1"/>
  <c r="AK7" i="1"/>
  <c r="AG14" i="1"/>
  <c r="AH14" i="1" s="1"/>
  <c r="AV14" i="1" s="1"/>
  <c r="AW14" i="1" s="1"/>
  <c r="AF22" i="1"/>
  <c r="AM38" i="1"/>
  <c r="AP38" i="1" s="1"/>
  <c r="AS38" i="1" s="1"/>
  <c r="AK41" i="1"/>
  <c r="AG86" i="1"/>
  <c r="AH86" i="1" s="1"/>
  <c r="AV86" i="1" s="1"/>
  <c r="AW86" i="1" s="1"/>
  <c r="AG174" i="1"/>
  <c r="AH174" i="1" s="1"/>
  <c r="AV174" i="1" s="1"/>
  <c r="AW174" i="1" s="1"/>
  <c r="AM46" i="1"/>
  <c r="AP46" i="1" s="1"/>
  <c r="AS46" i="1" s="1"/>
  <c r="AG46" i="1"/>
  <c r="AH46" i="1" s="1"/>
  <c r="AV46" i="1" s="1"/>
  <c r="AW46" i="1" s="1"/>
  <c r="AI64" i="1"/>
  <c r="AK64" i="1" s="1"/>
  <c r="AF64" i="1"/>
  <c r="AI763" i="1"/>
  <c r="AK763" i="1" s="1"/>
  <c r="AF763" i="1"/>
  <c r="AI12" i="1"/>
  <c r="AK12" i="1" s="1"/>
  <c r="AF12" i="1"/>
  <c r="AH13" i="1"/>
  <c r="AV13" i="1" s="1"/>
  <c r="AW13" i="1" s="1"/>
  <c r="AI753" i="1"/>
  <c r="AK753" i="1" s="1"/>
  <c r="AF753" i="1"/>
  <c r="AM61" i="1"/>
  <c r="AP61" i="1" s="1"/>
  <c r="AS61" i="1" s="1"/>
  <c r="AG68" i="1"/>
  <c r="AH68" i="1" s="1"/>
  <c r="AV68" i="1" s="1"/>
  <c r="AW68" i="1" s="1"/>
  <c r="AI164" i="1"/>
  <c r="AK164" i="1" s="1"/>
  <c r="AF164" i="1"/>
  <c r="AG33" i="1"/>
  <c r="AH33" i="1" s="1"/>
  <c r="AV33" i="1" s="1"/>
  <c r="AW33" i="1" s="1"/>
  <c r="AM33" i="1"/>
  <c r="AP33" i="1" s="1"/>
  <c r="AS33" i="1" s="1"/>
  <c r="AG70" i="1"/>
  <c r="AH70" i="1" s="1"/>
  <c r="AV70" i="1" s="1"/>
  <c r="AW70" i="1" s="1"/>
  <c r="AM70" i="1"/>
  <c r="AP70" i="1" s="1"/>
  <c r="AS70" i="1" s="1"/>
  <c r="AI152" i="1"/>
  <c r="AK152" i="1" s="1"/>
  <c r="AF152" i="1"/>
  <c r="AM300" i="1"/>
  <c r="AP300" i="1" s="1"/>
  <c r="AS300" i="1" s="1"/>
  <c r="AG300" i="1"/>
  <c r="AH300" i="1" s="1"/>
  <c r="AV300" i="1" s="1"/>
  <c r="AW300" i="1" s="1"/>
  <c r="AI40" i="1"/>
  <c r="AK40" i="1" s="1"/>
  <c r="AF40" i="1"/>
  <c r="AG94" i="1"/>
  <c r="AH94" i="1" s="1"/>
  <c r="AV94" i="1" s="1"/>
  <c r="AW94" i="1" s="1"/>
  <c r="AI14" i="1"/>
  <c r="AK14" i="1" s="1"/>
  <c r="AM24" i="1"/>
  <c r="AP24" i="1" s="1"/>
  <c r="AS24" i="1" s="1"/>
  <c r="AI48" i="1"/>
  <c r="AK48" i="1" s="1"/>
  <c r="AF48" i="1"/>
  <c r="AM5" i="1"/>
  <c r="AP5" i="1" s="1"/>
  <c r="AS5" i="1" s="1"/>
  <c r="AG5" i="1"/>
  <c r="AH5" i="1" s="1"/>
  <c r="AV5" i="1" s="1"/>
  <c r="AW5" i="1" s="1"/>
  <c r="AI11" i="1"/>
  <c r="AK11" i="1" s="1"/>
  <c r="AF11" i="1"/>
  <c r="AM13" i="1"/>
  <c r="AP13" i="1" s="1"/>
  <c r="AS13" i="1" s="1"/>
  <c r="AI16" i="1"/>
  <c r="AK16" i="1" s="1"/>
  <c r="AF16" i="1"/>
  <c r="AG82" i="1"/>
  <c r="AH82" i="1" s="1"/>
  <c r="AV82" i="1" s="1"/>
  <c r="AW82" i="1" s="1"/>
  <c r="AM158" i="1"/>
  <c r="AP158" i="1" s="1"/>
  <c r="AS158" i="1" s="1"/>
  <c r="AK158" i="1"/>
  <c r="AI17" i="1"/>
  <c r="AK17" i="1" s="1"/>
  <c r="AF17" i="1"/>
  <c r="AI20" i="1"/>
  <c r="AK20" i="1" s="1"/>
  <c r="AF20" i="1"/>
  <c r="AF65" i="1"/>
  <c r="AI65" i="1"/>
  <c r="AK65" i="1" s="1"/>
  <c r="AI870" i="1"/>
  <c r="AK870" i="1" s="1"/>
  <c r="AF870" i="1"/>
  <c r="AM173" i="1"/>
  <c r="AP173" i="1" s="1"/>
  <c r="AS173" i="1" s="1"/>
  <c r="AG173" i="1"/>
  <c r="AH173" i="1" s="1"/>
  <c r="AV173" i="1" s="1"/>
  <c r="AW173" i="1" s="1"/>
  <c r="AH31" i="1"/>
  <c r="AV31" i="1" s="1"/>
  <c r="AW31" i="1" s="1"/>
  <c r="AH32" i="1"/>
  <c r="AV32" i="1" s="1"/>
  <c r="AW32" i="1" s="1"/>
  <c r="AF49" i="1"/>
  <c r="AI49" i="1"/>
  <c r="AK49" i="1" s="1"/>
  <c r="AM56" i="1"/>
  <c r="AP56" i="1" s="1"/>
  <c r="AS56" i="1" s="1"/>
  <c r="AG56" i="1"/>
  <c r="AH56" i="1" s="1"/>
  <c r="AV56" i="1" s="1"/>
  <c r="AW56" i="1" s="1"/>
  <c r="AI23" i="1"/>
  <c r="AK23" i="1" s="1"/>
  <c r="AF23" i="1"/>
  <c r="AM27" i="1"/>
  <c r="AP27" i="1" s="1"/>
  <c r="AS27" i="1" s="1"/>
  <c r="AG27" i="1"/>
  <c r="AH27" i="1" s="1"/>
  <c r="AV27" i="1" s="1"/>
  <c r="AW27" i="1" s="1"/>
  <c r="AI32" i="1"/>
  <c r="AK32" i="1" s="1"/>
  <c r="AH42" i="1"/>
  <c r="AV42" i="1" s="1"/>
  <c r="AW42" i="1" s="1"/>
  <c r="AI549" i="1"/>
  <c r="AK549" i="1" s="1"/>
  <c r="AF549" i="1"/>
  <c r="AM67" i="1"/>
  <c r="AP67" i="1" s="1"/>
  <c r="AS67" i="1" s="1"/>
  <c r="AK67" i="1"/>
  <c r="AM69" i="1"/>
  <c r="AP69" i="1" s="1"/>
  <c r="AS69" i="1" s="1"/>
  <c r="AG69" i="1"/>
  <c r="AH69" i="1" s="1"/>
  <c r="AV69" i="1" s="1"/>
  <c r="AW69" i="1" s="1"/>
  <c r="AH90" i="1"/>
  <c r="AV90" i="1" s="1"/>
  <c r="AW90" i="1" s="1"/>
  <c r="AG106" i="1"/>
  <c r="AH106" i="1" s="1"/>
  <c r="AV106" i="1" s="1"/>
  <c r="AW106" i="1" s="1"/>
  <c r="AM128" i="1"/>
  <c r="AP128" i="1" s="1"/>
  <c r="AS128" i="1" s="1"/>
  <c r="AG128" i="1"/>
  <c r="AH128" i="1" s="1"/>
  <c r="AV128" i="1" s="1"/>
  <c r="AW128" i="1" s="1"/>
  <c r="AI130" i="1"/>
  <c r="AK130" i="1" s="1"/>
  <c r="AF130" i="1"/>
  <c r="AI53" i="1"/>
  <c r="AK53" i="1" s="1"/>
  <c r="AF53" i="1"/>
  <c r="AI73" i="1"/>
  <c r="AK73" i="1" s="1"/>
  <c r="AF73" i="1"/>
  <c r="AM204" i="1"/>
  <c r="AP204" i="1" s="1"/>
  <c r="AS204" i="1" s="1"/>
  <c r="AG204" i="1"/>
  <c r="AH204" i="1" s="1"/>
  <c r="AV204" i="1" s="1"/>
  <c r="AW204" i="1" s="1"/>
  <c r="AM249" i="1"/>
  <c r="AP249" i="1" s="1"/>
  <c r="AS249" i="1" s="1"/>
  <c r="AG249" i="1"/>
  <c r="AH249" i="1" s="1"/>
  <c r="AV249" i="1" s="1"/>
  <c r="AW249" i="1" s="1"/>
  <c r="AG100" i="1"/>
  <c r="AH100" i="1" s="1"/>
  <c r="AV100" i="1" s="1"/>
  <c r="AW100" i="1" s="1"/>
  <c r="AI138" i="1"/>
  <c r="AK138" i="1" s="1"/>
  <c r="AF138" i="1"/>
  <c r="AI178" i="1"/>
  <c r="AK178" i="1" s="1"/>
  <c r="AF178" i="1"/>
  <c r="AG185" i="1"/>
  <c r="AH185" i="1" s="1"/>
  <c r="AV185" i="1" s="1"/>
  <c r="AW185" i="1" s="1"/>
  <c r="AI243" i="1"/>
  <c r="AK243" i="1" s="1"/>
  <c r="AF243" i="1"/>
  <c r="AI303" i="1"/>
  <c r="AK303" i="1" s="1"/>
  <c r="AF303" i="1"/>
  <c r="AF320" i="1"/>
  <c r="AI320" i="1"/>
  <c r="AK320" i="1" s="1"/>
  <c r="AM557" i="1"/>
  <c r="AP557" i="1" s="1"/>
  <c r="AS557" i="1" s="1"/>
  <c r="AM168" i="1"/>
  <c r="AP168" i="1" s="1"/>
  <c r="AS168" i="1" s="1"/>
  <c r="AG576" i="1"/>
  <c r="AH576" i="1" s="1"/>
  <c r="AV576" i="1" s="1"/>
  <c r="AW576" i="1" s="1"/>
  <c r="AI217" i="1"/>
  <c r="AK217" i="1" s="1"/>
  <c r="AF217" i="1"/>
  <c r="AF114" i="1"/>
  <c r="AG117" i="1"/>
  <c r="AH117" i="1" s="1"/>
  <c r="AV117" i="1" s="1"/>
  <c r="AW117" i="1" s="1"/>
  <c r="AI126" i="1"/>
  <c r="AK126" i="1" s="1"/>
  <c r="AF126" i="1"/>
  <c r="AK150" i="1"/>
  <c r="AH163" i="1"/>
  <c r="AV163" i="1" s="1"/>
  <c r="AW163" i="1" s="1"/>
  <c r="AG168" i="1"/>
  <c r="AH168" i="1" s="1"/>
  <c r="AV168" i="1" s="1"/>
  <c r="AW168" i="1" s="1"/>
  <c r="AG192" i="1"/>
  <c r="AH192" i="1" s="1"/>
  <c r="AV192" i="1" s="1"/>
  <c r="AW192" i="1" s="1"/>
  <c r="AM75" i="1"/>
  <c r="AP75" i="1" s="1"/>
  <c r="AS75" i="1" s="1"/>
  <c r="AM54" i="1"/>
  <c r="AP54" i="1" s="1"/>
  <c r="AS54" i="1" s="1"/>
  <c r="AF525" i="1"/>
  <c r="AF99" i="1"/>
  <c r="AH557" i="1"/>
  <c r="AV557" i="1" s="1"/>
  <c r="AW557" i="1" s="1"/>
  <c r="AI111" i="1"/>
  <c r="AK111" i="1" s="1"/>
  <c r="AF111" i="1"/>
  <c r="AI137" i="1"/>
  <c r="AK137" i="1" s="1"/>
  <c r="AF137" i="1"/>
  <c r="AI142" i="1"/>
  <c r="AK142" i="1" s="1"/>
  <c r="AF142" i="1"/>
  <c r="AM149" i="1"/>
  <c r="AP149" i="1" s="1"/>
  <c r="AS149" i="1" s="1"/>
  <c r="AG714" i="1"/>
  <c r="AH714" i="1" s="1"/>
  <c r="AV714" i="1" s="1"/>
  <c r="AW714" i="1" s="1"/>
  <c r="AF201" i="1"/>
  <c r="AG209" i="1"/>
  <c r="AH209" i="1"/>
  <c r="AV209" i="1" s="1"/>
  <c r="AW209" i="1" s="1"/>
  <c r="AM228" i="1"/>
  <c r="AP228" i="1" s="1"/>
  <c r="AS228" i="1" s="1"/>
  <c r="AK228" i="1"/>
  <c r="AG334" i="1"/>
  <c r="AH334" i="1" s="1"/>
  <c r="AV334" i="1" s="1"/>
  <c r="AW334" i="1" s="1"/>
  <c r="AG108" i="1"/>
  <c r="AH108" i="1" s="1"/>
  <c r="AV108" i="1" s="1"/>
  <c r="AW108" i="1" s="1"/>
  <c r="AG147" i="1"/>
  <c r="AH147" i="1" s="1"/>
  <c r="AV147" i="1" s="1"/>
  <c r="AW147" i="1" s="1"/>
  <c r="AG183" i="1"/>
  <c r="AH183" i="1" s="1"/>
  <c r="AV183" i="1" s="1"/>
  <c r="AW183" i="1" s="1"/>
  <c r="AG203" i="1"/>
  <c r="AH203" i="1" s="1"/>
  <c r="AV203" i="1" s="1"/>
  <c r="AW203" i="1" s="1"/>
  <c r="AM203" i="1"/>
  <c r="AP203" i="1" s="1"/>
  <c r="AS203" i="1" s="1"/>
  <c r="AI246" i="1"/>
  <c r="AK246" i="1" s="1"/>
  <c r="AF246" i="1"/>
  <c r="AM256" i="1"/>
  <c r="AP256" i="1" s="1"/>
  <c r="AS256" i="1" s="1"/>
  <c r="AG256" i="1"/>
  <c r="AH256" i="1" s="1"/>
  <c r="AV256" i="1" s="1"/>
  <c r="AW256" i="1" s="1"/>
  <c r="AM261" i="1"/>
  <c r="AP261" i="1" s="1"/>
  <c r="AS261" i="1" s="1"/>
  <c r="AK261" i="1"/>
  <c r="AG155" i="1"/>
  <c r="AH155" i="1" s="1"/>
  <c r="AV155" i="1" s="1"/>
  <c r="AW155" i="1" s="1"/>
  <c r="AG175" i="1"/>
  <c r="AH175" i="1" s="1"/>
  <c r="AV175" i="1" s="1"/>
  <c r="AW175" i="1" s="1"/>
  <c r="AG180" i="1"/>
  <c r="AH180" i="1" s="1"/>
  <c r="AV180" i="1" s="1"/>
  <c r="AW180" i="1" s="1"/>
  <c r="AM258" i="1"/>
  <c r="AP258" i="1" s="1"/>
  <c r="AS258" i="1" s="1"/>
  <c r="AI240" i="1"/>
  <c r="AK240" i="1" s="1"/>
  <c r="AF240" i="1"/>
  <c r="AG266" i="1"/>
  <c r="AH266" i="1" s="1"/>
  <c r="AV266" i="1" s="1"/>
  <c r="AW266" i="1" s="1"/>
  <c r="AF98" i="1"/>
  <c r="AF125" i="1"/>
  <c r="AF25" i="1"/>
  <c r="AF30" i="1"/>
  <c r="AF35" i="1"/>
  <c r="AF66" i="1"/>
  <c r="AF77" i="1"/>
  <c r="AF864" i="1"/>
  <c r="AK96" i="1"/>
  <c r="AG97" i="1"/>
  <c r="AH97" i="1" s="1"/>
  <c r="AV97" i="1" s="1"/>
  <c r="AW97" i="1" s="1"/>
  <c r="AG109" i="1"/>
  <c r="AH109" i="1" s="1"/>
  <c r="AV109" i="1" s="1"/>
  <c r="AW109" i="1" s="1"/>
  <c r="AF110" i="1"/>
  <c r="AH802" i="1"/>
  <c r="AV802" i="1" s="1"/>
  <c r="AW802" i="1" s="1"/>
  <c r="AF124" i="1"/>
  <c r="AI134" i="1"/>
  <c r="AK134" i="1" s="1"/>
  <c r="AF134" i="1"/>
  <c r="AF136" i="1"/>
  <c r="AI141" i="1"/>
  <c r="AK141" i="1" s="1"/>
  <c r="AF141" i="1"/>
  <c r="AM146" i="1"/>
  <c r="AP146" i="1" s="1"/>
  <c r="AS146" i="1" s="1"/>
  <c r="AG146" i="1"/>
  <c r="AH146" i="1" s="1"/>
  <c r="AV146" i="1" s="1"/>
  <c r="AW146" i="1" s="1"/>
  <c r="AF148" i="1"/>
  <c r="AK167" i="1"/>
  <c r="AM177" i="1"/>
  <c r="AP177" i="1" s="1"/>
  <c r="AS177" i="1" s="1"/>
  <c r="AG186" i="1"/>
  <c r="AH186" i="1" s="1"/>
  <c r="AV186" i="1" s="1"/>
  <c r="AW186" i="1" s="1"/>
  <c r="AG707" i="1"/>
  <c r="AH707" i="1" s="1"/>
  <c r="AV707" i="1" s="1"/>
  <c r="AW707" i="1" s="1"/>
  <c r="AI218" i="1"/>
  <c r="AK218" i="1" s="1"/>
  <c r="AF218" i="1"/>
  <c r="AG258" i="1"/>
  <c r="AH258" i="1" s="1"/>
  <c r="AV258" i="1" s="1"/>
  <c r="AW258" i="1" s="1"/>
  <c r="AG276" i="1"/>
  <c r="AH276" i="1" s="1"/>
  <c r="AV276" i="1" s="1"/>
  <c r="AW276" i="1" s="1"/>
  <c r="AK531" i="1"/>
  <c r="AG80" i="1"/>
  <c r="AH80" i="1" s="1"/>
  <c r="AV80" i="1" s="1"/>
  <c r="AW80" i="1" s="1"/>
  <c r="AG84" i="1"/>
  <c r="AH84" i="1" s="1"/>
  <c r="AV84" i="1" s="1"/>
  <c r="AW84" i="1" s="1"/>
  <c r="AM107" i="1"/>
  <c r="AP107" i="1" s="1"/>
  <c r="AS107" i="1" s="1"/>
  <c r="AG122" i="1"/>
  <c r="AH122" i="1" s="1"/>
  <c r="AV122" i="1" s="1"/>
  <c r="AW122" i="1" s="1"/>
  <c r="AK154" i="1"/>
  <c r="AG182" i="1"/>
  <c r="AH182" i="1" s="1"/>
  <c r="AV182" i="1" s="1"/>
  <c r="AW182" i="1" s="1"/>
  <c r="AG26" i="1"/>
  <c r="AH26" i="1" s="1"/>
  <c r="AV26" i="1" s="1"/>
  <c r="AW26" i="1" s="1"/>
  <c r="AG67" i="1"/>
  <c r="AH67" i="1" s="1"/>
  <c r="AV67" i="1" s="1"/>
  <c r="AW67" i="1" s="1"/>
  <c r="AF83" i="1"/>
  <c r="AF87" i="1"/>
  <c r="AF91" i="1"/>
  <c r="AG104" i="1"/>
  <c r="AH104" i="1" s="1"/>
  <c r="AV104" i="1" s="1"/>
  <c r="AW104" i="1" s="1"/>
  <c r="AG119" i="1"/>
  <c r="AH119" i="1" s="1"/>
  <c r="AV119" i="1" s="1"/>
  <c r="AW119" i="1" s="1"/>
  <c r="AI169" i="1"/>
  <c r="AK169" i="1" s="1"/>
  <c r="AF169" i="1"/>
  <c r="AG200" i="1"/>
  <c r="AH200" i="1" s="1"/>
  <c r="AV200" i="1" s="1"/>
  <c r="AW200" i="1" s="1"/>
  <c r="AF357" i="1"/>
  <c r="AI546" i="1"/>
  <c r="AK546" i="1" s="1"/>
  <c r="AF546" i="1"/>
  <c r="AF133" i="1"/>
  <c r="AF140" i="1"/>
  <c r="AI145" i="1"/>
  <c r="AK145" i="1" s="1"/>
  <c r="AF145" i="1"/>
  <c r="AF160" i="1"/>
  <c r="AM199" i="1"/>
  <c r="AP199" i="1" s="1"/>
  <c r="AS199" i="1" s="1"/>
  <c r="AG687" i="1"/>
  <c r="AH687" i="1" s="1"/>
  <c r="AV687" i="1" s="1"/>
  <c r="AW687" i="1" s="1"/>
  <c r="AG239" i="1"/>
  <c r="AH239" i="1" s="1"/>
  <c r="AV239" i="1" s="1"/>
  <c r="AW239" i="1" s="1"/>
  <c r="AI313" i="1"/>
  <c r="AK313" i="1" s="1"/>
  <c r="AF313" i="1"/>
  <c r="AG338" i="1"/>
  <c r="AH338" i="1" s="1"/>
  <c r="AV338" i="1" s="1"/>
  <c r="AW338" i="1" s="1"/>
  <c r="AM241" i="1"/>
  <c r="AP241" i="1" s="1"/>
  <c r="AS241" i="1" s="1"/>
  <c r="AH241" i="1"/>
  <c r="AV241" i="1" s="1"/>
  <c r="AW241" i="1" s="1"/>
  <c r="AI244" i="1"/>
  <c r="AK244" i="1" s="1"/>
  <c r="AF244" i="1"/>
  <c r="AG257" i="1"/>
  <c r="AH257" i="1" s="1"/>
  <c r="AV257" i="1" s="1"/>
  <c r="AW257" i="1" s="1"/>
  <c r="AM277" i="1"/>
  <c r="AP277" i="1" s="1"/>
  <c r="AS277" i="1" s="1"/>
  <c r="AG277" i="1"/>
  <c r="AH277" i="1" s="1"/>
  <c r="AV277" i="1" s="1"/>
  <c r="AW277" i="1" s="1"/>
  <c r="AF294" i="1"/>
  <c r="AI294" i="1"/>
  <c r="AK294" i="1" s="1"/>
  <c r="AI327" i="1"/>
  <c r="AK327" i="1" s="1"/>
  <c r="AF327" i="1"/>
  <c r="AI409" i="1"/>
  <c r="AK409" i="1" s="1"/>
  <c r="AF409" i="1"/>
  <c r="AG267" i="1"/>
  <c r="AH267" i="1" s="1"/>
  <c r="AV267" i="1" s="1"/>
  <c r="AW267" i="1" s="1"/>
  <c r="AG296" i="1"/>
  <c r="AH296" i="1" s="1"/>
  <c r="AV296" i="1" s="1"/>
  <c r="AW296" i="1" s="1"/>
  <c r="AI401" i="1"/>
  <c r="AK401" i="1" s="1"/>
  <c r="AF401" i="1"/>
  <c r="AF165" i="1"/>
  <c r="AF176" i="1"/>
  <c r="AF187" i="1"/>
  <c r="AF214" i="1"/>
  <c r="AF220" i="1"/>
  <c r="AI220" i="1"/>
  <c r="AK220" i="1" s="1"/>
  <c r="AF238" i="1"/>
  <c r="AH255" i="1"/>
  <c r="AV255" i="1" s="1"/>
  <c r="AW255" i="1" s="1"/>
  <c r="AF281" i="1"/>
  <c r="AH161" i="1"/>
  <c r="AV161" i="1" s="1"/>
  <c r="AW161" i="1" s="1"/>
  <c r="AI205" i="1"/>
  <c r="AF245" i="1"/>
  <c r="AI245" i="1"/>
  <c r="AK245" i="1" s="1"/>
  <c r="AH248" i="1"/>
  <c r="AV248" i="1" s="1"/>
  <c r="AW248" i="1" s="1"/>
  <c r="AM296" i="1"/>
  <c r="AP296" i="1" s="1"/>
  <c r="AS296" i="1" s="1"/>
  <c r="AI310" i="1"/>
  <c r="AK310" i="1" s="1"/>
  <c r="AF310" i="1"/>
  <c r="AK322" i="1"/>
  <c r="AG440" i="1"/>
  <c r="AH440" i="1" s="1"/>
  <c r="AV440" i="1" s="1"/>
  <c r="AW440" i="1" s="1"/>
  <c r="AG532" i="1"/>
  <c r="AH532" i="1" s="1"/>
  <c r="AV532" i="1" s="1"/>
  <c r="AW532" i="1" s="1"/>
  <c r="AI206" i="1"/>
  <c r="AK206" i="1" s="1"/>
  <c r="AF206" i="1"/>
  <c r="AI333" i="1"/>
  <c r="AK333" i="1" s="1"/>
  <c r="AF333" i="1"/>
  <c r="AG158" i="1"/>
  <c r="AH158" i="1" s="1"/>
  <c r="AV158" i="1" s="1"/>
  <c r="AW158" i="1" s="1"/>
  <c r="AG166" i="1"/>
  <c r="AH166" i="1" s="1"/>
  <c r="AV166" i="1" s="1"/>
  <c r="AW166" i="1" s="1"/>
  <c r="AG171" i="1"/>
  <c r="AH171" i="1" s="1"/>
  <c r="AV171" i="1" s="1"/>
  <c r="AW171" i="1" s="1"/>
  <c r="AM235" i="1"/>
  <c r="AP235" i="1" s="1"/>
  <c r="AS235" i="1" s="1"/>
  <c r="AF207" i="1"/>
  <c r="AI207" i="1"/>
  <c r="AK207" i="1" s="1"/>
  <c r="AM213" i="1"/>
  <c r="AP213" i="1" s="1"/>
  <c r="AS213" i="1" s="1"/>
  <c r="AI236" i="1"/>
  <c r="AK236" i="1" s="1"/>
  <c r="AF236" i="1"/>
  <c r="AI304" i="1"/>
  <c r="AK304" i="1" s="1"/>
  <c r="AF304" i="1"/>
  <c r="AG179" i="1"/>
  <c r="AH179" i="1" s="1"/>
  <c r="AV179" i="1" s="1"/>
  <c r="AW179" i="1" s="1"/>
  <c r="AF181" i="1"/>
  <c r="AG235" i="1"/>
  <c r="AH235" i="1" s="1"/>
  <c r="AV235" i="1" s="1"/>
  <c r="AW235" i="1" s="1"/>
  <c r="AG208" i="1"/>
  <c r="AH208" i="1" s="1"/>
  <c r="AV208" i="1" s="1"/>
  <c r="AW208" i="1" s="1"/>
  <c r="AF210" i="1"/>
  <c r="AG211" i="1"/>
  <c r="AH211" i="1" s="1"/>
  <c r="AV211" i="1" s="1"/>
  <c r="AW211" i="1" s="1"/>
  <c r="AG212" i="1"/>
  <c r="AH212" i="1" s="1"/>
  <c r="AV212" i="1" s="1"/>
  <c r="AW212" i="1" s="1"/>
  <c r="AH216" i="1"/>
  <c r="AV216" i="1" s="1"/>
  <c r="AW216" i="1" s="1"/>
  <c r="AI219" i="1"/>
  <c r="AK219" i="1" s="1"/>
  <c r="AF219" i="1"/>
  <c r="AI263" i="1"/>
  <c r="AK263" i="1" s="1"/>
  <c r="AF263" i="1"/>
  <c r="AH280" i="1"/>
  <c r="AV280" i="1" s="1"/>
  <c r="AW280" i="1" s="1"/>
  <c r="AM295" i="1"/>
  <c r="AP295" i="1" s="1"/>
  <c r="AS295" i="1" s="1"/>
  <c r="AH330" i="1"/>
  <c r="AV330" i="1" s="1"/>
  <c r="AW330" i="1" s="1"/>
  <c r="AI211" i="1"/>
  <c r="AI216" i="1"/>
  <c r="AG541" i="1"/>
  <c r="AH541" i="1" s="1"/>
  <c r="AV541" i="1" s="1"/>
  <c r="AW541" i="1" s="1"/>
  <c r="AI242" i="1"/>
  <c r="AK242" i="1" s="1"/>
  <c r="AF242" i="1"/>
  <c r="AI302" i="1"/>
  <c r="AK302" i="1" s="1"/>
  <c r="AF302" i="1"/>
  <c r="AG383" i="1"/>
  <c r="AH383" i="1" s="1"/>
  <c r="AV383" i="1" s="1"/>
  <c r="AW383" i="1" s="1"/>
  <c r="AM424" i="1"/>
  <c r="AP424" i="1" s="1"/>
  <c r="AS424" i="1" s="1"/>
  <c r="AG424" i="1"/>
  <c r="AH424" i="1" s="1"/>
  <c r="AV424" i="1" s="1"/>
  <c r="AW424" i="1" s="1"/>
  <c r="AI470" i="1"/>
  <c r="AK470" i="1" s="1"/>
  <c r="AF470" i="1"/>
  <c r="AM416" i="1"/>
  <c r="AP416" i="1" s="1"/>
  <c r="AS416" i="1" s="1"/>
  <c r="AG416" i="1"/>
  <c r="AH416" i="1" s="1"/>
  <c r="AV416" i="1" s="1"/>
  <c r="AW416" i="1" s="1"/>
  <c r="AI452" i="1"/>
  <c r="AK452" i="1" s="1"/>
  <c r="AF452" i="1"/>
  <c r="AF559" i="1"/>
  <c r="AI559" i="1"/>
  <c r="AK559" i="1" s="1"/>
  <c r="AF316" i="1"/>
  <c r="AI316" i="1"/>
  <c r="AK316" i="1" s="1"/>
  <c r="AI355" i="1"/>
  <c r="AK355" i="1" s="1"/>
  <c r="AF355" i="1"/>
  <c r="AG367" i="1"/>
  <c r="AH367" i="1" s="1"/>
  <c r="AV367" i="1" s="1"/>
  <c r="AW367" i="1" s="1"/>
  <c r="AM367" i="1"/>
  <c r="AP367" i="1" s="1"/>
  <c r="AS367" i="1" s="1"/>
  <c r="AF311" i="1"/>
  <c r="AG312" i="1"/>
  <c r="AH312" i="1" s="1"/>
  <c r="AV312" i="1" s="1"/>
  <c r="AW312" i="1" s="1"/>
  <c r="AF328" i="1"/>
  <c r="AF363" i="1"/>
  <c r="AK365" i="1"/>
  <c r="AM365" i="1"/>
  <c r="AP365" i="1" s="1"/>
  <c r="AS365" i="1" s="1"/>
  <c r="AG264" i="1"/>
  <c r="AH264" i="1" s="1"/>
  <c r="AV264" i="1" s="1"/>
  <c r="AW264" i="1" s="1"/>
  <c r="AI306" i="1"/>
  <c r="AK306" i="1" s="1"/>
  <c r="AF306" i="1"/>
  <c r="AI315" i="1"/>
  <c r="AK315" i="1" s="1"/>
  <c r="AF315" i="1"/>
  <c r="AG344" i="1"/>
  <c r="AH344" i="1" s="1"/>
  <c r="AV344" i="1" s="1"/>
  <c r="AW344" i="1" s="1"/>
  <c r="AF415" i="1"/>
  <c r="AI415" i="1"/>
  <c r="AK415" i="1" s="1"/>
  <c r="AF247" i="1"/>
  <c r="AI44" i="1"/>
  <c r="AF251" i="1"/>
  <c r="AI796" i="1"/>
  <c r="AK796" i="1" s="1"/>
  <c r="AF796" i="1"/>
  <c r="AM292" i="1"/>
  <c r="AP292" i="1" s="1"/>
  <c r="AS292" i="1" s="1"/>
  <c r="AM332" i="1"/>
  <c r="AP332" i="1" s="1"/>
  <c r="AS332" i="1" s="1"/>
  <c r="AG332" i="1"/>
  <c r="AH332" i="1" s="1"/>
  <c r="AV332" i="1" s="1"/>
  <c r="AW332" i="1" s="1"/>
  <c r="AM358" i="1"/>
  <c r="AP358" i="1" s="1"/>
  <c r="AS358" i="1" s="1"/>
  <c r="AI441" i="1"/>
  <c r="AK441" i="1" s="1"/>
  <c r="AF441" i="1"/>
  <c r="AF483" i="1"/>
  <c r="AI483" i="1"/>
  <c r="AK483" i="1" s="1"/>
  <c r="AF223" i="1"/>
  <c r="AG346" i="1"/>
  <c r="AH346" i="1" s="1"/>
  <c r="AV346" i="1" s="1"/>
  <c r="AW346" i="1" s="1"/>
  <c r="AI352" i="1"/>
  <c r="AK352" i="1" s="1"/>
  <c r="AF352" i="1"/>
  <c r="AI356" i="1"/>
  <c r="AK356" i="1" s="1"/>
  <c r="AF356" i="1"/>
  <c r="AG369" i="1"/>
  <c r="AH369" i="1" s="1"/>
  <c r="AV369" i="1" s="1"/>
  <c r="AW369" i="1" s="1"/>
  <c r="AI481" i="1"/>
  <c r="AK481" i="1" s="1"/>
  <c r="AF481" i="1"/>
  <c r="AG225" i="1"/>
  <c r="AH225" i="1" s="1"/>
  <c r="AV225" i="1" s="1"/>
  <c r="AW225" i="1" s="1"/>
  <c r="AG252" i="1"/>
  <c r="AH252" i="1" s="1"/>
  <c r="AV252" i="1" s="1"/>
  <c r="AW252" i="1" s="1"/>
  <c r="AG261" i="1"/>
  <c r="AH261" i="1" s="1"/>
  <c r="AV261" i="1" s="1"/>
  <c r="AW261" i="1" s="1"/>
  <c r="AG268" i="1"/>
  <c r="AH268" i="1" s="1"/>
  <c r="AV268" i="1" s="1"/>
  <c r="AW268" i="1" s="1"/>
  <c r="AG273" i="1"/>
  <c r="AH273" i="1" s="1"/>
  <c r="AV273" i="1" s="1"/>
  <c r="AW273" i="1" s="1"/>
  <c r="AF301" i="1"/>
  <c r="AI436" i="1"/>
  <c r="AK436" i="1" s="1"/>
  <c r="AF436" i="1"/>
  <c r="AM504" i="1"/>
  <c r="AP504" i="1" s="1"/>
  <c r="AS504" i="1" s="1"/>
  <c r="AG504" i="1"/>
  <c r="AH504" i="1" s="1"/>
  <c r="AV504" i="1" s="1"/>
  <c r="AW504" i="1" s="1"/>
  <c r="AM224" i="1"/>
  <c r="AP224" i="1" s="1"/>
  <c r="AS224" i="1" s="1"/>
  <c r="AG228" i="1"/>
  <c r="AH228" i="1" s="1"/>
  <c r="AV228" i="1" s="1"/>
  <c r="AW228" i="1" s="1"/>
  <c r="AI272" i="1"/>
  <c r="AF287" i="1"/>
  <c r="AI318" i="1"/>
  <c r="AK318" i="1" s="1"/>
  <c r="AF318" i="1"/>
  <c r="AK325" i="1"/>
  <c r="AG343" i="1"/>
  <c r="AH343" i="1" s="1"/>
  <c r="AV343" i="1" s="1"/>
  <c r="AW343" i="1" s="1"/>
  <c r="AF354" i="1"/>
  <c r="AI354" i="1"/>
  <c r="AK354" i="1" s="1"/>
  <c r="AF362" i="1"/>
  <c r="AG364" i="1"/>
  <c r="AH364" i="1" s="1"/>
  <c r="AV364" i="1" s="1"/>
  <c r="AW364" i="1" s="1"/>
  <c r="AI462" i="1"/>
  <c r="AK462" i="1" s="1"/>
  <c r="AF462" i="1"/>
  <c r="AI464" i="1"/>
  <c r="AK464" i="1" s="1"/>
  <c r="AF464" i="1"/>
  <c r="AK499" i="1"/>
  <c r="AM522" i="1"/>
  <c r="AP522" i="1" s="1"/>
  <c r="AS522" i="1" s="1"/>
  <c r="AG522" i="1"/>
  <c r="AH522" i="1" s="1"/>
  <c r="AV522" i="1" s="1"/>
  <c r="AW522" i="1" s="1"/>
  <c r="AI526" i="1"/>
  <c r="AK526" i="1" s="1"/>
  <c r="AF526" i="1"/>
  <c r="AI343" i="1"/>
  <c r="AK343" i="1" s="1"/>
  <c r="AI344" i="1"/>
  <c r="AK344" i="1" s="1"/>
  <c r="AI369" i="1"/>
  <c r="AK369" i="1" s="1"/>
  <c r="AF384" i="1"/>
  <c r="AF406" i="1"/>
  <c r="AI438" i="1"/>
  <c r="AK438" i="1" s="1"/>
  <c r="AF438" i="1"/>
  <c r="AI442" i="1"/>
  <c r="AK442" i="1" s="1"/>
  <c r="AF442" i="1"/>
  <c r="AF471" i="1"/>
  <c r="AG489" i="1"/>
  <c r="AH489" i="1" s="1"/>
  <c r="AV489" i="1" s="1"/>
  <c r="AW489" i="1" s="1"/>
  <c r="AF496" i="1"/>
  <c r="AF519" i="1"/>
  <c r="AI519" i="1"/>
  <c r="AK519" i="1" s="1"/>
  <c r="AI524" i="1"/>
  <c r="AK524" i="1" s="1"/>
  <c r="AF524" i="1"/>
  <c r="AM374" i="1"/>
  <c r="AP374" i="1" s="1"/>
  <c r="AS374" i="1" s="1"/>
  <c r="AM405" i="1"/>
  <c r="AP405" i="1" s="1"/>
  <c r="AS405" i="1" s="1"/>
  <c r="AF425" i="1"/>
  <c r="AG428" i="1"/>
  <c r="AH428" i="1" s="1"/>
  <c r="AV428" i="1" s="1"/>
  <c r="AW428" i="1" s="1"/>
  <c r="AH429" i="1"/>
  <c r="AV429" i="1" s="1"/>
  <c r="AW429" i="1" s="1"/>
  <c r="AI466" i="1"/>
  <c r="AK466" i="1" s="1"/>
  <c r="AF466" i="1"/>
  <c r="AI486" i="1"/>
  <c r="AK486" i="1" s="1"/>
  <c r="AF486" i="1"/>
  <c r="AF494" i="1"/>
  <c r="AI494" i="1"/>
  <c r="AK494" i="1" s="1"/>
  <c r="AG510" i="1"/>
  <c r="AH510" i="1" s="1"/>
  <c r="AV510" i="1" s="1"/>
  <c r="AW510" i="1" s="1"/>
  <c r="AG513" i="1"/>
  <c r="AH513" i="1" s="1"/>
  <c r="AV513" i="1" s="1"/>
  <c r="AW513" i="1" s="1"/>
  <c r="AF569" i="1"/>
  <c r="AI569" i="1"/>
  <c r="AK569" i="1" s="1"/>
  <c r="AH359" i="1"/>
  <c r="AV359" i="1" s="1"/>
  <c r="AW359" i="1" s="1"/>
  <c r="AF398" i="1"/>
  <c r="AG405" i="1"/>
  <c r="AH405" i="1" s="1"/>
  <c r="AV405" i="1" s="1"/>
  <c r="AW405" i="1" s="1"/>
  <c r="AF468" i="1"/>
  <c r="AM513" i="1"/>
  <c r="AP513" i="1" s="1"/>
  <c r="AS513" i="1" s="1"/>
  <c r="AK709" i="1"/>
  <c r="AI360" i="1"/>
  <c r="AK360" i="1" s="1"/>
  <c r="AH422" i="1"/>
  <c r="AV422" i="1" s="1"/>
  <c r="AW422" i="1" s="1"/>
  <c r="AI444" i="1"/>
  <c r="AK444" i="1" s="1"/>
  <c r="AF444" i="1"/>
  <c r="AI497" i="1"/>
  <c r="AK497" i="1" s="1"/>
  <c r="AF497" i="1"/>
  <c r="AG518" i="1"/>
  <c r="AH518" i="1" s="1"/>
  <c r="AV518" i="1" s="1"/>
  <c r="AW518" i="1" s="1"/>
  <c r="AM518" i="1"/>
  <c r="AP518" i="1" s="1"/>
  <c r="AS518" i="1" s="1"/>
  <c r="AG198" i="1"/>
  <c r="AH198" i="1" s="1"/>
  <c r="AV198" i="1" s="1"/>
  <c r="AW198" i="1" s="1"/>
  <c r="AK551" i="1"/>
  <c r="AI394" i="1"/>
  <c r="AK394" i="1" s="1"/>
  <c r="AF394" i="1"/>
  <c r="AG500" i="1"/>
  <c r="AH500" i="1" s="1"/>
  <c r="AV500" i="1" s="1"/>
  <c r="AW500" i="1" s="1"/>
  <c r="AM609" i="1"/>
  <c r="AP609" i="1" s="1"/>
  <c r="AS609" i="1" s="1"/>
  <c r="AG609" i="1"/>
  <c r="AH609" i="1" s="1"/>
  <c r="AV609" i="1" s="1"/>
  <c r="AW609" i="1" s="1"/>
  <c r="AI319" i="1"/>
  <c r="AK319" i="1" s="1"/>
  <c r="AF319" i="1"/>
  <c r="AF349" i="1"/>
  <c r="AF350" i="1"/>
  <c r="AG351" i="1"/>
  <c r="AH351" i="1" s="1"/>
  <c r="AV351" i="1" s="1"/>
  <c r="AW351" i="1" s="1"/>
  <c r="AF366" i="1"/>
  <c r="AM388" i="1"/>
  <c r="AP388" i="1" s="1"/>
  <c r="AS388" i="1" s="1"/>
  <c r="AK389" i="1"/>
  <c r="AH390" i="1"/>
  <c r="AV390" i="1" s="1"/>
  <c r="AW390" i="1" s="1"/>
  <c r="AF391" i="1"/>
  <c r="AF392" i="1"/>
  <c r="AF393" i="1"/>
  <c r="AH395" i="1"/>
  <c r="AV395" i="1" s="1"/>
  <c r="AW395" i="1" s="1"/>
  <c r="AF396" i="1"/>
  <c r="AF397" i="1"/>
  <c r="AH408" i="1"/>
  <c r="AV408" i="1" s="1"/>
  <c r="AW408" i="1" s="1"/>
  <c r="AH684" i="1"/>
  <c r="AV684" i="1" s="1"/>
  <c r="AW684" i="1" s="1"/>
  <c r="AG419" i="1"/>
  <c r="AH419" i="1" s="1"/>
  <c r="AV419" i="1" s="1"/>
  <c r="AW419" i="1" s="1"/>
  <c r="AM419" i="1"/>
  <c r="AP419" i="1" s="1"/>
  <c r="AS419" i="1" s="1"/>
  <c r="AH434" i="1"/>
  <c r="AV434" i="1" s="1"/>
  <c r="AW434" i="1" s="1"/>
  <c r="AG455" i="1"/>
  <c r="AH455" i="1" s="1"/>
  <c r="AV455" i="1" s="1"/>
  <c r="AW455" i="1" s="1"/>
  <c r="AI459" i="1"/>
  <c r="AK459" i="1" s="1"/>
  <c r="AF459" i="1"/>
  <c r="AI467" i="1"/>
  <c r="AK467" i="1" s="1"/>
  <c r="AF467" i="1"/>
  <c r="AI487" i="1"/>
  <c r="AK487" i="1" s="1"/>
  <c r="AF487" i="1"/>
  <c r="AG503" i="1"/>
  <c r="AH503" i="1" s="1"/>
  <c r="AV503" i="1" s="1"/>
  <c r="AW503" i="1" s="1"/>
  <c r="AM503" i="1"/>
  <c r="AP503" i="1" s="1"/>
  <c r="AS503" i="1" s="1"/>
  <c r="AI198" i="1"/>
  <c r="AK198" i="1" s="1"/>
  <c r="AF604" i="1"/>
  <c r="AI604" i="1"/>
  <c r="AK604" i="1" s="1"/>
  <c r="AM375" i="1"/>
  <c r="AP375" i="1" s="1"/>
  <c r="AS375" i="1" s="1"/>
  <c r="AI47" i="1"/>
  <c r="AK47" i="1" s="1"/>
  <c r="AF47" i="1"/>
  <c r="AI395" i="1"/>
  <c r="AK395" i="1" s="1"/>
  <c r="AF411" i="1"/>
  <c r="AI411" i="1"/>
  <c r="AK411" i="1" s="1"/>
  <c r="AM422" i="1"/>
  <c r="AP422" i="1" s="1"/>
  <c r="AS422" i="1" s="1"/>
  <c r="AI426" i="1"/>
  <c r="AK426" i="1" s="1"/>
  <c r="AF426" i="1"/>
  <c r="AG432" i="1"/>
  <c r="AH432" i="1" s="1"/>
  <c r="AV432" i="1" s="1"/>
  <c r="AW432" i="1" s="1"/>
  <c r="AG433" i="1"/>
  <c r="AH433" i="1" s="1"/>
  <c r="AV433" i="1" s="1"/>
  <c r="AW433" i="1" s="1"/>
  <c r="AM434" i="1"/>
  <c r="AP434" i="1" s="1"/>
  <c r="AS434" i="1" s="1"/>
  <c r="AK611" i="1"/>
  <c r="AM611" i="1"/>
  <c r="AP611" i="1" s="1"/>
  <c r="AS611" i="1" s="1"/>
  <c r="AI324" i="1"/>
  <c r="AK324" i="1" s="1"/>
  <c r="AF324" i="1"/>
  <c r="AF340" i="1"/>
  <c r="AG342" i="1"/>
  <c r="AH342" i="1" s="1"/>
  <c r="AV342" i="1" s="1"/>
  <c r="AW342" i="1" s="1"/>
  <c r="AI348" i="1"/>
  <c r="AK373" i="1"/>
  <c r="AG374" i="1"/>
  <c r="AH374" i="1" s="1"/>
  <c r="AV374" i="1" s="1"/>
  <c r="AW374" i="1" s="1"/>
  <c r="AG375" i="1"/>
  <c r="AH375" i="1" s="1"/>
  <c r="AV375" i="1" s="1"/>
  <c r="AW375" i="1" s="1"/>
  <c r="AF399" i="1"/>
  <c r="AI399" i="1"/>
  <c r="AK399" i="1" s="1"/>
  <c r="AH407" i="1"/>
  <c r="AV407" i="1" s="1"/>
  <c r="AW407" i="1" s="1"/>
  <c r="AM556" i="1"/>
  <c r="AP556" i="1" s="1"/>
  <c r="AS556" i="1" s="1"/>
  <c r="AF285" i="1"/>
  <c r="AM323" i="1"/>
  <c r="AP323" i="1" s="1"/>
  <c r="AS323" i="1" s="1"/>
  <c r="AH323" i="1"/>
  <c r="AV323" i="1" s="1"/>
  <c r="AW323" i="1" s="1"/>
  <c r="AH335" i="1"/>
  <c r="AV335" i="1" s="1"/>
  <c r="AW335" i="1" s="1"/>
  <c r="AF45" i="1"/>
  <c r="AI45" i="1"/>
  <c r="AK45" i="1" s="1"/>
  <c r="AI418" i="1"/>
  <c r="AK418" i="1" s="1"/>
  <c r="AF418" i="1"/>
  <c r="AG446" i="1"/>
  <c r="AH446" i="1" s="1"/>
  <c r="AV446" i="1" s="1"/>
  <c r="AW446" i="1" s="1"/>
  <c r="AM446" i="1"/>
  <c r="AP446" i="1" s="1"/>
  <c r="AS446" i="1" s="1"/>
  <c r="AM480" i="1"/>
  <c r="AP480" i="1" s="1"/>
  <c r="AS480" i="1" s="1"/>
  <c r="AG482" i="1"/>
  <c r="AH482" i="1" s="1"/>
  <c r="AV482" i="1" s="1"/>
  <c r="AW482" i="1" s="1"/>
  <c r="AG621" i="1"/>
  <c r="AH621" i="1" s="1"/>
  <c r="AV621" i="1" s="1"/>
  <c r="AW621" i="1" s="1"/>
  <c r="AG704" i="1"/>
  <c r="AH704" i="1" s="1"/>
  <c r="AV704" i="1" s="1"/>
  <c r="AW704" i="1" s="1"/>
  <c r="AI607" i="1"/>
  <c r="AK607" i="1" s="1"/>
  <c r="AF607" i="1"/>
  <c r="AI614" i="1"/>
  <c r="AK614" i="1" s="1"/>
  <c r="AF614" i="1"/>
  <c r="AM618" i="1"/>
  <c r="AP618" i="1" s="1"/>
  <c r="AS618" i="1" s="1"/>
  <c r="AF635" i="1"/>
  <c r="AI635" i="1"/>
  <c r="AK635" i="1" s="1"/>
  <c r="AF475" i="1"/>
  <c r="AI506" i="1"/>
  <c r="AK506" i="1" s="1"/>
  <c r="AF506" i="1"/>
  <c r="AM788" i="1"/>
  <c r="AP788" i="1" s="1"/>
  <c r="AS788" i="1" s="1"/>
  <c r="AK788" i="1"/>
  <c r="AK553" i="1"/>
  <c r="AK603" i="1"/>
  <c r="AM603" i="1"/>
  <c r="AP603" i="1" s="1"/>
  <c r="AS603" i="1" s="1"/>
  <c r="AM585" i="1"/>
  <c r="AP585" i="1" s="1"/>
  <c r="AS585" i="1" s="1"/>
  <c r="AG585" i="1"/>
  <c r="AH585" i="1" s="1"/>
  <c r="AV585" i="1" s="1"/>
  <c r="AW585" i="1" s="1"/>
  <c r="AI593" i="1"/>
  <c r="AK593" i="1" s="1"/>
  <c r="AF593" i="1"/>
  <c r="AF616" i="1"/>
  <c r="AI616" i="1"/>
  <c r="AK616" i="1" s="1"/>
  <c r="AF645" i="1"/>
  <c r="AI645" i="1"/>
  <c r="AK645" i="1" s="1"/>
  <c r="AI733" i="1"/>
  <c r="AK733" i="1" s="1"/>
  <c r="AF733" i="1"/>
  <c r="AG453" i="1"/>
  <c r="AH453" i="1" s="1"/>
  <c r="AV453" i="1" s="1"/>
  <c r="AW453" i="1" s="1"/>
  <c r="AG701" i="1"/>
  <c r="AH701" i="1" s="1"/>
  <c r="AV701" i="1" s="1"/>
  <c r="AW701" i="1" s="1"/>
  <c r="AG766" i="1"/>
  <c r="AH766" i="1" s="1"/>
  <c r="AV766" i="1" s="1"/>
  <c r="AW766" i="1" s="1"/>
  <c r="AM682" i="1"/>
  <c r="AP682" i="1" s="1"/>
  <c r="AS682" i="1" s="1"/>
  <c r="AG682" i="1"/>
  <c r="AH682" i="1" s="1"/>
  <c r="AV682" i="1" s="1"/>
  <c r="AW682" i="1" s="1"/>
  <c r="AM690" i="1"/>
  <c r="AP690" i="1" s="1"/>
  <c r="AS690" i="1" s="1"/>
  <c r="AG690" i="1"/>
  <c r="AH690" i="1" s="1"/>
  <c r="AV690" i="1" s="1"/>
  <c r="AW690" i="1" s="1"/>
  <c r="AG427" i="1"/>
  <c r="AH427" i="1" s="1"/>
  <c r="AV427" i="1" s="1"/>
  <c r="AW427" i="1" s="1"/>
  <c r="AF463" i="1"/>
  <c r="AM469" i="1"/>
  <c r="AP469" i="1" s="1"/>
  <c r="AS469" i="1" s="1"/>
  <c r="AF495" i="1"/>
  <c r="AF505" i="1"/>
  <c r="AG512" i="1"/>
  <c r="AH512" i="1" s="1"/>
  <c r="AV512" i="1" s="1"/>
  <c r="AW512" i="1" s="1"/>
  <c r="AM517" i="1"/>
  <c r="AP517" i="1" s="1"/>
  <c r="AS517" i="1" s="1"/>
  <c r="AG544" i="1"/>
  <c r="AH544" i="1" s="1"/>
  <c r="AV544" i="1" s="1"/>
  <c r="AW544" i="1" s="1"/>
  <c r="AF560" i="1"/>
  <c r="AF591" i="1"/>
  <c r="AI591" i="1"/>
  <c r="AK591" i="1" s="1"/>
  <c r="AG669" i="1"/>
  <c r="AH669" i="1" s="1"/>
  <c r="AV669" i="1" s="1"/>
  <c r="AW669" i="1" s="1"/>
  <c r="AH400" i="1"/>
  <c r="AV400" i="1" s="1"/>
  <c r="AW400" i="1" s="1"/>
  <c r="AI478" i="1"/>
  <c r="AK478" i="1" s="1"/>
  <c r="AF478" i="1"/>
  <c r="AM701" i="1"/>
  <c r="AP701" i="1" s="1"/>
  <c r="AS701" i="1" s="1"/>
  <c r="AH575" i="1"/>
  <c r="AV575" i="1" s="1"/>
  <c r="AW575" i="1" s="1"/>
  <c r="AI584" i="1"/>
  <c r="AK584" i="1" s="1"/>
  <c r="AF584" i="1"/>
  <c r="AI215" i="1"/>
  <c r="AK215" i="1" s="1"/>
  <c r="AF215" i="1"/>
  <c r="AG536" i="1"/>
  <c r="AH536" i="1" s="1"/>
  <c r="AV536" i="1" s="1"/>
  <c r="AW536" i="1" s="1"/>
  <c r="AI705" i="1"/>
  <c r="AK705" i="1" s="1"/>
  <c r="AF705" i="1"/>
  <c r="AG554" i="1"/>
  <c r="AH554" i="1" s="1"/>
  <c r="AG563" i="1"/>
  <c r="AH563" i="1" s="1"/>
  <c r="AV563" i="1" s="1"/>
  <c r="AW563" i="1" s="1"/>
  <c r="AF566" i="1"/>
  <c r="AI566" i="1"/>
  <c r="AK566" i="1" s="1"/>
  <c r="AI613" i="1"/>
  <c r="AK613" i="1" s="1"/>
  <c r="AF613" i="1"/>
  <c r="AF653" i="1"/>
  <c r="AI653" i="1"/>
  <c r="AK653" i="1" s="1"/>
  <c r="AG402" i="1"/>
  <c r="AH402" i="1" s="1"/>
  <c r="AV402" i="1" s="1"/>
  <c r="AW402" i="1" s="1"/>
  <c r="AG403" i="1"/>
  <c r="AH403" i="1" s="1"/>
  <c r="AV403" i="1" s="1"/>
  <c r="AW403" i="1" s="1"/>
  <c r="AG412" i="1"/>
  <c r="AH412" i="1" s="1"/>
  <c r="AV412" i="1" s="1"/>
  <c r="AW412" i="1" s="1"/>
  <c r="AG420" i="1"/>
  <c r="AH420" i="1" s="1"/>
  <c r="AV420" i="1" s="1"/>
  <c r="AW420" i="1" s="1"/>
  <c r="AF430" i="1"/>
  <c r="AH431" i="1"/>
  <c r="AV431" i="1" s="1"/>
  <c r="AW431" i="1" s="1"/>
  <c r="AM448" i="1"/>
  <c r="AP448" i="1" s="1"/>
  <c r="AS448" i="1" s="1"/>
  <c r="AG450" i="1"/>
  <c r="AH450" i="1" s="1"/>
  <c r="AV450" i="1" s="1"/>
  <c r="AW450" i="1" s="1"/>
  <c r="AF477" i="1"/>
  <c r="AG480" i="1"/>
  <c r="AH480" i="1" s="1"/>
  <c r="AV480" i="1" s="1"/>
  <c r="AW480" i="1" s="1"/>
  <c r="AI514" i="1"/>
  <c r="AK514" i="1" s="1"/>
  <c r="AF514" i="1"/>
  <c r="AM547" i="1"/>
  <c r="AP547" i="1" s="1"/>
  <c r="AS547" i="1" s="1"/>
  <c r="AK547" i="1"/>
  <c r="AG620" i="1"/>
  <c r="AH620" i="1" s="1"/>
  <c r="AV620" i="1" s="1"/>
  <c r="AW620" i="1" s="1"/>
  <c r="AG381" i="1"/>
  <c r="AH381" i="1" s="1"/>
  <c r="AV381" i="1" s="1"/>
  <c r="AW381" i="1" s="1"/>
  <c r="AH389" i="1"/>
  <c r="AV389" i="1" s="1"/>
  <c r="AW389" i="1" s="1"/>
  <c r="AI403" i="1"/>
  <c r="AI431" i="1"/>
  <c r="AG448" i="1"/>
  <c r="AH448" i="1" s="1"/>
  <c r="AV448" i="1" s="1"/>
  <c r="AW448" i="1" s="1"/>
  <c r="AI536" i="1"/>
  <c r="AK536" i="1" s="1"/>
  <c r="AI568" i="1"/>
  <c r="AK568" i="1" s="1"/>
  <c r="AF568" i="1"/>
  <c r="AF404" i="1"/>
  <c r="AM599" i="1"/>
  <c r="AP599" i="1" s="1"/>
  <c r="AS599" i="1" s="1"/>
  <c r="AG599" i="1"/>
  <c r="AH599" i="1" s="1"/>
  <c r="AV599" i="1" s="1"/>
  <c r="AW599" i="1" s="1"/>
  <c r="AF561" i="1"/>
  <c r="AI561" i="1"/>
  <c r="AK561" i="1" s="1"/>
  <c r="AF581" i="1"/>
  <c r="AI581" i="1"/>
  <c r="AK581" i="1" s="1"/>
  <c r="AF596" i="1"/>
  <c r="AI596" i="1"/>
  <c r="AK596" i="1" s="1"/>
  <c r="AF619" i="1"/>
  <c r="AI619" i="1"/>
  <c r="AK619" i="1" s="1"/>
  <c r="AI807" i="1"/>
  <c r="AK807" i="1" s="1"/>
  <c r="AF807" i="1"/>
  <c r="AM538" i="1"/>
  <c r="AP538" i="1" s="1"/>
  <c r="AS538" i="1" s="1"/>
  <c r="AG540" i="1"/>
  <c r="AH540" i="1" s="1"/>
  <c r="AV540" i="1" s="1"/>
  <c r="AW540" i="1" s="1"/>
  <c r="AF612" i="1"/>
  <c r="AI612" i="1"/>
  <c r="AK612" i="1" s="1"/>
  <c r="AG6" i="1"/>
  <c r="AH6" i="1" s="1"/>
  <c r="AV6" i="1" s="1"/>
  <c r="AW6" i="1" s="1"/>
  <c r="AI694" i="1"/>
  <c r="AK694" i="1" s="1"/>
  <c r="AF694" i="1"/>
  <c r="AM754" i="1"/>
  <c r="AP754" i="1" s="1"/>
  <c r="AS754" i="1" s="1"/>
  <c r="AG754" i="1"/>
  <c r="AI630" i="1"/>
  <c r="AK630" i="1" s="1"/>
  <c r="AF630" i="1"/>
  <c r="AI632" i="1"/>
  <c r="AK632" i="1" s="1"/>
  <c r="AF632" i="1"/>
  <c r="AF634" i="1"/>
  <c r="AI634" i="1"/>
  <c r="AK634" i="1" s="1"/>
  <c r="AG623" i="1"/>
  <c r="AH623" i="1" s="1"/>
  <c r="AV623" i="1" s="1"/>
  <c r="AW623" i="1" s="1"/>
  <c r="AG689" i="1"/>
  <c r="AH689" i="1" s="1"/>
  <c r="AV689" i="1" s="1"/>
  <c r="AW689" i="1" s="1"/>
  <c r="AG552" i="1"/>
  <c r="AH552" i="1" s="1"/>
  <c r="AV552" i="1" s="1"/>
  <c r="AW552" i="1" s="1"/>
  <c r="AI555" i="1"/>
  <c r="AG386" i="1"/>
  <c r="AH386" i="1" s="1"/>
  <c r="AV386" i="1" s="1"/>
  <c r="AW386" i="1" s="1"/>
  <c r="AF608" i="1"/>
  <c r="AM675" i="1"/>
  <c r="AP675" i="1" s="1"/>
  <c r="AS675" i="1" s="1"/>
  <c r="AG675" i="1"/>
  <c r="AH675" i="1" s="1"/>
  <c r="AV675" i="1" s="1"/>
  <c r="AW675" i="1" s="1"/>
  <c r="AM527" i="1"/>
  <c r="AP527" i="1" s="1"/>
  <c r="AS527" i="1" s="1"/>
  <c r="AG529" i="1"/>
  <c r="AH529" i="1" s="1"/>
  <c r="AV529" i="1" s="1"/>
  <c r="AW529" i="1" s="1"/>
  <c r="AG589" i="1"/>
  <c r="AH589" i="1" s="1"/>
  <c r="AV589" i="1" s="1"/>
  <c r="AW589" i="1" s="1"/>
  <c r="AM594" i="1"/>
  <c r="AP594" i="1" s="1"/>
  <c r="AS594" i="1" s="1"/>
  <c r="AG594" i="1"/>
  <c r="AH594" i="1" s="1"/>
  <c r="AV594" i="1" s="1"/>
  <c r="AW594" i="1" s="1"/>
  <c r="AM623" i="1"/>
  <c r="AP623" i="1" s="1"/>
  <c r="AS623" i="1" s="1"/>
  <c r="AM727" i="1"/>
  <c r="AP727" i="1" s="1"/>
  <c r="AS727" i="1" s="1"/>
  <c r="AG727" i="1"/>
  <c r="AH727" i="1" s="1"/>
  <c r="AV727" i="1" s="1"/>
  <c r="AW727" i="1" s="1"/>
  <c r="AG492" i="1"/>
  <c r="AH492" i="1" s="1"/>
  <c r="AV492" i="1" s="1"/>
  <c r="AW492" i="1" s="1"/>
  <c r="AG498" i="1"/>
  <c r="AH498" i="1" s="1"/>
  <c r="AV498" i="1" s="1"/>
  <c r="AW498" i="1" s="1"/>
  <c r="AG502" i="1"/>
  <c r="AH502" i="1" s="1"/>
  <c r="AV502" i="1" s="1"/>
  <c r="AW502" i="1" s="1"/>
  <c r="AF507" i="1"/>
  <c r="AG515" i="1"/>
  <c r="AH515" i="1" s="1"/>
  <c r="AV515" i="1" s="1"/>
  <c r="AW515" i="1" s="1"/>
  <c r="AG517" i="1"/>
  <c r="AH517" i="1" s="1"/>
  <c r="AV517" i="1" s="1"/>
  <c r="AW517" i="1" s="1"/>
  <c r="AG527" i="1"/>
  <c r="AH527" i="1" s="1"/>
  <c r="AV527" i="1" s="1"/>
  <c r="AW527" i="1" s="1"/>
  <c r="AG547" i="1"/>
  <c r="AH547" i="1" s="1"/>
  <c r="AV547" i="1" s="1"/>
  <c r="AW547" i="1" s="1"/>
  <c r="AF190" i="1"/>
  <c r="AG565" i="1"/>
  <c r="AH565" i="1" s="1"/>
  <c r="AV565" i="1" s="1"/>
  <c r="AW565" i="1" s="1"/>
  <c r="AK706" i="1"/>
  <c r="AG788" i="1"/>
  <c r="AH788" i="1" s="1"/>
  <c r="AV788" i="1" s="1"/>
  <c r="AW788" i="1" s="1"/>
  <c r="AF571" i="1"/>
  <c r="AI571" i="1"/>
  <c r="AK571" i="1" s="1"/>
  <c r="AM578" i="1"/>
  <c r="AP578" i="1" s="1"/>
  <c r="AS578" i="1" s="1"/>
  <c r="AG578" i="1"/>
  <c r="AH578" i="1" s="1"/>
  <c r="AV578" i="1" s="1"/>
  <c r="AW578" i="1" s="1"/>
  <c r="AI589" i="1"/>
  <c r="AK589" i="1" s="1"/>
  <c r="AF767" i="1"/>
  <c r="AM723" i="1"/>
  <c r="AP723" i="1" s="1"/>
  <c r="AS723" i="1" s="1"/>
  <c r="AM629" i="1"/>
  <c r="AP629" i="1" s="1"/>
  <c r="AS629" i="1" s="1"/>
  <c r="AG629" i="1"/>
  <c r="AH629" i="1" s="1"/>
  <c r="AV629" i="1" s="1"/>
  <c r="AW629" i="1" s="1"/>
  <c r="AI631" i="1"/>
  <c r="AK631" i="1" s="1"/>
  <c r="AF631" i="1"/>
  <c r="AI633" i="1"/>
  <c r="AK633" i="1" s="1"/>
  <c r="AF633" i="1"/>
  <c r="AM640" i="1"/>
  <c r="AP640" i="1" s="1"/>
  <c r="AS640" i="1" s="1"/>
  <c r="AM636" i="1"/>
  <c r="AP636" i="1" s="1"/>
  <c r="AS636" i="1" s="1"/>
  <c r="AH662" i="1"/>
  <c r="AV662" i="1" s="1"/>
  <c r="AW662" i="1" s="1"/>
  <c r="AM866" i="1"/>
  <c r="AP866" i="1" s="1"/>
  <c r="AS866" i="1" s="1"/>
  <c r="AG697" i="1"/>
  <c r="AH697" i="1" s="1"/>
  <c r="AV697" i="1" s="1"/>
  <c r="AW697" i="1" s="1"/>
  <c r="AM697" i="1"/>
  <c r="AP697" i="1" s="1"/>
  <c r="AS697" i="1" s="1"/>
  <c r="AF847" i="1"/>
  <c r="AI847" i="1"/>
  <c r="AK847" i="1" s="1"/>
  <c r="AG896" i="1"/>
  <c r="AH896" i="1" s="1"/>
  <c r="AV896" i="1" s="1"/>
  <c r="AW896" i="1" s="1"/>
  <c r="AM896" i="1"/>
  <c r="AP896" i="1" s="1"/>
  <c r="AS896" i="1" s="1"/>
  <c r="AH627" i="1"/>
  <c r="AV627" i="1" s="1"/>
  <c r="AW627" i="1" s="1"/>
  <c r="AM764" i="1"/>
  <c r="AP764" i="1" s="1"/>
  <c r="AS764" i="1" s="1"/>
  <c r="AM661" i="1"/>
  <c r="AP661" i="1" s="1"/>
  <c r="AS661" i="1" s="1"/>
  <c r="AG681" i="1"/>
  <c r="AH681" i="1" s="1"/>
  <c r="AV681" i="1" s="1"/>
  <c r="AW681" i="1" s="1"/>
  <c r="AI702" i="1"/>
  <c r="AK702" i="1" s="1"/>
  <c r="AF702" i="1"/>
  <c r="AM721" i="1"/>
  <c r="AP721" i="1" s="1"/>
  <c r="AS721" i="1" s="1"/>
  <c r="AI739" i="1"/>
  <c r="AK739" i="1" s="1"/>
  <c r="AF739" i="1"/>
  <c r="AI859" i="1"/>
  <c r="AK859" i="1" s="1"/>
  <c r="AF859" i="1"/>
  <c r="AI792" i="1"/>
  <c r="AK792" i="1" s="1"/>
  <c r="AF792" i="1"/>
  <c r="AF839" i="1"/>
  <c r="AI839" i="1"/>
  <c r="AK839" i="1" s="1"/>
  <c r="AH628" i="1"/>
  <c r="AV628" i="1" s="1"/>
  <c r="AW628" i="1" s="1"/>
  <c r="AI651" i="1"/>
  <c r="AK651" i="1" s="1"/>
  <c r="AF651" i="1"/>
  <c r="AH764" i="1"/>
  <c r="AV764" i="1" s="1"/>
  <c r="AW764" i="1" s="1"/>
  <c r="AH661" i="1"/>
  <c r="AV661" i="1" s="1"/>
  <c r="AW661" i="1" s="1"/>
  <c r="AI680" i="1"/>
  <c r="AK680" i="1" s="1"/>
  <c r="AF680" i="1"/>
  <c r="AH683" i="1"/>
  <c r="AV683" i="1" s="1"/>
  <c r="AW683" i="1" s="1"/>
  <c r="AM197" i="1"/>
  <c r="AP197" i="1" s="1"/>
  <c r="AS197" i="1" s="1"/>
  <c r="AM660" i="1"/>
  <c r="AG771" i="1"/>
  <c r="AH771" i="1" s="1"/>
  <c r="AV771" i="1" s="1"/>
  <c r="AW771" i="1" s="1"/>
  <c r="AM681" i="1"/>
  <c r="AP681" i="1" s="1"/>
  <c r="AS681" i="1" s="1"/>
  <c r="AI699" i="1"/>
  <c r="AK699" i="1" s="1"/>
  <c r="AF699" i="1"/>
  <c r="AF823" i="1"/>
  <c r="AM627" i="1"/>
  <c r="AP627" i="1" s="1"/>
  <c r="AS627" i="1" s="1"/>
  <c r="AF650" i="1"/>
  <c r="AI650" i="1"/>
  <c r="AK650" i="1" s="1"/>
  <c r="AG660" i="1"/>
  <c r="AH660" i="1" s="1"/>
  <c r="AV660" i="1" s="1"/>
  <c r="AW660" i="1" s="1"/>
  <c r="AI679" i="1"/>
  <c r="AK679" i="1" s="1"/>
  <c r="AF679" i="1"/>
  <c r="AF696" i="1"/>
  <c r="AK542" i="1"/>
  <c r="AK718" i="1"/>
  <c r="AF595" i="1"/>
  <c r="AF617" i="1"/>
  <c r="AG667" i="1"/>
  <c r="AH667" i="1" s="1"/>
  <c r="AV667" i="1" s="1"/>
  <c r="AW667" i="1" s="1"/>
  <c r="AM667" i="1"/>
  <c r="AP667" i="1" s="1"/>
  <c r="AS667" i="1" s="1"/>
  <c r="AH674" i="1"/>
  <c r="AV674" i="1" s="1"/>
  <c r="AW674" i="1" s="1"/>
  <c r="AI625" i="1"/>
  <c r="AK625" i="1" s="1"/>
  <c r="AF625" i="1"/>
  <c r="AG678" i="1"/>
  <c r="AH678" i="1" s="1"/>
  <c r="AV678" i="1" s="1"/>
  <c r="AW678" i="1" s="1"/>
  <c r="AM744" i="1"/>
  <c r="AP744" i="1" s="1"/>
  <c r="AS744" i="1" s="1"/>
  <c r="AG744" i="1"/>
  <c r="AH744" i="1" s="1"/>
  <c r="AV744" i="1" s="1"/>
  <c r="AW744" i="1" s="1"/>
  <c r="AM748" i="1"/>
  <c r="AP748" i="1" s="1"/>
  <c r="AS748" i="1" s="1"/>
  <c r="AI769" i="1"/>
  <c r="AK769" i="1" s="1"/>
  <c r="AF769" i="1"/>
  <c r="AM883" i="1"/>
  <c r="AP883" i="1" s="1"/>
  <c r="AS883" i="1" s="1"/>
  <c r="AG883" i="1"/>
  <c r="AH883" i="1" s="1"/>
  <c r="AV883" i="1" s="1"/>
  <c r="AW883" i="1" s="1"/>
  <c r="AI677" i="1"/>
  <c r="AK677" i="1" s="1"/>
  <c r="AF677" i="1"/>
  <c r="AM688" i="1"/>
  <c r="AP688" i="1" s="1"/>
  <c r="AS688" i="1" s="1"/>
  <c r="AF703" i="1"/>
  <c r="AI703" i="1"/>
  <c r="AK703" i="1" s="1"/>
  <c r="AG734" i="1"/>
  <c r="AH734" i="1" s="1"/>
  <c r="AV734" i="1" s="1"/>
  <c r="AW734" i="1" s="1"/>
  <c r="AH742" i="1"/>
  <c r="AV742" i="1" s="1"/>
  <c r="AW742" i="1" s="1"/>
  <c r="AG748" i="1"/>
  <c r="AH748" i="1" s="1"/>
  <c r="AV748" i="1" s="1"/>
  <c r="AW748" i="1" s="1"/>
  <c r="AI639" i="1"/>
  <c r="AK639" i="1" s="1"/>
  <c r="AH640" i="1"/>
  <c r="AV640" i="1" s="1"/>
  <c r="AW640" i="1" s="1"/>
  <c r="AH643" i="1"/>
  <c r="AV643" i="1" s="1"/>
  <c r="AW643" i="1" s="1"/>
  <c r="AG649" i="1"/>
  <c r="AH649" i="1" s="1"/>
  <c r="AV649" i="1" s="1"/>
  <c r="AW649" i="1" s="1"/>
  <c r="AF666" i="1"/>
  <c r="AG688" i="1"/>
  <c r="AH688" i="1" s="1"/>
  <c r="AV688" i="1" s="1"/>
  <c r="AW688" i="1" s="1"/>
  <c r="AI692" i="1"/>
  <c r="AK692" i="1" s="1"/>
  <c r="AM875" i="1"/>
  <c r="AP875" i="1" s="1"/>
  <c r="AS875" i="1" s="1"/>
  <c r="AG875" i="1"/>
  <c r="AH875" i="1" s="1"/>
  <c r="AV875" i="1" s="1"/>
  <c r="AW875" i="1" s="1"/>
  <c r="AG738" i="1"/>
  <c r="AI786" i="1"/>
  <c r="AK786" i="1" s="1"/>
  <c r="AF786" i="1"/>
  <c r="AI643" i="1"/>
  <c r="AK643" i="1" s="1"/>
  <c r="AM649" i="1"/>
  <c r="AP649" i="1" s="1"/>
  <c r="AS649" i="1" s="1"/>
  <c r="AF673" i="1"/>
  <c r="AH676" i="1"/>
  <c r="AV676" i="1" s="1"/>
  <c r="AW676" i="1" s="1"/>
  <c r="AI732" i="1"/>
  <c r="AK732" i="1" s="1"/>
  <c r="AF732" i="1"/>
  <c r="AM670" i="1"/>
  <c r="AP670" i="1" s="1"/>
  <c r="AS670" i="1" s="1"/>
  <c r="AG670" i="1"/>
  <c r="AH670" i="1" s="1"/>
  <c r="AV670" i="1" s="1"/>
  <c r="AW670" i="1" s="1"/>
  <c r="AM833" i="1"/>
  <c r="AP833" i="1" s="1"/>
  <c r="AS833" i="1" s="1"/>
  <c r="AM647" i="1"/>
  <c r="AP647" i="1" s="1"/>
  <c r="AS647" i="1" s="1"/>
  <c r="AM665" i="1"/>
  <c r="AP665" i="1" s="1"/>
  <c r="AS665" i="1" s="1"/>
  <c r="AI700" i="1"/>
  <c r="AK700" i="1" s="1"/>
  <c r="AF700" i="1"/>
  <c r="AM734" i="1"/>
  <c r="AP734" i="1" s="1"/>
  <c r="AS734" i="1" s="1"/>
  <c r="AM850" i="1"/>
  <c r="AP850" i="1" s="1"/>
  <c r="AS850" i="1" s="1"/>
  <c r="AG850" i="1"/>
  <c r="AH850" i="1" s="1"/>
  <c r="AV850" i="1" s="1"/>
  <c r="AW850" i="1" s="1"/>
  <c r="AM902" i="1"/>
  <c r="AP902" i="1" s="1"/>
  <c r="AS902" i="1" s="1"/>
  <c r="AH863" i="1"/>
  <c r="AV863" i="1" s="1"/>
  <c r="AW863" i="1" s="1"/>
  <c r="AG793" i="1"/>
  <c r="AH793" i="1" s="1"/>
  <c r="AV793" i="1" s="1"/>
  <c r="AW793" i="1" s="1"/>
  <c r="AF809" i="1"/>
  <c r="AI809" i="1"/>
  <c r="AK809" i="1" s="1"/>
  <c r="AG827" i="1"/>
  <c r="AH827" i="1" s="1"/>
  <c r="AV827" i="1" s="1"/>
  <c r="AW827" i="1" s="1"/>
  <c r="AM827" i="1"/>
  <c r="AP827" i="1" s="1"/>
  <c r="AS827" i="1" s="1"/>
  <c r="AG889" i="1"/>
  <c r="AH889" i="1" s="1"/>
  <c r="AV889" i="1" s="1"/>
  <c r="AW889" i="1" s="1"/>
  <c r="AI746" i="1"/>
  <c r="AK746" i="1" s="1"/>
  <c r="AF746" i="1"/>
  <c r="AI720" i="1"/>
  <c r="AF743" i="1"/>
  <c r="AG762" i="1"/>
  <c r="AH762" i="1" s="1"/>
  <c r="AV762" i="1" s="1"/>
  <c r="AW762" i="1" s="1"/>
  <c r="AG93" i="1"/>
  <c r="AH93" i="1" s="1"/>
  <c r="AV93" i="1" s="1"/>
  <c r="AW93" i="1" s="1"/>
  <c r="AM93" i="1"/>
  <c r="AP93" i="1" s="1"/>
  <c r="AS93" i="1" s="1"/>
  <c r="AM813" i="1"/>
  <c r="AP813" i="1" s="1"/>
  <c r="AS813" i="1" s="1"/>
  <c r="AK813" i="1"/>
  <c r="AK837" i="1"/>
  <c r="AM737" i="1"/>
  <c r="AP737" i="1" s="1"/>
  <c r="AS737" i="1" s="1"/>
  <c r="AG825" i="1"/>
  <c r="AH825" i="1" s="1"/>
  <c r="AV825" i="1" s="1"/>
  <c r="AW825" i="1" s="1"/>
  <c r="AM196" i="1"/>
  <c r="AP196" i="1" s="1"/>
  <c r="AS196" i="1" s="1"/>
  <c r="AM822" i="1"/>
  <c r="AP822" i="1" s="1"/>
  <c r="AS822" i="1" s="1"/>
  <c r="AG822" i="1"/>
  <c r="AH822" i="1" s="1"/>
  <c r="AV822" i="1" s="1"/>
  <c r="AW822" i="1" s="1"/>
  <c r="AM856" i="1"/>
  <c r="AP856" i="1" s="1"/>
  <c r="AS856" i="1" s="1"/>
  <c r="AK856" i="1"/>
  <c r="AG542" i="1"/>
  <c r="AH542" i="1" s="1"/>
  <c r="AV542" i="1" s="1"/>
  <c r="AW542" i="1" s="1"/>
  <c r="AI750" i="1"/>
  <c r="AK750" i="1" s="1"/>
  <c r="AF750" i="1"/>
  <c r="AG758" i="1"/>
  <c r="AH758" i="1" s="1"/>
  <c r="AV758" i="1" s="1"/>
  <c r="AW758" i="1" s="1"/>
  <c r="AH708" i="1"/>
  <c r="AV708" i="1" s="1"/>
  <c r="AW708" i="1" s="1"/>
  <c r="AH717" i="1"/>
  <c r="AV717" i="1" s="1"/>
  <c r="AW717" i="1" s="1"/>
  <c r="AH29" i="1"/>
  <c r="AV29" i="1" s="1"/>
  <c r="AW29" i="1" s="1"/>
  <c r="AH729" i="1"/>
  <c r="AV729" i="1" s="1"/>
  <c r="AW729" i="1" s="1"/>
  <c r="AH737" i="1"/>
  <c r="AV737" i="1" s="1"/>
  <c r="AW737" i="1" s="1"/>
  <c r="AF779" i="1"/>
  <c r="AI779" i="1"/>
  <c r="AK779" i="1" s="1"/>
  <c r="AI652" i="1"/>
  <c r="AK652" i="1" s="1"/>
  <c r="AF652" i="1"/>
  <c r="AI791" i="1"/>
  <c r="AK791" i="1" s="1"/>
  <c r="AF791" i="1"/>
  <c r="AF804" i="1"/>
  <c r="AI804" i="1"/>
  <c r="AK804" i="1" s="1"/>
  <c r="AM806" i="1"/>
  <c r="AP806" i="1" s="1"/>
  <c r="AS806" i="1" s="1"/>
  <c r="AG806" i="1"/>
  <c r="AH806" i="1" s="1"/>
  <c r="AV806" i="1" s="1"/>
  <c r="AW806" i="1" s="1"/>
  <c r="AG778" i="1"/>
  <c r="AH778" i="1" s="1"/>
  <c r="AV778" i="1" s="1"/>
  <c r="AW778" i="1" s="1"/>
  <c r="AF795" i="1"/>
  <c r="AI795" i="1"/>
  <c r="AK795" i="1" s="1"/>
  <c r="AG846" i="1"/>
  <c r="AH846" i="1" s="1"/>
  <c r="AV846" i="1" s="1"/>
  <c r="AW846" i="1" s="1"/>
  <c r="AI803" i="1"/>
  <c r="AK803" i="1" s="1"/>
  <c r="AM840" i="1"/>
  <c r="AP840" i="1" s="1"/>
  <c r="AS840" i="1" s="1"/>
  <c r="AG840" i="1"/>
  <c r="AH840" i="1" s="1"/>
  <c r="AV840" i="1" s="1"/>
  <c r="AW840" i="1" s="1"/>
  <c r="AM227" i="1"/>
  <c r="AP227" i="1" s="1"/>
  <c r="AS227" i="1" s="1"/>
  <c r="AH227" i="1"/>
  <c r="AV227" i="1" s="1"/>
  <c r="AW227" i="1" s="1"/>
  <c r="AM846" i="1"/>
  <c r="AP846" i="1" s="1"/>
  <c r="AS846" i="1" s="1"/>
  <c r="AF803" i="1"/>
  <c r="AI222" i="1"/>
  <c r="AK222" i="1" s="1"/>
  <c r="AF222" i="1"/>
  <c r="AG897" i="1"/>
  <c r="AH897" i="1" s="1"/>
  <c r="AV897" i="1" s="1"/>
  <c r="AW897" i="1" s="1"/>
  <c r="AF894" i="1"/>
  <c r="AI894" i="1"/>
  <c r="AK894" i="1" s="1"/>
  <c r="AF903" i="1"/>
  <c r="AG770" i="1"/>
  <c r="AH770" i="1" s="1"/>
  <c r="AV770" i="1" s="1"/>
  <c r="AW770" i="1" s="1"/>
  <c r="AF794" i="1"/>
  <c r="AF808" i="1"/>
  <c r="AF821" i="1"/>
  <c r="AF558" i="1"/>
  <c r="AF760" i="1"/>
  <c r="AF835" i="1"/>
  <c r="AG865" i="1"/>
  <c r="AH865" i="1" s="1"/>
  <c r="AV865" i="1" s="1"/>
  <c r="AW865" i="1" s="1"/>
  <c r="AI811" i="1"/>
  <c r="AK811" i="1" s="1"/>
  <c r="AF811" i="1"/>
  <c r="AG818" i="1"/>
  <c r="AH818" i="1" s="1"/>
  <c r="AV818" i="1" s="1"/>
  <c r="AW818" i="1" s="1"/>
  <c r="AG828" i="1"/>
  <c r="AH828" i="1" s="1"/>
  <c r="AV828" i="1" s="1"/>
  <c r="AW828" i="1" s="1"/>
  <c r="AK829" i="1"/>
  <c r="AM898" i="1"/>
  <c r="AP898" i="1" s="1"/>
  <c r="AS898" i="1" s="1"/>
  <c r="AG747" i="1"/>
  <c r="AH747" i="1" s="1"/>
  <c r="AV747" i="1" s="1"/>
  <c r="AW747" i="1" s="1"/>
  <c r="AI770" i="1"/>
  <c r="AF123" i="1"/>
  <c r="AM805" i="1"/>
  <c r="AP805" i="1" s="1"/>
  <c r="AS805" i="1" s="1"/>
  <c r="AG834" i="1"/>
  <c r="AH834" i="1" s="1"/>
  <c r="AV834" i="1" s="1"/>
  <c r="AW834" i="1" s="1"/>
  <c r="AM897" i="1"/>
  <c r="AP897" i="1" s="1"/>
  <c r="AS897" i="1" s="1"/>
  <c r="AF755" i="1"/>
  <c r="AM654" i="1"/>
  <c r="AP654" i="1" s="1"/>
  <c r="AS654" i="1" s="1"/>
  <c r="AF740" i="1"/>
  <c r="AI740" i="1"/>
  <c r="AK740" i="1" s="1"/>
  <c r="AH812" i="1"/>
  <c r="AV812" i="1" s="1"/>
  <c r="AW812" i="1" s="1"/>
  <c r="AH813" i="1"/>
  <c r="AV813" i="1" s="1"/>
  <c r="AW813" i="1" s="1"/>
  <c r="AH814" i="1"/>
  <c r="AV814" i="1" s="1"/>
  <c r="AW814" i="1" s="1"/>
  <c r="AM819" i="1"/>
  <c r="AP819" i="1" s="1"/>
  <c r="AS819" i="1" s="1"/>
  <c r="AI828" i="1"/>
  <c r="AH830" i="1"/>
  <c r="AV830" i="1" s="1"/>
  <c r="AW830" i="1" s="1"/>
  <c r="AH833" i="1"/>
  <c r="AV833" i="1" s="1"/>
  <c r="AW833" i="1" s="1"/>
  <c r="AH836" i="1"/>
  <c r="AV836" i="1" s="1"/>
  <c r="AW836" i="1" s="1"/>
  <c r="AM841" i="1"/>
  <c r="AP841" i="1" s="1"/>
  <c r="AS841" i="1" s="1"/>
  <c r="AH849" i="1"/>
  <c r="AV849" i="1" s="1"/>
  <c r="AW849" i="1" s="1"/>
  <c r="AI772" i="1"/>
  <c r="AK772" i="1" s="1"/>
  <c r="AI874" i="1"/>
  <c r="AK874" i="1" s="1"/>
  <c r="AM853" i="1"/>
  <c r="AP853" i="1" s="1"/>
  <c r="AS853" i="1" s="1"/>
  <c r="AG853" i="1"/>
  <c r="AH853" i="1" s="1"/>
  <c r="AV853" i="1" s="1"/>
  <c r="AW853" i="1" s="1"/>
  <c r="AI884" i="1"/>
  <c r="AK884" i="1" s="1"/>
  <c r="AF884" i="1"/>
  <c r="AF860" i="1"/>
  <c r="AI876" i="1"/>
  <c r="AK876" i="1" s="1"/>
  <c r="AF876" i="1"/>
  <c r="AG785" i="1"/>
  <c r="AH785" i="1" s="1"/>
  <c r="AV785" i="1" s="1"/>
  <c r="AW785" i="1" s="1"/>
  <c r="AM785" i="1"/>
  <c r="AP785" i="1" s="1"/>
  <c r="AS785" i="1" s="1"/>
  <c r="AI413" i="1"/>
  <c r="AK413" i="1" s="1"/>
  <c r="AF413" i="1"/>
  <c r="AF888" i="1"/>
  <c r="AI852" i="1"/>
  <c r="AK852" i="1" s="1"/>
  <c r="AF852" i="1"/>
  <c r="AI826" i="1"/>
  <c r="AK826" i="1" s="1"/>
  <c r="AF781" i="1"/>
  <c r="AF882" i="1"/>
  <c r="AM816" i="1"/>
  <c r="AP816" i="1" s="1"/>
  <c r="AS816" i="1" s="1"/>
  <c r="AF191" i="1"/>
  <c r="AM885" i="1"/>
  <c r="AP885" i="1" s="1"/>
  <c r="AS885" i="1" s="1"/>
  <c r="AG885" i="1"/>
  <c r="AH885" i="1" s="1"/>
  <c r="AV885" i="1" s="1"/>
  <c r="AW885" i="1" s="1"/>
  <c r="AG784" i="1"/>
  <c r="AH784" i="1" s="1"/>
  <c r="AV784" i="1" s="1"/>
  <c r="AW784" i="1" s="1"/>
  <c r="AM784" i="1"/>
  <c r="AP784" i="1" s="1"/>
  <c r="AS784" i="1" s="1"/>
  <c r="AG843" i="1"/>
  <c r="AH843" i="1" s="1"/>
  <c r="AV843" i="1" s="1"/>
  <c r="AW843" i="1" s="1"/>
  <c r="AF842" i="1"/>
  <c r="AI610" i="1"/>
  <c r="AK610" i="1" s="1"/>
  <c r="AF610" i="1"/>
  <c r="AF881" i="1"/>
  <c r="AH848" i="1"/>
  <c r="AV848" i="1" s="1"/>
  <c r="AW848" i="1" s="1"/>
  <c r="AF854" i="1"/>
  <c r="AF783" i="1"/>
  <c r="AI848" i="1"/>
  <c r="AK848" i="1" s="1"/>
  <c r="AF872" i="1"/>
  <c r="AF878" i="1"/>
  <c r="AI889" i="1"/>
  <c r="AK889" i="1" s="1"/>
  <c r="AI890" i="1"/>
  <c r="AK890" i="1" s="1"/>
  <c r="AF890" i="1"/>
  <c r="AG869" i="1"/>
  <c r="AH869" i="1" s="1"/>
  <c r="AV869" i="1" s="1"/>
  <c r="AW869" i="1" s="1"/>
  <c r="AM233" i="1"/>
  <c r="AP233" i="1" s="1"/>
  <c r="AS233" i="1" s="1"/>
  <c r="AG904" i="1"/>
  <c r="AH904" i="1" s="1"/>
  <c r="AV904" i="1" s="1"/>
  <c r="AW904" i="1" s="1"/>
  <c r="AG901" i="1"/>
  <c r="AH901" i="1" s="1"/>
  <c r="AV901" i="1" s="1"/>
  <c r="AW901" i="1" s="1"/>
  <c r="AM830" i="1" l="1"/>
  <c r="AP830" i="1" s="1"/>
  <c r="AS830" i="1" s="1"/>
  <c r="AG574" i="1"/>
  <c r="AH574" i="1" s="1"/>
  <c r="AV574" i="1" s="1"/>
  <c r="AW574" i="1" s="1"/>
  <c r="AG730" i="1"/>
  <c r="AH730" i="1" s="1"/>
  <c r="AV730" i="1" s="1"/>
  <c r="AW730" i="1" s="1"/>
  <c r="AG451" i="1"/>
  <c r="AH451" i="1" s="1"/>
  <c r="AV451" i="1" s="1"/>
  <c r="AW451" i="1" s="1"/>
  <c r="AH719" i="1"/>
  <c r="AV719" i="1" s="1"/>
  <c r="AW719" i="1" s="1"/>
  <c r="AM554" i="1"/>
  <c r="AP554" i="1" s="1"/>
  <c r="AS554" i="1" s="1"/>
  <c r="AG96" i="1"/>
  <c r="AH96" i="1" s="1"/>
  <c r="AV96" i="1" s="1"/>
  <c r="AW96" i="1" s="1"/>
  <c r="AM267" i="1"/>
  <c r="AP267" i="1" s="1"/>
  <c r="AS267" i="1" s="1"/>
  <c r="AH149" i="1"/>
  <c r="AV149" i="1" s="1"/>
  <c r="AW149" i="1" s="1"/>
  <c r="AG116" i="1"/>
  <c r="AG58" i="1"/>
  <c r="AH58" i="1" s="1"/>
  <c r="AV58" i="1" s="1"/>
  <c r="AW58" i="1" s="1"/>
  <c r="AM512" i="1"/>
  <c r="AP512" i="1" s="1"/>
  <c r="AS512" i="1" s="1"/>
  <c r="AM900" i="1"/>
  <c r="AP900" i="1" s="1"/>
  <c r="AS900" i="1" s="1"/>
  <c r="AM626" i="1"/>
  <c r="AP626" i="1" s="1"/>
  <c r="AS626" i="1" s="1"/>
  <c r="AM435" i="1"/>
  <c r="AP435" i="1" s="1"/>
  <c r="AS435" i="1" s="1"/>
  <c r="AM433" i="1"/>
  <c r="AP433" i="1" s="1"/>
  <c r="AS433" i="1" s="1"/>
  <c r="AM798" i="1"/>
  <c r="AP798" i="1" s="1"/>
  <c r="AS798" i="1" s="1"/>
  <c r="AM156" i="1"/>
  <c r="AP156" i="1" s="1"/>
  <c r="AS156" i="1" s="1"/>
  <c r="AG154" i="1"/>
  <c r="AH154" i="1" s="1"/>
  <c r="AV154" i="1" s="1"/>
  <c r="AW154" i="1" s="1"/>
  <c r="AG234" i="1"/>
  <c r="AH234" i="1" s="1"/>
  <c r="AV234" i="1" s="1"/>
  <c r="AW234" i="1" s="1"/>
  <c r="AM208" i="1"/>
  <c r="AP208" i="1" s="1"/>
  <c r="AS208" i="1" s="1"/>
  <c r="AG805" i="1"/>
  <c r="AH805" i="1" s="1"/>
  <c r="AV805" i="1" s="1"/>
  <c r="AW805" i="1" s="1"/>
  <c r="AM719" i="1"/>
  <c r="AP719" i="1" s="1"/>
  <c r="AS719" i="1" s="1"/>
  <c r="AM889" i="1"/>
  <c r="AP889" i="1" s="1"/>
  <c r="AS889" i="1" s="1"/>
  <c r="AM793" i="1"/>
  <c r="AP793" i="1" s="1"/>
  <c r="AS793" i="1" s="1"/>
  <c r="AM387" i="1"/>
  <c r="AP387" i="1" s="1"/>
  <c r="AS387" i="1" s="1"/>
  <c r="AG410" i="1"/>
  <c r="AH410" i="1" s="1"/>
  <c r="AV410" i="1" s="1"/>
  <c r="AW410" i="1" s="1"/>
  <c r="AM346" i="1"/>
  <c r="AP346" i="1" s="1"/>
  <c r="AS346" i="1" s="1"/>
  <c r="AM248" i="1"/>
  <c r="AP248" i="1" s="1"/>
  <c r="AS248" i="1" s="1"/>
  <c r="AG361" i="1"/>
  <c r="AH361" i="1" s="1"/>
  <c r="AV361" i="1" s="1"/>
  <c r="AW361" i="1" s="1"/>
  <c r="AG229" i="1"/>
  <c r="AH229" i="1" s="1"/>
  <c r="AV229" i="1" s="1"/>
  <c r="AW229" i="1" s="1"/>
  <c r="AG60" i="1"/>
  <c r="AH60" i="1" s="1"/>
  <c r="AV60" i="1" s="1"/>
  <c r="AW60" i="1" s="1"/>
  <c r="AM19" i="1"/>
  <c r="AP19" i="1" s="1"/>
  <c r="AS19" i="1" s="1"/>
  <c r="AM264" i="1"/>
  <c r="AP264" i="1" s="1"/>
  <c r="AS264" i="1" s="1"/>
  <c r="AM368" i="1"/>
  <c r="AP368" i="1" s="1"/>
  <c r="AS368" i="1" s="1"/>
  <c r="AM530" i="1"/>
  <c r="AP530" i="1" s="1"/>
  <c r="AS530" i="1" s="1"/>
  <c r="AM455" i="1"/>
  <c r="AP455" i="1" s="1"/>
  <c r="AS455" i="1" s="1"/>
  <c r="AG545" i="1"/>
  <c r="AH545" i="1" s="1"/>
  <c r="AV545" i="1" s="1"/>
  <c r="AW545" i="1" s="1"/>
  <c r="AM829" i="1"/>
  <c r="AP829" i="1" s="1"/>
  <c r="AS829" i="1" s="1"/>
  <c r="AM877" i="1"/>
  <c r="AP877" i="1" s="1"/>
  <c r="AS877" i="1" s="1"/>
  <c r="AM787" i="1"/>
  <c r="AP787" i="1" s="1"/>
  <c r="AS787" i="1" s="1"/>
  <c r="AH798" i="1"/>
  <c r="AV798" i="1" s="1"/>
  <c r="AW798" i="1" s="1"/>
  <c r="AH602" i="1"/>
  <c r="AV602" i="1" s="1"/>
  <c r="AW602" i="1" s="1"/>
  <c r="AG516" i="1"/>
  <c r="AH516" i="1" s="1"/>
  <c r="AV516" i="1" s="1"/>
  <c r="AW516" i="1" s="1"/>
  <c r="AM676" i="1"/>
  <c r="AP676" i="1" s="1"/>
  <c r="AS676" i="1" s="1"/>
  <c r="AM674" i="1"/>
  <c r="AP674" i="1" s="1"/>
  <c r="AS674" i="1" s="1"/>
  <c r="AG460" i="1"/>
  <c r="AH460" i="1" s="1"/>
  <c r="AV460" i="1" s="1"/>
  <c r="AW460" i="1" s="1"/>
  <c r="AM458" i="1"/>
  <c r="AP458" i="1" s="1"/>
  <c r="AS458" i="1" s="1"/>
  <c r="AM602" i="1"/>
  <c r="AP602" i="1" s="1"/>
  <c r="AS602" i="1" s="1"/>
  <c r="AM183" i="1"/>
  <c r="AP183" i="1" s="1"/>
  <c r="AS183" i="1" s="1"/>
  <c r="AM115" i="1"/>
  <c r="AP115" i="1" s="1"/>
  <c r="AS115" i="1" s="1"/>
  <c r="AM117" i="1"/>
  <c r="AP117" i="1" s="1"/>
  <c r="AS117" i="1" s="1"/>
  <c r="AK9" i="1"/>
  <c r="AM449" i="1"/>
  <c r="AP449" i="1" s="1"/>
  <c r="AS449" i="1" s="1"/>
  <c r="AM534" i="1"/>
  <c r="AP534" i="1" s="1"/>
  <c r="AS534" i="1" s="1"/>
  <c r="AM662" i="1"/>
  <c r="AP662" i="1" s="1"/>
  <c r="AS662" i="1" s="1"/>
  <c r="AM427" i="1"/>
  <c r="AP427" i="1" s="1"/>
  <c r="AS427" i="1" s="1"/>
  <c r="AM551" i="1"/>
  <c r="AP551" i="1" s="1"/>
  <c r="AS551" i="1" s="1"/>
  <c r="AM119" i="1"/>
  <c r="AP119" i="1" s="1"/>
  <c r="AS119" i="1" s="1"/>
  <c r="AM498" i="1"/>
  <c r="AP498" i="1" s="1"/>
  <c r="AS498" i="1" s="1"/>
  <c r="AM317" i="1"/>
  <c r="AP317" i="1" s="1"/>
  <c r="AS317" i="1" s="1"/>
  <c r="AM693" i="1"/>
  <c r="AP693" i="1" s="1"/>
  <c r="AS693" i="1" s="1"/>
  <c r="AH490" i="1"/>
  <c r="AV490" i="1" s="1"/>
  <c r="AW490" i="1" s="1"/>
  <c r="AG382" i="1"/>
  <c r="AH382" i="1" s="1"/>
  <c r="AV382" i="1" s="1"/>
  <c r="AW382" i="1" s="1"/>
  <c r="AM490" i="1"/>
  <c r="AP490" i="1" s="1"/>
  <c r="AS490" i="1" s="1"/>
  <c r="AH626" i="1"/>
  <c r="AV626" i="1" s="1"/>
  <c r="AW626" i="1" s="1"/>
  <c r="AH817" i="1"/>
  <c r="AV817" i="1" s="1"/>
  <c r="AW817" i="1" s="1"/>
  <c r="AM863" i="1"/>
  <c r="AP863" i="1" s="1"/>
  <c r="AS863" i="1" s="1"/>
  <c r="AH723" i="1"/>
  <c r="AV723" i="1" s="1"/>
  <c r="AW723" i="1" s="1"/>
  <c r="AM641" i="1"/>
  <c r="AP641" i="1" s="1"/>
  <c r="AS641" i="1" s="1"/>
  <c r="AM575" i="1"/>
  <c r="AP575" i="1" s="1"/>
  <c r="AS575" i="1" s="1"/>
  <c r="AM766" i="1"/>
  <c r="AP766" i="1" s="1"/>
  <c r="AS766" i="1" s="1"/>
  <c r="AG533" i="1"/>
  <c r="AH533" i="1" s="1"/>
  <c r="AV533" i="1" s="1"/>
  <c r="AW533" i="1" s="1"/>
  <c r="AM364" i="1"/>
  <c r="AP364" i="1" s="1"/>
  <c r="AS364" i="1" s="1"/>
  <c r="AM440" i="1"/>
  <c r="AP440" i="1" s="1"/>
  <c r="AS440" i="1" s="1"/>
  <c r="AH551" i="1"/>
  <c r="AV551" i="1" s="1"/>
  <c r="AW551" i="1" s="1"/>
  <c r="AM89" i="1"/>
  <c r="AP89" i="1" s="1"/>
  <c r="AS89" i="1" s="1"/>
  <c r="AM383" i="1"/>
  <c r="AP383" i="1" s="1"/>
  <c r="AS383" i="1" s="1"/>
  <c r="AM768" i="1"/>
  <c r="AP768" i="1" s="1"/>
  <c r="AS768" i="1" s="1"/>
  <c r="AM155" i="1"/>
  <c r="AP155" i="1" s="1"/>
  <c r="AS155" i="1" s="1"/>
  <c r="AM563" i="1"/>
  <c r="AP563" i="1" s="1"/>
  <c r="AS563" i="1" s="1"/>
  <c r="AM484" i="1"/>
  <c r="AP484" i="1" s="1"/>
  <c r="AS484" i="1" s="1"/>
  <c r="AM279" i="1"/>
  <c r="AP279" i="1" s="1"/>
  <c r="AS279" i="1" s="1"/>
  <c r="AM102" i="1"/>
  <c r="AP102" i="1" s="1"/>
  <c r="AS102" i="1" s="1"/>
  <c r="AG550" i="1"/>
  <c r="AH550" i="1" s="1"/>
  <c r="AV550" i="1" s="1"/>
  <c r="AW550" i="1" s="1"/>
  <c r="AG153" i="1"/>
  <c r="AH153" i="1" s="1"/>
  <c r="AV153" i="1" s="1"/>
  <c r="AW153" i="1" s="1"/>
  <c r="AM8" i="1"/>
  <c r="AP8" i="1" s="1"/>
  <c r="AS8" i="1" s="1"/>
  <c r="AM756" i="1"/>
  <c r="AP756" i="1" s="1"/>
  <c r="AS756" i="1" s="1"/>
  <c r="AM429" i="1"/>
  <c r="AP429" i="1" s="1"/>
  <c r="AS429" i="1" s="1"/>
  <c r="AM163" i="1"/>
  <c r="AP163" i="1" s="1"/>
  <c r="AS163" i="1" s="1"/>
  <c r="AM865" i="1"/>
  <c r="AP865" i="1" s="1"/>
  <c r="AS865" i="1" s="1"/>
  <c r="AM797" i="1"/>
  <c r="AP797" i="1" s="1"/>
  <c r="AS797" i="1" s="1"/>
  <c r="AG326" i="1"/>
  <c r="AH326" i="1" s="1"/>
  <c r="AV326" i="1" s="1"/>
  <c r="AW326" i="1" s="1"/>
  <c r="AM260" i="1"/>
  <c r="AP260" i="1" s="1"/>
  <c r="AS260" i="1" s="1"/>
  <c r="AK576" i="1"/>
  <c r="AM576" i="1"/>
  <c r="AP576" i="1" s="1"/>
  <c r="AS576" i="1" s="1"/>
  <c r="AK535" i="1"/>
  <c r="AM535" i="1"/>
  <c r="AP535" i="1" s="1"/>
  <c r="AS535" i="1" s="1"/>
  <c r="AM341" i="1"/>
  <c r="AP341" i="1" s="1"/>
  <c r="AS341" i="1" s="1"/>
  <c r="AH368" i="1"/>
  <c r="AV368" i="1" s="1"/>
  <c r="AW368" i="1" s="1"/>
  <c r="AM342" i="1"/>
  <c r="AP342" i="1" s="1"/>
  <c r="AS342" i="1" s="1"/>
  <c r="AG275" i="1"/>
  <c r="AH275" i="1" s="1"/>
  <c r="AV275" i="1" s="1"/>
  <c r="AW275" i="1" s="1"/>
  <c r="AG509" i="1"/>
  <c r="AH509" i="1" s="1"/>
  <c r="AV509" i="1" s="1"/>
  <c r="AW509" i="1" s="1"/>
  <c r="AG189" i="1"/>
  <c r="AH189" i="1" s="1"/>
  <c r="AV189" i="1" s="1"/>
  <c r="AW189" i="1" s="1"/>
  <c r="AM844" i="1"/>
  <c r="AP844" i="1" s="1"/>
  <c r="AS844" i="1" s="1"/>
  <c r="AG844" i="1"/>
  <c r="AH844" i="1" s="1"/>
  <c r="AV844" i="1" s="1"/>
  <c r="AW844" i="1" s="1"/>
  <c r="AM465" i="1"/>
  <c r="AP465" i="1" s="1"/>
  <c r="AS465" i="1" s="1"/>
  <c r="AM824" i="1"/>
  <c r="AP824" i="1" s="1"/>
  <c r="AS824" i="1" s="1"/>
  <c r="AM221" i="1"/>
  <c r="AP221" i="1" s="1"/>
  <c r="AS221" i="1" s="1"/>
  <c r="AG815" i="1"/>
  <c r="AH815" i="1" s="1"/>
  <c r="AV815" i="1" s="1"/>
  <c r="AW815" i="1" s="1"/>
  <c r="AM751" i="1"/>
  <c r="AP751" i="1" s="1"/>
  <c r="AS751" i="1" s="1"/>
  <c r="AM765" i="1"/>
  <c r="AP765" i="1" s="1"/>
  <c r="AS765" i="1" s="1"/>
  <c r="AM692" i="1"/>
  <c r="AP692" i="1" s="1"/>
  <c r="AS692" i="1" s="1"/>
  <c r="AH725" i="1"/>
  <c r="AV725" i="1" s="1"/>
  <c r="AW725" i="1" s="1"/>
  <c r="AG36" i="1"/>
  <c r="AH36" i="1" s="1"/>
  <c r="AV36" i="1" s="1"/>
  <c r="AW36" i="1" s="1"/>
  <c r="AG644" i="1"/>
  <c r="AH644" i="1" s="1"/>
  <c r="AV644" i="1" s="1"/>
  <c r="AW644" i="1" s="1"/>
  <c r="AM336" i="1"/>
  <c r="AP336" i="1" s="1"/>
  <c r="AS336" i="1" s="1"/>
  <c r="AM843" i="1"/>
  <c r="AP843" i="1" s="1"/>
  <c r="AS843" i="1" s="1"/>
  <c r="AH691" i="1"/>
  <c r="AV691" i="1" s="1"/>
  <c r="AW691" i="1" s="1"/>
  <c r="AM725" i="1"/>
  <c r="AP725" i="1" s="1"/>
  <c r="AS725" i="1" s="1"/>
  <c r="AG711" i="1"/>
  <c r="AH711" i="1" s="1"/>
  <c r="AV711" i="1" s="1"/>
  <c r="AW711" i="1" s="1"/>
  <c r="AM492" i="1"/>
  <c r="AP492" i="1" s="1"/>
  <c r="AS492" i="1" s="1"/>
  <c r="AG567" i="1"/>
  <c r="AH567" i="1" s="1"/>
  <c r="AM175" i="1"/>
  <c r="AP175" i="1" s="1"/>
  <c r="AS175" i="1" s="1"/>
  <c r="AM100" i="1"/>
  <c r="AP100" i="1" s="1"/>
  <c r="AS100" i="1" s="1"/>
  <c r="AM106" i="1"/>
  <c r="AP106" i="1" s="1"/>
  <c r="AS106" i="1" s="1"/>
  <c r="AM132" i="1"/>
  <c r="AP132" i="1" s="1"/>
  <c r="AS132" i="1" s="1"/>
  <c r="AM887" i="1"/>
  <c r="AP887" i="1" s="1"/>
  <c r="AS887" i="1" s="1"/>
  <c r="AM445" i="1"/>
  <c r="AP445" i="1" s="1"/>
  <c r="AS445" i="1" s="1"/>
  <c r="AM447" i="1"/>
  <c r="AP447" i="1" s="1"/>
  <c r="AS447" i="1" s="1"/>
  <c r="AM270" i="1"/>
  <c r="AP270" i="1" s="1"/>
  <c r="AS270" i="1" s="1"/>
  <c r="AM544" i="1"/>
  <c r="AP544" i="1" s="1"/>
  <c r="AS544" i="1" s="1"/>
  <c r="AM491" i="1"/>
  <c r="AP491" i="1" s="1"/>
  <c r="AS491" i="1" s="1"/>
  <c r="AG144" i="1"/>
  <c r="AH144" i="1" s="1"/>
  <c r="AV144" i="1" s="1"/>
  <c r="AW144" i="1" s="1"/>
  <c r="AM762" i="1"/>
  <c r="AP762" i="1" s="1"/>
  <c r="AS762" i="1" s="1"/>
  <c r="AH713" i="1"/>
  <c r="AV713" i="1" s="1"/>
  <c r="AW713" i="1" s="1"/>
  <c r="AK381" i="1"/>
  <c r="AG150" i="1"/>
  <c r="AM147" i="1"/>
  <c r="AP147" i="1" s="1"/>
  <c r="AS147" i="1" s="1"/>
  <c r="AM161" i="1"/>
  <c r="AP161" i="1" s="1"/>
  <c r="AS161" i="1" s="1"/>
  <c r="AG129" i="1"/>
  <c r="AH129" i="1" s="1"/>
  <c r="AV129" i="1" s="1"/>
  <c r="AW129" i="1" s="1"/>
  <c r="AM68" i="1"/>
  <c r="AP68" i="1" s="1"/>
  <c r="AS68" i="1" s="1"/>
  <c r="AG648" i="1"/>
  <c r="AH648" i="1" s="1"/>
  <c r="AV648" i="1" s="1"/>
  <c r="AW648" i="1" s="1"/>
  <c r="AM135" i="1"/>
  <c r="AP135" i="1" s="1"/>
  <c r="AS135" i="1" s="1"/>
  <c r="AM254" i="1"/>
  <c r="AP254" i="1" s="1"/>
  <c r="AS254" i="1" s="1"/>
  <c r="AM151" i="1"/>
  <c r="AP151" i="1" s="1"/>
  <c r="AS151" i="1" s="1"/>
  <c r="AM691" i="1"/>
  <c r="AP691" i="1" s="1"/>
  <c r="AS691" i="1" s="1"/>
  <c r="AG899" i="1"/>
  <c r="AH899" i="1" s="1"/>
  <c r="AV899" i="1" s="1"/>
  <c r="AW899" i="1" s="1"/>
  <c r="AM899" i="1"/>
  <c r="AP899" i="1" s="1"/>
  <c r="AS899" i="1" s="1"/>
  <c r="AG759" i="1"/>
  <c r="AH759" i="1" s="1"/>
  <c r="AV759" i="1" s="1"/>
  <c r="AW759" i="1" s="1"/>
  <c r="AM180" i="1"/>
  <c r="AP180" i="1" s="1"/>
  <c r="AS180" i="1" s="1"/>
  <c r="AM901" i="1"/>
  <c r="AP901" i="1" s="1"/>
  <c r="AS901" i="1" s="1"/>
  <c r="AG877" i="1"/>
  <c r="AH877" i="1" s="1"/>
  <c r="AV877" i="1" s="1"/>
  <c r="AW877" i="1" s="1"/>
  <c r="AG787" i="1"/>
  <c r="AH787" i="1" s="1"/>
  <c r="AV787" i="1" s="1"/>
  <c r="AW787" i="1" s="1"/>
  <c r="AM778" i="1"/>
  <c r="AP778" i="1" s="1"/>
  <c r="AS778" i="1" s="1"/>
  <c r="AM731" i="1"/>
  <c r="AP731" i="1" s="1"/>
  <c r="AS731" i="1" s="1"/>
  <c r="AM713" i="1"/>
  <c r="AP713" i="1" s="1"/>
  <c r="AS713" i="1" s="1"/>
  <c r="AM553" i="1"/>
  <c r="AP553" i="1" s="1"/>
  <c r="AS553" i="1" s="1"/>
  <c r="AK347" i="1"/>
  <c r="AM453" i="1"/>
  <c r="AP453" i="1" s="1"/>
  <c r="AS453" i="1" s="1"/>
  <c r="AM489" i="1"/>
  <c r="AP489" i="1" s="1"/>
  <c r="AS489" i="1" s="1"/>
  <c r="AG378" i="1"/>
  <c r="AH378" i="1" s="1"/>
  <c r="AV378" i="1" s="1"/>
  <c r="AW378" i="1" s="1"/>
  <c r="AG271" i="1"/>
  <c r="AH271" i="1" s="1"/>
  <c r="AV271" i="1" s="1"/>
  <c r="AW271" i="1" s="1"/>
  <c r="AK359" i="1"/>
  <c r="AG232" i="1"/>
  <c r="AH232" i="1" s="1"/>
  <c r="AV232" i="1" s="1"/>
  <c r="AW232" i="1" s="1"/>
  <c r="AM606" i="1"/>
  <c r="AP606" i="1" s="1"/>
  <c r="AS606" i="1" s="1"/>
  <c r="AM502" i="1"/>
  <c r="AP502" i="1" s="1"/>
  <c r="AS502" i="1" s="1"/>
  <c r="AK225" i="1"/>
  <c r="AM548" i="1"/>
  <c r="AP548" i="1" s="1"/>
  <c r="AS548" i="1" s="1"/>
  <c r="AG265" i="1"/>
  <c r="AH265" i="1" s="1"/>
  <c r="AV265" i="1" s="1"/>
  <c r="AW265" i="1" s="1"/>
  <c r="AM589" i="1"/>
  <c r="AP589" i="1" s="1"/>
  <c r="AS589" i="1" s="1"/>
  <c r="AH829" i="1"/>
  <c r="AV829" i="1" s="1"/>
  <c r="AW829" i="1" s="1"/>
  <c r="AG706" i="1"/>
  <c r="AH706" i="1" s="1"/>
  <c r="AV706" i="1" s="1"/>
  <c r="AW706" i="1" s="1"/>
  <c r="AM570" i="1"/>
  <c r="AP570" i="1" s="1"/>
  <c r="AS570" i="1" s="1"/>
  <c r="AM642" i="1"/>
  <c r="AP642" i="1" s="1"/>
  <c r="AS642" i="1" s="1"/>
  <c r="AG345" i="1"/>
  <c r="AH345" i="1" s="1"/>
  <c r="AV345" i="1" s="1"/>
  <c r="AW345" i="1" s="1"/>
  <c r="AM678" i="1"/>
  <c r="AP678" i="1" s="1"/>
  <c r="AS678" i="1" s="1"/>
  <c r="AM81" i="1"/>
  <c r="AP81" i="1" s="1"/>
  <c r="AS81" i="1" s="1"/>
  <c r="AM724" i="1"/>
  <c r="AP724" i="1" s="1"/>
  <c r="AS724" i="1" s="1"/>
  <c r="AG775" i="1"/>
  <c r="AH775" i="1" s="1"/>
  <c r="AV775" i="1" s="1"/>
  <c r="AW775" i="1" s="1"/>
  <c r="AM109" i="1"/>
  <c r="AP109" i="1" s="1"/>
  <c r="AS109" i="1" s="1"/>
  <c r="AM836" i="1"/>
  <c r="AP836" i="1" s="1"/>
  <c r="AS836" i="1" s="1"/>
  <c r="AM710" i="1"/>
  <c r="AP710" i="1" s="1"/>
  <c r="AS710" i="1" s="1"/>
  <c r="AG831" i="1"/>
  <c r="AH831" i="1" s="1"/>
  <c r="AV831" i="1" s="1"/>
  <c r="AW831" i="1" s="1"/>
  <c r="AM880" i="1"/>
  <c r="AP880" i="1" s="1"/>
  <c r="AS880" i="1" s="1"/>
  <c r="AK812" i="1"/>
  <c r="AH638" i="1"/>
  <c r="AV638" i="1" s="1"/>
  <c r="AW638" i="1" s="1"/>
  <c r="AH655" i="1"/>
  <c r="AV655" i="1" s="1"/>
  <c r="AW655" i="1" s="1"/>
  <c r="AK771" i="1"/>
  <c r="AH570" i="1"/>
  <c r="AV570" i="1" s="1"/>
  <c r="AW570" i="1" s="1"/>
  <c r="AG587" i="1"/>
  <c r="AH587" i="1" s="1"/>
  <c r="AV587" i="1" s="1"/>
  <c r="AW587" i="1" s="1"/>
  <c r="AM443" i="1"/>
  <c r="AP443" i="1" s="1"/>
  <c r="AS443" i="1" s="1"/>
  <c r="AM255" i="1"/>
  <c r="AP255" i="1" s="1"/>
  <c r="AS255" i="1" s="1"/>
  <c r="AM802" i="1"/>
  <c r="AP802" i="1" s="1"/>
  <c r="AS802" i="1" s="1"/>
  <c r="AK845" i="1"/>
  <c r="AK729" i="1"/>
  <c r="AM485" i="1"/>
  <c r="AP485" i="1" s="1"/>
  <c r="AS485" i="1" s="1"/>
  <c r="AM192" i="1"/>
  <c r="AP192" i="1" s="1"/>
  <c r="AS192" i="1" s="1"/>
  <c r="AM97" i="1"/>
  <c r="AP97" i="1" s="1"/>
  <c r="AS97" i="1" s="1"/>
  <c r="AM353" i="1"/>
  <c r="AP353" i="1" s="1"/>
  <c r="AS353" i="1" s="1"/>
  <c r="AG353" i="1"/>
  <c r="AG664" i="1"/>
  <c r="AH664" i="1" s="1"/>
  <c r="AV664" i="1" s="1"/>
  <c r="AW664" i="1" s="1"/>
  <c r="AM838" i="1"/>
  <c r="AP838" i="1" s="1"/>
  <c r="AS838" i="1" s="1"/>
  <c r="AK735" i="1"/>
  <c r="AM456" i="1"/>
  <c r="AP456" i="1" s="1"/>
  <c r="AS456" i="1" s="1"/>
  <c r="AM858" i="1"/>
  <c r="AP858" i="1" s="1"/>
  <c r="AS858" i="1" s="1"/>
  <c r="AG423" i="1"/>
  <c r="AH423" i="1" s="1"/>
  <c r="AV423" i="1" s="1"/>
  <c r="AW423" i="1" s="1"/>
  <c r="AM776" i="1"/>
  <c r="AP776" i="1" s="1"/>
  <c r="AS776" i="1" s="1"/>
  <c r="AG728" i="1"/>
  <c r="AH728" i="1" s="1"/>
  <c r="AV728" i="1" s="1"/>
  <c r="AW728" i="1" s="1"/>
  <c r="AG716" i="1"/>
  <c r="AK747" i="1"/>
  <c r="AG745" i="1"/>
  <c r="AH745" i="1" s="1"/>
  <c r="AV745" i="1" s="1"/>
  <c r="AW745" i="1" s="1"/>
  <c r="AM573" i="1"/>
  <c r="AP573" i="1" s="1"/>
  <c r="AS573" i="1" s="1"/>
  <c r="AM473" i="1"/>
  <c r="AP473" i="1" s="1"/>
  <c r="AS473" i="1" s="1"/>
  <c r="AH473" i="1"/>
  <c r="AV473" i="1" s="1"/>
  <c r="AW473" i="1" s="1"/>
  <c r="AM709" i="1"/>
  <c r="AP709" i="1" s="1"/>
  <c r="AS709" i="1" s="1"/>
  <c r="AM377" i="1"/>
  <c r="AP377" i="1" s="1"/>
  <c r="AS377" i="1" s="1"/>
  <c r="AM322" i="1"/>
  <c r="AP322" i="1" s="1"/>
  <c r="AS322" i="1" s="1"/>
  <c r="AM194" i="1"/>
  <c r="AP194" i="1" s="1"/>
  <c r="AS194" i="1" s="1"/>
  <c r="AG88" i="1"/>
  <c r="AH88" i="1" s="1"/>
  <c r="AV88" i="1" s="1"/>
  <c r="AW88" i="1" s="1"/>
  <c r="AM62" i="1"/>
  <c r="AP62" i="1" s="1"/>
  <c r="AS62" i="1" s="1"/>
  <c r="AG230" i="1"/>
  <c r="AH230" i="1" s="1"/>
  <c r="AV230" i="1" s="1"/>
  <c r="AW230" i="1" s="1"/>
  <c r="AM708" i="1"/>
  <c r="AP708" i="1" s="1"/>
  <c r="AS708" i="1" s="1"/>
  <c r="AG671" i="1"/>
  <c r="AH671" i="1" s="1"/>
  <c r="AV671" i="1" s="1"/>
  <c r="AW671" i="1" s="1"/>
  <c r="AM671" i="1"/>
  <c r="AP671" i="1" s="1"/>
  <c r="AS671" i="1" s="1"/>
  <c r="AM269" i="1"/>
  <c r="AP269" i="1" s="1"/>
  <c r="AS269" i="1" s="1"/>
  <c r="AM41" i="1"/>
  <c r="AP41" i="1" s="1"/>
  <c r="AS41" i="1" s="1"/>
  <c r="AH353" i="1"/>
  <c r="AV353" i="1" s="1"/>
  <c r="AW353" i="1" s="1"/>
  <c r="AM282" i="1"/>
  <c r="AP282" i="1" s="1"/>
  <c r="AS282" i="1" s="1"/>
  <c r="AG647" i="1"/>
  <c r="AH647" i="1" s="1"/>
  <c r="AV647" i="1" s="1"/>
  <c r="AW647" i="1" s="1"/>
  <c r="AM432" i="1"/>
  <c r="AP432" i="1" s="1"/>
  <c r="AS432" i="1" s="1"/>
  <c r="AH858" i="1"/>
  <c r="AV858" i="1" s="1"/>
  <c r="AW858" i="1" s="1"/>
  <c r="AG820" i="1"/>
  <c r="AH820" i="1" s="1"/>
  <c r="AV820" i="1" s="1"/>
  <c r="AW820" i="1" s="1"/>
  <c r="AG380" i="1"/>
  <c r="AH380" i="1" s="1"/>
  <c r="AV380" i="1" s="1"/>
  <c r="AW380" i="1" s="1"/>
  <c r="AM174" i="1"/>
  <c r="AP174" i="1" s="1"/>
  <c r="AS174" i="1" s="1"/>
  <c r="AG756" i="1"/>
  <c r="AH756" i="1" s="1"/>
  <c r="AV756" i="1" s="1"/>
  <c r="AW756" i="1" s="1"/>
  <c r="AH837" i="1"/>
  <c r="AV837" i="1" s="1"/>
  <c r="AW837" i="1" s="1"/>
  <c r="AH716" i="1"/>
  <c r="AV716" i="1" s="1"/>
  <c r="AW716" i="1" s="1"/>
  <c r="AH528" i="1"/>
  <c r="AV528" i="1" s="1"/>
  <c r="AW528" i="1" s="1"/>
  <c r="AG501" i="1"/>
  <c r="AH501" i="1" s="1"/>
  <c r="AV501" i="1" s="1"/>
  <c r="AW501" i="1" s="1"/>
  <c r="AM704" i="1"/>
  <c r="AP704" i="1" s="1"/>
  <c r="AS704" i="1" s="1"/>
  <c r="AM407" i="1"/>
  <c r="AP407" i="1" s="1"/>
  <c r="AS407" i="1" s="1"/>
  <c r="AH377" i="1"/>
  <c r="AV377" i="1" s="1"/>
  <c r="AW377" i="1" s="1"/>
  <c r="AH253" i="1"/>
  <c r="AV253" i="1" s="1"/>
  <c r="AW253" i="1" s="1"/>
  <c r="AM707" i="1"/>
  <c r="AP707" i="1" s="1"/>
  <c r="AS707" i="1" s="1"/>
  <c r="AH62" i="1"/>
  <c r="AV62" i="1" s="1"/>
  <c r="AW62" i="1" s="1"/>
  <c r="AM82" i="1"/>
  <c r="AP82" i="1" s="1"/>
  <c r="AS82" i="1" s="1"/>
  <c r="AM18" i="1"/>
  <c r="AP18" i="1" s="1"/>
  <c r="AS18" i="1" s="1"/>
  <c r="AM738" i="1"/>
  <c r="AP738" i="1" s="1"/>
  <c r="AS738" i="1" s="1"/>
  <c r="AM280" i="1"/>
  <c r="AP280" i="1" s="1"/>
  <c r="AS280" i="1" s="1"/>
  <c r="AH57" i="1"/>
  <c r="AV57" i="1" s="1"/>
  <c r="AW57" i="1" s="1"/>
  <c r="AM539" i="1"/>
  <c r="AP539" i="1" s="1"/>
  <c r="AS539" i="1" s="1"/>
  <c r="AG539" i="1"/>
  <c r="AH539" i="1" s="1"/>
  <c r="AV539" i="1" s="1"/>
  <c r="AW539" i="1" s="1"/>
  <c r="AM290" i="1"/>
  <c r="AP290" i="1" s="1"/>
  <c r="AS290" i="1" s="1"/>
  <c r="AK290" i="1"/>
  <c r="AM537" i="1"/>
  <c r="AP537" i="1" s="1"/>
  <c r="AS537" i="1" s="1"/>
  <c r="AG537" i="1"/>
  <c r="AH537" i="1" s="1"/>
  <c r="AV537" i="1" s="1"/>
  <c r="AW537" i="1" s="1"/>
  <c r="AM523" i="1"/>
  <c r="AP523" i="1" s="1"/>
  <c r="AS523" i="1" s="1"/>
  <c r="AG523" i="1"/>
  <c r="AK508" i="1"/>
  <c r="AM508" i="1"/>
  <c r="AP508" i="1" s="1"/>
  <c r="AS508" i="1" s="1"/>
  <c r="AM658" i="1"/>
  <c r="AP658" i="1" s="1"/>
  <c r="AS658" i="1" s="1"/>
  <c r="AM274" i="1"/>
  <c r="AP274" i="1" s="1"/>
  <c r="AS274" i="1" s="1"/>
  <c r="AG284" i="1"/>
  <c r="AH284" i="1" s="1"/>
  <c r="AV284" i="1" s="1"/>
  <c r="AW284" i="1" s="1"/>
  <c r="AH103" i="1"/>
  <c r="AV103" i="1" s="1"/>
  <c r="AW103" i="1" s="1"/>
  <c r="AM638" i="1"/>
  <c r="AP638" i="1" s="1"/>
  <c r="AS638" i="1" s="1"/>
  <c r="AM620" i="1"/>
  <c r="AP620" i="1" s="1"/>
  <c r="AS620" i="1" s="1"/>
  <c r="AM520" i="1"/>
  <c r="AP520" i="1" s="1"/>
  <c r="AS520" i="1" s="1"/>
  <c r="AH292" i="1"/>
  <c r="AV292" i="1" s="1"/>
  <c r="AW292" i="1" s="1"/>
  <c r="AM437" i="1"/>
  <c r="AP437" i="1" s="1"/>
  <c r="AS437" i="1" s="1"/>
  <c r="AG278" i="1"/>
  <c r="AH278" i="1" s="1"/>
  <c r="AV278" i="1" s="1"/>
  <c r="AW278" i="1" s="1"/>
  <c r="AG202" i="1"/>
  <c r="AH202" i="1" s="1"/>
  <c r="AV202" i="1" s="1"/>
  <c r="AW202" i="1" s="1"/>
  <c r="AM28" i="1"/>
  <c r="AP28" i="1" s="1"/>
  <c r="AS28" i="1" s="1"/>
  <c r="AM741" i="1"/>
  <c r="AP741" i="1" s="1"/>
  <c r="AS741" i="1" s="1"/>
  <c r="AG646" i="1"/>
  <c r="AH646" i="1" s="1"/>
  <c r="AV646" i="1" s="1"/>
  <c r="AW646" i="1" s="1"/>
  <c r="AK450" i="1"/>
  <c r="AM450" i="1"/>
  <c r="AP450" i="1" s="1"/>
  <c r="AS450" i="1" s="1"/>
  <c r="AK143" i="1"/>
  <c r="AM143" i="1"/>
  <c r="AP143" i="1" s="1"/>
  <c r="AS143" i="1" s="1"/>
  <c r="AM579" i="1"/>
  <c r="AP579" i="1" s="1"/>
  <c r="AS579" i="1" s="1"/>
  <c r="AG579" i="1"/>
  <c r="AH579" i="1" s="1"/>
  <c r="AV579" i="1" s="1"/>
  <c r="AW579" i="1" s="1"/>
  <c r="AM31" i="1"/>
  <c r="AP31" i="1" s="1"/>
  <c r="AS31" i="1" s="1"/>
  <c r="AM237" i="1"/>
  <c r="AP237" i="1" s="1"/>
  <c r="AS237" i="1" s="1"/>
  <c r="AG237" i="1"/>
  <c r="AH237" i="1" s="1"/>
  <c r="AV237" i="1" s="1"/>
  <c r="AW237" i="1" s="1"/>
  <c r="AM288" i="1"/>
  <c r="AP288" i="1" s="1"/>
  <c r="AS288" i="1" s="1"/>
  <c r="AH757" i="1"/>
  <c r="AV757" i="1" s="1"/>
  <c r="AW757" i="1" s="1"/>
  <c r="AH598" i="1"/>
  <c r="AV598" i="1" s="1"/>
  <c r="AW598" i="1" s="1"/>
  <c r="AK586" i="1"/>
  <c r="AG445" i="1"/>
  <c r="AH445" i="1" s="1"/>
  <c r="AV445" i="1" s="1"/>
  <c r="AW445" i="1" s="1"/>
  <c r="AM369" i="1"/>
  <c r="AP369" i="1" s="1"/>
  <c r="AS369" i="1" s="1"/>
  <c r="AM521" i="1"/>
  <c r="AP521" i="1" s="1"/>
  <c r="AS521" i="1" s="1"/>
  <c r="AM90" i="1"/>
  <c r="AP90" i="1" s="1"/>
  <c r="AS90" i="1" s="1"/>
  <c r="AM172" i="1"/>
  <c r="AP172" i="1" s="1"/>
  <c r="AS172" i="1" s="1"/>
  <c r="AM84" i="1"/>
  <c r="AP84" i="1" s="1"/>
  <c r="AS84" i="1" s="1"/>
  <c r="AM488" i="1"/>
  <c r="AP488" i="1" s="1"/>
  <c r="AS488" i="1" s="1"/>
  <c r="AM580" i="1"/>
  <c r="AP580" i="1" s="1"/>
  <c r="AS580" i="1" s="1"/>
  <c r="AG580" i="1"/>
  <c r="AH580" i="1" s="1"/>
  <c r="AV580" i="1" s="1"/>
  <c r="AW580" i="1" s="1"/>
  <c r="AM500" i="1"/>
  <c r="AP500" i="1" s="1"/>
  <c r="AS500" i="1" s="1"/>
  <c r="AG668" i="1"/>
  <c r="AH668" i="1" s="1"/>
  <c r="AV668" i="1" s="1"/>
  <c r="AW668" i="1" s="1"/>
  <c r="AM103" i="1"/>
  <c r="AP103" i="1" s="1"/>
  <c r="AS103" i="1" s="1"/>
  <c r="AM590" i="1"/>
  <c r="AP590" i="1" s="1"/>
  <c r="AS590" i="1" s="1"/>
  <c r="AH873" i="1"/>
  <c r="AV873" i="1" s="1"/>
  <c r="AW873" i="1" s="1"/>
  <c r="AM873" i="1"/>
  <c r="AP873" i="1" s="1"/>
  <c r="AS873" i="1" s="1"/>
  <c r="AM95" i="1"/>
  <c r="AP95" i="1" s="1"/>
  <c r="AS95" i="1" s="1"/>
  <c r="AH605" i="1"/>
  <c r="AV605" i="1" s="1"/>
  <c r="AW605" i="1" s="1"/>
  <c r="AM598" i="1"/>
  <c r="AP598" i="1" s="1"/>
  <c r="AS598" i="1" s="1"/>
  <c r="AH590" i="1"/>
  <c r="AV590" i="1" s="1"/>
  <c r="AW590" i="1" s="1"/>
  <c r="AH523" i="1"/>
  <c r="AV523" i="1" s="1"/>
  <c r="AW523" i="1" s="1"/>
  <c r="AM669" i="1"/>
  <c r="AP669" i="1" s="1"/>
  <c r="AS669" i="1" s="1"/>
  <c r="AM371" i="1"/>
  <c r="AP371" i="1" s="1"/>
  <c r="AS371" i="1" s="1"/>
  <c r="AG485" i="1"/>
  <c r="AH485" i="1" s="1"/>
  <c r="AV485" i="1" s="1"/>
  <c r="AW485" i="1" s="1"/>
  <c r="AG472" i="1"/>
  <c r="AM408" i="1"/>
  <c r="AP408" i="1" s="1"/>
  <c r="AS408" i="1" s="1"/>
  <c r="AM253" i="1"/>
  <c r="AP253" i="1" s="1"/>
  <c r="AS253" i="1" s="1"/>
  <c r="AM395" i="1"/>
  <c r="AP395" i="1" s="1"/>
  <c r="AS395" i="1" s="1"/>
  <c r="AK273" i="1"/>
  <c r="AM159" i="1"/>
  <c r="AP159" i="1" s="1"/>
  <c r="AS159" i="1" s="1"/>
  <c r="AM266" i="1"/>
  <c r="AP266" i="1" s="1"/>
  <c r="AS266" i="1" s="1"/>
  <c r="AM120" i="1"/>
  <c r="AP120" i="1" s="1"/>
  <c r="AS120" i="1" s="1"/>
  <c r="AM307" i="1"/>
  <c r="AP307" i="1" s="1"/>
  <c r="AS307" i="1" s="1"/>
  <c r="AM105" i="1"/>
  <c r="AP105" i="1" s="1"/>
  <c r="AS105" i="1" s="1"/>
  <c r="AM624" i="1"/>
  <c r="AP624" i="1" s="1"/>
  <c r="AS624" i="1" s="1"/>
  <c r="AK624" i="1"/>
  <c r="AM335" i="1"/>
  <c r="AP335" i="1" s="1"/>
  <c r="AS335" i="1" s="1"/>
  <c r="AK335" i="1"/>
  <c r="AG615" i="1"/>
  <c r="AH615" i="1" s="1"/>
  <c r="AV615" i="1" s="1"/>
  <c r="AW615" i="1" s="1"/>
  <c r="AG113" i="1"/>
  <c r="AH113" i="1" s="1"/>
  <c r="AV113" i="1" s="1"/>
  <c r="AW113" i="1" s="1"/>
  <c r="AM289" i="1"/>
  <c r="AP289" i="1" s="1"/>
  <c r="AS289" i="1" s="1"/>
  <c r="AK780" i="1"/>
  <c r="AM209" i="1"/>
  <c r="AP209" i="1" s="1"/>
  <c r="AS209" i="1" s="1"/>
  <c r="AG157" i="1"/>
  <c r="AH157" i="1" s="1"/>
  <c r="AV157" i="1" s="1"/>
  <c r="AW157" i="1" s="1"/>
  <c r="AH754" i="1"/>
  <c r="AV754" i="1" s="1"/>
  <c r="AW754" i="1" s="1"/>
  <c r="AM309" i="1"/>
  <c r="AP309" i="1" s="1"/>
  <c r="AS309" i="1" s="1"/>
  <c r="AG309" i="1"/>
  <c r="AH309" i="1" s="1"/>
  <c r="AV309" i="1" s="1"/>
  <c r="AW309" i="1" s="1"/>
  <c r="AK74" i="1"/>
  <c r="AM74" i="1"/>
  <c r="AP74" i="1" s="1"/>
  <c r="AS74" i="1" s="1"/>
  <c r="AM314" i="1"/>
  <c r="AP314" i="1" s="1"/>
  <c r="AS314" i="1" s="1"/>
  <c r="AG851" i="1"/>
  <c r="AH851" i="1" s="1"/>
  <c r="AV851" i="1" s="1"/>
  <c r="AW851" i="1" s="1"/>
  <c r="AM330" i="1"/>
  <c r="AP330" i="1" s="1"/>
  <c r="AS330" i="1" s="1"/>
  <c r="AM257" i="1"/>
  <c r="AP257" i="1" s="1"/>
  <c r="AS257" i="1" s="1"/>
  <c r="AH499" i="1"/>
  <c r="AV499" i="1" s="1"/>
  <c r="AW499" i="1" s="1"/>
  <c r="AM837" i="1"/>
  <c r="AP837" i="1" s="1"/>
  <c r="AS837" i="1" s="1"/>
  <c r="AH197" i="1"/>
  <c r="AV197" i="1" s="1"/>
  <c r="AW197" i="1" s="1"/>
  <c r="AM601" i="1"/>
  <c r="AP601" i="1" s="1"/>
  <c r="AS601" i="1" s="1"/>
  <c r="AK435" i="1"/>
  <c r="AM510" i="1"/>
  <c r="AP510" i="1" s="1"/>
  <c r="AS510" i="1" s="1"/>
  <c r="AM499" i="1"/>
  <c r="AP499" i="1" s="1"/>
  <c r="AS499" i="1" s="1"/>
  <c r="AG262" i="1"/>
  <c r="AH262" i="1" s="1"/>
  <c r="AV262" i="1" s="1"/>
  <c r="AW262" i="1" s="1"/>
  <c r="AG162" i="1"/>
  <c r="AH162" i="1" s="1"/>
  <c r="AV162" i="1" s="1"/>
  <c r="AW162" i="1" s="1"/>
  <c r="AM338" i="1"/>
  <c r="AP338" i="1" s="1"/>
  <c r="AS338" i="1" s="1"/>
  <c r="AH41" i="1"/>
  <c r="AV41" i="1" s="1"/>
  <c r="AW41" i="1" s="1"/>
  <c r="AG92" i="1"/>
  <c r="AH92" i="1" s="1"/>
  <c r="AV92" i="1" s="1"/>
  <c r="AW92" i="1" s="1"/>
  <c r="AM714" i="1"/>
  <c r="AP714" i="1" s="1"/>
  <c r="AS714" i="1" s="1"/>
  <c r="AM121" i="1"/>
  <c r="AP121" i="1" s="1"/>
  <c r="AS121" i="1" s="1"/>
  <c r="AK834" i="1"/>
  <c r="AM664" i="1"/>
  <c r="AP664" i="1" s="1"/>
  <c r="AS664" i="1" s="1"/>
  <c r="AG321" i="1"/>
  <c r="AH321" i="1" s="1"/>
  <c r="AV321" i="1" s="1"/>
  <c r="AW321" i="1" s="1"/>
  <c r="AM321" i="1"/>
  <c r="AP321" i="1" s="1"/>
  <c r="AS321" i="1" s="1"/>
  <c r="AM592" i="1"/>
  <c r="AP592" i="1" s="1"/>
  <c r="AS592" i="1" s="1"/>
  <c r="AG592" i="1"/>
  <c r="AH592" i="1" s="1"/>
  <c r="AV592" i="1" s="1"/>
  <c r="AW592" i="1" s="1"/>
  <c r="AM212" i="1"/>
  <c r="AP212" i="1" s="1"/>
  <c r="AS212" i="1" s="1"/>
  <c r="AM299" i="1"/>
  <c r="AP299" i="1" s="1"/>
  <c r="AS299" i="1" s="1"/>
  <c r="AG862" i="1"/>
  <c r="AH862" i="1" s="1"/>
  <c r="AV862" i="1" s="1"/>
  <c r="AW862" i="1" s="1"/>
  <c r="AM862" i="1"/>
  <c r="AP862" i="1" s="1"/>
  <c r="AS862" i="1" s="1"/>
  <c r="AM790" i="1"/>
  <c r="AP790" i="1" s="1"/>
  <c r="AS790" i="1" s="1"/>
  <c r="AG790" i="1"/>
  <c r="AH790" i="1" s="1"/>
  <c r="AV790" i="1" s="1"/>
  <c r="AW790" i="1" s="1"/>
  <c r="AM685" i="1"/>
  <c r="AP685" i="1" s="1"/>
  <c r="AS685" i="1" s="1"/>
  <c r="AG685" i="1"/>
  <c r="AH685" i="1" s="1"/>
  <c r="AV685" i="1" s="1"/>
  <c r="AW685" i="1" s="1"/>
  <c r="AH726" i="1"/>
  <c r="AV726" i="1" s="1"/>
  <c r="AW726" i="1" s="1"/>
  <c r="AM749" i="1"/>
  <c r="AP749" i="1" s="1"/>
  <c r="AS749" i="1" s="1"/>
  <c r="AH472" i="1"/>
  <c r="AV472" i="1" s="1"/>
  <c r="AW472" i="1" s="1"/>
  <c r="AM605" i="1"/>
  <c r="AP605" i="1" s="1"/>
  <c r="AS605" i="1" s="1"/>
  <c r="AG78" i="1"/>
  <c r="AH78" i="1" s="1"/>
  <c r="AV78" i="1" s="1"/>
  <c r="AW78" i="1" s="1"/>
  <c r="AG79" i="1"/>
  <c r="AH79" i="1" s="1"/>
  <c r="AV79" i="1" s="1"/>
  <c r="AW79" i="1" s="1"/>
  <c r="AH150" i="1"/>
  <c r="AV150" i="1" s="1"/>
  <c r="AW150" i="1" s="1"/>
  <c r="AM57" i="1"/>
  <c r="AP57" i="1" s="1"/>
  <c r="AS57" i="1" s="1"/>
  <c r="AM698" i="1"/>
  <c r="AP698" i="1" s="1"/>
  <c r="AS698" i="1" s="1"/>
  <c r="AM412" i="1"/>
  <c r="AP412" i="1" s="1"/>
  <c r="AS412" i="1" s="1"/>
  <c r="AK412" i="1"/>
  <c r="AM139" i="1"/>
  <c r="AP139" i="1" s="1"/>
  <c r="AS139" i="1" s="1"/>
  <c r="AM832" i="1"/>
  <c r="AP832" i="1" s="1"/>
  <c r="AS832" i="1" s="1"/>
  <c r="AG832" i="1"/>
  <c r="AH832" i="1" s="1"/>
  <c r="AV832" i="1" s="1"/>
  <c r="AW832" i="1" s="1"/>
  <c r="AG712" i="1"/>
  <c r="AM712" i="1"/>
  <c r="AP712" i="1" s="1"/>
  <c r="AS712" i="1" s="1"/>
  <c r="AH712" i="1"/>
  <c r="AV712" i="1" s="1"/>
  <c r="AW712" i="1" s="1"/>
  <c r="AM493" i="1"/>
  <c r="AP493" i="1" s="1"/>
  <c r="AS493" i="1" s="1"/>
  <c r="AG493" i="1"/>
  <c r="AH493" i="1" s="1"/>
  <c r="AV493" i="1" s="1"/>
  <c r="AW493" i="1" s="1"/>
  <c r="AM286" i="1"/>
  <c r="AP286" i="1" s="1"/>
  <c r="AS286" i="1" s="1"/>
  <c r="AM291" i="1"/>
  <c r="AP291" i="1" s="1"/>
  <c r="AS291" i="1" s="1"/>
  <c r="AG291" i="1"/>
  <c r="AH291" i="1" s="1"/>
  <c r="AV291" i="1" s="1"/>
  <c r="AW291" i="1" s="1"/>
  <c r="AM726" i="1"/>
  <c r="AP726" i="1" s="1"/>
  <c r="AS726" i="1" s="1"/>
  <c r="AK552" i="1"/>
  <c r="AG449" i="1"/>
  <c r="AH449" i="1" s="1"/>
  <c r="AV449" i="1" s="1"/>
  <c r="AW449" i="1" s="1"/>
  <c r="AG376" i="1"/>
  <c r="AH376" i="1" s="1"/>
  <c r="AV376" i="1" s="1"/>
  <c r="AW376" i="1" s="1"/>
  <c r="AM454" i="1"/>
  <c r="AP454" i="1" s="1"/>
  <c r="AS454" i="1" s="1"/>
  <c r="AM108" i="1"/>
  <c r="AP108" i="1" s="1"/>
  <c r="AS108" i="1" s="1"/>
  <c r="AG43" i="1"/>
  <c r="AH43" i="1" s="1"/>
  <c r="AV43" i="1" s="1"/>
  <c r="AW43" i="1" s="1"/>
  <c r="AG868" i="1"/>
  <c r="AH868" i="1" s="1"/>
  <c r="AV868" i="1" s="1"/>
  <c r="AW868" i="1" s="1"/>
  <c r="AM868" i="1"/>
  <c r="AP868" i="1" s="1"/>
  <c r="AS868" i="1" s="1"/>
  <c r="AM886" i="1"/>
  <c r="AP886" i="1" s="1"/>
  <c r="AS886" i="1" s="1"/>
  <c r="AK886" i="1"/>
  <c r="AM855" i="1"/>
  <c r="AP855" i="1" s="1"/>
  <c r="AS855" i="1" s="1"/>
  <c r="AG855" i="1"/>
  <c r="AH855" i="1" s="1"/>
  <c r="AV855" i="1" s="1"/>
  <c r="AW855" i="1" s="1"/>
  <c r="AM800" i="1"/>
  <c r="AP800" i="1" s="1"/>
  <c r="AS800" i="1" s="1"/>
  <c r="AG800" i="1"/>
  <c r="AH800" i="1" s="1"/>
  <c r="AV800" i="1" s="1"/>
  <c r="AW800" i="1" s="1"/>
  <c r="AM879" i="1"/>
  <c r="AP879" i="1" s="1"/>
  <c r="AS879" i="1" s="1"/>
  <c r="AM826" i="1"/>
  <c r="AP826" i="1" s="1"/>
  <c r="AS826" i="1" s="1"/>
  <c r="AG722" i="1"/>
  <c r="AH722" i="1" s="1"/>
  <c r="AV722" i="1" s="1"/>
  <c r="AW722" i="1" s="1"/>
  <c r="AM782" i="1"/>
  <c r="AP782" i="1" s="1"/>
  <c r="AS782" i="1" s="1"/>
  <c r="AH659" i="1"/>
  <c r="AV659" i="1" s="1"/>
  <c r="AW659" i="1" s="1"/>
  <c r="AM659" i="1"/>
  <c r="AP659" i="1" s="1"/>
  <c r="AS659" i="1" s="1"/>
  <c r="AH314" i="1"/>
  <c r="AV314" i="1" s="1"/>
  <c r="AW314" i="1" s="1"/>
  <c r="AM186" i="1"/>
  <c r="AP186" i="1" s="1"/>
  <c r="AS186" i="1" s="1"/>
  <c r="AH116" i="1"/>
  <c r="AV116" i="1" s="1"/>
  <c r="AW116" i="1" s="1"/>
  <c r="AM774" i="1"/>
  <c r="AP774" i="1" s="1"/>
  <c r="AS774" i="1" s="1"/>
  <c r="AK774" i="1"/>
  <c r="AM656" i="1"/>
  <c r="AP656" i="1" s="1"/>
  <c r="AS656" i="1" s="1"/>
  <c r="AM893" i="1"/>
  <c r="AP893" i="1" s="1"/>
  <c r="AS893" i="1" s="1"/>
  <c r="AG562" i="1"/>
  <c r="AH562" i="1" s="1"/>
  <c r="AV562" i="1" s="1"/>
  <c r="AW562" i="1" s="1"/>
  <c r="AM562" i="1"/>
  <c r="AP562" i="1" s="1"/>
  <c r="AS562" i="1" s="1"/>
  <c r="AM736" i="1"/>
  <c r="AP736" i="1" s="1"/>
  <c r="AS736" i="1" s="1"/>
  <c r="AG856" i="1"/>
  <c r="AH856" i="1" s="1"/>
  <c r="AV856" i="1" s="1"/>
  <c r="AW856" i="1" s="1"/>
  <c r="AM370" i="1"/>
  <c r="AP370" i="1" s="1"/>
  <c r="AS370" i="1" s="1"/>
  <c r="AG370" i="1"/>
  <c r="AH370" i="1" s="1"/>
  <c r="AV370" i="1" s="1"/>
  <c r="AW370" i="1" s="1"/>
  <c r="AG131" i="1"/>
  <c r="AH131" i="1" s="1"/>
  <c r="AV131" i="1" s="1"/>
  <c r="AW131" i="1" s="1"/>
  <c r="AM131" i="1"/>
  <c r="AP131" i="1" s="1"/>
  <c r="AS131" i="1" s="1"/>
  <c r="AM104" i="1"/>
  <c r="AP104" i="1" s="1"/>
  <c r="AS104" i="1" s="1"/>
  <c r="AM531" i="1"/>
  <c r="AP531" i="1" s="1"/>
  <c r="AS531" i="1" s="1"/>
  <c r="AG339" i="1"/>
  <c r="AH339" i="1" s="1"/>
  <c r="AV339" i="1" s="1"/>
  <c r="AW339" i="1" s="1"/>
  <c r="AM339" i="1"/>
  <c r="AP339" i="1" s="1"/>
  <c r="AS339" i="1" s="1"/>
  <c r="AG724" i="1"/>
  <c r="AH724" i="1" s="1"/>
  <c r="AV724" i="1" s="1"/>
  <c r="AW724" i="1" s="1"/>
  <c r="AM226" i="1"/>
  <c r="AP226" i="1" s="1"/>
  <c r="AS226" i="1" s="1"/>
  <c r="AG226" i="1"/>
  <c r="AH226" i="1" s="1"/>
  <c r="AV226" i="1" s="1"/>
  <c r="AW226" i="1" s="1"/>
  <c r="AM597" i="1"/>
  <c r="AP597" i="1" s="1"/>
  <c r="AS597" i="1" s="1"/>
  <c r="AG597" i="1"/>
  <c r="AH597" i="1" s="1"/>
  <c r="AV597" i="1" s="1"/>
  <c r="AW597" i="1" s="1"/>
  <c r="AM250" i="1"/>
  <c r="AP250" i="1" s="1"/>
  <c r="AS250" i="1" s="1"/>
  <c r="AH250" i="1"/>
  <c r="AV250" i="1" s="1"/>
  <c r="AW250" i="1" s="1"/>
  <c r="AG55" i="1"/>
  <c r="AH55" i="1" s="1"/>
  <c r="AV55" i="1" s="1"/>
  <c r="AW55" i="1" s="1"/>
  <c r="AM55" i="1"/>
  <c r="AP55" i="1" s="1"/>
  <c r="AS55" i="1" s="1"/>
  <c r="AM672" i="1"/>
  <c r="AP672" i="1" s="1"/>
  <c r="AG672" i="1"/>
  <c r="AH672" i="1" s="1"/>
  <c r="AV672" i="1" s="1"/>
  <c r="AW672" i="1" s="1"/>
  <c r="AM600" i="1"/>
  <c r="AP600" i="1" s="1"/>
  <c r="AS600" i="1" s="1"/>
  <c r="AM72" i="1"/>
  <c r="AP72" i="1" s="1"/>
  <c r="AS72" i="1" s="1"/>
  <c r="AG72" i="1"/>
  <c r="AH72" i="1" s="1"/>
  <c r="AV72" i="1" s="1"/>
  <c r="AW72" i="1" s="1"/>
  <c r="AM583" i="1"/>
  <c r="AP583" i="1" s="1"/>
  <c r="AS583" i="1" s="1"/>
  <c r="AG583" i="1"/>
  <c r="AH583" i="1" s="1"/>
  <c r="AV583" i="1" s="1"/>
  <c r="AW583" i="1" s="1"/>
  <c r="AG891" i="1"/>
  <c r="AH891" i="1" s="1"/>
  <c r="AV891" i="1" s="1"/>
  <c r="AW891" i="1" s="1"/>
  <c r="AM564" i="1"/>
  <c r="AP564" i="1" s="1"/>
  <c r="AS564" i="1" s="1"/>
  <c r="AG564" i="1"/>
  <c r="AH564" i="1" s="1"/>
  <c r="AV564" i="1" s="1"/>
  <c r="AW564" i="1" s="1"/>
  <c r="AM32" i="1"/>
  <c r="AP32" i="1" s="1"/>
  <c r="AS32" i="1" s="1"/>
  <c r="AG588" i="1"/>
  <c r="AH588" i="1" s="1"/>
  <c r="AV588" i="1" s="1"/>
  <c r="AW588" i="1" s="1"/>
  <c r="AM588" i="1"/>
  <c r="AP588" i="1" s="1"/>
  <c r="AS588" i="1" s="1"/>
  <c r="AM715" i="1"/>
  <c r="AP715" i="1" s="1"/>
  <c r="AS715" i="1" s="1"/>
  <c r="AG715" i="1"/>
  <c r="AH715" i="1" s="1"/>
  <c r="AV715" i="1" s="1"/>
  <c r="AW715" i="1" s="1"/>
  <c r="AG337" i="1"/>
  <c r="AH337" i="1" s="1"/>
  <c r="AV337" i="1" s="1"/>
  <c r="AW337" i="1" s="1"/>
  <c r="AM52" i="1"/>
  <c r="AP52" i="1" s="1"/>
  <c r="AS52" i="1" s="1"/>
  <c r="AG52" i="1"/>
  <c r="AH52" i="1" s="1"/>
  <c r="AV52" i="1" s="1"/>
  <c r="AW52" i="1" s="1"/>
  <c r="AM389" i="1"/>
  <c r="AP389" i="1" s="1"/>
  <c r="AS389" i="1" s="1"/>
  <c r="AM6" i="1"/>
  <c r="AP6" i="1" s="1"/>
  <c r="AS6" i="1" s="1"/>
  <c r="AM259" i="1"/>
  <c r="AP259" i="1" s="1"/>
  <c r="AS259" i="1" s="1"/>
  <c r="AH231" i="1"/>
  <c r="AV231" i="1" s="1"/>
  <c r="AW231" i="1" s="1"/>
  <c r="AM182" i="1"/>
  <c r="AP182" i="1" s="1"/>
  <c r="AS182" i="1" s="1"/>
  <c r="AG170" i="1"/>
  <c r="AH170" i="1" s="1"/>
  <c r="AV170" i="1" s="1"/>
  <c r="AW170" i="1" s="1"/>
  <c r="AM78" i="1"/>
  <c r="AP78" i="1" s="1"/>
  <c r="AS78" i="1" s="1"/>
  <c r="AK29" i="1"/>
  <c r="AM29" i="1"/>
  <c r="AP29" i="1" s="1"/>
  <c r="AS29" i="1" s="1"/>
  <c r="AG414" i="1"/>
  <c r="AH414" i="1" s="1"/>
  <c r="AV414" i="1" s="1"/>
  <c r="AW414" i="1" s="1"/>
  <c r="AM414" i="1"/>
  <c r="AP414" i="1" s="1"/>
  <c r="AS414" i="1" s="1"/>
  <c r="AM622" i="1"/>
  <c r="AP622" i="1" s="1"/>
  <c r="AS622" i="1" s="1"/>
  <c r="AK297" i="1"/>
  <c r="AM297" i="1"/>
  <c r="AP297" i="1" s="1"/>
  <c r="AS297" i="1" s="1"/>
  <c r="AM572" i="1"/>
  <c r="AP572" i="1" s="1"/>
  <c r="AS572" i="1" s="1"/>
  <c r="AG572" i="1"/>
  <c r="AH572" i="1" s="1"/>
  <c r="AV572" i="1" s="1"/>
  <c r="AW572" i="1" s="1"/>
  <c r="AM582" i="1"/>
  <c r="AP582" i="1" s="1"/>
  <c r="AS582" i="1" s="1"/>
  <c r="AG582" i="1"/>
  <c r="AH582" i="1" s="1"/>
  <c r="AV582" i="1" s="1"/>
  <c r="AW582" i="1" s="1"/>
  <c r="AM7" i="1"/>
  <c r="AP7" i="1" s="1"/>
  <c r="AS7" i="1" s="1"/>
  <c r="AG663" i="1"/>
  <c r="AH663" i="1" s="1"/>
  <c r="AV663" i="1" s="1"/>
  <c r="AW663" i="1" s="1"/>
  <c r="AM663" i="1"/>
  <c r="AP663" i="1" s="1"/>
  <c r="AS663" i="1" s="1"/>
  <c r="AM385" i="1"/>
  <c r="AP385" i="1" s="1"/>
  <c r="AS385" i="1" s="1"/>
  <c r="AM643" i="1"/>
  <c r="AP643" i="1" s="1"/>
  <c r="AS643" i="1" s="1"/>
  <c r="AM825" i="1"/>
  <c r="AP825" i="1" s="1"/>
  <c r="AS825" i="1" s="1"/>
  <c r="AH777" i="1"/>
  <c r="AV777" i="1" s="1"/>
  <c r="AW777" i="1" s="1"/>
  <c r="AH738" i="1"/>
  <c r="AV738" i="1" s="1"/>
  <c r="AW738" i="1" s="1"/>
  <c r="AM198" i="1"/>
  <c r="AP198" i="1" s="1"/>
  <c r="AS198" i="1" s="1"/>
  <c r="AM337" i="1"/>
  <c r="AP337" i="1" s="1"/>
  <c r="AS337" i="1" s="1"/>
  <c r="AM231" i="1"/>
  <c r="AP231" i="1" s="1"/>
  <c r="AS231" i="1" s="1"/>
  <c r="AM170" i="1"/>
  <c r="AP170" i="1" s="1"/>
  <c r="AS170" i="1" s="1"/>
  <c r="AG37" i="1"/>
  <c r="AH37" i="1" s="1"/>
  <c r="AV37" i="1" s="1"/>
  <c r="AW37" i="1" s="1"/>
  <c r="AG710" i="1"/>
  <c r="AH710" i="1" s="1"/>
  <c r="AV710" i="1" s="1"/>
  <c r="AW710" i="1" s="1"/>
  <c r="AM421" i="1"/>
  <c r="AP421" i="1" s="1"/>
  <c r="AS421" i="1" s="1"/>
  <c r="AG421" i="1"/>
  <c r="AH421" i="1" s="1"/>
  <c r="AV421" i="1" s="1"/>
  <c r="AW421" i="1" s="1"/>
  <c r="AG295" i="1"/>
  <c r="AH295" i="1" s="1"/>
  <c r="AV295" i="1" s="1"/>
  <c r="AW295" i="1" s="1"/>
  <c r="AG188" i="1"/>
  <c r="AH188" i="1" s="1"/>
  <c r="AV188" i="1" s="1"/>
  <c r="AW188" i="1" s="1"/>
  <c r="AM188" i="1"/>
  <c r="AP188" i="1" s="1"/>
  <c r="AS188" i="1" s="1"/>
  <c r="AM101" i="1"/>
  <c r="AP101" i="1" s="1"/>
  <c r="AS101" i="1" s="1"/>
  <c r="AG101" i="1"/>
  <c r="AH101" i="1" s="1"/>
  <c r="AV101" i="1" s="1"/>
  <c r="AW101" i="1" s="1"/>
  <c r="AM195" i="1"/>
  <c r="AP195" i="1" s="1"/>
  <c r="AS195" i="1" s="1"/>
  <c r="AM772" i="1"/>
  <c r="AP772" i="1" s="1"/>
  <c r="AS772" i="1" s="1"/>
  <c r="AM689" i="1"/>
  <c r="AP689" i="1" s="1"/>
  <c r="AS689" i="1" s="1"/>
  <c r="AM536" i="1"/>
  <c r="AP536" i="1" s="1"/>
  <c r="AS536" i="1" s="1"/>
  <c r="AM344" i="1"/>
  <c r="AP344" i="1" s="1"/>
  <c r="AS344" i="1" s="1"/>
  <c r="AG895" i="1"/>
  <c r="AH895" i="1" s="1"/>
  <c r="AV895" i="1" s="1"/>
  <c r="AW895" i="1" s="1"/>
  <c r="AM895" i="1"/>
  <c r="AP895" i="1" s="1"/>
  <c r="AS895" i="1" s="1"/>
  <c r="AM777" i="1"/>
  <c r="AP777" i="1" s="1"/>
  <c r="AS777" i="1" s="1"/>
  <c r="AG773" i="1"/>
  <c r="AH773" i="1" s="1"/>
  <c r="AV773" i="1" s="1"/>
  <c r="AW773" i="1" s="1"/>
  <c r="AM757" i="1"/>
  <c r="AP757" i="1" s="1"/>
  <c r="AS757" i="1" s="1"/>
  <c r="AH573" i="1"/>
  <c r="AV573" i="1" s="1"/>
  <c r="AW573" i="1" s="1"/>
  <c r="AM417" i="1"/>
  <c r="AP417" i="1" s="1"/>
  <c r="AS417" i="1" s="1"/>
  <c r="AK268" i="1"/>
  <c r="AM94" i="1"/>
  <c r="AP94" i="1" s="1"/>
  <c r="AS94" i="1" s="1"/>
  <c r="AM2" i="1"/>
  <c r="AP2" i="1" s="1"/>
  <c r="AS2" i="1" s="1"/>
  <c r="AM50" i="1"/>
  <c r="AP50" i="1" s="1"/>
  <c r="AS50" i="1" s="1"/>
  <c r="AG76" i="1"/>
  <c r="AH76" i="1" s="1"/>
  <c r="AV76" i="1" s="1"/>
  <c r="AW76" i="1" s="1"/>
  <c r="AM76" i="1"/>
  <c r="AP76" i="1" s="1"/>
  <c r="AS76" i="1" s="1"/>
  <c r="AG283" i="1"/>
  <c r="AH283" i="1" s="1"/>
  <c r="AV283" i="1" s="1"/>
  <c r="AW283" i="1" s="1"/>
  <c r="AM283" i="1"/>
  <c r="AP283" i="1" s="1"/>
  <c r="AS283" i="1" s="1"/>
  <c r="AM293" i="1"/>
  <c r="AP293" i="1" s="1"/>
  <c r="AS293" i="1" s="1"/>
  <c r="AG293" i="1"/>
  <c r="AH293" i="1" s="1"/>
  <c r="AV293" i="1" s="1"/>
  <c r="AW293" i="1" s="1"/>
  <c r="AM373" i="1"/>
  <c r="AP373" i="1" s="1"/>
  <c r="AS373" i="1" s="1"/>
  <c r="AG479" i="1"/>
  <c r="AH479" i="1" s="1"/>
  <c r="AV479" i="1" s="1"/>
  <c r="AW479" i="1" s="1"/>
  <c r="AM479" i="1"/>
  <c r="AP479" i="1" s="1"/>
  <c r="AS479" i="1" s="1"/>
  <c r="AG695" i="1"/>
  <c r="AH695" i="1" s="1"/>
  <c r="AV695" i="1" s="1"/>
  <c r="AW695" i="1" s="1"/>
  <c r="AM695" i="1"/>
  <c r="AP695" i="1" s="1"/>
  <c r="AS695" i="1" s="1"/>
  <c r="AG167" i="1"/>
  <c r="AH167" i="1" s="1"/>
  <c r="AV167" i="1" s="1"/>
  <c r="AW167" i="1" s="1"/>
  <c r="AG854" i="1"/>
  <c r="AH854" i="1" s="1"/>
  <c r="AV854" i="1" s="1"/>
  <c r="AW854" i="1" s="1"/>
  <c r="AM854" i="1"/>
  <c r="AP854" i="1" s="1"/>
  <c r="AS854" i="1" s="1"/>
  <c r="AG12" i="1"/>
  <c r="AH12" i="1"/>
  <c r="AM12" i="1"/>
  <c r="AP12" i="1" s="1"/>
  <c r="AS12" i="1" s="1"/>
  <c r="AM804" i="1"/>
  <c r="AP804" i="1" s="1"/>
  <c r="AS804" i="1" s="1"/>
  <c r="AG804" i="1"/>
  <c r="AH804" i="1" s="1"/>
  <c r="AV804" i="1" s="1"/>
  <c r="AW804" i="1" s="1"/>
  <c r="AG677" i="1"/>
  <c r="AH677" i="1" s="1"/>
  <c r="AV677" i="1" s="1"/>
  <c r="AW677" i="1" s="1"/>
  <c r="AM677" i="1"/>
  <c r="AP677" i="1" s="1"/>
  <c r="AS677" i="1" s="1"/>
  <c r="AM888" i="1"/>
  <c r="AP888" i="1" s="1"/>
  <c r="AS888" i="1" s="1"/>
  <c r="AG888" i="1"/>
  <c r="AH888" i="1"/>
  <c r="AV888" i="1" s="1"/>
  <c r="AW888" i="1" s="1"/>
  <c r="AG860" i="1"/>
  <c r="AH860" i="1" s="1"/>
  <c r="AV860" i="1" s="1"/>
  <c r="AW860" i="1" s="1"/>
  <c r="AM860" i="1"/>
  <c r="AP860" i="1" s="1"/>
  <c r="AS860" i="1" s="1"/>
  <c r="AG808" i="1"/>
  <c r="AH808" i="1" s="1"/>
  <c r="AV808" i="1" s="1"/>
  <c r="AW808" i="1" s="1"/>
  <c r="AM808" i="1"/>
  <c r="AP808" i="1" s="1"/>
  <c r="AS808" i="1" s="1"/>
  <c r="AM617" i="1"/>
  <c r="AP617" i="1" s="1"/>
  <c r="AS617" i="1" s="1"/>
  <c r="AG617" i="1"/>
  <c r="AH617" i="1" s="1"/>
  <c r="AV617" i="1" s="1"/>
  <c r="AW617" i="1" s="1"/>
  <c r="AG847" i="1"/>
  <c r="AH847" i="1" s="1"/>
  <c r="AV847" i="1" s="1"/>
  <c r="AW847" i="1" s="1"/>
  <c r="AM847" i="1"/>
  <c r="AP847" i="1" s="1"/>
  <c r="AS847" i="1" s="1"/>
  <c r="AM608" i="1"/>
  <c r="AP608" i="1" s="1"/>
  <c r="AS608" i="1" s="1"/>
  <c r="AG608" i="1"/>
  <c r="AH608" i="1" s="1"/>
  <c r="AV608" i="1" s="1"/>
  <c r="AW608" i="1" s="1"/>
  <c r="AG705" i="1"/>
  <c r="AH705" i="1" s="1"/>
  <c r="AV705" i="1" s="1"/>
  <c r="AW705" i="1" s="1"/>
  <c r="AM705" i="1"/>
  <c r="AP705" i="1" s="1"/>
  <c r="AS705" i="1" s="1"/>
  <c r="AG506" i="1"/>
  <c r="AH506" i="1" s="1"/>
  <c r="AV506" i="1" s="1"/>
  <c r="AW506" i="1" s="1"/>
  <c r="AM506" i="1"/>
  <c r="AP506" i="1" s="1"/>
  <c r="AS506" i="1" s="1"/>
  <c r="AH391" i="1"/>
  <c r="AV391" i="1" s="1"/>
  <c r="AW391" i="1" s="1"/>
  <c r="AM391" i="1"/>
  <c r="AP391" i="1" s="1"/>
  <c r="AS391" i="1" s="1"/>
  <c r="AM444" i="1"/>
  <c r="AP444" i="1" s="1"/>
  <c r="AS444" i="1" s="1"/>
  <c r="AG444" i="1"/>
  <c r="AH444" i="1" s="1"/>
  <c r="AV444" i="1" s="1"/>
  <c r="AW444" i="1" s="1"/>
  <c r="AM466" i="1"/>
  <c r="AP466" i="1" s="1"/>
  <c r="AS466" i="1" s="1"/>
  <c r="AG466" i="1"/>
  <c r="AH466" i="1" s="1"/>
  <c r="AV466" i="1" s="1"/>
  <c r="AW466" i="1" s="1"/>
  <c r="AM519" i="1"/>
  <c r="AP519" i="1" s="1"/>
  <c r="AS519" i="1" s="1"/>
  <c r="AG519" i="1"/>
  <c r="AH519" i="1" s="1"/>
  <c r="AV519" i="1" s="1"/>
  <c r="AW519" i="1" s="1"/>
  <c r="AG526" i="1"/>
  <c r="AH526" i="1" s="1"/>
  <c r="AV526" i="1" s="1"/>
  <c r="AW526" i="1" s="1"/>
  <c r="AM526" i="1"/>
  <c r="AP526" i="1" s="1"/>
  <c r="AS526" i="1" s="1"/>
  <c r="AG247" i="1"/>
  <c r="AH247" i="1" s="1"/>
  <c r="AV247" i="1" s="1"/>
  <c r="AW247" i="1" s="1"/>
  <c r="AM247" i="1"/>
  <c r="AP247" i="1" s="1"/>
  <c r="AS247" i="1" s="1"/>
  <c r="AG242" i="1"/>
  <c r="AH242" i="1" s="1"/>
  <c r="AV242" i="1" s="1"/>
  <c r="AW242" i="1" s="1"/>
  <c r="AM242" i="1"/>
  <c r="AP242" i="1" s="1"/>
  <c r="AS242" i="1" s="1"/>
  <c r="AM210" i="1"/>
  <c r="AP210" i="1" s="1"/>
  <c r="AS210" i="1" s="1"/>
  <c r="AG210" i="1"/>
  <c r="AH210" i="1" s="1"/>
  <c r="AV210" i="1" s="1"/>
  <c r="AW210" i="1" s="1"/>
  <c r="AM333" i="1"/>
  <c r="AP333" i="1" s="1"/>
  <c r="AS333" i="1" s="1"/>
  <c r="AG333" i="1"/>
  <c r="AH333" i="1" s="1"/>
  <c r="AV333" i="1" s="1"/>
  <c r="AW333" i="1" s="1"/>
  <c r="AG401" i="1"/>
  <c r="AH401" i="1" s="1"/>
  <c r="AV401" i="1" s="1"/>
  <c r="AW401" i="1" s="1"/>
  <c r="AM401" i="1"/>
  <c r="AP401" i="1" s="1"/>
  <c r="AS401" i="1" s="1"/>
  <c r="AM409" i="1"/>
  <c r="AP409" i="1" s="1"/>
  <c r="AS409" i="1" s="1"/>
  <c r="AG409" i="1"/>
  <c r="AH409" i="1" s="1"/>
  <c r="AV409" i="1" s="1"/>
  <c r="AW409" i="1" s="1"/>
  <c r="AM160" i="1"/>
  <c r="AP160" i="1" s="1"/>
  <c r="AS160" i="1" s="1"/>
  <c r="AG160" i="1"/>
  <c r="AH160" i="1" s="1"/>
  <c r="AV160" i="1" s="1"/>
  <c r="AW160" i="1" s="1"/>
  <c r="AM125" i="1"/>
  <c r="AP125" i="1" s="1"/>
  <c r="AS125" i="1" s="1"/>
  <c r="AG125" i="1"/>
  <c r="AH125" i="1" s="1"/>
  <c r="AV125" i="1" s="1"/>
  <c r="AW125" i="1" s="1"/>
  <c r="AG320" i="1"/>
  <c r="AH320" i="1" s="1"/>
  <c r="AV320" i="1" s="1"/>
  <c r="AW320" i="1" s="1"/>
  <c r="AM320" i="1"/>
  <c r="AP320" i="1" s="1"/>
  <c r="AS320" i="1" s="1"/>
  <c r="AM73" i="1"/>
  <c r="AP73" i="1" s="1"/>
  <c r="AS73" i="1" s="1"/>
  <c r="AG73" i="1"/>
  <c r="AH73" i="1" s="1"/>
  <c r="AV73" i="1" s="1"/>
  <c r="AW73" i="1" s="1"/>
  <c r="AG48" i="1"/>
  <c r="AH48" i="1" s="1"/>
  <c r="AV48" i="1" s="1"/>
  <c r="AW48" i="1" s="1"/>
  <c r="AM48" i="1"/>
  <c r="AP48" i="1" s="1"/>
  <c r="AS48" i="1" s="1"/>
  <c r="AM164" i="1"/>
  <c r="AP164" i="1" s="1"/>
  <c r="AS164" i="1" s="1"/>
  <c r="AG164" i="1"/>
  <c r="AH164" i="1" s="1"/>
  <c r="AV164" i="1" s="1"/>
  <c r="AW164" i="1" s="1"/>
  <c r="AM783" i="1"/>
  <c r="AP783" i="1" s="1"/>
  <c r="AS783" i="1" s="1"/>
  <c r="AG783" i="1"/>
  <c r="AH783" i="1" s="1"/>
  <c r="AV783" i="1" s="1"/>
  <c r="AW783" i="1" s="1"/>
  <c r="AG191" i="1"/>
  <c r="AH191" i="1" s="1"/>
  <c r="AV191" i="1" s="1"/>
  <c r="AW191" i="1" s="1"/>
  <c r="AM191" i="1"/>
  <c r="AP191" i="1" s="1"/>
  <c r="AS191" i="1" s="1"/>
  <c r="AG413" i="1"/>
  <c r="AH413" i="1" s="1"/>
  <c r="AV413" i="1" s="1"/>
  <c r="AW413" i="1" s="1"/>
  <c r="AM413" i="1"/>
  <c r="AP413" i="1" s="1"/>
  <c r="AS413" i="1" s="1"/>
  <c r="AG884" i="1"/>
  <c r="AH884" i="1" s="1"/>
  <c r="AV884" i="1" s="1"/>
  <c r="AW884" i="1" s="1"/>
  <c r="AM884" i="1"/>
  <c r="AP884" i="1" s="1"/>
  <c r="AS884" i="1" s="1"/>
  <c r="AM794" i="1"/>
  <c r="AP794" i="1" s="1"/>
  <c r="AS794" i="1" s="1"/>
  <c r="AG794" i="1"/>
  <c r="AH794" i="1" s="1"/>
  <c r="AV794" i="1" s="1"/>
  <c r="AW794" i="1" s="1"/>
  <c r="AM803" i="1"/>
  <c r="AP803" i="1" s="1"/>
  <c r="AS803" i="1" s="1"/>
  <c r="AG803" i="1"/>
  <c r="AH803" i="1" s="1"/>
  <c r="AV803" i="1" s="1"/>
  <c r="AW803" i="1" s="1"/>
  <c r="AM750" i="1"/>
  <c r="AP750" i="1" s="1"/>
  <c r="AS750" i="1" s="1"/>
  <c r="AG750" i="1"/>
  <c r="AH750" i="1" s="1"/>
  <c r="AV750" i="1" s="1"/>
  <c r="AW750" i="1" s="1"/>
  <c r="AM595" i="1"/>
  <c r="AP595" i="1" s="1"/>
  <c r="AS595" i="1" s="1"/>
  <c r="AG595" i="1"/>
  <c r="AH595" i="1" s="1"/>
  <c r="AV595" i="1" s="1"/>
  <c r="AW595" i="1" s="1"/>
  <c r="AM823" i="1"/>
  <c r="AP823" i="1" s="1"/>
  <c r="AS823" i="1" s="1"/>
  <c r="AG823" i="1"/>
  <c r="AH823" i="1" s="1"/>
  <c r="AV823" i="1" s="1"/>
  <c r="AW823" i="1" s="1"/>
  <c r="AM702" i="1"/>
  <c r="AP702" i="1" s="1"/>
  <c r="AS702" i="1" s="1"/>
  <c r="AG702" i="1"/>
  <c r="AH702" i="1" s="1"/>
  <c r="AV702" i="1" s="1"/>
  <c r="AW702" i="1" s="1"/>
  <c r="AG507" i="1"/>
  <c r="AH507" i="1" s="1"/>
  <c r="AV507" i="1" s="1"/>
  <c r="AW507" i="1" s="1"/>
  <c r="AM507" i="1"/>
  <c r="AP507" i="1" s="1"/>
  <c r="AS507" i="1" s="1"/>
  <c r="AG581" i="1"/>
  <c r="AH581" i="1" s="1"/>
  <c r="AV581" i="1" s="1"/>
  <c r="AW581" i="1" s="1"/>
  <c r="AM581" i="1"/>
  <c r="AP581" i="1" s="1"/>
  <c r="AS581" i="1" s="1"/>
  <c r="AG614" i="1"/>
  <c r="AH614" i="1" s="1"/>
  <c r="AV614" i="1" s="1"/>
  <c r="AW614" i="1" s="1"/>
  <c r="AM614" i="1"/>
  <c r="AP614" i="1" s="1"/>
  <c r="AS614" i="1" s="1"/>
  <c r="AM360" i="1"/>
  <c r="AP360" i="1" s="1"/>
  <c r="AS360" i="1" s="1"/>
  <c r="AM316" i="1"/>
  <c r="AP316" i="1" s="1"/>
  <c r="AS316" i="1" s="1"/>
  <c r="AG316" i="1"/>
  <c r="AH316" i="1" s="1"/>
  <c r="AV316" i="1" s="1"/>
  <c r="AW316" i="1" s="1"/>
  <c r="AM281" i="1"/>
  <c r="AP281" i="1" s="1"/>
  <c r="AS281" i="1" s="1"/>
  <c r="AG281" i="1"/>
  <c r="AH281" i="1" s="1"/>
  <c r="AV281" i="1" s="1"/>
  <c r="AW281" i="1" s="1"/>
  <c r="AM313" i="1"/>
  <c r="AP313" i="1" s="1"/>
  <c r="AS313" i="1" s="1"/>
  <c r="AG313" i="1"/>
  <c r="AH313" i="1" s="1"/>
  <c r="AV313" i="1" s="1"/>
  <c r="AW313" i="1" s="1"/>
  <c r="AM357" i="1"/>
  <c r="AP357" i="1" s="1"/>
  <c r="AS357" i="1" s="1"/>
  <c r="AG357" i="1"/>
  <c r="AH357" i="1" s="1"/>
  <c r="AV357" i="1" s="1"/>
  <c r="AW357" i="1" s="1"/>
  <c r="AM148" i="1"/>
  <c r="AP148" i="1" s="1"/>
  <c r="AS148" i="1" s="1"/>
  <c r="AG148" i="1"/>
  <c r="AH148" i="1" s="1"/>
  <c r="AV148" i="1" s="1"/>
  <c r="AW148" i="1" s="1"/>
  <c r="AM110" i="1"/>
  <c r="AP110" i="1" s="1"/>
  <c r="AS110" i="1" s="1"/>
  <c r="AG110" i="1"/>
  <c r="AH110" i="1" s="1"/>
  <c r="AV110" i="1" s="1"/>
  <c r="AW110" i="1" s="1"/>
  <c r="AG142" i="1"/>
  <c r="AH142" i="1" s="1"/>
  <c r="AV142" i="1" s="1"/>
  <c r="AW142" i="1" s="1"/>
  <c r="AM142" i="1"/>
  <c r="AP142" i="1" s="1"/>
  <c r="AS142" i="1" s="1"/>
  <c r="AG303" i="1"/>
  <c r="AH303" i="1" s="1"/>
  <c r="AV303" i="1" s="1"/>
  <c r="AW303" i="1" s="1"/>
  <c r="AM303" i="1"/>
  <c r="AP303" i="1" s="1"/>
  <c r="AS303" i="1" s="1"/>
  <c r="AM23" i="1"/>
  <c r="AP23" i="1" s="1"/>
  <c r="AS23" i="1" s="1"/>
  <c r="AH23" i="1"/>
  <c r="AV23" i="1" s="1"/>
  <c r="AW23" i="1" s="1"/>
  <c r="AG561" i="1"/>
  <c r="AH561" i="1" s="1"/>
  <c r="AV561" i="1" s="1"/>
  <c r="AW561" i="1" s="1"/>
  <c r="AM561" i="1"/>
  <c r="AP561" i="1" s="1"/>
  <c r="AS561" i="1" s="1"/>
  <c r="AG613" i="1"/>
  <c r="AH613" i="1" s="1"/>
  <c r="AV613" i="1" s="1"/>
  <c r="AW613" i="1" s="1"/>
  <c r="AM613" i="1"/>
  <c r="AP613" i="1" s="1"/>
  <c r="AS613" i="1" s="1"/>
  <c r="AG733" i="1"/>
  <c r="AH733" i="1" s="1"/>
  <c r="AV733" i="1" s="1"/>
  <c r="AW733" i="1" s="1"/>
  <c r="AM733" i="1"/>
  <c r="AP733" i="1" s="1"/>
  <c r="AS733" i="1" s="1"/>
  <c r="AG607" i="1"/>
  <c r="AH607" i="1" s="1"/>
  <c r="AV607" i="1" s="1"/>
  <c r="AW607" i="1" s="1"/>
  <c r="AM607" i="1"/>
  <c r="AP607" i="1" s="1"/>
  <c r="AS607" i="1" s="1"/>
  <c r="AG285" i="1"/>
  <c r="AH285" i="1" s="1"/>
  <c r="AV285" i="1" s="1"/>
  <c r="AW285" i="1" s="1"/>
  <c r="AM285" i="1"/>
  <c r="AP285" i="1" s="1"/>
  <c r="AS285" i="1" s="1"/>
  <c r="AM426" i="1"/>
  <c r="AP426" i="1" s="1"/>
  <c r="AS426" i="1" s="1"/>
  <c r="AG426" i="1"/>
  <c r="AH426" i="1" s="1"/>
  <c r="AV426" i="1" s="1"/>
  <c r="AW426" i="1" s="1"/>
  <c r="AG604" i="1"/>
  <c r="AH604" i="1" s="1"/>
  <c r="AV604" i="1" s="1"/>
  <c r="AW604" i="1" s="1"/>
  <c r="AM604" i="1"/>
  <c r="AP604" i="1" s="1"/>
  <c r="AS604" i="1" s="1"/>
  <c r="AM467" i="1"/>
  <c r="AP467" i="1" s="1"/>
  <c r="AS467" i="1" s="1"/>
  <c r="AG467" i="1"/>
  <c r="AH467" i="1" s="1"/>
  <c r="AV467" i="1" s="1"/>
  <c r="AW467" i="1" s="1"/>
  <c r="AG468" i="1"/>
  <c r="AH468" i="1" s="1"/>
  <c r="AV468" i="1" s="1"/>
  <c r="AW468" i="1" s="1"/>
  <c r="AM468" i="1"/>
  <c r="AP468" i="1" s="1"/>
  <c r="AS468" i="1" s="1"/>
  <c r="AM496" i="1"/>
  <c r="AP496" i="1" s="1"/>
  <c r="AS496" i="1" s="1"/>
  <c r="AG496" i="1"/>
  <c r="AH496" i="1" s="1"/>
  <c r="AV496" i="1" s="1"/>
  <c r="AW496" i="1" s="1"/>
  <c r="AM406" i="1"/>
  <c r="AP406" i="1" s="1"/>
  <c r="AS406" i="1" s="1"/>
  <c r="AG406" i="1"/>
  <c r="AH406" i="1" s="1"/>
  <c r="AV406" i="1" s="1"/>
  <c r="AW406" i="1" s="1"/>
  <c r="AM559" i="1"/>
  <c r="AP559" i="1" s="1"/>
  <c r="AS559" i="1" s="1"/>
  <c r="AG559" i="1"/>
  <c r="AH559" i="1" s="1"/>
  <c r="AV559" i="1" s="1"/>
  <c r="AW559" i="1" s="1"/>
  <c r="AM244" i="1"/>
  <c r="AP244" i="1" s="1"/>
  <c r="AS244" i="1" s="1"/>
  <c r="AH244" i="1"/>
  <c r="AV244" i="1" s="1"/>
  <c r="AW244" i="1" s="1"/>
  <c r="AM145" i="1"/>
  <c r="AP145" i="1" s="1"/>
  <c r="AS145" i="1" s="1"/>
  <c r="AG145" i="1"/>
  <c r="AH145" i="1" s="1"/>
  <c r="AV145" i="1" s="1"/>
  <c r="AW145" i="1" s="1"/>
  <c r="AG246" i="1"/>
  <c r="AH246" i="1" s="1"/>
  <c r="AV246" i="1" s="1"/>
  <c r="AW246" i="1" s="1"/>
  <c r="AM246" i="1"/>
  <c r="AP246" i="1" s="1"/>
  <c r="AS246" i="1" s="1"/>
  <c r="AM137" i="1"/>
  <c r="AP137" i="1" s="1"/>
  <c r="AS137" i="1" s="1"/>
  <c r="AG137" i="1"/>
  <c r="AH137" i="1" s="1"/>
  <c r="AV137" i="1" s="1"/>
  <c r="AW137" i="1" s="1"/>
  <c r="AM525" i="1"/>
  <c r="AP525" i="1" s="1"/>
  <c r="AS525" i="1" s="1"/>
  <c r="AG525" i="1"/>
  <c r="AH525" i="1" s="1"/>
  <c r="AV525" i="1" s="1"/>
  <c r="AW525" i="1" s="1"/>
  <c r="AM243" i="1"/>
  <c r="AP243" i="1" s="1"/>
  <c r="AS243" i="1" s="1"/>
  <c r="AG243" i="1"/>
  <c r="AH243" i="1" s="1"/>
  <c r="AV243" i="1" s="1"/>
  <c r="AW243" i="1" s="1"/>
  <c r="AM152" i="1"/>
  <c r="AP152" i="1" s="1"/>
  <c r="AS152" i="1" s="1"/>
  <c r="AG152" i="1"/>
  <c r="AH152" i="1" s="1"/>
  <c r="AV152" i="1" s="1"/>
  <c r="AW152" i="1" s="1"/>
  <c r="AM193" i="1"/>
  <c r="AP193" i="1" s="1"/>
  <c r="AS193" i="1" s="1"/>
  <c r="AG193" i="1"/>
  <c r="AH193" i="1"/>
  <c r="AM39" i="1"/>
  <c r="AP39" i="1" s="1"/>
  <c r="AS39" i="1" s="1"/>
  <c r="AG39" i="1"/>
  <c r="AH39" i="1" s="1"/>
  <c r="AV39" i="1" s="1"/>
  <c r="AW39" i="1" s="1"/>
  <c r="AM848" i="1"/>
  <c r="AP848" i="1" s="1"/>
  <c r="AS848" i="1" s="1"/>
  <c r="AK770" i="1"/>
  <c r="AM770" i="1"/>
  <c r="AP770" i="1" s="1"/>
  <c r="AS770" i="1" s="1"/>
  <c r="AM795" i="1"/>
  <c r="AP795" i="1" s="1"/>
  <c r="AS795" i="1" s="1"/>
  <c r="AG795" i="1"/>
  <c r="AH795" i="1" s="1"/>
  <c r="AV795" i="1" s="1"/>
  <c r="AW795" i="1" s="1"/>
  <c r="AM673" i="1"/>
  <c r="AP673" i="1" s="1"/>
  <c r="AS673" i="1" s="1"/>
  <c r="AG673" i="1"/>
  <c r="AH673" i="1" s="1"/>
  <c r="AV673" i="1" s="1"/>
  <c r="AW673" i="1" s="1"/>
  <c r="AM625" i="1"/>
  <c r="AP625" i="1" s="1"/>
  <c r="AS625" i="1" s="1"/>
  <c r="AG625" i="1"/>
  <c r="AH625" i="1" s="1"/>
  <c r="AV625" i="1" s="1"/>
  <c r="AW625" i="1" s="1"/>
  <c r="AM696" i="1"/>
  <c r="AP696" i="1" s="1"/>
  <c r="AS696" i="1" s="1"/>
  <c r="AG696" i="1"/>
  <c r="AH696" i="1" s="1"/>
  <c r="AV696" i="1" s="1"/>
  <c r="AW696" i="1" s="1"/>
  <c r="AK555" i="1"/>
  <c r="AM555" i="1"/>
  <c r="AP555" i="1" s="1"/>
  <c r="AS555" i="1" s="1"/>
  <c r="AM694" i="1"/>
  <c r="AP694" i="1" s="1"/>
  <c r="AS694" i="1" s="1"/>
  <c r="AG694" i="1"/>
  <c r="AH694" i="1" s="1"/>
  <c r="AV694" i="1" s="1"/>
  <c r="AW694" i="1" s="1"/>
  <c r="AG215" i="1"/>
  <c r="AH215" i="1" s="1"/>
  <c r="AV215" i="1" s="1"/>
  <c r="AW215" i="1" s="1"/>
  <c r="AM215" i="1"/>
  <c r="AP215" i="1" s="1"/>
  <c r="AS215" i="1" s="1"/>
  <c r="AM584" i="1"/>
  <c r="AP584" i="1" s="1"/>
  <c r="AS584" i="1" s="1"/>
  <c r="AG584" i="1"/>
  <c r="AH584" i="1" s="1"/>
  <c r="AV584" i="1" s="1"/>
  <c r="AW584" i="1" s="1"/>
  <c r="AG384" i="1"/>
  <c r="AH384" i="1" s="1"/>
  <c r="AV384" i="1" s="1"/>
  <c r="AW384" i="1" s="1"/>
  <c r="AM384" i="1"/>
  <c r="AP384" i="1" s="1"/>
  <c r="AS384" i="1" s="1"/>
  <c r="AM452" i="1"/>
  <c r="AP452" i="1" s="1"/>
  <c r="AS452" i="1" s="1"/>
  <c r="AG452" i="1"/>
  <c r="AH452" i="1" s="1"/>
  <c r="AV452" i="1" s="1"/>
  <c r="AW452" i="1" s="1"/>
  <c r="AM263" i="1"/>
  <c r="AP263" i="1" s="1"/>
  <c r="AS263" i="1" s="1"/>
  <c r="AG263" i="1"/>
  <c r="AH263" i="1" s="1"/>
  <c r="AV263" i="1" s="1"/>
  <c r="AW263" i="1" s="1"/>
  <c r="AG207" i="1"/>
  <c r="AH207" i="1" s="1"/>
  <c r="AV207" i="1" s="1"/>
  <c r="AW207" i="1" s="1"/>
  <c r="AM207" i="1"/>
  <c r="AP207" i="1" s="1"/>
  <c r="AS207" i="1" s="1"/>
  <c r="AM206" i="1"/>
  <c r="AP206" i="1" s="1"/>
  <c r="AS206" i="1" s="1"/>
  <c r="AG206" i="1"/>
  <c r="AH206" i="1" s="1"/>
  <c r="AV206" i="1" s="1"/>
  <c r="AW206" i="1" s="1"/>
  <c r="AM238" i="1"/>
  <c r="AP238" i="1" s="1"/>
  <c r="AS238" i="1" s="1"/>
  <c r="AG238" i="1"/>
  <c r="AH238" i="1" s="1"/>
  <c r="AV238" i="1" s="1"/>
  <c r="AW238" i="1" s="1"/>
  <c r="AG763" i="1"/>
  <c r="AH763" i="1" s="1"/>
  <c r="AV763" i="1" s="1"/>
  <c r="AW763" i="1" s="1"/>
  <c r="AM763" i="1"/>
  <c r="AP763" i="1" s="1"/>
  <c r="AS763" i="1" s="1"/>
  <c r="AM653" i="1"/>
  <c r="AP653" i="1" s="1"/>
  <c r="AS653" i="1" s="1"/>
  <c r="AG653" i="1"/>
  <c r="AH653" i="1" s="1"/>
  <c r="AV653" i="1" s="1"/>
  <c r="AW653" i="1" s="1"/>
  <c r="AM881" i="1"/>
  <c r="AP881" i="1" s="1"/>
  <c r="AS881" i="1" s="1"/>
  <c r="AG881" i="1"/>
  <c r="AH881" i="1" s="1"/>
  <c r="AV881" i="1" s="1"/>
  <c r="AW881" i="1" s="1"/>
  <c r="AG835" i="1"/>
  <c r="AH835" i="1" s="1"/>
  <c r="AV835" i="1" s="1"/>
  <c r="AW835" i="1" s="1"/>
  <c r="AM835" i="1"/>
  <c r="AP835" i="1" s="1"/>
  <c r="AS835" i="1" s="1"/>
  <c r="AG894" i="1"/>
  <c r="AH894" i="1" s="1"/>
  <c r="AV894" i="1" s="1"/>
  <c r="AW894" i="1" s="1"/>
  <c r="AM894" i="1"/>
  <c r="AP894" i="1" s="1"/>
  <c r="AS894" i="1" s="1"/>
  <c r="AG680" i="1"/>
  <c r="AH680" i="1" s="1"/>
  <c r="AV680" i="1" s="1"/>
  <c r="AW680" i="1" s="1"/>
  <c r="AM680" i="1"/>
  <c r="AP680" i="1" s="1"/>
  <c r="AS680" i="1" s="1"/>
  <c r="AK348" i="1"/>
  <c r="AM348" i="1"/>
  <c r="AP348" i="1" s="1"/>
  <c r="AS348" i="1" s="1"/>
  <c r="AM459" i="1"/>
  <c r="AP459" i="1" s="1"/>
  <c r="AS459" i="1" s="1"/>
  <c r="AG459" i="1"/>
  <c r="AH459" i="1" s="1"/>
  <c r="AV459" i="1" s="1"/>
  <c r="AW459" i="1" s="1"/>
  <c r="AM366" i="1"/>
  <c r="AP366" i="1" s="1"/>
  <c r="AS366" i="1" s="1"/>
  <c r="AG366" i="1"/>
  <c r="AH366" i="1" s="1"/>
  <c r="AV366" i="1" s="1"/>
  <c r="AW366" i="1" s="1"/>
  <c r="AG223" i="1"/>
  <c r="AH223" i="1" s="1"/>
  <c r="AV223" i="1" s="1"/>
  <c r="AW223" i="1" s="1"/>
  <c r="AM223" i="1"/>
  <c r="AP223" i="1" s="1"/>
  <c r="AS223" i="1" s="1"/>
  <c r="AM315" i="1"/>
  <c r="AP315" i="1" s="1"/>
  <c r="AS315" i="1" s="1"/>
  <c r="AG315" i="1"/>
  <c r="AH315" i="1" s="1"/>
  <c r="AV315" i="1" s="1"/>
  <c r="AW315" i="1" s="1"/>
  <c r="AG363" i="1"/>
  <c r="AH363" i="1" s="1"/>
  <c r="AV363" i="1" s="1"/>
  <c r="AW363" i="1" s="1"/>
  <c r="AM363" i="1"/>
  <c r="AP363" i="1" s="1"/>
  <c r="AS363" i="1" s="1"/>
  <c r="AG181" i="1"/>
  <c r="AH181" i="1" s="1"/>
  <c r="AV181" i="1" s="1"/>
  <c r="AW181" i="1" s="1"/>
  <c r="AM181" i="1"/>
  <c r="AP181" i="1" s="1"/>
  <c r="AS181" i="1" s="1"/>
  <c r="AM294" i="1"/>
  <c r="AP294" i="1" s="1"/>
  <c r="AS294" i="1" s="1"/>
  <c r="AG294" i="1"/>
  <c r="AH294" i="1" s="1"/>
  <c r="AV294" i="1" s="1"/>
  <c r="AW294" i="1" s="1"/>
  <c r="AM140" i="1"/>
  <c r="AP140" i="1" s="1"/>
  <c r="AS140" i="1" s="1"/>
  <c r="AG140" i="1"/>
  <c r="AH140" i="1" s="1"/>
  <c r="AV140" i="1" s="1"/>
  <c r="AW140" i="1" s="1"/>
  <c r="AM141" i="1"/>
  <c r="AP141" i="1" s="1"/>
  <c r="AS141" i="1" s="1"/>
  <c r="AG141" i="1"/>
  <c r="AH141" i="1" s="1"/>
  <c r="AV141" i="1" s="1"/>
  <c r="AW141" i="1" s="1"/>
  <c r="AM864" i="1"/>
  <c r="AP864" i="1" s="1"/>
  <c r="AS864" i="1" s="1"/>
  <c r="AG864" i="1"/>
  <c r="AH864" i="1" s="1"/>
  <c r="AV864" i="1" s="1"/>
  <c r="AW864" i="1" s="1"/>
  <c r="AM65" i="1"/>
  <c r="AP65" i="1" s="1"/>
  <c r="AS65" i="1" s="1"/>
  <c r="AG65" i="1"/>
  <c r="AH65" i="1" s="1"/>
  <c r="AV65" i="1" s="1"/>
  <c r="AW65" i="1" s="1"/>
  <c r="AG16" i="1"/>
  <c r="AH16" i="1" s="1"/>
  <c r="AV16" i="1" s="1"/>
  <c r="AW16" i="1" s="1"/>
  <c r="AM16" i="1"/>
  <c r="AP16" i="1" s="1"/>
  <c r="AS16" i="1" s="1"/>
  <c r="AM15" i="1"/>
  <c r="AP15" i="1" s="1"/>
  <c r="AS15" i="1" s="1"/>
  <c r="AG15" i="1"/>
  <c r="AH15" i="1" s="1"/>
  <c r="AV15" i="1" s="1"/>
  <c r="AW15" i="1" s="1"/>
  <c r="AM415" i="1"/>
  <c r="AP415" i="1" s="1"/>
  <c r="AS415" i="1" s="1"/>
  <c r="AG415" i="1"/>
  <c r="AH415" i="1" s="1"/>
  <c r="AV415" i="1" s="1"/>
  <c r="AW415" i="1" s="1"/>
  <c r="AM310" i="1"/>
  <c r="AP310" i="1" s="1"/>
  <c r="AS310" i="1" s="1"/>
  <c r="AG310" i="1"/>
  <c r="AH310" i="1" s="1"/>
  <c r="AV310" i="1" s="1"/>
  <c r="AW310" i="1" s="1"/>
  <c r="AM327" i="1"/>
  <c r="AP327" i="1" s="1"/>
  <c r="AS327" i="1" s="1"/>
  <c r="AG327" i="1"/>
  <c r="AH327" i="1" s="1"/>
  <c r="AV327" i="1" s="1"/>
  <c r="AW327" i="1" s="1"/>
  <c r="AM98" i="1"/>
  <c r="AP98" i="1" s="1"/>
  <c r="AS98" i="1" s="1"/>
  <c r="AG98" i="1"/>
  <c r="AH98" i="1" s="1"/>
  <c r="AV98" i="1" s="1"/>
  <c r="AW98" i="1" s="1"/>
  <c r="AM34" i="1"/>
  <c r="AP34" i="1" s="1"/>
  <c r="AS34" i="1" s="1"/>
  <c r="AG34" i="1"/>
  <c r="AH34" i="1" s="1"/>
  <c r="AV34" i="1" s="1"/>
  <c r="AW34" i="1" s="1"/>
  <c r="AM123" i="1"/>
  <c r="AP123" i="1" s="1"/>
  <c r="AS123" i="1" s="1"/>
  <c r="AG123" i="1"/>
  <c r="AH123" i="1" s="1"/>
  <c r="AV123" i="1" s="1"/>
  <c r="AW123" i="1" s="1"/>
  <c r="AK720" i="1"/>
  <c r="AM720" i="1"/>
  <c r="AP720" i="1" s="1"/>
  <c r="AS720" i="1" s="1"/>
  <c r="AG703" i="1"/>
  <c r="AH703" i="1" s="1"/>
  <c r="AV703" i="1" s="1"/>
  <c r="AW703" i="1" s="1"/>
  <c r="AM703" i="1"/>
  <c r="AP703" i="1" s="1"/>
  <c r="AS703" i="1" s="1"/>
  <c r="AM828" i="1"/>
  <c r="AP828" i="1" s="1"/>
  <c r="AS828" i="1" s="1"/>
  <c r="AK828" i="1"/>
  <c r="AG760" i="1"/>
  <c r="AH760" i="1" s="1"/>
  <c r="AV760" i="1" s="1"/>
  <c r="AW760" i="1" s="1"/>
  <c r="AM760" i="1"/>
  <c r="AP760" i="1" s="1"/>
  <c r="AS760" i="1" s="1"/>
  <c r="AG679" i="1"/>
  <c r="AH679" i="1" s="1"/>
  <c r="AV679" i="1" s="1"/>
  <c r="AW679" i="1" s="1"/>
  <c r="AM679" i="1"/>
  <c r="AP679" i="1" s="1"/>
  <c r="AS679" i="1" s="1"/>
  <c r="AM839" i="1"/>
  <c r="AP839" i="1" s="1"/>
  <c r="AS839" i="1" s="1"/>
  <c r="AG839" i="1"/>
  <c r="AH839" i="1" s="1"/>
  <c r="AV839" i="1" s="1"/>
  <c r="AW839" i="1" s="1"/>
  <c r="AM425" i="1"/>
  <c r="AP425" i="1" s="1"/>
  <c r="AS425" i="1" s="1"/>
  <c r="AG425" i="1"/>
  <c r="AH425" i="1" s="1"/>
  <c r="AV425" i="1" s="1"/>
  <c r="AW425" i="1" s="1"/>
  <c r="AM287" i="1"/>
  <c r="AP287" i="1" s="1"/>
  <c r="AS287" i="1" s="1"/>
  <c r="AG287" i="1"/>
  <c r="AH287" i="1" s="1"/>
  <c r="AV287" i="1" s="1"/>
  <c r="AW287" i="1" s="1"/>
  <c r="AM356" i="1"/>
  <c r="AP356" i="1" s="1"/>
  <c r="AS356" i="1" s="1"/>
  <c r="AG356" i="1"/>
  <c r="AH356" i="1" s="1"/>
  <c r="AV356" i="1" s="1"/>
  <c r="AW356" i="1" s="1"/>
  <c r="AK216" i="1"/>
  <c r="AM216" i="1"/>
  <c r="AP216" i="1" s="1"/>
  <c r="AS216" i="1" s="1"/>
  <c r="AG219" i="1"/>
  <c r="AH219" i="1" s="1"/>
  <c r="AV219" i="1" s="1"/>
  <c r="AW219" i="1" s="1"/>
  <c r="AM219" i="1"/>
  <c r="AP219" i="1" s="1"/>
  <c r="AS219" i="1" s="1"/>
  <c r="AG220" i="1"/>
  <c r="AH220" i="1" s="1"/>
  <c r="AV220" i="1" s="1"/>
  <c r="AW220" i="1" s="1"/>
  <c r="AM220" i="1"/>
  <c r="AP220" i="1" s="1"/>
  <c r="AS220" i="1" s="1"/>
  <c r="AM133" i="1"/>
  <c r="AP133" i="1" s="1"/>
  <c r="AS133" i="1" s="1"/>
  <c r="AG133" i="1"/>
  <c r="AH133" i="1" s="1"/>
  <c r="AV133" i="1" s="1"/>
  <c r="AW133" i="1" s="1"/>
  <c r="AM91" i="1"/>
  <c r="AP91" i="1" s="1"/>
  <c r="AS91" i="1" s="1"/>
  <c r="AG91" i="1"/>
  <c r="AH91" i="1" s="1"/>
  <c r="AV91" i="1" s="1"/>
  <c r="AW91" i="1" s="1"/>
  <c r="AG77" i="1"/>
  <c r="AH77" i="1" s="1"/>
  <c r="AV77" i="1" s="1"/>
  <c r="AW77" i="1" s="1"/>
  <c r="AM77" i="1"/>
  <c r="AP77" i="1" s="1"/>
  <c r="AS77" i="1" s="1"/>
  <c r="AM240" i="1"/>
  <c r="AP240" i="1" s="1"/>
  <c r="AS240" i="1" s="1"/>
  <c r="AG240" i="1"/>
  <c r="AH240" i="1" s="1"/>
  <c r="AV240" i="1" s="1"/>
  <c r="AW240" i="1" s="1"/>
  <c r="AM201" i="1"/>
  <c r="AP201" i="1" s="1"/>
  <c r="AS201" i="1" s="1"/>
  <c r="AG201" i="1"/>
  <c r="AH201" i="1" s="1"/>
  <c r="AV201" i="1" s="1"/>
  <c r="AW201" i="1" s="1"/>
  <c r="AG126" i="1"/>
  <c r="AH126" i="1" s="1"/>
  <c r="AV126" i="1" s="1"/>
  <c r="AW126" i="1" s="1"/>
  <c r="AM126" i="1"/>
  <c r="AP126" i="1" s="1"/>
  <c r="AS126" i="1" s="1"/>
  <c r="AH20" i="1"/>
  <c r="AV20" i="1" s="1"/>
  <c r="AW20" i="1" s="1"/>
  <c r="AM20" i="1"/>
  <c r="AP20" i="1" s="1"/>
  <c r="AS20" i="1" s="1"/>
  <c r="AM64" i="1"/>
  <c r="AP64" i="1" s="1"/>
  <c r="AS64" i="1" s="1"/>
  <c r="AG64" i="1"/>
  <c r="AH64" i="1" s="1"/>
  <c r="AV64" i="1" s="1"/>
  <c r="AW64" i="1" s="1"/>
  <c r="AG811" i="1"/>
  <c r="AH811" i="1" s="1"/>
  <c r="AV811" i="1" s="1"/>
  <c r="AW811" i="1" s="1"/>
  <c r="AM811" i="1"/>
  <c r="AP811" i="1" s="1"/>
  <c r="AS811" i="1" s="1"/>
  <c r="AM743" i="1"/>
  <c r="AP743" i="1" s="1"/>
  <c r="AS743" i="1" s="1"/>
  <c r="AG743" i="1"/>
  <c r="AH743" i="1" s="1"/>
  <c r="AV743" i="1" s="1"/>
  <c r="AW743" i="1" s="1"/>
  <c r="AG699" i="1"/>
  <c r="AH699" i="1" s="1"/>
  <c r="AV699" i="1" s="1"/>
  <c r="AW699" i="1" s="1"/>
  <c r="AM699" i="1"/>
  <c r="AP699" i="1" s="1"/>
  <c r="AS699" i="1" s="1"/>
  <c r="AG651" i="1"/>
  <c r="AM651" i="1"/>
  <c r="AP651" i="1" s="1"/>
  <c r="AS651" i="1" s="1"/>
  <c r="AH651" i="1"/>
  <c r="AV651" i="1" s="1"/>
  <c r="AW651" i="1" s="1"/>
  <c r="AG571" i="1"/>
  <c r="AH571" i="1" s="1"/>
  <c r="AV571" i="1" s="1"/>
  <c r="AW571" i="1" s="1"/>
  <c r="AM571" i="1"/>
  <c r="AP571" i="1" s="1"/>
  <c r="AS571" i="1" s="1"/>
  <c r="AH318" i="1"/>
  <c r="AV318" i="1" s="1"/>
  <c r="AW318" i="1" s="1"/>
  <c r="AM318" i="1"/>
  <c r="AP318" i="1" s="1"/>
  <c r="AS318" i="1" s="1"/>
  <c r="AG318" i="1"/>
  <c r="AM99" i="1"/>
  <c r="AP99" i="1" s="1"/>
  <c r="AS99" i="1" s="1"/>
  <c r="AG99" i="1"/>
  <c r="AH99" i="1" s="1"/>
  <c r="AV99" i="1" s="1"/>
  <c r="AW99" i="1" s="1"/>
  <c r="AM53" i="1"/>
  <c r="AP53" i="1" s="1"/>
  <c r="AS53" i="1" s="1"/>
  <c r="AG53" i="1"/>
  <c r="AH53" i="1" s="1"/>
  <c r="AV53" i="1" s="1"/>
  <c r="AW53" i="1" s="1"/>
  <c r="AM740" i="1"/>
  <c r="AP740" i="1" s="1"/>
  <c r="AS740" i="1" s="1"/>
  <c r="AG740" i="1"/>
  <c r="AH740" i="1" s="1"/>
  <c r="AV740" i="1" s="1"/>
  <c r="AW740" i="1" s="1"/>
  <c r="AG700" i="1"/>
  <c r="AH700" i="1" s="1"/>
  <c r="AV700" i="1" s="1"/>
  <c r="AW700" i="1" s="1"/>
  <c r="AM700" i="1"/>
  <c r="AP700" i="1" s="1"/>
  <c r="AS700" i="1" s="1"/>
  <c r="AG890" i="1"/>
  <c r="AH890" i="1" s="1"/>
  <c r="AV890" i="1" s="1"/>
  <c r="AW890" i="1" s="1"/>
  <c r="AM890" i="1"/>
  <c r="AP890" i="1" s="1"/>
  <c r="AS890" i="1" s="1"/>
  <c r="AM610" i="1"/>
  <c r="AP610" i="1" s="1"/>
  <c r="AS610" i="1" s="1"/>
  <c r="AG610" i="1"/>
  <c r="AH610" i="1" s="1"/>
  <c r="AV610" i="1" s="1"/>
  <c r="AW610" i="1" s="1"/>
  <c r="AG882" i="1"/>
  <c r="AH882" i="1" s="1"/>
  <c r="AV882" i="1" s="1"/>
  <c r="AW882" i="1" s="1"/>
  <c r="AM882" i="1"/>
  <c r="AP882" i="1" s="1"/>
  <c r="AS882" i="1" s="1"/>
  <c r="AM791" i="1"/>
  <c r="AP791" i="1" s="1"/>
  <c r="AS791" i="1" s="1"/>
  <c r="AG791" i="1"/>
  <c r="AH791" i="1" s="1"/>
  <c r="AV791" i="1" s="1"/>
  <c r="AW791" i="1" s="1"/>
  <c r="AM505" i="1"/>
  <c r="AP505" i="1" s="1"/>
  <c r="AS505" i="1" s="1"/>
  <c r="AG505" i="1"/>
  <c r="AH505" i="1" s="1"/>
  <c r="AV505" i="1" s="1"/>
  <c r="AW505" i="1" s="1"/>
  <c r="AG645" i="1"/>
  <c r="AH645" i="1" s="1"/>
  <c r="AV645" i="1" s="1"/>
  <c r="AW645" i="1" s="1"/>
  <c r="AM645" i="1"/>
  <c r="AP645" i="1" s="1"/>
  <c r="AS645" i="1" s="1"/>
  <c r="AM418" i="1"/>
  <c r="AP418" i="1" s="1"/>
  <c r="AS418" i="1" s="1"/>
  <c r="AG418" i="1"/>
  <c r="AH418" i="1" s="1"/>
  <c r="AV418" i="1" s="1"/>
  <c r="AW418" i="1" s="1"/>
  <c r="AM781" i="1"/>
  <c r="AP781" i="1" s="1"/>
  <c r="AS781" i="1" s="1"/>
  <c r="AG781" i="1"/>
  <c r="AH781" i="1" s="1"/>
  <c r="AV781" i="1" s="1"/>
  <c r="AW781" i="1" s="1"/>
  <c r="AG876" i="1"/>
  <c r="AH876" i="1" s="1"/>
  <c r="AV876" i="1" s="1"/>
  <c r="AW876" i="1" s="1"/>
  <c r="AM876" i="1"/>
  <c r="AP876" i="1" s="1"/>
  <c r="AS876" i="1" s="1"/>
  <c r="AM755" i="1"/>
  <c r="AP755" i="1" s="1"/>
  <c r="AS755" i="1" s="1"/>
  <c r="AG755" i="1"/>
  <c r="AH755" i="1" s="1"/>
  <c r="AV755" i="1" s="1"/>
  <c r="AW755" i="1" s="1"/>
  <c r="AM874" i="1"/>
  <c r="AP874" i="1" s="1"/>
  <c r="AS874" i="1" s="1"/>
  <c r="AM732" i="1"/>
  <c r="AP732" i="1" s="1"/>
  <c r="AS732" i="1" s="1"/>
  <c r="AG732" i="1"/>
  <c r="AH732" i="1" s="1"/>
  <c r="AV732" i="1" s="1"/>
  <c r="AW732" i="1" s="1"/>
  <c r="AM792" i="1"/>
  <c r="AP792" i="1" s="1"/>
  <c r="AS792" i="1" s="1"/>
  <c r="AG792" i="1"/>
  <c r="AH792" i="1" s="1"/>
  <c r="AV792" i="1" s="1"/>
  <c r="AW792" i="1" s="1"/>
  <c r="AG739" i="1"/>
  <c r="AH739" i="1" s="1"/>
  <c r="AV739" i="1" s="1"/>
  <c r="AW739" i="1" s="1"/>
  <c r="AM739" i="1"/>
  <c r="AP739" i="1" s="1"/>
  <c r="AS739" i="1" s="1"/>
  <c r="AM767" i="1"/>
  <c r="AP767" i="1" s="1"/>
  <c r="AS767" i="1" s="1"/>
  <c r="AG767" i="1"/>
  <c r="AH767" i="1" s="1"/>
  <c r="AV767" i="1" s="1"/>
  <c r="AW767" i="1" s="1"/>
  <c r="AG190" i="1"/>
  <c r="AH190" i="1" s="1"/>
  <c r="AV190" i="1" s="1"/>
  <c r="AW190" i="1" s="1"/>
  <c r="AM190" i="1"/>
  <c r="AP190" i="1" s="1"/>
  <c r="AS190" i="1" s="1"/>
  <c r="AH404" i="1"/>
  <c r="AV404" i="1" s="1"/>
  <c r="AW404" i="1" s="1"/>
  <c r="AM404" i="1"/>
  <c r="AP404" i="1" s="1"/>
  <c r="AS404" i="1" s="1"/>
  <c r="AM431" i="1"/>
  <c r="AP431" i="1" s="1"/>
  <c r="AS431" i="1" s="1"/>
  <c r="AK431" i="1"/>
  <c r="AG430" i="1"/>
  <c r="AH430" i="1" s="1"/>
  <c r="AV430" i="1" s="1"/>
  <c r="AW430" i="1" s="1"/>
  <c r="AM430" i="1"/>
  <c r="AP430" i="1" s="1"/>
  <c r="AS430" i="1" s="1"/>
  <c r="AM495" i="1"/>
  <c r="AP495" i="1" s="1"/>
  <c r="AS495" i="1" s="1"/>
  <c r="AG495" i="1"/>
  <c r="AH495" i="1" s="1"/>
  <c r="AV495" i="1" s="1"/>
  <c r="AW495" i="1" s="1"/>
  <c r="AM639" i="1"/>
  <c r="AP639" i="1" s="1"/>
  <c r="AS639" i="1" s="1"/>
  <c r="AM411" i="1"/>
  <c r="AP411" i="1" s="1"/>
  <c r="AS411" i="1" s="1"/>
  <c r="AG411" i="1"/>
  <c r="AH411" i="1" s="1"/>
  <c r="AV411" i="1" s="1"/>
  <c r="AW411" i="1" s="1"/>
  <c r="AM397" i="1"/>
  <c r="AP397" i="1" s="1"/>
  <c r="AS397" i="1" s="1"/>
  <c r="AG397" i="1"/>
  <c r="AH397" i="1" s="1"/>
  <c r="AV397" i="1" s="1"/>
  <c r="AW397" i="1" s="1"/>
  <c r="AM350" i="1"/>
  <c r="AP350" i="1" s="1"/>
  <c r="AS350" i="1" s="1"/>
  <c r="AG350" i="1"/>
  <c r="AH350" i="1" s="1"/>
  <c r="AV350" i="1" s="1"/>
  <c r="AW350" i="1" s="1"/>
  <c r="AM394" i="1"/>
  <c r="AP394" i="1" s="1"/>
  <c r="AS394" i="1" s="1"/>
  <c r="AH394" i="1"/>
  <c r="AV394" i="1" s="1"/>
  <c r="AW394" i="1" s="1"/>
  <c r="AG494" i="1"/>
  <c r="AH494" i="1" s="1"/>
  <c r="AV494" i="1" s="1"/>
  <c r="AW494" i="1" s="1"/>
  <c r="AM494" i="1"/>
  <c r="AP494" i="1" s="1"/>
  <c r="AS494" i="1" s="1"/>
  <c r="AM471" i="1"/>
  <c r="AP471" i="1" s="1"/>
  <c r="AS471" i="1" s="1"/>
  <c r="AG471" i="1"/>
  <c r="AH471" i="1" s="1"/>
  <c r="AV471" i="1" s="1"/>
  <c r="AW471" i="1" s="1"/>
  <c r="AG464" i="1"/>
  <c r="AH464" i="1" s="1"/>
  <c r="AV464" i="1" s="1"/>
  <c r="AW464" i="1" s="1"/>
  <c r="AM464" i="1"/>
  <c r="AP464" i="1" s="1"/>
  <c r="AS464" i="1" s="1"/>
  <c r="AM436" i="1"/>
  <c r="AP436" i="1" s="1"/>
  <c r="AS436" i="1" s="1"/>
  <c r="AG436" i="1"/>
  <c r="AH436" i="1" s="1"/>
  <c r="AV436" i="1" s="1"/>
  <c r="AW436" i="1" s="1"/>
  <c r="AM306" i="1"/>
  <c r="AP306" i="1" s="1"/>
  <c r="AS306" i="1" s="1"/>
  <c r="AG306" i="1"/>
  <c r="AH306" i="1" s="1"/>
  <c r="AV306" i="1" s="1"/>
  <c r="AW306" i="1" s="1"/>
  <c r="AM328" i="1"/>
  <c r="AP328" i="1" s="1"/>
  <c r="AS328" i="1" s="1"/>
  <c r="AG328" i="1"/>
  <c r="AH328" i="1" s="1"/>
  <c r="AV328" i="1" s="1"/>
  <c r="AW328" i="1" s="1"/>
  <c r="AM302" i="1"/>
  <c r="AP302" i="1" s="1"/>
  <c r="AS302" i="1" s="1"/>
  <c r="AG302" i="1"/>
  <c r="AH302" i="1" s="1"/>
  <c r="AV302" i="1" s="1"/>
  <c r="AW302" i="1" s="1"/>
  <c r="AM211" i="1"/>
  <c r="AP211" i="1" s="1"/>
  <c r="AS211" i="1" s="1"/>
  <c r="AK211" i="1"/>
  <c r="AM304" i="1"/>
  <c r="AP304" i="1" s="1"/>
  <c r="AS304" i="1" s="1"/>
  <c r="AG304" i="1"/>
  <c r="AH304" i="1" s="1"/>
  <c r="AV304" i="1" s="1"/>
  <c r="AW304" i="1" s="1"/>
  <c r="AM214" i="1"/>
  <c r="AP214" i="1" s="1"/>
  <c r="AS214" i="1" s="1"/>
  <c r="AG214" i="1"/>
  <c r="AH214" i="1" s="1"/>
  <c r="AV214" i="1" s="1"/>
  <c r="AW214" i="1" s="1"/>
  <c r="AM87" i="1"/>
  <c r="AP87" i="1" s="1"/>
  <c r="AS87" i="1" s="1"/>
  <c r="AG87" i="1"/>
  <c r="AH87" i="1" s="1"/>
  <c r="AV87" i="1" s="1"/>
  <c r="AW87" i="1" s="1"/>
  <c r="AG136" i="1"/>
  <c r="AH136" i="1" s="1"/>
  <c r="AV136" i="1" s="1"/>
  <c r="AW136" i="1" s="1"/>
  <c r="AM136" i="1"/>
  <c r="AP136" i="1" s="1"/>
  <c r="AS136" i="1" s="1"/>
  <c r="AG66" i="1"/>
  <c r="AH66" i="1" s="1"/>
  <c r="AV66" i="1" s="1"/>
  <c r="AW66" i="1" s="1"/>
  <c r="AM66" i="1"/>
  <c r="AP66" i="1" s="1"/>
  <c r="AS66" i="1" s="1"/>
  <c r="AG130" i="1"/>
  <c r="AH130" i="1" s="1"/>
  <c r="AV130" i="1" s="1"/>
  <c r="AW130" i="1" s="1"/>
  <c r="AM130" i="1"/>
  <c r="AP130" i="1" s="1"/>
  <c r="AS130" i="1" s="1"/>
  <c r="AM549" i="1"/>
  <c r="AP549" i="1" s="1"/>
  <c r="AS549" i="1" s="1"/>
  <c r="AG549" i="1"/>
  <c r="AH549" i="1" s="1"/>
  <c r="AV549" i="1" s="1"/>
  <c r="AW549" i="1" s="1"/>
  <c r="AM22" i="1"/>
  <c r="AP22" i="1" s="1"/>
  <c r="AS22" i="1" s="1"/>
  <c r="AH22" i="1"/>
  <c r="AV22" i="1" s="1"/>
  <c r="AW22" i="1" s="1"/>
  <c r="AM870" i="1"/>
  <c r="AP870" i="1" s="1"/>
  <c r="AS870" i="1" s="1"/>
  <c r="AG870" i="1"/>
  <c r="AH870" i="1" s="1"/>
  <c r="AV870" i="1" s="1"/>
  <c r="AW870" i="1" s="1"/>
  <c r="AG903" i="1"/>
  <c r="AH903" i="1" s="1"/>
  <c r="AV903" i="1" s="1"/>
  <c r="AW903" i="1" s="1"/>
  <c r="AM903" i="1"/>
  <c r="AP903" i="1" s="1"/>
  <c r="AS903" i="1" s="1"/>
  <c r="AM514" i="1"/>
  <c r="AP514" i="1" s="1"/>
  <c r="AS514" i="1" s="1"/>
  <c r="AG514" i="1"/>
  <c r="AH514" i="1" s="1"/>
  <c r="AV514" i="1" s="1"/>
  <c r="AW514" i="1" s="1"/>
  <c r="AH558" i="1"/>
  <c r="AV558" i="1" s="1"/>
  <c r="AW558" i="1" s="1"/>
  <c r="AM558" i="1"/>
  <c r="AP558" i="1" s="1"/>
  <c r="AS558" i="1" s="1"/>
  <c r="AG652" i="1"/>
  <c r="AH652" i="1" s="1"/>
  <c r="AV652" i="1" s="1"/>
  <c r="AW652" i="1" s="1"/>
  <c r="AM652" i="1"/>
  <c r="AP652" i="1" s="1"/>
  <c r="AS652" i="1" s="1"/>
  <c r="AG746" i="1"/>
  <c r="AH746" i="1" s="1"/>
  <c r="AV746" i="1" s="1"/>
  <c r="AW746" i="1" s="1"/>
  <c r="AM746" i="1"/>
  <c r="AP746" i="1" s="1"/>
  <c r="AS746" i="1" s="1"/>
  <c r="AM786" i="1"/>
  <c r="AP786" i="1" s="1"/>
  <c r="AS786" i="1" s="1"/>
  <c r="AG786" i="1"/>
  <c r="AH786" i="1" s="1"/>
  <c r="AV786" i="1" s="1"/>
  <c r="AW786" i="1" s="1"/>
  <c r="AM634" i="1"/>
  <c r="AP634" i="1" s="1"/>
  <c r="AS634" i="1" s="1"/>
  <c r="AG634" i="1"/>
  <c r="AH634" i="1" s="1"/>
  <c r="AV634" i="1" s="1"/>
  <c r="AW634" i="1" s="1"/>
  <c r="AM568" i="1"/>
  <c r="AP568" i="1" s="1"/>
  <c r="AS568" i="1" s="1"/>
  <c r="AG568" i="1"/>
  <c r="AH568" i="1" s="1"/>
  <c r="AM403" i="1"/>
  <c r="AP403" i="1" s="1"/>
  <c r="AS403" i="1" s="1"/>
  <c r="AK403" i="1"/>
  <c r="AM616" i="1"/>
  <c r="AP616" i="1" s="1"/>
  <c r="AS616" i="1" s="1"/>
  <c r="AG616" i="1"/>
  <c r="AH616" i="1" s="1"/>
  <c r="AV616" i="1" s="1"/>
  <c r="AW616" i="1" s="1"/>
  <c r="AH396" i="1"/>
  <c r="AV396" i="1" s="1"/>
  <c r="AW396" i="1" s="1"/>
  <c r="AM396" i="1"/>
  <c r="AP396" i="1" s="1"/>
  <c r="AS396" i="1" s="1"/>
  <c r="AG349" i="1"/>
  <c r="AH349" i="1" s="1"/>
  <c r="AV349" i="1" s="1"/>
  <c r="AW349" i="1" s="1"/>
  <c r="AM349" i="1"/>
  <c r="AP349" i="1" s="1"/>
  <c r="AS349" i="1" s="1"/>
  <c r="AM398" i="1"/>
  <c r="AP398" i="1" s="1"/>
  <c r="AS398" i="1" s="1"/>
  <c r="AG398" i="1"/>
  <c r="AH398" i="1" s="1"/>
  <c r="AV398" i="1" s="1"/>
  <c r="AW398" i="1" s="1"/>
  <c r="AM486" i="1"/>
  <c r="AP486" i="1" s="1"/>
  <c r="AS486" i="1" s="1"/>
  <c r="AG486" i="1"/>
  <c r="AH486" i="1" s="1"/>
  <c r="AV486" i="1" s="1"/>
  <c r="AW486" i="1" s="1"/>
  <c r="AM442" i="1"/>
  <c r="AP442" i="1" s="1"/>
  <c r="AS442" i="1" s="1"/>
  <c r="AG442" i="1"/>
  <c r="AH442" i="1" s="1"/>
  <c r="AV442" i="1" s="1"/>
  <c r="AW442" i="1" s="1"/>
  <c r="AM362" i="1"/>
  <c r="AP362" i="1" s="1"/>
  <c r="AS362" i="1" s="1"/>
  <c r="AG362" i="1"/>
  <c r="AH362" i="1" s="1"/>
  <c r="AV362" i="1" s="1"/>
  <c r="AW362" i="1" s="1"/>
  <c r="AG352" i="1"/>
  <c r="AH352" i="1" s="1"/>
  <c r="AV352" i="1" s="1"/>
  <c r="AW352" i="1" s="1"/>
  <c r="AM352" i="1"/>
  <c r="AP352" i="1" s="1"/>
  <c r="AS352" i="1" s="1"/>
  <c r="AM796" i="1"/>
  <c r="AP796" i="1" s="1"/>
  <c r="AS796" i="1" s="1"/>
  <c r="AG796" i="1"/>
  <c r="AH796" i="1" s="1"/>
  <c r="AV796" i="1" s="1"/>
  <c r="AW796" i="1" s="1"/>
  <c r="AM546" i="1"/>
  <c r="AP546" i="1" s="1"/>
  <c r="AS546" i="1" s="1"/>
  <c r="AG546" i="1"/>
  <c r="AH546" i="1" s="1"/>
  <c r="AV546" i="1" s="1"/>
  <c r="AW546" i="1" s="1"/>
  <c r="AM83" i="1"/>
  <c r="AP83" i="1" s="1"/>
  <c r="AS83" i="1" s="1"/>
  <c r="AG83" i="1"/>
  <c r="AH83" i="1" s="1"/>
  <c r="AV83" i="1" s="1"/>
  <c r="AW83" i="1" s="1"/>
  <c r="AM218" i="1"/>
  <c r="AP218" i="1" s="1"/>
  <c r="AS218" i="1" s="1"/>
  <c r="AG218" i="1"/>
  <c r="AH218" i="1" s="1"/>
  <c r="AV218" i="1" s="1"/>
  <c r="AW218" i="1" s="1"/>
  <c r="AG134" i="1"/>
  <c r="AH134" i="1" s="1"/>
  <c r="AV134" i="1" s="1"/>
  <c r="AW134" i="1" s="1"/>
  <c r="AM134" i="1"/>
  <c r="AP134" i="1" s="1"/>
  <c r="AS134" i="1" s="1"/>
  <c r="AM178" i="1"/>
  <c r="AP178" i="1" s="1"/>
  <c r="AS178" i="1" s="1"/>
  <c r="AG178" i="1"/>
  <c r="AH178" i="1" s="1"/>
  <c r="AV178" i="1" s="1"/>
  <c r="AW178" i="1" s="1"/>
  <c r="AH49" i="1"/>
  <c r="AV49" i="1" s="1"/>
  <c r="AW49" i="1" s="1"/>
  <c r="AM49" i="1"/>
  <c r="AP49" i="1" s="1"/>
  <c r="AS49" i="1" s="1"/>
  <c r="AG17" i="1"/>
  <c r="AH17" i="1" s="1"/>
  <c r="AV17" i="1" s="1"/>
  <c r="AW17" i="1" s="1"/>
  <c r="AM17" i="1"/>
  <c r="AP17" i="1" s="1"/>
  <c r="AS17" i="1" s="1"/>
  <c r="AM11" i="1"/>
  <c r="AP11" i="1" s="1"/>
  <c r="AS11" i="1" s="1"/>
  <c r="AG11" i="1"/>
  <c r="AH11" i="1" s="1"/>
  <c r="AG878" i="1"/>
  <c r="AH878" i="1" s="1"/>
  <c r="AV878" i="1" s="1"/>
  <c r="AW878" i="1" s="1"/>
  <c r="AM878" i="1"/>
  <c r="AP878" i="1" s="1"/>
  <c r="AS878" i="1" s="1"/>
  <c r="AM842" i="1"/>
  <c r="AP842" i="1" s="1"/>
  <c r="AS842" i="1" s="1"/>
  <c r="AG842" i="1"/>
  <c r="AH842" i="1" s="1"/>
  <c r="AV842" i="1" s="1"/>
  <c r="AW842" i="1" s="1"/>
  <c r="AM809" i="1"/>
  <c r="AP809" i="1" s="1"/>
  <c r="AS809" i="1" s="1"/>
  <c r="AG809" i="1"/>
  <c r="AH809" i="1" s="1"/>
  <c r="AV809" i="1" s="1"/>
  <c r="AW809" i="1" s="1"/>
  <c r="AM633" i="1"/>
  <c r="AP633" i="1" s="1"/>
  <c r="AS633" i="1" s="1"/>
  <c r="AG633" i="1"/>
  <c r="AH633" i="1" s="1"/>
  <c r="AV633" i="1" s="1"/>
  <c r="AW633" i="1" s="1"/>
  <c r="AM632" i="1"/>
  <c r="AP632" i="1" s="1"/>
  <c r="AS632" i="1" s="1"/>
  <c r="AG632" i="1"/>
  <c r="AH632" i="1" s="1"/>
  <c r="AV632" i="1" s="1"/>
  <c r="AW632" i="1" s="1"/>
  <c r="AG619" i="1"/>
  <c r="AH619" i="1" s="1"/>
  <c r="AV619" i="1" s="1"/>
  <c r="AW619" i="1" s="1"/>
  <c r="AM619" i="1"/>
  <c r="AP619" i="1" s="1"/>
  <c r="AS619" i="1" s="1"/>
  <c r="AG591" i="1"/>
  <c r="AH591" i="1" s="1"/>
  <c r="AV591" i="1" s="1"/>
  <c r="AW591" i="1" s="1"/>
  <c r="AM591" i="1"/>
  <c r="AP591" i="1" s="1"/>
  <c r="AS591" i="1" s="1"/>
  <c r="AM463" i="1"/>
  <c r="AP463" i="1" s="1"/>
  <c r="AS463" i="1" s="1"/>
  <c r="AG463" i="1"/>
  <c r="AH463" i="1" s="1"/>
  <c r="AV463" i="1" s="1"/>
  <c r="AW463" i="1" s="1"/>
  <c r="AG593" i="1"/>
  <c r="AH593" i="1"/>
  <c r="AV593" i="1" s="1"/>
  <c r="AW593" i="1" s="1"/>
  <c r="AM593" i="1"/>
  <c r="AP593" i="1" s="1"/>
  <c r="AS593" i="1" s="1"/>
  <c r="AM635" i="1"/>
  <c r="AP635" i="1" s="1"/>
  <c r="AS635" i="1" s="1"/>
  <c r="AG635" i="1"/>
  <c r="AH635" i="1" s="1"/>
  <c r="AV635" i="1" s="1"/>
  <c r="AW635" i="1" s="1"/>
  <c r="AM45" i="1"/>
  <c r="AP45" i="1" s="1"/>
  <c r="AS45" i="1" s="1"/>
  <c r="AG45" i="1"/>
  <c r="AH45" i="1" s="1"/>
  <c r="AV45" i="1" s="1"/>
  <c r="AW45" i="1" s="1"/>
  <c r="AG340" i="1"/>
  <c r="AH340" i="1" s="1"/>
  <c r="AV340" i="1" s="1"/>
  <c r="AW340" i="1" s="1"/>
  <c r="AM340" i="1"/>
  <c r="AP340" i="1" s="1"/>
  <c r="AS340" i="1" s="1"/>
  <c r="AG47" i="1"/>
  <c r="AH47" i="1" s="1"/>
  <c r="AV47" i="1" s="1"/>
  <c r="AW47" i="1" s="1"/>
  <c r="AM47" i="1"/>
  <c r="AP47" i="1" s="1"/>
  <c r="AS47" i="1" s="1"/>
  <c r="AM319" i="1"/>
  <c r="AP319" i="1" s="1"/>
  <c r="AS319" i="1" s="1"/>
  <c r="AG319" i="1"/>
  <c r="AH319" i="1" s="1"/>
  <c r="AV319" i="1" s="1"/>
  <c r="AW319" i="1" s="1"/>
  <c r="AM524" i="1"/>
  <c r="AP524" i="1" s="1"/>
  <c r="AS524" i="1" s="1"/>
  <c r="AG524" i="1"/>
  <c r="AH524" i="1" s="1"/>
  <c r="AV524" i="1" s="1"/>
  <c r="AW524" i="1" s="1"/>
  <c r="AG462" i="1"/>
  <c r="AH462" i="1" s="1"/>
  <c r="AV462" i="1" s="1"/>
  <c r="AW462" i="1" s="1"/>
  <c r="AM462" i="1"/>
  <c r="AP462" i="1" s="1"/>
  <c r="AS462" i="1" s="1"/>
  <c r="AK272" i="1"/>
  <c r="AM272" i="1"/>
  <c r="AP272" i="1" s="1"/>
  <c r="AS272" i="1" s="1"/>
  <c r="AG311" i="1"/>
  <c r="AH311" i="1" s="1"/>
  <c r="AV311" i="1" s="1"/>
  <c r="AW311" i="1" s="1"/>
  <c r="AM311" i="1"/>
  <c r="AP311" i="1" s="1"/>
  <c r="AS311" i="1" s="1"/>
  <c r="AG245" i="1"/>
  <c r="AH245" i="1" s="1"/>
  <c r="AV245" i="1" s="1"/>
  <c r="AW245" i="1" s="1"/>
  <c r="AM245" i="1"/>
  <c r="AP245" i="1" s="1"/>
  <c r="AS245" i="1" s="1"/>
  <c r="AM187" i="1"/>
  <c r="AP187" i="1" s="1"/>
  <c r="AS187" i="1" s="1"/>
  <c r="AG187" i="1"/>
  <c r="AH187" i="1" s="1"/>
  <c r="AV187" i="1" s="1"/>
  <c r="AW187" i="1" s="1"/>
  <c r="AM169" i="1"/>
  <c r="AP169" i="1" s="1"/>
  <c r="AS169" i="1" s="1"/>
  <c r="AG169" i="1"/>
  <c r="AH169" i="1"/>
  <c r="AV169" i="1" s="1"/>
  <c r="AW169" i="1" s="1"/>
  <c r="AG35" i="1"/>
  <c r="AH35" i="1" s="1"/>
  <c r="AV35" i="1" s="1"/>
  <c r="AW35" i="1" s="1"/>
  <c r="AM35" i="1"/>
  <c r="AP35" i="1" s="1"/>
  <c r="AS35" i="1" s="1"/>
  <c r="AG111" i="1"/>
  <c r="AH111" i="1" s="1"/>
  <c r="AV111" i="1" s="1"/>
  <c r="AW111" i="1" s="1"/>
  <c r="AM111" i="1"/>
  <c r="AP111" i="1" s="1"/>
  <c r="AS111" i="1" s="1"/>
  <c r="AM807" i="1"/>
  <c r="AP807" i="1" s="1"/>
  <c r="AS807" i="1" s="1"/>
  <c r="AG807" i="1"/>
  <c r="AH807" i="1" s="1"/>
  <c r="AV807" i="1" s="1"/>
  <c r="AW807" i="1" s="1"/>
  <c r="AG872" i="1"/>
  <c r="AH872" i="1" s="1"/>
  <c r="AV872" i="1" s="1"/>
  <c r="AW872" i="1" s="1"/>
  <c r="AM872" i="1"/>
  <c r="AP872" i="1" s="1"/>
  <c r="AS872" i="1" s="1"/>
  <c r="AH852" i="1"/>
  <c r="AV852" i="1" s="1"/>
  <c r="AW852" i="1" s="1"/>
  <c r="AM852" i="1"/>
  <c r="AP852" i="1" s="1"/>
  <c r="AS852" i="1" s="1"/>
  <c r="AG324" i="1"/>
  <c r="AH324" i="1" s="1"/>
  <c r="AV324" i="1" s="1"/>
  <c r="AW324" i="1" s="1"/>
  <c r="AM324" i="1"/>
  <c r="AP324" i="1" s="1"/>
  <c r="AS324" i="1" s="1"/>
  <c r="AM393" i="1"/>
  <c r="AP393" i="1" s="1"/>
  <c r="AS393" i="1" s="1"/>
  <c r="AH393" i="1"/>
  <c r="AV393" i="1" s="1"/>
  <c r="AW393" i="1" s="1"/>
  <c r="AG497" i="1"/>
  <c r="AH497" i="1" s="1"/>
  <c r="AV497" i="1" s="1"/>
  <c r="AW497" i="1" s="1"/>
  <c r="AM497" i="1"/>
  <c r="AP497" i="1" s="1"/>
  <c r="AS497" i="1" s="1"/>
  <c r="AG438" i="1"/>
  <c r="AH438" i="1" s="1"/>
  <c r="AV438" i="1" s="1"/>
  <c r="AW438" i="1" s="1"/>
  <c r="AM438" i="1"/>
  <c r="AP438" i="1" s="1"/>
  <c r="AS438" i="1" s="1"/>
  <c r="AM354" i="1"/>
  <c r="AP354" i="1" s="1"/>
  <c r="AS354" i="1" s="1"/>
  <c r="AG354" i="1"/>
  <c r="AH354" i="1" s="1"/>
  <c r="AV354" i="1" s="1"/>
  <c r="AW354" i="1" s="1"/>
  <c r="AM301" i="1"/>
  <c r="AP301" i="1" s="1"/>
  <c r="AS301" i="1" s="1"/>
  <c r="AG301" i="1"/>
  <c r="AH301" i="1" s="1"/>
  <c r="AV301" i="1" s="1"/>
  <c r="AW301" i="1" s="1"/>
  <c r="AG483" i="1"/>
  <c r="AH483" i="1" s="1"/>
  <c r="AV483" i="1" s="1"/>
  <c r="AW483" i="1" s="1"/>
  <c r="AM483" i="1"/>
  <c r="AP483" i="1" s="1"/>
  <c r="AS483" i="1" s="1"/>
  <c r="AG251" i="1"/>
  <c r="AH251" i="1" s="1"/>
  <c r="AV251" i="1" s="1"/>
  <c r="AW251" i="1" s="1"/>
  <c r="AM251" i="1"/>
  <c r="AP251" i="1" s="1"/>
  <c r="AS251" i="1" s="1"/>
  <c r="AM355" i="1"/>
  <c r="AP355" i="1" s="1"/>
  <c r="AS355" i="1" s="1"/>
  <c r="AG355" i="1"/>
  <c r="AH355" i="1" s="1"/>
  <c r="AV355" i="1" s="1"/>
  <c r="AW355" i="1" s="1"/>
  <c r="AM470" i="1"/>
  <c r="AP470" i="1" s="1"/>
  <c r="AS470" i="1" s="1"/>
  <c r="AG470" i="1"/>
  <c r="AH470" i="1" s="1"/>
  <c r="AV470" i="1" s="1"/>
  <c r="AW470" i="1" s="1"/>
  <c r="AG236" i="1"/>
  <c r="AH236" i="1" s="1"/>
  <c r="AV236" i="1" s="1"/>
  <c r="AW236" i="1" s="1"/>
  <c r="AM236" i="1"/>
  <c r="AP236" i="1" s="1"/>
  <c r="AS236" i="1" s="1"/>
  <c r="AM205" i="1"/>
  <c r="AP205" i="1" s="1"/>
  <c r="AS205" i="1" s="1"/>
  <c r="AK205" i="1"/>
  <c r="AM176" i="1"/>
  <c r="AP176" i="1" s="1"/>
  <c r="AS176" i="1" s="1"/>
  <c r="AG176" i="1"/>
  <c r="AH176" i="1" s="1"/>
  <c r="AV176" i="1" s="1"/>
  <c r="AW176" i="1" s="1"/>
  <c r="AG124" i="1"/>
  <c r="AH124" i="1" s="1"/>
  <c r="AV124" i="1" s="1"/>
  <c r="AW124" i="1" s="1"/>
  <c r="AM124" i="1"/>
  <c r="AP124" i="1" s="1"/>
  <c r="AS124" i="1" s="1"/>
  <c r="AG30" i="1"/>
  <c r="AH30" i="1" s="1"/>
  <c r="AV30" i="1" s="1"/>
  <c r="AW30" i="1" s="1"/>
  <c r="AM30" i="1"/>
  <c r="AP30" i="1" s="1"/>
  <c r="AS30" i="1" s="1"/>
  <c r="AM114" i="1"/>
  <c r="AP114" i="1" s="1"/>
  <c r="AS114" i="1" s="1"/>
  <c r="AG114" i="1"/>
  <c r="AH114" i="1" s="1"/>
  <c r="AV114" i="1" s="1"/>
  <c r="AW114" i="1" s="1"/>
  <c r="AG138" i="1"/>
  <c r="AH138" i="1" s="1"/>
  <c r="AV138" i="1" s="1"/>
  <c r="AW138" i="1" s="1"/>
  <c r="AM138" i="1"/>
  <c r="AP138" i="1" s="1"/>
  <c r="AS138" i="1" s="1"/>
  <c r="AM40" i="1"/>
  <c r="AP40" i="1" s="1"/>
  <c r="AS40" i="1" s="1"/>
  <c r="AG40" i="1"/>
  <c r="AH40" i="1" s="1"/>
  <c r="AV40" i="1" s="1"/>
  <c r="AW40" i="1" s="1"/>
  <c r="AM753" i="1"/>
  <c r="AP753" i="1" s="1"/>
  <c r="AS753" i="1" s="1"/>
  <c r="AG753" i="1"/>
  <c r="AH753" i="1" s="1"/>
  <c r="AV753" i="1" s="1"/>
  <c r="AW753" i="1" s="1"/>
  <c r="AM475" i="1"/>
  <c r="AP475" i="1" s="1"/>
  <c r="AS475" i="1" s="1"/>
  <c r="AG475" i="1"/>
  <c r="AH475" i="1" s="1"/>
  <c r="AV475" i="1" s="1"/>
  <c r="AW475" i="1" s="1"/>
  <c r="AM569" i="1"/>
  <c r="AP569" i="1" s="1"/>
  <c r="AS569" i="1" s="1"/>
  <c r="AG569" i="1"/>
  <c r="AH569" i="1" s="1"/>
  <c r="AV569" i="1" s="1"/>
  <c r="AW569" i="1" s="1"/>
  <c r="AG566" i="1"/>
  <c r="AH566" i="1" s="1"/>
  <c r="AV566" i="1" s="1"/>
  <c r="AW566" i="1" s="1"/>
  <c r="AM566" i="1"/>
  <c r="AP566" i="1" s="1"/>
  <c r="AS566" i="1" s="1"/>
  <c r="AG821" i="1"/>
  <c r="AH821" i="1" s="1"/>
  <c r="AV821" i="1" s="1"/>
  <c r="AW821" i="1" s="1"/>
  <c r="AM821" i="1"/>
  <c r="AP821" i="1" s="1"/>
  <c r="AS821" i="1" s="1"/>
  <c r="AM222" i="1"/>
  <c r="AP222" i="1" s="1"/>
  <c r="AS222" i="1" s="1"/>
  <c r="AG222" i="1"/>
  <c r="AH222" i="1" s="1"/>
  <c r="AV222" i="1" s="1"/>
  <c r="AW222" i="1" s="1"/>
  <c r="AG779" i="1"/>
  <c r="AH779" i="1" s="1"/>
  <c r="AV779" i="1" s="1"/>
  <c r="AW779" i="1" s="1"/>
  <c r="AM779" i="1"/>
  <c r="AP779" i="1" s="1"/>
  <c r="AS779" i="1" s="1"/>
  <c r="AM666" i="1"/>
  <c r="AP666" i="1" s="1"/>
  <c r="AS666" i="1" s="1"/>
  <c r="AG666" i="1"/>
  <c r="AH666" i="1" s="1"/>
  <c r="AV666" i="1" s="1"/>
  <c r="AW666" i="1" s="1"/>
  <c r="AG769" i="1"/>
  <c r="AH769" i="1" s="1"/>
  <c r="AV769" i="1" s="1"/>
  <c r="AW769" i="1" s="1"/>
  <c r="AM769" i="1"/>
  <c r="AP769" i="1" s="1"/>
  <c r="AS769" i="1" s="1"/>
  <c r="AM650" i="1"/>
  <c r="AP650" i="1" s="1"/>
  <c r="AS650" i="1" s="1"/>
  <c r="AG650" i="1"/>
  <c r="AH650" i="1" s="1"/>
  <c r="AV650" i="1" s="1"/>
  <c r="AW650" i="1" s="1"/>
  <c r="AM859" i="1"/>
  <c r="AP859" i="1" s="1"/>
  <c r="AS859" i="1" s="1"/>
  <c r="AG859" i="1"/>
  <c r="AH859" i="1"/>
  <c r="AV859" i="1" s="1"/>
  <c r="AW859" i="1" s="1"/>
  <c r="AM631" i="1"/>
  <c r="AP631" i="1" s="1"/>
  <c r="AS631" i="1" s="1"/>
  <c r="AG631" i="1"/>
  <c r="AH631" i="1" s="1"/>
  <c r="AV631" i="1" s="1"/>
  <c r="AW631" i="1" s="1"/>
  <c r="AM630" i="1"/>
  <c r="AP630" i="1" s="1"/>
  <c r="AS630" i="1" s="1"/>
  <c r="AG630" i="1"/>
  <c r="AH630" i="1" s="1"/>
  <c r="AV630" i="1" s="1"/>
  <c r="AW630" i="1" s="1"/>
  <c r="AG612" i="1"/>
  <c r="AH612" i="1" s="1"/>
  <c r="AV612" i="1" s="1"/>
  <c r="AW612" i="1" s="1"/>
  <c r="AM612" i="1"/>
  <c r="AP612" i="1" s="1"/>
  <c r="AS612" i="1" s="1"/>
  <c r="AG596" i="1"/>
  <c r="AH596" i="1" s="1"/>
  <c r="AV596" i="1" s="1"/>
  <c r="AW596" i="1" s="1"/>
  <c r="AM596" i="1"/>
  <c r="AP596" i="1" s="1"/>
  <c r="AS596" i="1" s="1"/>
  <c r="AM477" i="1"/>
  <c r="AP477" i="1" s="1"/>
  <c r="AS477" i="1" s="1"/>
  <c r="AG477" i="1"/>
  <c r="AH477" i="1" s="1"/>
  <c r="AV477" i="1" s="1"/>
  <c r="AW477" i="1" s="1"/>
  <c r="AG478" i="1"/>
  <c r="AH478" i="1" s="1"/>
  <c r="AV478" i="1" s="1"/>
  <c r="AW478" i="1" s="1"/>
  <c r="AM478" i="1"/>
  <c r="AP478" i="1" s="1"/>
  <c r="AS478" i="1" s="1"/>
  <c r="AM560" i="1"/>
  <c r="AP560" i="1" s="1"/>
  <c r="AS560" i="1" s="1"/>
  <c r="AG560" i="1"/>
  <c r="AH560" i="1" s="1"/>
  <c r="AV560" i="1" s="1"/>
  <c r="AW560" i="1" s="1"/>
  <c r="AM399" i="1"/>
  <c r="AP399" i="1" s="1"/>
  <c r="AS399" i="1" s="1"/>
  <c r="AG399" i="1"/>
  <c r="AH399" i="1" s="1"/>
  <c r="AV399" i="1" s="1"/>
  <c r="AW399" i="1" s="1"/>
  <c r="AG487" i="1"/>
  <c r="AH487" i="1" s="1"/>
  <c r="AV487" i="1" s="1"/>
  <c r="AW487" i="1" s="1"/>
  <c r="AM487" i="1"/>
  <c r="AP487" i="1" s="1"/>
  <c r="AS487" i="1" s="1"/>
  <c r="AM392" i="1"/>
  <c r="AP392" i="1" s="1"/>
  <c r="AS392" i="1" s="1"/>
  <c r="AH392" i="1"/>
  <c r="AV392" i="1" s="1"/>
  <c r="AW392" i="1" s="1"/>
  <c r="AM343" i="1"/>
  <c r="AP343" i="1" s="1"/>
  <c r="AS343" i="1" s="1"/>
  <c r="AM481" i="1"/>
  <c r="AP481" i="1" s="1"/>
  <c r="AS481" i="1" s="1"/>
  <c r="AG481" i="1"/>
  <c r="AH481" i="1" s="1"/>
  <c r="AV481" i="1" s="1"/>
  <c r="AW481" i="1" s="1"/>
  <c r="AM441" i="1"/>
  <c r="AP441" i="1" s="1"/>
  <c r="AS441" i="1" s="1"/>
  <c r="AG441" i="1"/>
  <c r="AH441" i="1" s="1"/>
  <c r="AV441" i="1" s="1"/>
  <c r="AW441" i="1" s="1"/>
  <c r="AM44" i="1"/>
  <c r="AP44" i="1" s="1"/>
  <c r="AS44" i="1" s="1"/>
  <c r="AK44" i="1"/>
  <c r="AM165" i="1"/>
  <c r="AP165" i="1" s="1"/>
  <c r="AS165" i="1" s="1"/>
  <c r="AG165" i="1"/>
  <c r="AH165" i="1" s="1"/>
  <c r="AV165" i="1" s="1"/>
  <c r="AW165" i="1" s="1"/>
  <c r="AG25" i="1"/>
  <c r="AH25" i="1" s="1"/>
  <c r="AV25" i="1" s="1"/>
  <c r="AW25" i="1" s="1"/>
  <c r="AM25" i="1"/>
  <c r="AP25" i="1" s="1"/>
  <c r="AS25" i="1" s="1"/>
  <c r="AM217" i="1"/>
  <c r="AP217" i="1" s="1"/>
  <c r="AS217" i="1" s="1"/>
  <c r="AG217" i="1"/>
  <c r="AH217" i="1" s="1"/>
  <c r="AV217" i="1" s="1"/>
  <c r="AW217" i="1" s="1"/>
  <c r="AM118" i="1"/>
  <c r="AP118" i="1" s="1"/>
  <c r="AS118" i="1" s="1"/>
  <c r="AG118" i="1"/>
  <c r="AH118" i="1" s="1"/>
  <c r="AV118" i="1" s="1"/>
  <c r="AW118" i="1" s="1"/>
  <c r="AM14" i="1"/>
  <c r="AP14" i="1" s="1"/>
  <c r="AS14" i="1" s="1"/>
  <c r="AW90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22" authorId="0" shapeId="0" xr:uid="{00000000-0006-0000-0000-000001000000}">
      <text>
        <r>
          <rPr>
            <sz val="10"/>
            <color rgb="FF000000"/>
            <rFont val="Calibri"/>
            <family val="2"/>
            <scheme val="minor"/>
          </rPr>
          <t>Il s'agit d'une RC Immeuble
	-Victor Esafe</t>
        </r>
      </text>
    </comment>
  </commentList>
</comments>
</file>

<file path=xl/sharedStrings.xml><?xml version="1.0" encoding="utf-8"?>
<sst xmlns="http://schemas.openxmlformats.org/spreadsheetml/2006/main" count="11402" uniqueCount="1172">
  <si>
    <t>MONTH</t>
  </si>
  <si>
    <t>DECLARED TO ARCA</t>
  </si>
  <si>
    <t>OPERATION DATE</t>
  </si>
  <si>
    <t>ISSUE DATE</t>
  </si>
  <si>
    <t>EFFECT DATE</t>
  </si>
  <si>
    <t>EXPIRY DATE</t>
  </si>
  <si>
    <t>AIB REF.</t>
  </si>
  <si>
    <t>N° D'AVENANT</t>
  </si>
  <si>
    <t>TYPE D'AVENANT</t>
  </si>
  <si>
    <t>POLICY REF</t>
  </si>
  <si>
    <t>CLIENT</t>
  </si>
  <si>
    <t>INDUSTRY</t>
  </si>
  <si>
    <t>ACC. MANAGER</t>
  </si>
  <si>
    <t>ASSISTED BY</t>
  </si>
  <si>
    <t>PRODUCT NAME</t>
  </si>
  <si>
    <t>CATEGORY</t>
  </si>
  <si>
    <t>INSURER</t>
  </si>
  <si>
    <t>REINSURER</t>
  </si>
  <si>
    <t>SUM INSURED</t>
  </si>
  <si>
    <t>GROSS PREMIUMS</t>
  </si>
  <si>
    <t>FRONTING</t>
  </si>
  <si>
    <t>FRONTING DISCOUNT</t>
  </si>
  <si>
    <t>ACCESSOIRES</t>
  </si>
  <si>
    <t>NET PREMIUM</t>
  </si>
  <si>
    <t>VAT</t>
  </si>
  <si>
    <t>RI RATE</t>
  </si>
  <si>
    <t>AIB Com %</t>
  </si>
  <si>
    <t>LOCAL COM.</t>
  </si>
  <si>
    <t>FRONTING COM.</t>
  </si>
  <si>
    <t>RI COM.</t>
  </si>
  <si>
    <t>HON. FEES</t>
  </si>
  <si>
    <t>TOTAL NET / REVENUE (+ Arca)</t>
  </si>
  <si>
    <t>TOTAL VAT / REVENUE</t>
  </si>
  <si>
    <t>GROSS REVENUE</t>
  </si>
  <si>
    <t>ARCA fees (2%)</t>
  </si>
  <si>
    <t>A. PAID TO ARCA</t>
  </si>
  <si>
    <t>BALANCE DUE TO ARCA</t>
  </si>
  <si>
    <t>Date of Pymt to ARCA</t>
  </si>
  <si>
    <t>NET COM (Excl all taxes)</t>
  </si>
  <si>
    <t>PARTNER</t>
  </si>
  <si>
    <t>% RATE TO PARTNER</t>
  </si>
  <si>
    <t>A. DUE TO PARTNER</t>
  </si>
  <si>
    <t>A. PAID TO PARTNER</t>
  </si>
  <si>
    <t>DATE OF PAYMT TO PARTNER</t>
  </si>
  <si>
    <t>BALANCE DUE TO PARTNER</t>
  </si>
  <si>
    <t>REF PYMNT TO PARTNER</t>
  </si>
  <si>
    <t>COM RECEIVED</t>
  </si>
  <si>
    <t>COM INVOICED</t>
  </si>
  <si>
    <t>BALANCE DUE TO AIB</t>
  </si>
  <si>
    <t>DUE BY</t>
  </si>
  <si>
    <t>DATE OF RECEIPT</t>
  </si>
  <si>
    <t>DEBIT NOTE REF.</t>
  </si>
  <si>
    <t>RENEWAL STATUS</t>
  </si>
  <si>
    <t>COVER TO RENEW</t>
  </si>
  <si>
    <t>RENEWAL PREMIUM</t>
  </si>
  <si>
    <t>RENEWAL INSURER</t>
  </si>
  <si>
    <t>COMMENTS</t>
  </si>
  <si>
    <t>JANUARY</t>
  </si>
  <si>
    <t>Yes</t>
  </si>
  <si>
    <t>INCORPORATION</t>
  </si>
  <si>
    <t>12002-33002-0004-103-00017222-2022</t>
  </si>
  <si>
    <t>Glencore / Kamoto Copper Company</t>
  </si>
  <si>
    <t>Mining</t>
  </si>
  <si>
    <t>ANDY</t>
  </si>
  <si>
    <t>Andy</t>
  </si>
  <si>
    <t>MOTOR TPL</t>
  </si>
  <si>
    <t>SFA</t>
  </si>
  <si>
    <t>30/10/2023: Andy nous dit que Marsh nous doit la ND afin que Rawsur libère la commission dûe à AIB. Il faut suivre Marsh car rawsur Attend la RI Debit note.</t>
  </si>
  <si>
    <t>RENOUVELLEMENT</t>
  </si>
  <si>
    <t>00017790</t>
  </si>
  <si>
    <t>IVANHOE / Kamoa Copper SA</t>
  </si>
  <si>
    <t>Sabrina</t>
  </si>
  <si>
    <t>12001-9001-33002-0030000251-2020</t>
  </si>
  <si>
    <t>CEGELEC RDC</t>
  </si>
  <si>
    <t>ALICE</t>
  </si>
  <si>
    <t>Apphia</t>
  </si>
  <si>
    <t>ACTIVA</t>
  </si>
  <si>
    <t>OLEA</t>
  </si>
  <si>
    <t>12001-33002-008-102-00002900-2022</t>
  </si>
  <si>
    <t>HAVAS AFRICA</t>
  </si>
  <si>
    <t>MEDICAL</t>
  </si>
  <si>
    <t>MEDICAL &amp; GPA</t>
  </si>
  <si>
    <t>Paiement échéloné/2 ième tranche déjà payé/ Commissions à collecter</t>
  </si>
  <si>
    <t>SOUSCRIPTION</t>
  </si>
  <si>
    <t>12001-13001-0008-102-00004982-2022</t>
  </si>
  <si>
    <t>RESOLVE TO SAVE LIFES</t>
  </si>
  <si>
    <t>ACTIVA/GGA</t>
  </si>
  <si>
    <t>11001-33002-0001-207-00000030-2022 / 301-219000007</t>
  </si>
  <si>
    <t>MAERSK CONGO RDC SA</t>
  </si>
  <si>
    <t>LIFE</t>
  </si>
  <si>
    <t>RAWSUR - LIFE</t>
  </si>
  <si>
    <t>MERCER</t>
  </si>
  <si>
    <t>12001-33002-0001-103-00004929-2022</t>
  </si>
  <si>
    <t>Bolloré Transport &amp; Logistics</t>
  </si>
  <si>
    <t>Transport</t>
  </si>
  <si>
    <t>SYNTYCHE</t>
  </si>
  <si>
    <t>Grâce</t>
  </si>
  <si>
    <t>12002-33002-0007-101-00017716-2022</t>
  </si>
  <si>
    <t>SERVICE MAINTENANCE SOLUTION ( SMS)</t>
  </si>
  <si>
    <t>MICHEE</t>
  </si>
  <si>
    <t>Tychique</t>
  </si>
  <si>
    <t>GPA</t>
  </si>
  <si>
    <t>12001-33002-0014-007-00000398-2020</t>
  </si>
  <si>
    <t>FERONIA - PLANTATIONS ET HUILERIES DU CONGO ( PHC)</t>
  </si>
  <si>
    <t>MARINE CARGO / GIT</t>
  </si>
  <si>
    <t>MARINE</t>
  </si>
  <si>
    <t>12001-33002-9007-009-00000396-2020</t>
  </si>
  <si>
    <t>FIRE</t>
  </si>
  <si>
    <t>PROPERTIES</t>
  </si>
  <si>
    <t>12001-09001/3002/140 000 296</t>
  </si>
  <si>
    <t>12001-33002-9005-014-00000399-2020</t>
  </si>
  <si>
    <t>GENERAL LIABILITY</t>
  </si>
  <si>
    <t>LIABILITIES</t>
  </si>
  <si>
    <t>12002-33002-0024-113-00017717-2022</t>
  </si>
  <si>
    <t>33002-0017-104-0000032 / 10</t>
  </si>
  <si>
    <t>Cargoman Sarl</t>
  </si>
  <si>
    <t>Aviation</t>
  </si>
  <si>
    <t>SUNU</t>
  </si>
  <si>
    <t>33002-0011-111-0000927 / 0003</t>
  </si>
  <si>
    <t>Canal Plus RDC  SARLU</t>
  </si>
  <si>
    <t>Audiovision</t>
  </si>
  <si>
    <t>12001-09005/3002/1450000323</t>
  </si>
  <si>
    <t>Cegelec CSS (Vinci energies)</t>
  </si>
  <si>
    <t>Construction</t>
  </si>
  <si>
    <t>12005-33002-0012-13001-00004352-2022</t>
  </si>
  <si>
    <t>Agence Française de Développement - AFD</t>
  </si>
  <si>
    <t>NGO</t>
  </si>
  <si>
    <t>MAYFAIR</t>
  </si>
  <si>
    <t>12005-33002-0012-13001-00004353-2022</t>
  </si>
  <si>
    <t>FIRE/HOME</t>
  </si>
  <si>
    <t>12005-33002-0014-13001-00004354-2022</t>
  </si>
  <si>
    <t>12005-33002-0014-13001-00004355-2022</t>
  </si>
  <si>
    <t>12005-33002-0003-13001-00004356-2022</t>
  </si>
  <si>
    <t>COMP MOTOR</t>
  </si>
  <si>
    <t>MOTOR COMP</t>
  </si>
  <si>
    <t>RAWSUR</t>
  </si>
  <si>
    <t>SANLAM</t>
  </si>
  <si>
    <t>00018087</t>
  </si>
  <si>
    <t>Optorg / Tractafric Equipment</t>
  </si>
  <si>
    <t>Distribution</t>
  </si>
  <si>
    <t>33002-0017-103-0003076 / 0002</t>
  </si>
  <si>
    <t>LOLEKA BONGIMA THEODORE</t>
  </si>
  <si>
    <t>Person</t>
  </si>
  <si>
    <t>ND0005/AIB RDC/2022</t>
  </si>
  <si>
    <t>33002-0006-112-0004489 / 0001</t>
  </si>
  <si>
    <t>ABT ASSOCIATES / Bolloré</t>
  </si>
  <si>
    <t>Victor</t>
  </si>
  <si>
    <t>BOLLORE</t>
  </si>
  <si>
    <t>ONCE OFF</t>
  </si>
  <si>
    <t>00018046</t>
  </si>
  <si>
    <t>BGFI BANK RDC</t>
  </si>
  <si>
    <t>BANKING</t>
  </si>
  <si>
    <t>BBB</t>
  </si>
  <si>
    <t>12002-33002-0004-103-00017955-2023</t>
  </si>
  <si>
    <t>GSA</t>
  </si>
  <si>
    <t>ND0092/AIB RDC/2023</t>
  </si>
  <si>
    <t>Commision à collecter dans le bordereau de Mai</t>
  </si>
  <si>
    <t>FEBRUARY</t>
  </si>
  <si>
    <t>12002-33002-0022-111-00018117-2023</t>
  </si>
  <si>
    <t>Bolloré Transport &amp; Logistics / Bolloré</t>
  </si>
  <si>
    <t>12002-33002-0022-111-00017971-2023</t>
  </si>
  <si>
    <t>HELIOS INFRACO DRC SARL ( HT) / Bolloré</t>
  </si>
  <si>
    <t>12002-33002-0022-111-00018113-2023</t>
  </si>
  <si>
    <t>WUHUANG CONSTRUCTION ET COMMERCE RDC SAS ( WHCC) / Bolloré</t>
  </si>
  <si>
    <t>12002-33002-0022-111-00018110-2023</t>
  </si>
  <si>
    <t>MARCH</t>
  </si>
  <si>
    <t>12002-33002-0021-111-00018691-2023</t>
  </si>
  <si>
    <t>DEZIWA / Bolloré</t>
  </si>
  <si>
    <t>12002-33002-0021-111-00018690-2023</t>
  </si>
  <si>
    <t>No</t>
  </si>
  <si>
    <t>TBA</t>
  </si>
  <si>
    <t>PR005463</t>
  </si>
  <si>
    <t>en attentete de paiement Bollore</t>
  </si>
  <si>
    <t>12002-33002-0022-111-00018224-2023</t>
  </si>
  <si>
    <t>12002-33002-0022-111-00018223-2023</t>
  </si>
  <si>
    <t>12002-33002-0022-111-00018229-2023</t>
  </si>
  <si>
    <t>12002-33002-0022-111-00018228-2023</t>
  </si>
  <si>
    <t>12002-33002-0022-111-00018227-2023</t>
  </si>
  <si>
    <t>12002-33002-0022-111-00018107-2023</t>
  </si>
  <si>
    <t>12002-33002-0021-111-00019219-2023</t>
  </si>
  <si>
    <t>PR005483</t>
  </si>
  <si>
    <t>PR005457</t>
  </si>
  <si>
    <t>12002-33002-0022-111-00018226-2023</t>
  </si>
  <si>
    <t>PR005452</t>
  </si>
  <si>
    <t>12002-33002-0021-111-00018689-2023</t>
  </si>
  <si>
    <t>11001-33002-0001-207-00000029-2022 / 219000006</t>
  </si>
  <si>
    <t>BRITISH AMERICAN TOBACCO / BAT SERVICES CONGO</t>
  </si>
  <si>
    <t>11001-33002-0001-207-00000004-2023 / 219000008</t>
  </si>
  <si>
    <t>CMA CGM RDC SA</t>
  </si>
  <si>
    <t>PROROGATION</t>
  </si>
  <si>
    <t>12002-33002-0004-104-00017665-2022</t>
  </si>
  <si>
    <t>T K XPORT LLC</t>
  </si>
  <si>
    <t>12005-33002-0008-13001-0004398-2023</t>
  </si>
  <si>
    <t>EASTCASTLE INFRASTRUCTURE DRC SARLU</t>
  </si>
  <si>
    <t>PROPERTY DAMAGE &amp; BI</t>
  </si>
  <si>
    <t>MARSH</t>
  </si>
  <si>
    <t>12002-33002-0021-111-00019760-2023</t>
  </si>
  <si>
    <t>ORICA / Bolloré</t>
  </si>
  <si>
    <t>12002-33002-0002-112-00017933-2023</t>
  </si>
  <si>
    <t>BIAC RDC</t>
  </si>
  <si>
    <t>12002-33002-0002-112-00017931-2023</t>
  </si>
  <si>
    <t>12005-33002-0014-13001-4509-2023</t>
  </si>
  <si>
    <t>RESTAURANT BAR LODGE CHEZ MARC</t>
  </si>
  <si>
    <t>01-IMR-2022-000039</t>
  </si>
  <si>
    <t>Teichmann Group / T3 Projects</t>
  </si>
  <si>
    <t>Michée</t>
  </si>
  <si>
    <t>O'NEILS</t>
  </si>
  <si>
    <t>RENEWING...</t>
  </si>
  <si>
    <t>12002-33002-0022-111-00018365-2023</t>
  </si>
  <si>
    <t>PANACO / Bolloré</t>
  </si>
  <si>
    <t>12002-33002-0004-104-00018031-2023</t>
  </si>
  <si>
    <t>Confiance DRC Sarl</t>
  </si>
  <si>
    <t>JUNE</t>
  </si>
  <si>
    <t>00016944</t>
  </si>
  <si>
    <t>Sandvik Mining &amp; Construction Sarl</t>
  </si>
  <si>
    <t>AFINBRO</t>
  </si>
  <si>
    <t>12003-33002-0005-111-00000351-2022 / 73200017</t>
  </si>
  <si>
    <t>EXCELLEN MINERALS / Bolloré</t>
  </si>
  <si>
    <t>12003-33002-0005-111-00000352-2022 / 73200016</t>
  </si>
  <si>
    <t>STE LUILU RESSOURCES SAS / Bolloré</t>
  </si>
  <si>
    <t>12002-33002-0002-112-00018129-2023</t>
  </si>
  <si>
    <t>INSURANCE</t>
  </si>
  <si>
    <t>12002-33002-0002-112-00018180-2023</t>
  </si>
  <si>
    <t>Stevie MEERTEN</t>
  </si>
  <si>
    <t>12001-33002-9005-014-00000145-2020</t>
  </si>
  <si>
    <t>12001-33002-0001-103-00005043-2023</t>
  </si>
  <si>
    <t>12002-33002-0022-111-00017968-2023</t>
  </si>
  <si>
    <t>ERG / Metalkol</t>
  </si>
  <si>
    <t>Aucun</t>
  </si>
  <si>
    <t>12001-09005/3002/1450000314</t>
  </si>
  <si>
    <t>MAY</t>
  </si>
  <si>
    <t>12002-33002-0006-114-00016195-2022</t>
  </si>
  <si>
    <t>Luano City</t>
  </si>
  <si>
    <t>CAR</t>
  </si>
  <si>
    <t>CONSTRUCTIONS</t>
  </si>
  <si>
    <t>EXTENDED</t>
  </si>
  <si>
    <t>01-TRC-2020-000015</t>
  </si>
  <si>
    <t>LUANO GRANDES PROPRIETES  S.A.R.L/ Résidences</t>
  </si>
  <si>
    <t>01-TRC-2020-000014</t>
  </si>
  <si>
    <t>12001-33002-9001-103-00001852</t>
  </si>
  <si>
    <t>CFAO RDC / Loxea RDC</t>
  </si>
  <si>
    <t>12002-33002-0022-111-00017981-2023</t>
  </si>
  <si>
    <t>Liberty SPRL</t>
  </si>
  <si>
    <t>Supermarché</t>
  </si>
  <si>
    <t>12002-33002-0001-114-00020657-2023</t>
  </si>
  <si>
    <t>Kibali Barrick Gold</t>
  </si>
  <si>
    <t>MACHINARY BREAKDOWN</t>
  </si>
  <si>
    <t>McGill</t>
  </si>
  <si>
    <t>00019847</t>
  </si>
  <si>
    <t>Compagnie Africaine d'Aviation / CAA</t>
  </si>
  <si>
    <t>AVIATION HULL ALL RISK</t>
  </si>
  <si>
    <t>AVIATION</t>
  </si>
  <si>
    <t>ARTHUR J. GALLAGHERS</t>
  </si>
  <si>
    <t>Andy calcul les primes que nous devons collecter chez SFA ce 31-10-2023</t>
  </si>
  <si>
    <t>HOLLARD</t>
  </si>
  <si>
    <t>O'Neils</t>
  </si>
  <si>
    <t>33002-0011-111-0004478 / 0001</t>
  </si>
  <si>
    <t>GROUP VIVENDI AFRICA RDC ( GVA RDC)</t>
  </si>
  <si>
    <t>12002-33002-0022-111-00017958-2023</t>
  </si>
  <si>
    <t>BIVAC BV</t>
  </si>
  <si>
    <t>12002-33002-0002-112-00017934-2023</t>
  </si>
  <si>
    <t>12002-33002-0022-111-00017963-2023</t>
  </si>
  <si>
    <t>12002-33002-0022-111-00017961-2023</t>
  </si>
  <si>
    <t>12002-33002-0022-111-00017962-2023</t>
  </si>
  <si>
    <t>12002-33002-0022-111-00017964-2023</t>
  </si>
  <si>
    <t>MAKALA COAL COMPANY / Bolloré</t>
  </si>
  <si>
    <t>00017979</t>
  </si>
  <si>
    <t>Nyota</t>
  </si>
  <si>
    <t>00017980</t>
  </si>
  <si>
    <t>Tokon</t>
  </si>
  <si>
    <t>12002-33002-0022-111-00018124-2023</t>
  </si>
  <si>
    <t>CONGO NEW ENERGY CAMPANY / Bolloré</t>
  </si>
  <si>
    <t>12002-33002-0022-111-00017957-2023</t>
  </si>
  <si>
    <t>12001-33002-001-103-00000349-2020</t>
  </si>
  <si>
    <t>STE AFRICELL RDC SA</t>
  </si>
  <si>
    <t>RENEWED</t>
  </si>
  <si>
    <t>01-11-2023/ confirmation que c'est déjà payé</t>
  </si>
  <si>
    <t>12005-33002-0013-13001-0004673-2023</t>
  </si>
  <si>
    <t>ROYAL FORCE SECURITE SARL</t>
  </si>
  <si>
    <t>12005-33002-0012-13001-00004636-2023</t>
  </si>
  <si>
    <t>SHAMIM SHAMJI / SARAH SHAMJI</t>
  </si>
  <si>
    <t>01-11-2023/ confirmation que c'est déjà payée</t>
  </si>
  <si>
    <t>12002-33002-0005-122-00018160-2023</t>
  </si>
  <si>
    <t>SUN DISTRIBUTION CONGO</t>
  </si>
  <si>
    <t>PVT</t>
  </si>
  <si>
    <t>POLITICAL VIOLENCE</t>
  </si>
  <si>
    <t>12002-33002-0002-112-00018162-2023</t>
  </si>
  <si>
    <t>12002-33002-0022-111-00018161-2023</t>
  </si>
  <si>
    <t>12005-33002-0001-13001-00003575-2022</t>
  </si>
  <si>
    <t>FABRI METAL CONGO SARL ( FAMECO)</t>
  </si>
  <si>
    <t>12005-33002-0001-13001-00003576-2022</t>
  </si>
  <si>
    <t>31/02/2023</t>
  </si>
  <si>
    <t>12005-33002-0008-13001-00004398-2023</t>
  </si>
  <si>
    <t>le client n'a jamais donné de retour, une ligne à ne plus considerer cfr Michée</t>
  </si>
  <si>
    <t>12002-33002-0004-103-00017305-2022</t>
  </si>
  <si>
    <t>FOURTUNE CONSTRUCTION CONGO (Group LAXMAN)</t>
  </si>
  <si>
    <t>13001/01/0700/00255/2022</t>
  </si>
  <si>
    <t>MAFRICOM</t>
  </si>
  <si>
    <t>13001/01/0700/00256/2022</t>
  </si>
  <si>
    <t>NUTRI AFRICA</t>
  </si>
  <si>
    <t>301-14400002</t>
  </si>
  <si>
    <t>Mme MWENDA NGOMBE CHRISTINE</t>
  </si>
  <si>
    <t>TRAVEL</t>
  </si>
  <si>
    <t xml:space="preserve">01-11-2023// corfirmation du paiement </t>
  </si>
  <si>
    <t>301-14400003</t>
  </si>
  <si>
    <t>KAJ NONGA MALUNDA MURIELLE</t>
  </si>
  <si>
    <t>33002-0011-111-0004773 / 0001</t>
  </si>
  <si>
    <t>KEMIRA OYJ</t>
  </si>
  <si>
    <t>12005-33002-0015-13001-00000068-2022</t>
  </si>
  <si>
    <t>TRC</t>
  </si>
  <si>
    <t>12005-33002-0015-13001-00000070-2022</t>
  </si>
  <si>
    <t>12005-33002-0012-13001-00004680-2023</t>
  </si>
  <si>
    <t>ETS KAMBALE LABORATOIRE PHATKIN</t>
  </si>
  <si>
    <t>33002-0017-104-0004313 / 0002</t>
  </si>
  <si>
    <t>12005-33002-0008-13001-00001339-2022</t>
  </si>
  <si>
    <t>MAARTEN LOECKX</t>
  </si>
  <si>
    <t>33002-0006-112-0004787 / 0001</t>
  </si>
  <si>
    <t>CRDB BANK</t>
  </si>
  <si>
    <t>Bank</t>
  </si>
  <si>
    <t>AUCUN</t>
  </si>
  <si>
    <t>33002-0001-101-0004791 / 0001</t>
  </si>
  <si>
    <t>33002-0009-113-0004788 / 0001</t>
  </si>
  <si>
    <t>33002-0014-122-0006446 / 0003</t>
  </si>
  <si>
    <t>33002-0017-104-0004792 / 0002</t>
  </si>
  <si>
    <t>12001-33002-00114-111-0000674-2023</t>
  </si>
  <si>
    <t>Canokin Sarl</t>
  </si>
  <si>
    <t>Imprimerie</t>
  </si>
  <si>
    <t>30000015-301</t>
  </si>
  <si>
    <t>TechnoServe</t>
  </si>
  <si>
    <t>Agriculture</t>
  </si>
  <si>
    <t>00018182</t>
  </si>
  <si>
    <t>Optorg / Tractafric Equipement - Katanga Motors - Tractafric Motor Corporation</t>
  </si>
  <si>
    <t>Glencore / Mutanda Mining</t>
  </si>
  <si>
    <t>100001-0017-003-0000144</t>
  </si>
  <si>
    <t>Cilu Heidelberg</t>
  </si>
  <si>
    <t>Cimenterie</t>
  </si>
  <si>
    <t>12002-33002-0004-104-00018277-2023</t>
  </si>
  <si>
    <t>Group Optorg / Katanga Motors</t>
  </si>
  <si>
    <t>12002-33002-0022-111-00018238-2023</t>
  </si>
  <si>
    <t>12002-33002-0022-111-00018237-2023</t>
  </si>
  <si>
    <t>12002-33002-0022-111-00018230-2023</t>
  </si>
  <si>
    <t>12002-33002-0022-111-00018234-2023</t>
  </si>
  <si>
    <t>12002-33002-0022-111-00018232-2023</t>
  </si>
  <si>
    <t>12002-33002-0022-111-00018231-2023</t>
  </si>
  <si>
    <t>12002-33002-0022-111-00018233-2023</t>
  </si>
  <si>
    <t>12002-33002-0022-111-00018235-2023</t>
  </si>
  <si>
    <t>12002-33002-0022-111-00018236-2023</t>
  </si>
  <si>
    <t>12002-33002-0022-111-00018106-2023</t>
  </si>
  <si>
    <t>Grand Hotel Karavia Pullman / Bolloré</t>
  </si>
  <si>
    <t>12002-33006-0022-111-00018120-2023</t>
  </si>
  <si>
    <t>BRASIMBA / Bolloré</t>
  </si>
  <si>
    <t>12002-33002-0024-113-00018280-2023</t>
  </si>
  <si>
    <t>12002-33002-0002-112-00018268-2023</t>
  </si>
  <si>
    <t>00018095</t>
  </si>
  <si>
    <t>ATLAS</t>
  </si>
  <si>
    <t>00018193</t>
  </si>
  <si>
    <t>NOVEMBER</t>
  </si>
  <si>
    <t>12003-33002-0004-114-00000046-2022 / 51000010</t>
  </si>
  <si>
    <t>SABRINA</t>
  </si>
  <si>
    <t>33002-0017-104-0005032 / 0002</t>
  </si>
  <si>
    <t>33002-0009-113-0005361 / 0001</t>
  </si>
  <si>
    <t>JOHN MENZIES LIMITED AND/OR NATIONAL SERVICES (NAS) DRC</t>
  </si>
  <si>
    <t>12003-33002-0122-101-00000013-2022 / 12200001</t>
  </si>
  <si>
    <t>BRALIMA SA</t>
  </si>
  <si>
    <t>KINGA  KILA MINING SASU</t>
  </si>
  <si>
    <t>12005-33002-0003-13001-00004979-2023</t>
  </si>
  <si>
    <t>12005-33002-0003-13001-00004980-2023</t>
  </si>
  <si>
    <t>12005-33002-0003-13001-00004981-2023</t>
  </si>
  <si>
    <t>HOPITAL OASIS</t>
  </si>
  <si>
    <t>12002-33002-0021-111-00018788-2023</t>
  </si>
  <si>
    <t>STE. FONDEG CATERING CONGO</t>
  </si>
  <si>
    <t>120001-33002-001-103-00002051-2021</t>
  </si>
  <si>
    <t>12002-33002-0002-112-00018844-2023</t>
  </si>
  <si>
    <t>12002-33002-0002-112-00018843-2023</t>
  </si>
  <si>
    <t>12002-33002-0002-112-00018840-2023</t>
  </si>
  <si>
    <t>12002-33002-0021-111-00018813-2023</t>
  </si>
  <si>
    <t>12002-33002-0021-111-00018814-2023</t>
  </si>
  <si>
    <t>12002-33002-0004-104-00018966-2023</t>
  </si>
  <si>
    <t>KONNECT AFRICA</t>
  </si>
  <si>
    <t>12002-33002-0004-103-00018967-2023</t>
  </si>
  <si>
    <t>STE AFRI MOBILE MONEY RDC SA</t>
  </si>
  <si>
    <t>WP Brokers</t>
  </si>
  <si>
    <t>12002-33002-0004-103-00018998-2023</t>
  </si>
  <si>
    <t>12002-33002-0024-113-00019273-2023</t>
  </si>
  <si>
    <t>GYM &amp; TONIC</t>
  </si>
  <si>
    <t>PUBLIC LIABILITY</t>
  </si>
  <si>
    <t>12002-33002-0021-111-00019035-2023</t>
  </si>
  <si>
    <t>12002-33002-0002-112-00019024-2023</t>
  </si>
  <si>
    <t>STE AFRICELL RDC SA/ KINSHASA</t>
  </si>
  <si>
    <t>12002-33002-0002-112-00019027-2023</t>
  </si>
  <si>
    <t>STE AFRICELL RDC SA/ HAUT KATANGA</t>
  </si>
  <si>
    <t>12002-33002-0002-112-00019030-2023</t>
  </si>
  <si>
    <t>STE AFRICA MEDIA RDC SARL/HAUT KATANGA</t>
  </si>
  <si>
    <t>12002-33002-0002-112-00019032-2023</t>
  </si>
  <si>
    <t>STE AFRICA MEDIA RDC SARL/KINSHASA</t>
  </si>
  <si>
    <t>12002-33002-0002-112-00019021-2023</t>
  </si>
  <si>
    <t>12002-33002-0002-112-00019029-2023</t>
  </si>
  <si>
    <t>STE AFRICELL RDC SA/ GOMA</t>
  </si>
  <si>
    <t>12002-33002-0021-111-00019082-2023</t>
  </si>
  <si>
    <t>12002-33002-0002-112-00019258-2023</t>
  </si>
  <si>
    <t>12005-33002-0001-13001-00005237-2023</t>
  </si>
  <si>
    <t>GROUPE  EUROPEEN DE DEVELOPPEMENT CONGO SARLU</t>
  </si>
  <si>
    <t>00018436</t>
  </si>
  <si>
    <t>CHUAN TIE ELECTRIC (TIANJIN) GROUP SARL / Bolloré</t>
  </si>
  <si>
    <t>00018438</t>
  </si>
  <si>
    <t>00018439</t>
  </si>
  <si>
    <t>APRIL</t>
  </si>
  <si>
    <t>12005-33002-0014-13001-00005238-2023</t>
  </si>
  <si>
    <t>12002-33002-0004-103-00019291-2023</t>
  </si>
  <si>
    <t>AMBASSADE DE LA BELGIQUE</t>
  </si>
  <si>
    <t>12002-33002-0004-103-00019290-2023</t>
  </si>
  <si>
    <t>12002-33002-0021-111-00018675-2023</t>
  </si>
  <si>
    <t>12002-33002-0002-112-00020695-2023</t>
  </si>
  <si>
    <t>DANNY ET XENIA TOUSSAINT-MARUCCHI</t>
  </si>
  <si>
    <t>12002-33002-0005-122-00019435-2023</t>
  </si>
  <si>
    <t>301 30000017</t>
  </si>
  <si>
    <t>33002-0017- 104-0000144 / 0008</t>
  </si>
  <si>
    <t>12002-33002-0004-104-00018893-2023</t>
  </si>
  <si>
    <t>301 30000011</t>
  </si>
  <si>
    <t>Chemaf Sarl</t>
  </si>
  <si>
    <t>12001-33002-9005-113-00001496-2021</t>
  </si>
  <si>
    <t>ELISABETH GLASER PEDIATRIC AIDS FOUNDATION ( EGPAF)</t>
  </si>
  <si>
    <t>12001-33002-9007-117-00001496-2021</t>
  </si>
  <si>
    <t>33002-0017-104-0001417 / 0004</t>
  </si>
  <si>
    <t>Teichmann Group / Mashamba Foods</t>
  </si>
  <si>
    <t>301-30000009</t>
  </si>
  <si>
    <t>Ivanhoe Mine Energy</t>
  </si>
  <si>
    <t>12005-33002-0012-13001-00005220-2023</t>
  </si>
  <si>
    <t>Class and Style</t>
  </si>
  <si>
    <t>12001-33002-0006-112-000002091-2022</t>
  </si>
  <si>
    <t>All Terrain DRC Service ( ATS)</t>
  </si>
  <si>
    <t>12001-33002-0005-113-000002092-2022</t>
  </si>
  <si>
    <t>12002-33002-0021-111-00021420-2023</t>
  </si>
  <si>
    <t>12002-33002-0021-111-00019845-2023</t>
  </si>
  <si>
    <t>Syntyche</t>
  </si>
  <si>
    <t>12002-33002-0007-101-00018913-2023</t>
  </si>
  <si>
    <t>BROTHER TRANSPORT CONGO SARL / Bolloré</t>
  </si>
  <si>
    <t>12001-09005/3002/1450000326</t>
  </si>
  <si>
    <t>Optorg</t>
  </si>
  <si>
    <t>33002-0003-121-0006284 / 0001</t>
  </si>
  <si>
    <t>PROTEAM RDC</t>
  </si>
  <si>
    <t>CIT</t>
  </si>
  <si>
    <t>01-11-2023// LIonel confirme que le reste du paiement a été effectué</t>
  </si>
  <si>
    <t>RISTOURNE</t>
  </si>
  <si>
    <t>00016123</t>
  </si>
  <si>
    <t>00016124</t>
  </si>
  <si>
    <t>12002-33002-0004-104-00016497-2022</t>
  </si>
  <si>
    <t>INDUSTRIAL SERVICES</t>
  </si>
  <si>
    <t>01-11-2023: Rawsur et Olea Kenya nous ont tous payé.</t>
  </si>
  <si>
    <t>12002-33002-0004-103-00016990-2022</t>
  </si>
  <si>
    <t>Teichmann Group / Kongo River</t>
  </si>
  <si>
    <t>12002-33002-0004-103-00017217-2022</t>
  </si>
  <si>
    <t>Glencore DRC</t>
  </si>
  <si>
    <t>33002-0009-113-0001418 / 0001</t>
  </si>
  <si>
    <t>01-11-2023: la part Rawsur payée, mais c'est Olea qui nous doit maintenant le solde restant qui notre RI Com.</t>
  </si>
  <si>
    <t>00018655</t>
  </si>
  <si>
    <t>11001-33002-0001-207-00000006-2023 / 219000009</t>
  </si>
  <si>
    <t>12002-33002-0024-113-00019854-2023</t>
  </si>
  <si>
    <t>12002-33002-0004-104-00019635-2022</t>
  </si>
  <si>
    <t>12002-33002-0004-103-00019672-2023</t>
  </si>
  <si>
    <t>12002-33002-0004-103-00019692-2023</t>
  </si>
  <si>
    <t>Kibangudi Ntanda Jacqueline</t>
  </si>
  <si>
    <t>12005-33002-0003-13001-00005337-2023</t>
  </si>
  <si>
    <t>CENTRE MEDICAL DIAMANT</t>
  </si>
  <si>
    <t>12005-33002-0010-13001-00001333-2022</t>
  </si>
  <si>
    <t>GARDAWOLD DRC SARL</t>
  </si>
  <si>
    <t>tychique</t>
  </si>
  <si>
    <t xml:space="preserve">01-11-2023//Paiement échélonné/ le reste a été payé cfr Michée </t>
  </si>
  <si>
    <t>12001-33002-0007-112-00000577-2022</t>
  </si>
  <si>
    <t>TERMINAL CONTAINER KINSHASA (TCK)</t>
  </si>
  <si>
    <t>33002-0011-111-0006995 / 0001</t>
  </si>
  <si>
    <t>SOCIETE ZHENGWEI TECHNIQUE COOPERATION</t>
  </si>
  <si>
    <t>12005-33002-0012-13001-00005457-2023</t>
  </si>
  <si>
    <t>BRAVIO COMERCIO/NADCO TRADING INTERNATIONAL</t>
  </si>
  <si>
    <t>GLOBAL TRADING CONGO SARL</t>
  </si>
  <si>
    <t>LAXMAN CONGO SARL</t>
  </si>
  <si>
    <t>12005-33002-0011-13001-00005458-2023</t>
  </si>
  <si>
    <t>LAXMAN CONGO SARL ( AFRICOS SARL)</t>
  </si>
  <si>
    <t>11005-33002-0011-13001-00005533-2023</t>
  </si>
  <si>
    <t>33002-0017-104-0000037 / 0012</t>
  </si>
  <si>
    <t>HELIOS INFRACO DRC SARL ( HT)</t>
  </si>
  <si>
    <t>LOKTON/OLEA</t>
  </si>
  <si>
    <t>11001-33002-0001-207-00000018-2022 / 219000001</t>
  </si>
  <si>
    <t>12003-33002-0003-112-00000039-2022 / 45000012</t>
  </si>
  <si>
    <t xml:space="preserve">00020283
</t>
  </si>
  <si>
    <t>AFRYMARA</t>
  </si>
  <si>
    <t>11001-33002-0001-207-00000012-2022 / 219000003</t>
  </si>
  <si>
    <t>AIRTEL Money</t>
  </si>
  <si>
    <t>UAP INSURANCE COMPANY LIMITED</t>
  </si>
  <si>
    <t>OLEA Kenya</t>
  </si>
  <si>
    <t>AIRTEL DRC</t>
  </si>
  <si>
    <t>DN0045/AIB RDC/2023</t>
  </si>
  <si>
    <t>12002-33002-0002-112-00019552-2023</t>
  </si>
  <si>
    <t>12002-33002-0002-112-00019810-2023</t>
  </si>
  <si>
    <t>NDAKO YA BANA</t>
  </si>
  <si>
    <t>12002-33002-0002-112-00019606-2023</t>
  </si>
  <si>
    <t>KAMPI YA BOMA</t>
  </si>
  <si>
    <t>12002-33002-0002-112-00019605-2023</t>
  </si>
  <si>
    <t>ALLIED INSURANCE BROKERS ( AIB) RDC SA</t>
  </si>
  <si>
    <t>ANSULTECH FIRE SYSTEMS SARL</t>
  </si>
  <si>
    <t>33002-0012-111-0007257 / 0001</t>
  </si>
  <si>
    <t>Concrete &amp; Steel Construction Sarl</t>
  </si>
  <si>
    <t>33002-0001-101-0001271 / 0003</t>
  </si>
  <si>
    <t>Activa Assurances</t>
  </si>
  <si>
    <t>12001-33002-0014-111-00000144-2023</t>
  </si>
  <si>
    <t>Europe Jason Ann Gento - EUROJAG SARL</t>
  </si>
  <si>
    <t>POL AIB 001</t>
  </si>
  <si>
    <t>POLYTRA</t>
  </si>
  <si>
    <t>FACILITY SERVICES</t>
  </si>
  <si>
    <t>12002-33002-0021-111-00018685-2023</t>
  </si>
  <si>
    <t>12002-33002-0021-111-00018894-2023</t>
  </si>
  <si>
    <t>12002-33002-0021-111-00019220-2023</t>
  </si>
  <si>
    <t>12002-33002-0022-111-00018852-2023</t>
  </si>
  <si>
    <t>12002-33002-0021-111-00018801-2023</t>
  </si>
  <si>
    <t>TAF LINK SARL / Bolloré</t>
  </si>
  <si>
    <t>00018946</t>
  </si>
  <si>
    <t>12002-33002-0021-111-00018657-2023</t>
  </si>
  <si>
    <t>12002-33002-0021-111-00018659-2023</t>
  </si>
  <si>
    <t>12002-33002-0021-111-00018661-2023</t>
  </si>
  <si>
    <t>12002-33002-0021-111-00018688-2023</t>
  </si>
  <si>
    <t>12002-33002-0021-111-00018687-2023</t>
  </si>
  <si>
    <t>12002-33002-0021-111-00018663-2023</t>
  </si>
  <si>
    <t>12002-33002-0021-111-00018684-2023</t>
  </si>
  <si>
    <t>33002-0006-112-0004489 / 0002</t>
  </si>
  <si>
    <t>12002-33002-0022-111-00017584-2022</t>
  </si>
  <si>
    <t>La CARRIERE DE LUALABA SAS</t>
  </si>
  <si>
    <t>12002-33002-0021-111-00019163-2023</t>
  </si>
  <si>
    <t>COLINGO RDC SARL / Bolloré</t>
  </si>
  <si>
    <t>12002-33002-0021-111-00019317-2023</t>
  </si>
  <si>
    <t>12002-33002-0021-111-00019599-2023</t>
  </si>
  <si>
    <t>MAKALA COAL COMPANY</t>
  </si>
  <si>
    <t>12002-33002-0021-111-00019762-2023</t>
  </si>
  <si>
    <t>Airtel Congo RDC S.A / Bolloré</t>
  </si>
  <si>
    <t>12002-33002-0021-111-00019829-2023</t>
  </si>
  <si>
    <t>12002-33002-0021-111-00019310-2023</t>
  </si>
  <si>
    <t>12002-33002-0021-111-00019851-2023</t>
  </si>
  <si>
    <t>12002-33002-0021-111-00020123-2023</t>
  </si>
  <si>
    <t>12002-33002-0021-111-00019341-2023</t>
  </si>
  <si>
    <t>12002-33002-0021-111-00019334-2023</t>
  </si>
  <si>
    <t>12002-33002-0021-111-00019782-2023</t>
  </si>
  <si>
    <t>SACIM SARL / Bolloré</t>
  </si>
  <si>
    <t>12002-33002-0021-111-00019793-2023</t>
  </si>
  <si>
    <t>12002-33002-0021-111-00019764-2023</t>
  </si>
  <si>
    <t>12002-33002-0021-111-00019608-2023</t>
  </si>
  <si>
    <t>12002-33002-0021-111-00019585-2023</t>
  </si>
  <si>
    <t>12002-33002-0021-111-00019336-2023</t>
  </si>
  <si>
    <t>12002-33002-0021-111-00019338-2023</t>
  </si>
  <si>
    <t>12002-33002-0021-111-00019335-2023</t>
  </si>
  <si>
    <t>12002-33002-0021-111-00019761-2023</t>
  </si>
  <si>
    <t>12002-33002-0021-111-00019244-2023</t>
  </si>
  <si>
    <t>12002-33002-0021-111-00019245-2023</t>
  </si>
  <si>
    <t>12002-33002-0021-111-00019243-2023</t>
  </si>
  <si>
    <t>12002-33002-0021-111-00020190-2023</t>
  </si>
  <si>
    <t>12002-33002-0021-111-00020380-2023</t>
  </si>
  <si>
    <t>12002-33002-0021-111-00020392-2023</t>
  </si>
  <si>
    <t>12002-33002-0021-111-00020394-2023</t>
  </si>
  <si>
    <t>12002-33002-0021-111-00019064-2023</t>
  </si>
  <si>
    <t>12002-33002-0021-111-00019063-2023</t>
  </si>
  <si>
    <t>12002-33002-0021-111-00019062-2023</t>
  </si>
  <si>
    <t>12005-33002-0010-13002-00001063-2022</t>
  </si>
  <si>
    <t>Ivanhoe Mines Exploration</t>
  </si>
  <si>
    <t>12002-33002-0004-104-00016200-2022</t>
  </si>
  <si>
    <t>12002-33002-0021-111-00019269-2023</t>
  </si>
  <si>
    <t>12002-33002-0021-111-00019272-2023</t>
  </si>
  <si>
    <t>12002-33002-0021-111-00019271-2023</t>
  </si>
  <si>
    <t>33002-0001-103-00003206-2023</t>
  </si>
  <si>
    <t>PARAGON</t>
  </si>
  <si>
    <t>12002-33002-0021-111-00020430-2023</t>
  </si>
  <si>
    <t>12002-33002-0021-111-00020431-2023</t>
  </si>
  <si>
    <t>12002-33002-0021-111-00020432-2023</t>
  </si>
  <si>
    <t>12002-33002-0021-111-00020433-2023</t>
  </si>
  <si>
    <t>12002-33002-0021-111-00020435-2023</t>
  </si>
  <si>
    <t>12002-33002-0021-111-00020436-2023</t>
  </si>
  <si>
    <t>BS FREIGHT &amp; LOGISTICS SARL / Bolloré</t>
  </si>
  <si>
    <t>12002-33002-0021-111-00020416-2023</t>
  </si>
  <si>
    <t>12002-33002-0021-111-00020460-2023</t>
  </si>
  <si>
    <t>12002-33002-0021-111-00020458-2023</t>
  </si>
  <si>
    <t>12002-33002-0021-111-00020467-2023</t>
  </si>
  <si>
    <t>12002-33002-0021-111-00020278-2023</t>
  </si>
  <si>
    <t>12002-33002-0021-111-00018806-2023</t>
  </si>
  <si>
    <t>12002-33002-0021-111-00019339-2023</t>
  </si>
  <si>
    <t>12002-33002-0021-111-00019337-2023</t>
  </si>
  <si>
    <t>00018833</t>
  </si>
  <si>
    <t>00018920</t>
  </si>
  <si>
    <t>00018921</t>
  </si>
  <si>
    <t>00018923</t>
  </si>
  <si>
    <t>00018926</t>
  </si>
  <si>
    <t>00018928</t>
  </si>
  <si>
    <t>00018930</t>
  </si>
  <si>
    <t>00018932</t>
  </si>
  <si>
    <t>00018934</t>
  </si>
  <si>
    <t>00018935</t>
  </si>
  <si>
    <t>00018936</t>
  </si>
  <si>
    <t>00018937</t>
  </si>
  <si>
    <t>00018938</t>
  </si>
  <si>
    <t>00018992</t>
  </si>
  <si>
    <t>00018994</t>
  </si>
  <si>
    <t>00018996</t>
  </si>
  <si>
    <t>00019015</t>
  </si>
  <si>
    <t>00019016</t>
  </si>
  <si>
    <t>00019018</t>
  </si>
  <si>
    <t>00019019</t>
  </si>
  <si>
    <t>00019020</t>
  </si>
  <si>
    <t>00019023</t>
  </si>
  <si>
    <t>00019025</t>
  </si>
  <si>
    <t>00019026</t>
  </si>
  <si>
    <t>00019011</t>
  </si>
  <si>
    <t>00019012</t>
  </si>
  <si>
    <t>00019014</t>
  </si>
  <si>
    <t>00019017</t>
  </si>
  <si>
    <t>00019047</t>
  </si>
  <si>
    <t>00019048</t>
  </si>
  <si>
    <t>00019049</t>
  </si>
  <si>
    <t>00019050</t>
  </si>
  <si>
    <t>12002-33002-0021-111-00019065-2023</t>
  </si>
  <si>
    <t>12002-33002-0021-111-00019066-2023</t>
  </si>
  <si>
    <t>12002-33002-0021-111-00019067-2023</t>
  </si>
  <si>
    <t>12002-33002-0021-111-00019090-2023</t>
  </si>
  <si>
    <t>12002-33002-0021-111-00018824-2023</t>
  </si>
  <si>
    <t>12002-33002-0021-111-00018874-2023</t>
  </si>
  <si>
    <t>12002-33002-0021-111-00018876-2023</t>
  </si>
  <si>
    <t>12002-33002-0021-111-00018878-2023</t>
  </si>
  <si>
    <t>12002-33002-0021-111-00019203-2023</t>
  </si>
  <si>
    <t>12002-33002-0021-111-00018892-2023</t>
  </si>
  <si>
    <t>12002-33002-0021-111-00019076-2023</t>
  </si>
  <si>
    <t>12002-33002-0021-111-00019077-2023</t>
  </si>
  <si>
    <t>12002-33002-0021-111-00019078-2023</t>
  </si>
  <si>
    <t>12002-33002-0021-111-00019079-2023</t>
  </si>
  <si>
    <t>12002-33002-0021-111-00019080-2023</t>
  </si>
  <si>
    <t>12002-33002-0021-111-00019081-2023</t>
  </si>
  <si>
    <t>12002-33002-0021-111-00018880-2023</t>
  </si>
  <si>
    <t>12002-33002-0021-111-00018881-2023</t>
  </si>
  <si>
    <t>12002-33002-0021-111-00018883-2023</t>
  </si>
  <si>
    <t>12002-33002-0021-111-00018884-2023</t>
  </si>
  <si>
    <t>12002-33002-0021-111-00018886-2023</t>
  </si>
  <si>
    <t>12002-33002-0021-111-00018887-2023</t>
  </si>
  <si>
    <t>12002-33002-0021-111-00018888-2023</t>
  </si>
  <si>
    <t>12002-33002-0010-108-00016563-2022</t>
  </si>
  <si>
    <t>TRANS AIR CARGO</t>
  </si>
  <si>
    <t>12002-33002-0004-103-00017248-2022</t>
  </si>
  <si>
    <t>Commission à collecter dans le bordereau de Mai</t>
  </si>
  <si>
    <t>12002-33002-0026-102-00020383-2023</t>
  </si>
  <si>
    <t>33002-0017-104-0008154 / 0002</t>
  </si>
  <si>
    <t>12001-33002-0014-111-00006161-2023</t>
  </si>
  <si>
    <t>Axel</t>
  </si>
  <si>
    <t>12001-33002-0014-111-00005944-2023</t>
  </si>
  <si>
    <t>12001-33002-0014-111-00006110-2023</t>
  </si>
  <si>
    <t>AFRICA GLOBAL LOGISTICS</t>
  </si>
  <si>
    <t>12001-33003-0014-111-00006062-2023</t>
  </si>
  <si>
    <t>12001-33002-0014-111-00006143-2023</t>
  </si>
  <si>
    <t>12005-33002-0009-13001-00000269-2022</t>
  </si>
  <si>
    <t>CONGO ŒUFS</t>
  </si>
  <si>
    <t>12005-33002-0014-13001-00000271-2022</t>
  </si>
  <si>
    <t>12001-33002-0001-103-00005217-2023</t>
  </si>
  <si>
    <t>12002-33002-0004-104-00020129-2023</t>
  </si>
  <si>
    <t>KATANGA LOGISTICS</t>
  </si>
  <si>
    <t>12002-33002-0002-112-00020096-2023</t>
  </si>
  <si>
    <t>DUXBERRY SARL</t>
  </si>
  <si>
    <t>12002-33002-0004-104-00020188-2023</t>
  </si>
  <si>
    <t xml:space="preserve">12001-33002-0007-121-00010651-2023
</t>
  </si>
  <si>
    <t>GARAGE MARIO FERRAZ</t>
  </si>
  <si>
    <t>12005-33002-0010-13001-00002502-2022</t>
  </si>
  <si>
    <t>VAN ERPS ANTHONY</t>
  </si>
  <si>
    <t>33002-0009-113-0008327</t>
  </si>
  <si>
    <t>KIVU TRAVEL SARL</t>
  </si>
  <si>
    <t>KLAPTON</t>
  </si>
  <si>
    <t>12005-33002-0014-13001-00005835-2023</t>
  </si>
  <si>
    <t>12005-33002-0014-13001-00005836-2023</t>
  </si>
  <si>
    <t>12002-33002-0021-111-00020418-2023</t>
  </si>
  <si>
    <t>12002-33002-0021-111-00020167-2023</t>
  </si>
  <si>
    <t>PR005456</t>
  </si>
  <si>
    <t>12002-33002-0002-112-00021506-2023</t>
  </si>
  <si>
    <t>En attente du paiement de la prime</t>
  </si>
  <si>
    <t>12002-33002-0021-111-00018875-2023</t>
  </si>
  <si>
    <t>33002-0012-111-0008260 / 0001</t>
  </si>
  <si>
    <t>33002-0012-111-0008343 / 0001</t>
  </si>
  <si>
    <t>33002-0017-103-0008097 / 0001</t>
  </si>
  <si>
    <t>Yahuwa Baitoa Pala Catherine</t>
  </si>
  <si>
    <t>33002-0004-119-0008069 / 0001</t>
  </si>
  <si>
    <t>Famille NDONDA</t>
  </si>
  <si>
    <t>12002-33002-0021-111-00020650-2023</t>
  </si>
  <si>
    <t>12002-33002-0021-111-00020649-2023</t>
  </si>
  <si>
    <t>MIning</t>
  </si>
  <si>
    <t>12002-33002-0002-112-00020726-2023</t>
  </si>
  <si>
    <t>Kibali Goldmines SA</t>
  </si>
  <si>
    <t>33002-00006-112-0001511 / 0002</t>
  </si>
  <si>
    <t>Shalina healthCare</t>
  </si>
  <si>
    <t>12002-33002-0021-111-00018662-2023</t>
  </si>
  <si>
    <t>33002-0012-111-0007973 / 0001</t>
  </si>
  <si>
    <t>33002-0012-111-0007977 / 0001</t>
  </si>
  <si>
    <t>33002-0012-111-0007978 / 0001</t>
  </si>
  <si>
    <t>33002-0012-111-0007976 / 0001</t>
  </si>
  <si>
    <t>12001-33002-0007-121-00002148-2022</t>
  </si>
  <si>
    <t>12001-33002-0007-121-00002149-2022</t>
  </si>
  <si>
    <t>CFAO RDC / CFAO Motors RDC</t>
  </si>
  <si>
    <t>CFAO RDC / CFAO Technologies</t>
  </si>
  <si>
    <t>33002-0004-119-0007702 / 0001</t>
  </si>
  <si>
    <t>KABOLA KALALA ALPHA</t>
  </si>
  <si>
    <t>12002-33002-0021-111-00020648-2023</t>
  </si>
  <si>
    <t>12002-33002-0021-111-00020654-2023</t>
  </si>
  <si>
    <t>12002-33002-0021-111-00020653-2023</t>
  </si>
  <si>
    <t>33002-0006-112-0001419 / 0002</t>
  </si>
  <si>
    <t>12002-33002-0021-111-00020343-2023</t>
  </si>
  <si>
    <t>12002-33002-0021-111-00020346-2023</t>
  </si>
  <si>
    <t>12002-33002-0021-111-00020361-2023</t>
  </si>
  <si>
    <t>12002-33002-0021-111-00020360-2023</t>
  </si>
  <si>
    <t>12002-33002-0021-111-00020364-2023</t>
  </si>
  <si>
    <t>12002-33002-0021-111-00020365-2023</t>
  </si>
  <si>
    <t>12002-33002-0021-111-00020362-2023</t>
  </si>
  <si>
    <t>12002-33002-0021-111-00020112-2023</t>
  </si>
  <si>
    <t>12005-33002-0008-13001-00000270-2022</t>
  </si>
  <si>
    <t>12002-33002-0021-111-00020174-2023</t>
  </si>
  <si>
    <t xml:space="preserve">00020501
</t>
  </si>
  <si>
    <t>ERG / Frontier SA</t>
  </si>
  <si>
    <t>12002-33002-0021-111-00020185-2023</t>
  </si>
  <si>
    <t>GLOBAL LABORATORIES / Bolloré</t>
  </si>
  <si>
    <t>12002-33002-0021-111-00020117-2023</t>
  </si>
  <si>
    <t>Mandla Service SARL / Bolloré</t>
  </si>
  <si>
    <t>12002-33002-0021-111-00020026-2023</t>
  </si>
  <si>
    <t>UNITED TRILLION CONGO SARL / Bolloré</t>
  </si>
  <si>
    <t>12002-33002-0021-111-00020025-2023</t>
  </si>
  <si>
    <t>12002-33002-0021-111-00020143-2023</t>
  </si>
  <si>
    <t xml:space="preserve">00020268
</t>
  </si>
  <si>
    <t>SADDAM LUSANGI</t>
  </si>
  <si>
    <t>Alice</t>
  </si>
  <si>
    <t>12003-33002-0012-108-00000001-2022 / 75600001</t>
  </si>
  <si>
    <t>MALU AVIATION (9S GPS)</t>
  </si>
  <si>
    <t>12002-33002-0021-111-00020336-2023</t>
  </si>
  <si>
    <t>12002-33002-0021-111-00020340-2023</t>
  </si>
  <si>
    <t>12002-33002-0021-111-00020338-2023</t>
  </si>
  <si>
    <t>12002-33002-0021-111-00020311-2023</t>
  </si>
  <si>
    <t>12002-33002-0021-111-00020083-2023</t>
  </si>
  <si>
    <t>12002-33002-0021-111-00020084-2023</t>
  </si>
  <si>
    <t>12002-33002-0021-111-00020086-2023</t>
  </si>
  <si>
    <t>12002-33002-0021-111-00020087-2023</t>
  </si>
  <si>
    <t>12002-33002-0021-111-00020085-2023</t>
  </si>
  <si>
    <t>12002-33002-0021-111-00020089-2023</t>
  </si>
  <si>
    <t>12002-33002-0021-111-00020088-2023</t>
  </si>
  <si>
    <t>12002-33002-0021-111-00020082-2023</t>
  </si>
  <si>
    <t>12002-33002-0021-111-00020124-2023</t>
  </si>
  <si>
    <t>12002-33002-0021-111-00020126-2023</t>
  </si>
  <si>
    <t>12002-33002-0021-111-00020127-2023</t>
  </si>
  <si>
    <t>12002-33002-0021-111-00020128-2023</t>
  </si>
  <si>
    <t>12002-33002-0021-111-00020036-2023</t>
  </si>
  <si>
    <t>12002-33002-0021-111-00020015-2023</t>
  </si>
  <si>
    <t>12002-33002-0021-111-00020037-2023</t>
  </si>
  <si>
    <t>12002-33002-0021-111-00020038-2023</t>
  </si>
  <si>
    <t>12002-33002-0021-111-00020000-2023</t>
  </si>
  <si>
    <t>12002-33002-0021-111-00020003-2023</t>
  </si>
  <si>
    <t>12002-33002-0021-111-00020022-2023</t>
  </si>
  <si>
    <t>12002-33002-0021-111-00020020-2023</t>
  </si>
  <si>
    <t>12002-33002-0021-111-00020110-2023</t>
  </si>
  <si>
    <t>12002-33002-0021-111-00020832-2023</t>
  </si>
  <si>
    <t>12002-33002-0021-111-00020831-2023</t>
  </si>
  <si>
    <t>12002-33002-0021-111-00020837-2023</t>
  </si>
  <si>
    <t>12002-33002-0021-111-00020836-2023</t>
  </si>
  <si>
    <t>33002-0017-104-0009267 / 0001</t>
  </si>
  <si>
    <t>THEO MBIYE</t>
  </si>
  <si>
    <t>AIG</t>
  </si>
  <si>
    <t>12002-33002-0021-111-00020849-2023</t>
  </si>
  <si>
    <t>12002-33002-0021-111-00020855-2023</t>
  </si>
  <si>
    <t>12002-33002-0021-111-00020860-2023</t>
  </si>
  <si>
    <t>12002-33002-0021-111-00020859-2023</t>
  </si>
  <si>
    <t>12002-33002-0021-111-00020886-2023</t>
  </si>
  <si>
    <t>12002-33002-0021-111-00020887-2023</t>
  </si>
  <si>
    <t>12001-33002-0012-114-00000207-2023</t>
  </si>
  <si>
    <t>12001-13001-0014-111-00002001-2022</t>
  </si>
  <si>
    <t>12001-13001-0008-102-00000463-2023</t>
  </si>
  <si>
    <t>OPPORTUNITY INTERNATIONAL</t>
  </si>
  <si>
    <t>12002-33002-0021-111-00020856-2023</t>
  </si>
  <si>
    <t>JULY</t>
  </si>
  <si>
    <t>12002-33002-0021-111-00021096-2023</t>
  </si>
  <si>
    <t>PROGRAMME ALIMENTAIRE MONDIAL - PAM / Bolloré</t>
  </si>
  <si>
    <t>PROGRAMME DE CONTROLE DE LA PRODUCTION ET DE LA COMMERCIALISATION DES BOIS (PCPCB)</t>
  </si>
  <si>
    <t>301-73200029</t>
  </si>
  <si>
    <t>SHAMITUMBA SAS</t>
  </si>
  <si>
    <t>12005-33002-0003-13002-00006088-2023</t>
  </si>
  <si>
    <t>GOLDEN AFRICAN RESSOURCES  SARL</t>
  </si>
  <si>
    <t>12005-33002-0008-13001-000-2588-2022</t>
  </si>
  <si>
    <t>01-11-2023/ confirmation que c'est déjà payée cfr Michée</t>
  </si>
  <si>
    <t>12002-33002-0023-113-00021252-2023</t>
  </si>
  <si>
    <t>PI</t>
  </si>
  <si>
    <t>ALLIANZ</t>
  </si>
  <si>
    <t>33002-0006-112-0000284</t>
  </si>
  <si>
    <t>SEPTEMBER</t>
  </si>
  <si>
    <t>12002-33002-0004-103-00020824-2023</t>
  </si>
  <si>
    <t>STE. MAX TUNDA SERVICES SARL</t>
  </si>
  <si>
    <t>12002-33002-0002-112-00020827-2023</t>
  </si>
  <si>
    <t>33002-0001-101-0008736 / 0001</t>
  </si>
  <si>
    <t>12002-33002-0021-111-00020970-2023</t>
  </si>
  <si>
    <t>FIDELITY GUARANTEE</t>
  </si>
  <si>
    <t xml:space="preserve">12002-33002-0004-103-00017305-2022 </t>
  </si>
  <si>
    <t>MWADI MAWEJA RACHEL</t>
  </si>
  <si>
    <t>301-73200031</t>
  </si>
  <si>
    <t>01-11-2023//Paiement déja effectué ; cfr michée</t>
  </si>
  <si>
    <t>301-59000003</t>
  </si>
  <si>
    <t xml:space="preserve"> LOKTON/OLEA </t>
  </si>
  <si>
    <t>33002-0012-111-0007975 / 0001</t>
  </si>
  <si>
    <t>301-73200028</t>
  </si>
  <si>
    <t>IVANHOE / Kipushi Corporation</t>
  </si>
  <si>
    <t>12002-33002-0010-108-00017421-2022</t>
  </si>
  <si>
    <t>ERG / Boss Mining ( Metalkol)</t>
  </si>
  <si>
    <t>12002-33002-0002-112-00016668-2022</t>
  </si>
  <si>
    <t>12002-33002-0023-113-00017138-2022</t>
  </si>
  <si>
    <t>EMPLOYER'S LIABILITY</t>
  </si>
  <si>
    <t>12002-33002-0024-113-00016701-2022</t>
  </si>
  <si>
    <t>12005-33002-0011-13001-00006045-2023</t>
  </si>
  <si>
    <t>Teichmann Group / Mashamba Enterprises</t>
  </si>
  <si>
    <t>12002-33002-0024-113-00021110-2023</t>
  </si>
  <si>
    <t>12001-33002-0007-121-00002445-2022</t>
  </si>
  <si>
    <t>MSA Labs</t>
  </si>
  <si>
    <t>12002-33002-0004-104-00020929-2023</t>
  </si>
  <si>
    <t>Patel Arvind Kumar</t>
  </si>
  <si>
    <t>301-60100002</t>
  </si>
  <si>
    <t>301-60100001</t>
  </si>
  <si>
    <t>CFAO RDC / Motors</t>
  </si>
  <si>
    <t>301-60100008</t>
  </si>
  <si>
    <t>CFAO RDC / Technologies</t>
  </si>
  <si>
    <t>12005-33002-0007-13001-00002326-2022</t>
  </si>
  <si>
    <t>12002-33002-0004-104-00020818-2023</t>
  </si>
  <si>
    <t>12002-33002-0010-108-00020819-2023</t>
  </si>
  <si>
    <t>42000013/2 - 301</t>
  </si>
  <si>
    <t>LIEDEKERKE</t>
  </si>
  <si>
    <t>12002-33002-0002-112-00020806-2023</t>
  </si>
  <si>
    <t>KANU EQUIPEMENT</t>
  </si>
  <si>
    <t>12002-33002-0024-113-00020746-2023</t>
  </si>
  <si>
    <t xml:space="preserve">MIDEMA Minoterie de Matadi
</t>
  </si>
  <si>
    <t xml:space="preserve">30-10-2023// déjà payer // à collecter cfr Alice </t>
  </si>
  <si>
    <t>12002-33002-0021-111-00020754-2023</t>
  </si>
  <si>
    <t>12002-33002-0021-111-00020752-2023</t>
  </si>
  <si>
    <t>00017218</t>
  </si>
  <si>
    <t>12002-33002-0021-111-00020838-2023</t>
  </si>
  <si>
    <t>12002-33002-0021-111-00020845-2023</t>
  </si>
  <si>
    <t>12002-33002-0021-111-00020865-2023</t>
  </si>
  <si>
    <t>33002-0001-103-00007072-2023</t>
  </si>
  <si>
    <t>12002-33002-0021-111-00021301-2023</t>
  </si>
  <si>
    <t>David</t>
  </si>
  <si>
    <t>12001-33002-0009-103-00002535-2022</t>
  </si>
  <si>
    <t>12001-33002-0014-111-00006118-2023</t>
  </si>
  <si>
    <t>33002-0014-111-00006118-2023</t>
  </si>
  <si>
    <t>33002-0014-111-00006854-2023</t>
  </si>
  <si>
    <t>12002-33002-0021-111-00021330-2023</t>
  </si>
  <si>
    <t>12001-33002-0014-111-00006854-2023</t>
  </si>
  <si>
    <t>301-45000006</t>
  </si>
  <si>
    <t>12002-33002-0004-104-00021180-2023</t>
  </si>
  <si>
    <t>Katshiompa Ntumba Toubert</t>
  </si>
  <si>
    <t>12002-33002-0010-108-00021410-2023</t>
  </si>
  <si>
    <t>Ste Immo Della / TP Mazembe</t>
  </si>
  <si>
    <t>AIRCRAFT RISK COMPANY</t>
  </si>
  <si>
    <t>12005-33002-0011-13001-00006501-2023</t>
  </si>
  <si>
    <t>Food Industry</t>
  </si>
  <si>
    <t>12001-33002-0001-103-00010400-2023</t>
  </si>
  <si>
    <t>Matala Mulopwe Callixite</t>
  </si>
  <si>
    <t>12005-33002-0012-13001-00003144-2022</t>
  </si>
  <si>
    <t>ETS Velocity (The seven eleven)</t>
  </si>
  <si>
    <t>Supermarket</t>
  </si>
  <si>
    <t>ERG / Metalkol ( Boss mining)</t>
  </si>
  <si>
    <t>33002-0017-103-0010068 / 0001</t>
  </si>
  <si>
    <t>MASULUKA NDAMBAKASA Francis</t>
  </si>
  <si>
    <t>12005-33002-0003-13002-00006088-2023/5/0700/1326/2023</t>
  </si>
  <si>
    <t>AUTRES MODIFICATIONS</t>
  </si>
  <si>
    <t>12002-33002-0002-112-00021197-2023</t>
  </si>
  <si>
    <t>LOT DEBRUYNE / LIONEL BLONDIAU</t>
  </si>
  <si>
    <t>12002-33002-0006-114-00021193-2023</t>
  </si>
  <si>
    <t>NDAY NONGA MALUND ERICK</t>
  </si>
  <si>
    <t>12005-33002-0015-13002-00003579-2022</t>
  </si>
  <si>
    <t>ACTOM</t>
  </si>
  <si>
    <t>Payé, à collecter en Août</t>
  </si>
  <si>
    <t>12005-33002-0003-13002-00006088-2023/5/0700/1326/2024</t>
  </si>
  <si>
    <t>12002-33002-0021-111-00021767-2023</t>
  </si>
  <si>
    <t>Compagnie Africaine d'Aviation / CAA - LUBUMBASHI</t>
  </si>
  <si>
    <t>AUGUST</t>
  </si>
  <si>
    <t>12002-33002-0021-111-00021942-2023</t>
  </si>
  <si>
    <t>12002-33002-0004-104-00021454-2023</t>
  </si>
  <si>
    <t>FRASER ALEXANDER</t>
  </si>
  <si>
    <t>33002-0001-101-0000380 / 0003</t>
  </si>
  <si>
    <t>33002-0009-113-0000378 / 0003</t>
  </si>
  <si>
    <t>12002-33002-0015-113-00021455-2023</t>
  </si>
  <si>
    <t>SOCIÉTÉ FINANCIERE D’ASSURANCES CONGO ( SFA CONGO)</t>
  </si>
  <si>
    <t>D&amp;O</t>
  </si>
  <si>
    <t>RSI</t>
  </si>
  <si>
    <t>12002-33002-0004-103-00021426-2023</t>
  </si>
  <si>
    <t>Dominique OPPERS</t>
  </si>
  <si>
    <t>12002-33002-0024-113-00021151-2023</t>
  </si>
  <si>
    <t>12005-33002-0012-13001-00003108-2022</t>
  </si>
  <si>
    <t>JEWELS INTERNATIONAL SCHOOL</t>
  </si>
  <si>
    <t>12005-33002-0012-13001-00003109-2022</t>
  </si>
  <si>
    <t>12005-33002-0014-13001-00003110-2022</t>
  </si>
  <si>
    <t>12005-33002-0013-13001-00006558-2023</t>
  </si>
  <si>
    <t>12002-33002-0006-114-00021449-2023</t>
  </si>
  <si>
    <t>12002-33002-0021-111-00021431-2023</t>
  </si>
  <si>
    <t>12002-33002-0021-111-00021430-2023</t>
  </si>
  <si>
    <t>12002-33002-0021-111-00021311-2023</t>
  </si>
  <si>
    <t>12001-33002-9005-015-00001878-2022</t>
  </si>
  <si>
    <t>MOTOR TPL - BOAT</t>
  </si>
  <si>
    <t>12002-33002-0002-112-00021536-2023</t>
  </si>
  <si>
    <t>33002-0009-113-0002169 / 0002</t>
  </si>
  <si>
    <t>12002-33002-0004-103-00017444-2022</t>
  </si>
  <si>
    <t>COSTA COULEUR</t>
  </si>
  <si>
    <t>33002-0009-113-0009190 / 0001</t>
  </si>
  <si>
    <t>33002-0002-102-0009799 / 0001</t>
  </si>
  <si>
    <t>NATIONAL DEMOCRATIC INSTITUTE ( NDI)</t>
  </si>
  <si>
    <t>33002-0001-101-0009777 / 0001</t>
  </si>
  <si>
    <t>33002-0004-119-0009730 / 0001</t>
  </si>
  <si>
    <t>IMRAN Rashid Patel</t>
  </si>
  <si>
    <t>HAVAS AFRICA RDC</t>
  </si>
  <si>
    <t xml:space="preserve">30-10-2023// déjà payé / à collecter </t>
  </si>
  <si>
    <t>ORANGE COMPUTERS</t>
  </si>
  <si>
    <t>000-444/AIB RDC/2023</t>
  </si>
  <si>
    <t>12002-33002-0004-104-00021065-2023</t>
  </si>
  <si>
    <t>12002-33002-0002-112-00021123-2023</t>
  </si>
  <si>
    <t>12002-33002-0004-104-00021176-2023</t>
  </si>
  <si>
    <t>Teichmann Group / T3 Drilling</t>
  </si>
  <si>
    <t>12002-33002-0021-111-00021321-2023</t>
  </si>
  <si>
    <t>ENGEN / Bolloré</t>
  </si>
  <si>
    <t>12002-33002-0021-111-00020805-2023</t>
  </si>
  <si>
    <t>12002-33002-0021-111-00021362-2023</t>
  </si>
  <si>
    <t>12002-33002-0021-111-00021493-2023</t>
  </si>
  <si>
    <t>ANNULATION</t>
  </si>
  <si>
    <t>KAI PENG MINING / LIKASI MINE ( KPM)</t>
  </si>
  <si>
    <t>International Facilities Services DRC ( IFS)</t>
  </si>
  <si>
    <t>REFUELING LIABILITY</t>
  </si>
  <si>
    <t>12002-33002-0001-114-00021585-2023</t>
  </si>
  <si>
    <t>Bolloré Transport &amp; logistics</t>
  </si>
  <si>
    <t>12002-33002-0002-112-00021720-2023</t>
  </si>
  <si>
    <t>Mme CONTI</t>
  </si>
  <si>
    <t>12002-33002-0002-112-00021725-2023</t>
  </si>
  <si>
    <t>12002-33002-0021-111-00021869-2023</t>
  </si>
  <si>
    <t>12002-33002-0014-111-00011333-2023</t>
  </si>
  <si>
    <t>12001-33002-0014-111-00011062-2023</t>
  </si>
  <si>
    <t>MAKEDA GREEN COFFEE-GIOVANNI MARCHETTI</t>
  </si>
  <si>
    <t>12005-12003-0022-13001-00003068-2022</t>
  </si>
  <si>
    <t>SOCOMETAL SARL</t>
  </si>
  <si>
    <t>12002-33002-0023-113-00024588-2023</t>
  </si>
  <si>
    <t>STE. AFRISEC MANAGEMENT CONGO</t>
  </si>
  <si>
    <t>12002-33002-0021-111-00021532-2023</t>
  </si>
  <si>
    <t>12005-33002-003-13001-00006727-2023</t>
  </si>
  <si>
    <t>AMBASSADE DE LA BELGIQUE / GUILLAUME</t>
  </si>
  <si>
    <t>301 - 59000005</t>
  </si>
  <si>
    <t>RUASHI MINING MUSONOI</t>
  </si>
  <si>
    <t>12002-33002-0023-113-00023272-2023</t>
  </si>
  <si>
    <t>RIDER LEVETT BUCKNALL DRC SARL</t>
  </si>
  <si>
    <t>12002-33002-0004-104-00021776-2023</t>
  </si>
  <si>
    <t>12005-33002-0022-13001-00003278-2022</t>
  </si>
  <si>
    <t>12005-0001-13001-00006993-2023</t>
  </si>
  <si>
    <t>12005-33002-0014-13001-00006997-2023</t>
  </si>
  <si>
    <t>AMBASSADE DE LA BELGIQUE / MICHELINE</t>
  </si>
  <si>
    <t>CSP Security Sarl</t>
  </si>
  <si>
    <t>Security</t>
  </si>
  <si>
    <t>Optorg / Tractafric Equipement</t>
  </si>
  <si>
    <t>301-12200003</t>
  </si>
  <si>
    <t>Glencore / Watu Wetu</t>
  </si>
  <si>
    <t>33002-0004-119-0010038 / 0001</t>
  </si>
  <si>
    <t>Mbombo Kisonga Adolphine</t>
  </si>
  <si>
    <t>33002-0018-121-0010487 / 0001</t>
  </si>
  <si>
    <t>Raxio Data Centres</t>
  </si>
  <si>
    <t>33002-0011-111-0010488 / 0001</t>
  </si>
  <si>
    <t>301-97261</t>
  </si>
  <si>
    <t>GSM GROUP</t>
  </si>
  <si>
    <t>12002-33002-0021-111-00021859-2023</t>
  </si>
  <si>
    <t>Compagnie Africaine d'Aviation / CAA - GOMA</t>
  </si>
  <si>
    <t>12005-33002-0022-13001-00003145-2022</t>
  </si>
  <si>
    <t>12002-33002-0004-103-00021877-2023</t>
  </si>
  <si>
    <t>Teichmann Group / Durban Logistics</t>
  </si>
  <si>
    <t>Agence Française de Développement</t>
  </si>
  <si>
    <t>ONG</t>
  </si>
  <si>
    <t>12005-33002-0012-13001-0004352-2022</t>
  </si>
  <si>
    <t>12002-33002-0004-104-00021808-2023</t>
  </si>
  <si>
    <t>12001-33002-0001-103-00011544-2023</t>
  </si>
  <si>
    <t>301-45000018</t>
  </si>
  <si>
    <t>Africa Global Logistics - AGL (Ex Bolloré)</t>
  </si>
  <si>
    <t>Logistics</t>
  </si>
  <si>
    <t xml:space="preserve">en attente de paiement </t>
  </si>
  <si>
    <t>301-30000016</t>
  </si>
  <si>
    <t>301-30000015</t>
  </si>
  <si>
    <t>12002-33002-0021-111-00021986-2023</t>
  </si>
  <si>
    <t>12005-33002-0012-13001-00003387-2022</t>
  </si>
  <si>
    <t>Cinetpay RDC</t>
  </si>
  <si>
    <t>12005-33002-0014-13001-00003386-2022</t>
  </si>
  <si>
    <t>12002-33002-0002-112-00023158-2023</t>
  </si>
  <si>
    <t>12002-33002-0004-103-00022022-2023</t>
  </si>
  <si>
    <t>Marucchi Esterina</t>
  </si>
  <si>
    <t>12002-33002-0004-103-00022280-2023</t>
  </si>
  <si>
    <t>12002-33002-0004-103-00022097-2023</t>
  </si>
  <si>
    <t>ACTIVA - LIFE</t>
  </si>
  <si>
    <t>12001-33002-0005-113-00002774-2022</t>
  </si>
  <si>
    <t>First BANK DRC SA</t>
  </si>
  <si>
    <t>11001-33002-0001-207-00000016-2023</t>
  </si>
  <si>
    <t>PATH</t>
  </si>
  <si>
    <t>RESILIATION</t>
  </si>
  <si>
    <t>00017008</t>
  </si>
  <si>
    <t>Shoprite</t>
  </si>
  <si>
    <t>12002-33002-0002-112-00016892-2022</t>
  </si>
  <si>
    <t>12002-33002-0002-112-00016893-2022</t>
  </si>
  <si>
    <t>MILLER</t>
  </si>
  <si>
    <t>301/42000014</t>
  </si>
  <si>
    <t>MARSAVCO</t>
  </si>
  <si>
    <t>MALU AVIATION (9S GKN)</t>
  </si>
  <si>
    <t>12005-0022-13001-00003089-2022</t>
  </si>
  <si>
    <t>ZAHIRA SARL</t>
  </si>
  <si>
    <t>12005-0022-13001-00003090-2022</t>
  </si>
  <si>
    <t>PANAFRIQUE MOTORS SARL</t>
  </si>
  <si>
    <t>12002-33002-0015-113-00021645-2023</t>
  </si>
  <si>
    <t>TENKE FUNGURUME MINING SA avec Conseil d’Administration (TFM SA)</t>
  </si>
  <si>
    <t>COBIL Aviation SA</t>
  </si>
  <si>
    <t>OCTOBER</t>
  </si>
  <si>
    <t>KABAMBA MULUMBA François</t>
  </si>
  <si>
    <t>12002-33002-0024-113-00021531-2023</t>
  </si>
  <si>
    <t>12001-33002-0002-101-00000801-2020</t>
  </si>
  <si>
    <t>33002-0001-101-0004308</t>
  </si>
  <si>
    <t>12005-33002-0011-13001-00003333-2022</t>
  </si>
  <si>
    <t>AFRICAN TRADEX</t>
  </si>
  <si>
    <t>302-20500003</t>
  </si>
  <si>
    <t>ANDY SAMBI</t>
  </si>
  <si>
    <t>AFRISSUR</t>
  </si>
  <si>
    <t>302-20100001</t>
  </si>
  <si>
    <t>33002-0017-103-0011657 / 0001</t>
  </si>
  <si>
    <t>BIMUALA TUWIZANA GLOIRE</t>
  </si>
  <si>
    <t>12002-33002-0002-112-00023929-2023</t>
  </si>
  <si>
    <t>12001-3002-0001-103-00000251-2020</t>
  </si>
  <si>
    <t>12002-33002-0021-111-00022545-2023</t>
  </si>
  <si>
    <t>TYCHIQUE</t>
  </si>
  <si>
    <t>AMBASSADE DE LA Belgique / ROXANE DE BELING</t>
  </si>
  <si>
    <t>12002-33002-0004-104-00023089-2023</t>
  </si>
  <si>
    <t>12005-33002-0011-13002-00003631-2022</t>
  </si>
  <si>
    <t>NAVITRANS</t>
  </si>
  <si>
    <t>12002-33002-0004-103-00023366-2023</t>
  </si>
  <si>
    <t>AMBASSADE DE LA Belgique / DEBRUYNE DE LOT</t>
  </si>
  <si>
    <t>12002-33002-0002-112-00023465-2023</t>
  </si>
  <si>
    <t>BISOU BISOU / MILTEX SARLU</t>
  </si>
  <si>
    <t>33002-0009-113-0003954</t>
  </si>
  <si>
    <t>PARAGON TAILINGS DRC SARL</t>
  </si>
  <si>
    <t xml:space="preserve">33002-0009-113-0003292 </t>
  </si>
  <si>
    <t>33002-0009-113-0003410</t>
  </si>
  <si>
    <t>33002-0009-113-0003955</t>
  </si>
  <si>
    <t>12005-33002-0014-13001-00007402-2023</t>
  </si>
  <si>
    <t>12005-33002-0014-13001-00007403-2023</t>
  </si>
  <si>
    <t>12005-33002-0003-13001-00007808-2023</t>
  </si>
  <si>
    <t>BERNARD BARASA</t>
  </si>
  <si>
    <t>12002-33002-0021-111-00022161-2023</t>
  </si>
  <si>
    <t>12002-33002-0021-111-00022249-2023</t>
  </si>
  <si>
    <t>12002-33002-0021-111-00022311-2023</t>
  </si>
  <si>
    <t>SI TONG INTERNATIONAL DRC SARLU / Bolloré</t>
  </si>
  <si>
    <t>12002-33002-0021-111-00022304-2023</t>
  </si>
  <si>
    <t>12002-33002-0021-111-00022735-2023</t>
  </si>
  <si>
    <t>12002-33002-0021-111-00022446-2023</t>
  </si>
  <si>
    <t>12002-33002-0021-111-00022805-2023</t>
  </si>
  <si>
    <t>SNEL / Bolloré</t>
  </si>
  <si>
    <t>301-70100068</t>
  </si>
  <si>
    <t>301-70100057</t>
  </si>
  <si>
    <t>301-70100063</t>
  </si>
  <si>
    <t>301-70100050</t>
  </si>
  <si>
    <t>301-70100059</t>
  </si>
  <si>
    <t>301-70100062</t>
  </si>
  <si>
    <t>301-70100053</t>
  </si>
  <si>
    <t>301-70100055</t>
  </si>
  <si>
    <t>12001-33002-0014-111-00012850-2023</t>
  </si>
  <si>
    <t>Charlie PITCAIRN</t>
  </si>
  <si>
    <t>301-70100054</t>
  </si>
  <si>
    <t>301-70100049</t>
  </si>
  <si>
    <t>301-70100061</t>
  </si>
  <si>
    <t>301-70100058</t>
  </si>
  <si>
    <t>301-70100067</t>
  </si>
  <si>
    <t>12002-33002-0021-111-00023488-2023</t>
  </si>
  <si>
    <t>301-70100064</t>
  </si>
  <si>
    <t>301-73200036</t>
  </si>
  <si>
    <t>301-70100056</t>
  </si>
  <si>
    <t>ETS AMI CONGO / Bolloré</t>
  </si>
  <si>
    <t>301-70100071</t>
  </si>
  <si>
    <t>301-73200037</t>
  </si>
  <si>
    <t>12002-33002-0021-111-00023663-2023</t>
  </si>
  <si>
    <t>301-73200033</t>
  </si>
  <si>
    <t>301-73200035</t>
  </si>
  <si>
    <t>301-73200032</t>
  </si>
  <si>
    <t>12002-33002-0021-111-00022542-2023</t>
  </si>
  <si>
    <t>301-73200034</t>
  </si>
  <si>
    <t>301-70100065</t>
  </si>
  <si>
    <t>301-70100070</t>
  </si>
  <si>
    <t>301-70100066</t>
  </si>
  <si>
    <t>12002-33002-0021-111-00022615-2023</t>
  </si>
  <si>
    <t>12002-33002-0021-111-00023012-2023</t>
  </si>
  <si>
    <t>301-73200038</t>
  </si>
  <si>
    <t>301-70100069</t>
  </si>
  <si>
    <t>12002-33002-0021-111-00023122-2023</t>
  </si>
  <si>
    <t>12002-33002-0021-111-00023524-2023</t>
  </si>
  <si>
    <t>12002-33002-0002-112-00023610-2023</t>
  </si>
  <si>
    <t>00017391</t>
  </si>
  <si>
    <t>12002-33002-0012-106-00023649-2023</t>
  </si>
  <si>
    <t>12001-33002-005-113-00010668-2023</t>
  </si>
  <si>
    <t>LEREXCOM PETROLEUM (Groupe Ledya)</t>
  </si>
  <si>
    <t>301-30000005</t>
  </si>
  <si>
    <t>12002-33002-0021-111-00023528-2023</t>
  </si>
  <si>
    <t>12002-33002-0004-104-00023526-2023</t>
  </si>
  <si>
    <t>301-70100072</t>
  </si>
  <si>
    <t>12002-33002-0021-111-00023612-2023</t>
  </si>
  <si>
    <t>Africa Global Logistics - AGL  / Bolloré</t>
  </si>
  <si>
    <t>12002-33002-0021-111-00023551-2023</t>
  </si>
  <si>
    <t>12002-33002-0021-111-00023582-2023</t>
  </si>
  <si>
    <t>12002-33002-0021-111-00023625-2023</t>
  </si>
  <si>
    <t>12002-33002-0021-111-00023626-2023</t>
  </si>
  <si>
    <t>12002-33002-0021-111-00023661-2023</t>
  </si>
  <si>
    <t>12002-33002-0024-113-00023884-2023</t>
  </si>
  <si>
    <t>12002-33002-0002-112-00023919-2023</t>
  </si>
  <si>
    <t>12002-33002-0004-104-00022738-2023</t>
  </si>
  <si>
    <t>Teichmann Group / T3 projects</t>
  </si>
  <si>
    <t>33002-0012-111-0010883 / 0001</t>
  </si>
  <si>
    <t>12002-33002-0004-103-00022404-2023</t>
  </si>
  <si>
    <t>12001-33002-0001-103-00001852</t>
  </si>
  <si>
    <t>12002-13001-0006-114-00024316-2023</t>
  </si>
  <si>
    <t>ERG / Frontier SA ( Metalkol)</t>
  </si>
  <si>
    <t>12002-33002-0010-108-00019847-2023/2</t>
  </si>
  <si>
    <t>Compagnie Africaine d'Aviation - CAA</t>
  </si>
  <si>
    <t>Arthur J. Gallaghers</t>
  </si>
  <si>
    <t>33002-0011-111-0013176 / 0001</t>
  </si>
  <si>
    <t>33002-0009-113-0000601 / 0003</t>
  </si>
  <si>
    <t>Mr Colla</t>
  </si>
  <si>
    <t>12002-33002-0004-104-00023294-2023</t>
  </si>
  <si>
    <t>301-45000005</t>
  </si>
  <si>
    <t>Ivanhoe Limited / IMEs &amp; KICO</t>
  </si>
  <si>
    <t>301-60100003</t>
  </si>
  <si>
    <t>SHA</t>
  </si>
  <si>
    <t>33002-0006-112-0000699 / 0003</t>
  </si>
  <si>
    <t>Teichmann Group / Mashamba Mill</t>
  </si>
  <si>
    <t>33002-0006-112-0000700 / 0003</t>
  </si>
  <si>
    <t>Teichmann Group / Mashamba Farm</t>
  </si>
  <si>
    <t>33002-0014-122-0011794 / 0001</t>
  </si>
  <si>
    <t>Data Center</t>
  </si>
  <si>
    <t>12002-33002-0021-111-00021920-2023</t>
  </si>
  <si>
    <t>12002-33002-0021-111-00023209-2023</t>
  </si>
  <si>
    <t>301-70100060</t>
  </si>
  <si>
    <t>12005-33002-0008-13001-00001525-2022</t>
  </si>
  <si>
    <t>Liquid Telecom DRC</t>
  </si>
  <si>
    <t>12001-33006-0012-114-00001374-2021</t>
  </si>
  <si>
    <t>01-TRC-2020-000013</t>
  </si>
  <si>
    <t>101-10200012</t>
  </si>
  <si>
    <t>AEB</t>
  </si>
  <si>
    <t>ND0088/AIB RDC/2023</t>
  </si>
  <si>
    <t>HARBOUR INSURANCE PTE Ltd</t>
  </si>
  <si>
    <t>33002-0004-119-0011898 / 0001</t>
  </si>
  <si>
    <t>Syntyche MWEMA wa MBUYA</t>
  </si>
  <si>
    <t>Banking</t>
  </si>
  <si>
    <t>Total général</t>
  </si>
  <si>
    <t>MONTHS</t>
  </si>
  <si>
    <t>CATEGORIES</t>
  </si>
  <si>
    <t>PRODUCT NAMES</t>
  </si>
  <si>
    <t>ACCOUNT MANAGERS</t>
  </si>
  <si>
    <t>ASSISTANTS</t>
  </si>
  <si>
    <t>HERMINE</t>
  </si>
  <si>
    <t>LOST</t>
  </si>
  <si>
    <t>GRACE</t>
  </si>
  <si>
    <t>CANCELLED</t>
  </si>
  <si>
    <t>Gras Savoye Kenya</t>
  </si>
  <si>
    <t>CYBER</t>
  </si>
  <si>
    <t>RAMSY</t>
  </si>
  <si>
    <t>SERGE</t>
  </si>
  <si>
    <t>VICTOR</t>
  </si>
  <si>
    <t>AON</t>
  </si>
  <si>
    <t>NIRAJ</t>
  </si>
  <si>
    <t>Fenchurch Insurance</t>
  </si>
  <si>
    <t>SONAS</t>
  </si>
  <si>
    <t>DECEMBER</t>
  </si>
  <si>
    <t>UAP OLD MUTUAL</t>
  </si>
  <si>
    <t>PI - MEDICAL MALPRACTICE</t>
  </si>
  <si>
    <t>Étiquettes de lignes</t>
  </si>
  <si>
    <t>Total Gorss Premium</t>
  </si>
  <si>
    <t>Net Com(-Arca)</t>
  </si>
  <si>
    <t>Vat@16%</t>
  </si>
  <si>
    <t>Total Com</t>
  </si>
  <si>
    <t>Net Com(-Arca-Vat)</t>
  </si>
  <si>
    <t>Total TReceived</t>
  </si>
  <si>
    <t>Balance Due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</si>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</sst>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&quot;-&quot;mmm&quot;-&quot;yyyy"/>
    <numFmt numFmtId="165" formatCode="[$-409]dd\-mmm\-yy"/>
    <numFmt numFmtId="166" formatCode="_-[$$-409]* #,##0.00_ ;_-[$$-409]* \-#,##0.00\ ;_-[$$-409]* &quot;-&quot;??_ ;_-@_ "/>
    <numFmt numFmtId="167" formatCode="0.000%"/>
    <numFmt numFmtId="168" formatCode="[$-409]d\-mmm\-yy"/>
    <numFmt numFmtId="169" formatCode="dd&quot;/&quot;mm&quot;/&quot;yyyy"/>
    <numFmt numFmtId="170" formatCode="[$$]#,##0.00"/>
    <numFmt numFmtId="171" formatCode="#,##0.00\ [$€-1]"/>
  </numFmts>
  <fonts count="10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Docs-Calibri"/>
    </font>
    <font>
      <sz val="10"/>
      <color rgb="FF1F1F1F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165" fontId="7" fillId="0" borderId="0" xfId="0" applyNumberFormat="1" applyFont="1"/>
    <xf numFmtId="0" fontId="8" fillId="0" borderId="0" xfId="0" applyFont="1"/>
    <xf numFmtId="165" fontId="9" fillId="0" borderId="0" xfId="0" applyNumberFormat="1" applyFont="1"/>
    <xf numFmtId="0" fontId="1" fillId="0" borderId="3" xfId="0" applyFont="1" applyBorder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left" indent="1"/>
    </xf>
    <xf numFmtId="166" fontId="0" fillId="2" borderId="0" xfId="0" applyNumberFormat="1" applyFill="1"/>
    <xf numFmtId="16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168" fontId="1" fillId="0" borderId="0" xfId="0" applyNumberFormat="1" applyFont="1"/>
    <xf numFmtId="9" fontId="1" fillId="0" borderId="0" xfId="0" applyNumberFormat="1" applyFont="1"/>
    <xf numFmtId="14" fontId="1" fillId="0" borderId="0" xfId="0" applyNumberFormat="1" applyFont="1"/>
    <xf numFmtId="169" fontId="1" fillId="0" borderId="0" xfId="0" applyNumberFormat="1" applyFont="1"/>
    <xf numFmtId="0" fontId="1" fillId="0" borderId="0" xfId="0" quotePrefix="1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 applyAlignment="1">
      <alignment horizontal="right"/>
    </xf>
    <xf numFmtId="170" fontId="1" fillId="0" borderId="0" xfId="0" applyNumberFormat="1" applyFont="1"/>
    <xf numFmtId="14" fontId="2" fillId="0" borderId="0" xfId="0" applyNumberFormat="1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quotePrefix="1" applyFont="1"/>
    <xf numFmtId="3" fontId="1" fillId="0" borderId="0" xfId="0" applyNumberFormat="1" applyFont="1" applyAlignment="1">
      <alignment horizontal="left"/>
    </xf>
    <xf numFmtId="0" fontId="1" fillId="0" borderId="0" xfId="0" quotePrefix="1" applyFont="1"/>
    <xf numFmtId="171" fontId="1" fillId="0" borderId="0" xfId="0" applyNumberFormat="1" applyFont="1"/>
    <xf numFmtId="166" fontId="2" fillId="0" borderId="0" xfId="0" applyNumberFormat="1" applyFont="1"/>
    <xf numFmtId="0" fontId="2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quotePrefix="1" applyFont="1"/>
    <xf numFmtId="165" fontId="1" fillId="0" borderId="0" xfId="0" applyNumberFormat="1" applyFont="1" applyAlignment="1">
      <alignment horizontal="left"/>
    </xf>
    <xf numFmtId="166" fontId="3" fillId="0" borderId="0" xfId="0" applyNumberFormat="1" applyFont="1"/>
    <xf numFmtId="10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0" xfId="0" applyNumberFormat="1" applyFont="1"/>
    <xf numFmtId="166" fontId="4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right"/>
    </xf>
    <xf numFmtId="14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left"/>
    </xf>
    <xf numFmtId="166" fontId="3" fillId="0" borderId="0" xfId="0" applyNumberFormat="1" applyFont="1" applyAlignment="1">
      <alignment horizontal="right"/>
    </xf>
    <xf numFmtId="167" fontId="4" fillId="0" borderId="0" xfId="0" applyNumberFormat="1" applyFont="1"/>
    <xf numFmtId="10" fontId="4" fillId="0" borderId="0" xfId="0" applyNumberFormat="1" applyFont="1"/>
    <xf numFmtId="168" fontId="4" fillId="0" borderId="0" xfId="0" applyNumberFormat="1" applyFont="1"/>
    <xf numFmtId="9" fontId="4" fillId="0" borderId="0" xfId="0" applyNumberFormat="1" applyFont="1"/>
    <xf numFmtId="165" fontId="4" fillId="0" borderId="0" xfId="0" applyNumberFormat="1" applyFont="1"/>
    <xf numFmtId="169" fontId="4" fillId="0" borderId="0" xfId="0" applyNumberFormat="1" applyFont="1"/>
    <xf numFmtId="10" fontId="6" fillId="0" borderId="0" xfId="0" applyNumberFormat="1" applyFont="1"/>
    <xf numFmtId="0" fontId="6" fillId="0" borderId="0" xfId="0" applyFont="1"/>
    <xf numFmtId="166" fontId="1" fillId="3" borderId="0" xfId="0" applyNumberFormat="1" applyFont="1" applyFill="1"/>
    <xf numFmtId="166" fontId="4" fillId="3" borderId="0" xfId="0" applyNumberFormat="1" applyFont="1" applyFill="1"/>
    <xf numFmtId="166" fontId="2" fillId="0" borderId="2" xfId="0" applyNumberFormat="1" applyFont="1" applyBorder="1" applyAlignment="1">
      <alignment horizontal="right"/>
    </xf>
    <xf numFmtId="166" fontId="1" fillId="0" borderId="2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13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&quot;/&quot;mm&quot;/&quot;yyyy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ill>
        <patternFill patternType="none">
          <fgColor rgb="FFFFFFFF"/>
          <bgColor auto="1"/>
        </patternFill>
      </fill>
    </dxf>
    <dxf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dd&quot;/&quot;mm&quot;/&quot;yyyy"/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[$-409]dd\-mmm\-yy"/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[$-409]d\-mmm\-yy"/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_-[$$-409]* #,##0.00_ ;_-[$$-409]* \-#,##0.00\ ;_-[$$-409]* &quot;-&quot;??_ ;_-@_ 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F1F1F"/>
        <name val="Calibri"/>
        <scheme val="minor"/>
      </font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1F1F1F"/>
        <name val="Calibri"/>
        <scheme val="minor"/>
      </font>
      <numFmt numFmtId="14" formatCode="0.00%"/>
      <fill>
        <patternFill patternType="none">
          <fgColor rgb="FFFFFFFF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.000%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6" formatCode="_-[$$-409]* #,##0.00_ ;_-[$$-409]* \-#,##0.00\ ;_-[$$-409]* &quot;-&quot;??_ ;_-@_ 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theme="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theme="0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50.439222106485" createdVersion="8" refreshedVersion="8" minRefreshableVersion="3" recordCount="903" xr:uid="{F62BCB90-CD8D-4DAB-A8AE-8D2B1A1488A7}">
  <cacheSource type="worksheet">
    <worksheetSource ref="A1:BE904" sheet="BDM 2023"/>
  </cacheSource>
  <cacheFields count="57">
    <cacheField name="MONTH" numFmtId="0">
      <sharedItems count="11">
        <s v="JANUARY"/>
        <s v="FEBRUARY"/>
        <s v="MARCH"/>
        <s v="JUNE"/>
        <s v="MAY"/>
        <s v="NOVEMBER"/>
        <s v="APRIL"/>
        <s v="JULY"/>
        <s v="SEPTEMBER"/>
        <s v="AUGUST"/>
        <s v="OCTOBER"/>
      </sharedItems>
    </cacheField>
    <cacheField name="DECLARED TO ARCA" numFmtId="0">
      <sharedItems/>
    </cacheField>
    <cacheField name="OPERATION DATE" numFmtId="14">
      <sharedItems containsSemiMixedTypes="0" containsNonDate="0" containsDate="1" containsString="0" minDate="2022-02-22T00:00:00" maxDate="2024-04-29T00:00:00"/>
    </cacheField>
    <cacheField name="ISSUE DATE" numFmtId="0">
      <sharedItems containsDate="1" containsBlank="1" containsMixedTypes="1" minDate="2022-11-17T00:00:00" maxDate="2024-04-21T00:00:00"/>
    </cacheField>
    <cacheField name="EFFECT DATE" numFmtId="0">
      <sharedItems containsDate="1" containsBlank="1" containsMixedTypes="1" minDate="2023-01-01T00:00:00" maxDate="2023-11-16T00:00:00"/>
    </cacheField>
    <cacheField name="EXPIRY DATE" numFmtId="0">
      <sharedItems containsDate="1" containsBlank="1" containsMixedTypes="1" minDate="2021-03-08T00:00:00" maxDate="2025-10-31T00:00:00"/>
    </cacheField>
    <cacheField name="AIB REF." numFmtId="1">
      <sharedItems/>
    </cacheField>
    <cacheField name="N° D'AVENANT" numFmtId="0">
      <sharedItems containsString="0" containsBlank="1" containsNumber="1" containsInteger="1" minValue="0" maxValue="41"/>
    </cacheField>
    <cacheField name="TYPE D'AVENANT" numFmtId="0">
      <sharedItems/>
    </cacheField>
    <cacheField name="POLICY REF" numFmtId="0">
      <sharedItems containsBlank="1" containsMixedTypes="1" containsNumber="1" containsInteger="1" minValue="10100010" maxValue="30130000011"/>
    </cacheField>
    <cacheField name="CLIENT" numFmtId="0">
      <sharedItems/>
    </cacheField>
    <cacheField name="INDUSTRY" numFmtId="0">
      <sharedItems containsBlank="1"/>
    </cacheField>
    <cacheField name="ACC. MANAGER" numFmtId="0">
      <sharedItems/>
    </cacheField>
    <cacheField name="ASSISTED BY" numFmtId="0">
      <sharedItems/>
    </cacheField>
    <cacheField name="PRODUCT NAME" numFmtId="0">
      <sharedItems/>
    </cacheField>
    <cacheField name="CATEGORY" numFmtId="0">
      <sharedItems/>
    </cacheField>
    <cacheField name="INSURER" numFmtId="0">
      <sharedItems count="10">
        <s v="SFA"/>
        <s v="ACTIVA"/>
        <s v="ACTIVA/GGA"/>
        <s v="RAWSUR - LIFE"/>
        <s v="SUNU"/>
        <s v="MAYFAIR"/>
        <s v="RAWSUR"/>
        <s v="FACILITY SERVICES"/>
        <s v="ACTIVA - LIFE"/>
        <s v="AFRISSUR"/>
      </sharedItems>
    </cacheField>
    <cacheField name="REINSURER" numFmtId="0">
      <sharedItems/>
    </cacheField>
    <cacheField name="SUM INSURED" numFmtId="166">
      <sharedItems containsString="0" containsBlank="1" containsNumber="1" minValue="0" maxValue="2933200000"/>
    </cacheField>
    <cacheField name="GROSS PREMIUMS" numFmtId="166">
      <sharedItems containsString="0" containsBlank="1" containsNumber="1" minValue="-691453.4" maxValue="4560539.18"/>
    </cacheField>
    <cacheField name="FRONTING" numFmtId="166">
      <sharedItems containsString="0" containsBlank="1" containsNumber="1" minValue="-34725.199999999997" maxValue="464179.72"/>
    </cacheField>
    <cacheField name="FRONTING DISCOUNT" numFmtId="166">
      <sharedItems containsString="0" containsBlank="1" containsNumber="1" minValue="-233242.59" maxValue="37.700000000000003"/>
    </cacheField>
    <cacheField name="ACCESSOIRES" numFmtId="166">
      <sharedItems containsString="0" containsBlank="1" containsNumber="1" minValue="-100" maxValue="73547.570000000007"/>
    </cacheField>
    <cacheField name="NET PREMIUM" numFmtId="166">
      <sharedItems containsString="0" containsBlank="1" containsNumber="1" minValue="-561255.31999999995" maxValue="3400584"/>
    </cacheField>
    <cacheField name="VAT" numFmtId="166">
      <sharedItems containsString="0" containsBlank="1" containsNumber="1" minValue="-95372.88" maxValue="618378.18999999994"/>
    </cacheField>
    <cacheField name="RI RATE" numFmtId="167">
      <sharedItems containsMixedTypes="1" containsNumber="1" minValue="-6.2780857142857138E-2" maxValue="0.12040790476190476"/>
    </cacheField>
    <cacheField name="AIB Com %" numFmtId="10">
      <sharedItems containsString="0" containsBlank="1" containsNumber="1" minValue="0" maxValue="0.3"/>
    </cacheField>
    <cacheField name="LOCAL COM." numFmtId="166">
      <sharedItems containsSemiMixedTypes="0" containsString="0" containsNumber="1" minValue="-691.6" maxValue="58724.97"/>
    </cacheField>
    <cacheField name="FRONTING COM." numFmtId="166">
      <sharedItems containsString="0" containsBlank="1" containsNumber="1" minValue="-10417.56" maxValue="134117.14499999999"/>
    </cacheField>
    <cacheField name="RI COM." numFmtId="166">
      <sharedItems containsString="0" containsBlank="1" containsNumber="1" minValue="-1172.6972129310345" maxValue="56125.559999999947"/>
    </cacheField>
    <cacheField name="HON. FEES" numFmtId="166">
      <sharedItems containsSemiMixedTypes="0" containsString="0" containsNumber="1" minValue="-34.3566" maxValue="7747.4633999999996"/>
    </cacheField>
    <cacheField name="TOTAL NET / REVENUE (+ Arca)" numFmtId="166">
      <sharedItems containsSemiMixedTypes="0" containsString="0" containsNumber="1" minValue="-10417.56" maxValue="138677.12794799998"/>
    </cacheField>
    <cacheField name="TOTAL VAT / REVENUE" numFmtId="166">
      <sharedItems containsSemiMixedTypes="0" containsString="0" containsNumber="1" minValue="-1666.8096" maxValue="22188.340471679996"/>
    </cacheField>
    <cacheField name="GROSS REVENUE" numFmtId="166">
      <sharedItems containsSemiMixedTypes="0" containsString="0" containsNumber="1" minValue="-12084.3696" maxValue="160865.46841967996"/>
    </cacheField>
    <cacheField name="ARCA fees (2%)" numFmtId="166">
      <sharedItems containsSemiMixedTypes="0" containsString="0" containsNumber="1" minValue="-208.35120000000001" maxValue="2773.5425589599995"/>
    </cacheField>
    <cacheField name="A. PAID TO ARCA" numFmtId="166">
      <sharedItems containsString="0" containsBlank="1" containsNumber="1" containsInteger="1" minValue="0" maxValue="0"/>
    </cacheField>
    <cacheField name="BALANCE DUE TO ARCA" numFmtId="166">
      <sharedItems containsSemiMixedTypes="0" containsString="0" containsNumber="1" minValue="-208.35120000000001" maxValue="2773.5425589599995"/>
    </cacheField>
    <cacheField name="Date of Pymt to ARCA" numFmtId="0">
      <sharedItems containsNonDate="0" containsString="0" containsBlank="1"/>
    </cacheField>
    <cacheField name="NET COM (Excl all taxes)" numFmtId="166">
      <sharedItems containsSemiMixedTypes="0" containsString="0" containsNumber="1" minValue="-10209.2088" maxValue="135903.58538903997"/>
    </cacheField>
    <cacheField name="PARTNER" numFmtId="166">
      <sharedItems containsBlank="1"/>
    </cacheField>
    <cacheField name="% RATE TO PARTNER" numFmtId="0">
      <sharedItems containsString="0" containsBlank="1" containsNumber="1" minValue="0" maxValue="0.75"/>
    </cacheField>
    <cacheField name="A. DUE TO PARTNER" numFmtId="166">
      <sharedItems containsString="0" containsBlank="1" containsNumber="1" minValue="-77.365364999999997" maxValue="43162.85295"/>
    </cacheField>
    <cacheField name="A. PAID TO PARTNER" numFmtId="166">
      <sharedItems containsString="0" containsBlank="1" containsNumber="1" minValue="0.88200000000000012" maxValue="3010.56"/>
    </cacheField>
    <cacheField name="DATE OF PAYMT TO PARTNER" numFmtId="165">
      <sharedItems containsNonDate="0" containsDate="1" containsString="0" containsBlank="1" minDate="2023-09-19T00:00:00" maxDate="2023-10-31T00:00:00"/>
    </cacheField>
    <cacheField name="BALANCE DUE TO PARTNER" numFmtId="166">
      <sharedItems containsString="0" containsBlank="1" containsNumber="1" minValue="-77.365364999999997" maxValue="43162.85295"/>
    </cacheField>
    <cacheField name="REF PYMNT TO PARTNER" numFmtId="166">
      <sharedItems containsNonDate="0" containsString="0" containsBlank="1"/>
    </cacheField>
    <cacheField name="COM RECEIVED" numFmtId="166">
      <sharedItems containsString="0" containsBlank="1" containsNumber="1" minValue="-2070.4192870000002" maxValue="160865.46841967996"/>
    </cacheField>
    <cacheField name="COM INVOICED" numFmtId="166">
      <sharedItems containsSemiMixedTypes="0" containsString="0" containsNumber="1" minValue="-12084.3696" maxValue="160865.46841967996"/>
    </cacheField>
    <cacheField name="BALANCE DUE TO AIB" numFmtId="166">
      <sharedItems containsSemiMixedTypes="0" containsString="0" containsNumber="1" minValue="-12084.3696" maxValue="65105.815639999957"/>
    </cacheField>
    <cacheField name="DUE BY" numFmtId="166">
      <sharedItems/>
    </cacheField>
    <cacheField name="DATE OF RECEIPT" numFmtId="0">
      <sharedItems containsNonDate="0" containsDate="1" containsString="0" containsBlank="1" minDate="2023-01-23T00:00:00" maxDate="2023-11-15T00:00:00"/>
    </cacheField>
    <cacheField name="DEBIT NOTE REF." numFmtId="0">
      <sharedItems containsBlank="1"/>
    </cacheField>
    <cacheField name="RENEWAL STATUS" numFmtId="0">
      <sharedItems containsBlank="1"/>
    </cacheField>
    <cacheField name="COVER TO RENEW" numFmtId="0">
      <sharedItems containsBlank="1"/>
    </cacheField>
    <cacheField name="RENEWAL PREMIUM" numFmtId="0">
      <sharedItems containsString="0" containsBlank="1" containsNumber="1" minValue="1028.1120000000001" maxValue="1028.1120000000001"/>
    </cacheField>
    <cacheField name="RENEWAL INSURER" numFmtId="0">
      <sharedItems containsNonDate="0" containsString="0"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s v="Yes"/>
    <d v="2022-11-23T00:00:00"/>
    <d v="2022-12-16T00:00:00"/>
    <d v="2023-01-05T00:00:00"/>
    <d v="2023-10-14T00:00:00"/>
    <s v="000-001/AIB RDC/2023"/>
    <n v="7"/>
    <s v="INCORPORATION"/>
    <s v="12002-33002-0004-103-00017222-2022"/>
    <s v="Glencore / Kamoto Copper Company"/>
    <s v="Mining"/>
    <s v="ANDY"/>
    <s v="Andy"/>
    <s v="MOTOR TPL"/>
    <s v="MOTOR TPL"/>
    <x v="0"/>
    <s v="SFA"/>
    <n v="0"/>
    <n v="2212.14"/>
    <n v="0"/>
    <n v="0"/>
    <n v="27.64"/>
    <n v="1847.06"/>
    <n v="299.95"/>
    <e v="#DIV/0!"/>
    <n v="0.1"/>
    <n v="184.70600000000002"/>
    <n v="0"/>
    <n v="0"/>
    <n v="0"/>
    <n v="184.70600000000002"/>
    <n v="29.552960000000002"/>
    <n v="214.25896000000003"/>
    <n v="3.6941200000000003"/>
    <n v="0"/>
    <n v="3.6941200000000003"/>
    <m/>
    <n v="181.01188000000002"/>
    <m/>
    <m/>
    <n v="0"/>
    <m/>
    <m/>
    <n v="0"/>
    <m/>
    <n v="214.25896000000003"/>
    <n v="214.25896000000003"/>
    <n v="0"/>
    <s v="SFA"/>
    <d v="2023-01-23T00:00:00"/>
    <m/>
    <m/>
    <s v="MOTOR TPL"/>
    <m/>
    <m/>
    <s v="30/10/2023: Andy nous dit que Marsh nous doit la ND afin que Rawsur libère la commission dûe à AIB. Il faut suivre Marsh car rawsur Attend la RI Debit note."/>
  </r>
  <r>
    <x v="0"/>
    <s v="Yes"/>
    <d v="2022-11-23T00:00:00"/>
    <d v="2022-12-16T00:00:00"/>
    <d v="2023-01-25T00:00:00"/>
    <d v="2023-10-14T00:00:00"/>
    <s v="000-002/AIB RDC/2023"/>
    <n v="8"/>
    <s v="INCORPORATION"/>
    <s v="12002-33002-0004-103-00017222-2022"/>
    <s v="Glencore / Kamoto Copper Company"/>
    <s v="Mining"/>
    <s v="ANDY"/>
    <s v="Andy"/>
    <s v="MOTOR TPL"/>
    <s v="MOTOR TPL"/>
    <x v="0"/>
    <s v="SFA"/>
    <n v="0"/>
    <n v="3224.99"/>
    <n v="0"/>
    <n v="0"/>
    <n v="40.35"/>
    <n v="2692.7"/>
    <n v="437.28"/>
    <e v="#DIV/0!"/>
    <n v="0.1"/>
    <n v="269.27"/>
    <n v="0"/>
    <n v="0"/>
    <n v="0"/>
    <n v="269.27"/>
    <n v="43.083199999999998"/>
    <n v="312.35319999999996"/>
    <n v="5.3853999999999997"/>
    <n v="0"/>
    <n v="5.3853999999999997"/>
    <m/>
    <n v="263.88459999999998"/>
    <m/>
    <m/>
    <n v="0"/>
    <m/>
    <m/>
    <n v="0"/>
    <m/>
    <n v="312.35319999999996"/>
    <n v="312.35319999999996"/>
    <n v="0"/>
    <s v="SFA"/>
    <d v="2023-01-23T00:00:00"/>
    <m/>
    <m/>
    <s v="MOTOR TPL"/>
    <m/>
    <m/>
    <m/>
  </r>
  <r>
    <x v="0"/>
    <s v="Yes"/>
    <d v="2022-11-11T00:00:00"/>
    <d v="2022-12-29T00:00:00"/>
    <d v="2023-01-14T00:00:00"/>
    <d v="2024-01-13T00:00:00"/>
    <s v="000-003/AIB RDC/2023"/>
    <n v="2"/>
    <s v="RENOUVELLEMENT"/>
    <s v="00017790"/>
    <s v="IVANHOE / Kamoa Copper SA"/>
    <s v="Mining"/>
    <s v="ANDY"/>
    <s v="Sabrina"/>
    <s v="MOTOR TPL"/>
    <s v="MOTOR TPL"/>
    <x v="0"/>
    <s v="SFA"/>
    <n v="0"/>
    <n v="125061.45"/>
    <n v="0"/>
    <n v="-6056.27"/>
    <n v="1565.9"/>
    <n v="104418.39"/>
    <n v="16122.55"/>
    <e v="#DIV/0!"/>
    <n v="0.05"/>
    <n v="5220.9195"/>
    <n v="0"/>
    <n v="0"/>
    <n v="0"/>
    <n v="5220.9195"/>
    <n v="835.34712000000002"/>
    <n v="6056.2666200000003"/>
    <n v="104.41839"/>
    <n v="0"/>
    <n v="104.41839"/>
    <m/>
    <n v="5116.5011100000002"/>
    <m/>
    <m/>
    <n v="0"/>
    <m/>
    <m/>
    <n v="0"/>
    <m/>
    <n v="6056.2666200000003"/>
    <n v="6056.2666200000003"/>
    <n v="0"/>
    <s v="SFA"/>
    <d v="2023-01-23T00:00:00"/>
    <m/>
    <m/>
    <s v="MOTOR TPL"/>
    <m/>
    <m/>
    <m/>
  </r>
  <r>
    <x v="0"/>
    <s v="Yes"/>
    <d v="2022-12-24T00:00:00"/>
    <d v="2022-12-07T00:00:00"/>
    <d v="2023-01-01T00:00:00"/>
    <d v="2023-12-31T00:00:00"/>
    <s v="000-004/AIB RDC/2023"/>
    <n v="10"/>
    <s v="RENOUVELLEMENT"/>
    <s v="12001-9001-33002-0030000251-2020"/>
    <s v="CEGELEC RDC"/>
    <m/>
    <s v="ALICE"/>
    <s v="Apphia"/>
    <s v="MOTOR TPL"/>
    <s v="MOTOR TPL"/>
    <x v="1"/>
    <s v="ACTIVA"/>
    <n v="0"/>
    <n v="9474.31"/>
    <n v="0"/>
    <n v="0"/>
    <n v="80.87"/>
    <n v="8086.58"/>
    <n v="1306.8499999999999"/>
    <e v="#DIV/0!"/>
    <n v="0.1"/>
    <n v="808.65800000000002"/>
    <n v="0"/>
    <n v="0"/>
    <n v="0"/>
    <n v="808.65800000000002"/>
    <n v="129.38527999999999"/>
    <n v="938.04327999999998"/>
    <n v="16.173159999999999"/>
    <n v="0"/>
    <n v="16.173159999999999"/>
    <m/>
    <n v="792.48483999999996"/>
    <s v="OLEA"/>
    <m/>
    <n v="0"/>
    <m/>
    <m/>
    <n v="0"/>
    <m/>
    <n v="938.04327999999998"/>
    <n v="938.04327999999998"/>
    <n v="0"/>
    <s v="ACTIVA"/>
    <d v="2023-01-31T00:00:00"/>
    <m/>
    <m/>
    <s v="MOTOR TPL"/>
    <m/>
    <m/>
    <m/>
  </r>
  <r>
    <x v="0"/>
    <s v="Yes"/>
    <d v="2022-12-28T00:00:00"/>
    <d v="2022-12-21T00:00:00"/>
    <d v="2023-01-01T00:00:00"/>
    <d v="2023-12-31T00:00:00"/>
    <s v="000-005/AIB RDC/2023"/>
    <n v="1"/>
    <s v="RENOUVELLEMENT"/>
    <s v="12001-33002-008-102-00002900-2022"/>
    <s v="HAVAS AFRICA"/>
    <m/>
    <s v="ALICE"/>
    <s v="Apphia"/>
    <s v="MEDICAL"/>
    <s v="MEDICAL &amp; GPA"/>
    <x v="1"/>
    <s v="ACTIVA"/>
    <n v="0"/>
    <n v="21850.560000000001"/>
    <n v="0"/>
    <n v="0"/>
    <n v="216"/>
    <n v="21600"/>
    <n v="34.56"/>
    <e v="#DIV/0!"/>
    <n v="0.1"/>
    <n v="2160"/>
    <n v="0"/>
    <n v="0"/>
    <n v="0"/>
    <n v="2160"/>
    <n v="345.6"/>
    <n v="2505.6"/>
    <n v="43.2"/>
    <n v="0"/>
    <n v="43.2"/>
    <m/>
    <n v="2116.8000000000002"/>
    <m/>
    <m/>
    <n v="0"/>
    <m/>
    <m/>
    <n v="0"/>
    <m/>
    <n v="1252.8"/>
    <n v="2505.6"/>
    <n v="1252.8"/>
    <s v="ACTIVA"/>
    <d v="2023-04-19T00:00:00"/>
    <m/>
    <m/>
    <s v="MEDICAL"/>
    <m/>
    <m/>
    <s v="Paiement échéloné/2 ième tranche déjà payé/ Commissions à collecter"/>
  </r>
  <r>
    <x v="0"/>
    <s v="Yes"/>
    <d v="2022-12-12T00:00:00"/>
    <d v="2023-01-01T00:00:00"/>
    <d v="2023-01-01T00:00:00"/>
    <d v="2023-12-31T00:00:00"/>
    <s v="000-006/AIB RDC/2023"/>
    <n v="0"/>
    <s v="SOUSCRIPTION"/>
    <s v="12001-13001-0008-102-00004982-2022"/>
    <s v="RESOLVE TO SAVE LIFES"/>
    <m/>
    <s v="ALICE"/>
    <s v="Apphia"/>
    <s v="MEDICAL"/>
    <s v="MEDICAL &amp; GPA"/>
    <x v="2"/>
    <s v="ACTIVA/GGA"/>
    <n v="0"/>
    <n v="18225"/>
    <n v="0"/>
    <n v="0"/>
    <n v="0"/>
    <n v="9864.75"/>
    <n v="0"/>
    <e v="#DIV/0!"/>
    <n v="6.5484680301072004E-2"/>
    <n v="645.99"/>
    <n v="0"/>
    <n v="0"/>
    <n v="0"/>
    <n v="645.99"/>
    <n v="0"/>
    <n v="645.99"/>
    <n v="12.9198"/>
    <n v="0"/>
    <n v="12.9198"/>
    <m/>
    <n v="633.0702"/>
    <s v="OLEA"/>
    <n v="0.35"/>
    <n v="221.57456999999999"/>
    <m/>
    <m/>
    <n v="221.57456999999999"/>
    <m/>
    <n v="645.99"/>
    <n v="645.99"/>
    <n v="0"/>
    <s v="ACTIVA/GGA"/>
    <d v="2023-08-08T00:00:00"/>
    <m/>
    <m/>
    <s v="MEDICAL"/>
    <m/>
    <m/>
    <m/>
  </r>
  <r>
    <x v="0"/>
    <s v="Yes"/>
    <d v="2022-12-02T00:00:00"/>
    <m/>
    <d v="2023-01-01T00:00:00"/>
    <d v="2023-12-31T00:00:00"/>
    <s v="000-007/AIB RDC/2023"/>
    <n v="3"/>
    <s v="RENOUVELLEMENT"/>
    <s v="11001-33002-0001-207-00000030-2022 / 301-219000007"/>
    <s v="MAERSK CONGO RDC SA"/>
    <m/>
    <s v="ALICE"/>
    <s v="Apphia"/>
    <s v="LIFE"/>
    <s v="LIFE"/>
    <x v="3"/>
    <s v="RAWSUR - LIFE"/>
    <n v="0"/>
    <n v="14970"/>
    <n v="0"/>
    <n v="0"/>
    <n v="38"/>
    <n v="14783.79"/>
    <n v="0"/>
    <e v="#DIV/0!"/>
    <n v="0.1"/>
    <n v="1478.3790000000001"/>
    <n v="0"/>
    <n v="0"/>
    <n v="0"/>
    <n v="1478.3790000000001"/>
    <n v="0"/>
    <n v="1478.3790000000001"/>
    <n v="14.783790000000002"/>
    <n v="0"/>
    <n v="14.783790000000002"/>
    <m/>
    <n v="1463.5952100000002"/>
    <s v="MERCER"/>
    <n v="0.7"/>
    <n v="1024.5166470000001"/>
    <m/>
    <m/>
    <n v="1024.5166470000001"/>
    <m/>
    <n v="1478.3790000000001"/>
    <n v="1478.3790000000001"/>
    <n v="0"/>
    <s v="RAWSUR - LIFE"/>
    <d v="2023-07-17T00:00:00"/>
    <m/>
    <m/>
    <s v="LIFE"/>
    <m/>
    <m/>
    <m/>
  </r>
  <r>
    <x v="0"/>
    <s v="Yes"/>
    <d v="2022-12-29T00:00:00"/>
    <d v="2022-12-31T00:00:00"/>
    <d v="2023-01-01T00:00:00"/>
    <d v="2023-12-31T00:00:00"/>
    <s v="000-008/AIB RDC/2023"/>
    <n v="0"/>
    <s v="SOUSCRIPTION"/>
    <s v="12001-33002-0001-103-00004929-2022"/>
    <s v="Bolloré Transport &amp; Logistics"/>
    <s v="Transport"/>
    <s v="SYNTYCHE"/>
    <s v="Grâce"/>
    <s v="MOTOR TPL"/>
    <s v="MOTOR TPL"/>
    <x v="1"/>
    <s v="ACTIVA"/>
    <n v="0"/>
    <n v="50604.187999999995"/>
    <n v="0"/>
    <n v="0"/>
    <n v="431.92"/>
    <n v="43192.38"/>
    <n v="6979.887999999999"/>
    <e v="#DIV/0!"/>
    <n v="0.1"/>
    <n v="4319.2380000000003"/>
    <n v="0"/>
    <n v="0"/>
    <n v="0"/>
    <n v="4319.2380000000003"/>
    <n v="691.07808000000011"/>
    <n v="5010.3160800000005"/>
    <n v="86.384760000000014"/>
    <n v="0"/>
    <n v="86.384760000000014"/>
    <m/>
    <n v="4232.8532400000004"/>
    <s v="OLEA"/>
    <m/>
    <n v="0"/>
    <m/>
    <m/>
    <n v="0"/>
    <m/>
    <n v="5010.3160800000005"/>
    <n v="5010.3160800000005"/>
    <n v="0"/>
    <s v="ACTIVA"/>
    <d v="2023-01-31T00:00:00"/>
    <m/>
    <m/>
    <s v="MOTOR TPL"/>
    <m/>
    <m/>
    <m/>
  </r>
  <r>
    <x v="0"/>
    <s v="Yes"/>
    <d v="2022-11-19T00:00:00"/>
    <d v="2022-12-19T00:00:00"/>
    <d v="2023-01-07T00:00:00"/>
    <d v="2024-01-06T00:00:00"/>
    <s v="000-009/AIB RDC/2023"/>
    <n v="2"/>
    <s v="RENOUVELLEMENT"/>
    <s v="12002-33002-0007-101-00017716-2022"/>
    <s v="SERVICE MAINTENANCE SOLUTION ( SMS)"/>
    <m/>
    <s v="MICHEE"/>
    <s v="Tychique"/>
    <s v="GPA"/>
    <s v="MEDICAL &amp; GPA"/>
    <x v="0"/>
    <s v="SFA"/>
    <n v="0"/>
    <n v="997.03"/>
    <n v="0"/>
    <n v="0"/>
    <n v="20"/>
    <n v="824.94"/>
    <n v="135.19"/>
    <e v="#DIV/0!"/>
    <n v="0.1"/>
    <n v="82.494000000000014"/>
    <n v="0"/>
    <n v="0"/>
    <n v="0"/>
    <n v="82.494000000000014"/>
    <n v="13.199040000000002"/>
    <n v="95.693040000000011"/>
    <n v="1.6498800000000002"/>
    <n v="0"/>
    <n v="1.6498800000000002"/>
    <m/>
    <n v="80.844120000000018"/>
    <m/>
    <m/>
    <n v="0"/>
    <m/>
    <m/>
    <n v="0"/>
    <m/>
    <n v="95.693040000000011"/>
    <n v="95.693040000000011"/>
    <n v="0"/>
    <s v="SFA"/>
    <d v="2023-01-23T00:00:00"/>
    <m/>
    <m/>
    <s v="GPA"/>
    <m/>
    <m/>
    <m/>
  </r>
  <r>
    <x v="0"/>
    <s v="Yes"/>
    <d v="2023-06-07T00:00:00"/>
    <d v="2023-01-01T00:00:00"/>
    <d v="2023-01-01T00:00:00"/>
    <d v="2023-12-31T00:00:00"/>
    <s v="000-010/AIB RDC/2023"/>
    <n v="3"/>
    <s v="RENOUVELLEMENT"/>
    <s v="12001-33002-0014-007-00000398-2020"/>
    <s v="FERONIA - PLANTATIONS ET HUILERIES DU CONGO ( PHC)"/>
    <m/>
    <s v="MICHEE"/>
    <s v="Tychique"/>
    <s v="MARINE CARGO / GIT"/>
    <s v="MARINE"/>
    <x v="1"/>
    <s v="ACTIVA"/>
    <n v="6000000"/>
    <n v="36936.21"/>
    <n v="4682.3999999999996"/>
    <n v="0"/>
    <n v="313.57"/>
    <n v="31216"/>
    <n v="0"/>
    <n v="5.2026666666666671E-3"/>
    <n v="0.242397061336067"/>
    <n v="7566.6666666666679"/>
    <n v="1404.7199999999998"/>
    <n v="1167.03"/>
    <n v="0"/>
    <n v="10138.416666666668"/>
    <n v="1622.146666666667"/>
    <n v="11760.563333333335"/>
    <n v="202.76833333333337"/>
    <n v="0"/>
    <n v="202.76833333333337"/>
    <m/>
    <n v="9935.6483333333344"/>
    <m/>
    <m/>
    <n v="0"/>
    <m/>
    <m/>
    <n v="0"/>
    <m/>
    <n v="11760.56"/>
    <n v="11760.56"/>
    <n v="0"/>
    <s v="ACTIVA"/>
    <d v="2023-06-05T00:00:00"/>
    <m/>
    <m/>
    <s v="MARINE CARGO / GIT"/>
    <m/>
    <m/>
    <m/>
  </r>
  <r>
    <x v="0"/>
    <s v="Yes"/>
    <d v="2023-06-07T00:00:00"/>
    <d v="2023-01-01T00:00:00"/>
    <d v="2023-01-01T00:00:00"/>
    <d v="2023-12-31T00:00:00"/>
    <s v="000-011/AIB RDC/2023"/>
    <n v="3"/>
    <s v="RENOUVELLEMENT"/>
    <s v="12001-33002-9007-009-00000396-2020"/>
    <s v="FERONIA - PLANTATIONS ET HUILERIES DU CONGO ( PHC)"/>
    <m/>
    <s v="MICHEE"/>
    <s v="Tychique"/>
    <s v="FIRE"/>
    <s v="PROPERTIES"/>
    <x v="1"/>
    <s v="ACTIVA"/>
    <n v="53720798"/>
    <n v="75783.09"/>
    <n v="9591.75"/>
    <n v="0"/>
    <n v="760.4"/>
    <n v="63945"/>
    <n v="0"/>
    <n v="1.1903211117601045E-3"/>
    <n v="1.27399354509937E-2"/>
    <n v="814.65517241379212"/>
    <n v="2877.5250000000001"/>
    <n v="4073.28"/>
    <n v="0"/>
    <n v="7765.460172413792"/>
    <n v="1242.4736275862067"/>
    <n v="9007.9337999999989"/>
    <n v="155.30920344827584"/>
    <n v="0"/>
    <n v="155.30920344827584"/>
    <m/>
    <n v="7610.1509689655159"/>
    <m/>
    <m/>
    <n v="0"/>
    <m/>
    <m/>
    <n v="0"/>
    <m/>
    <n v="9007.83"/>
    <n v="9007.83"/>
    <n v="0"/>
    <s v="ACTIVA"/>
    <d v="2023-06-05T00:00:00"/>
    <m/>
    <m/>
    <s v="FIRE"/>
    <m/>
    <m/>
    <m/>
  </r>
  <r>
    <x v="0"/>
    <s v="Yes"/>
    <d v="2023-02-09T00:00:00"/>
    <d v="2023-01-02T00:00:00"/>
    <d v="2023-01-01T00:00:00"/>
    <d v="2023-12-31T00:00:00"/>
    <s v="000-012/AIB RDC/2023"/>
    <n v="4"/>
    <s v="RENOUVELLEMENT"/>
    <s v="12001-09001/3002/140 000 296"/>
    <s v="FERONIA - PLANTATIONS ET HUILERIES DU CONGO ( PHC)"/>
    <m/>
    <s v="MICHEE"/>
    <s v="Tychique"/>
    <s v="MOTOR TPL"/>
    <s v="MOTOR TPL"/>
    <x v="1"/>
    <s v="ACTIVA"/>
    <n v="1000000"/>
    <n v="51727.98"/>
    <n v="0"/>
    <n v="0"/>
    <n v="512.16"/>
    <n v="51215.82"/>
    <n v="0"/>
    <n v="5.1215820000000002E-2"/>
    <n v="0.100932368890994"/>
    <n v="5169.3340372947478"/>
    <n v="0"/>
    <n v="0"/>
    <n v="0"/>
    <n v="5169.3340372947478"/>
    <n v="827.09344596715971"/>
    <n v="5996.4274832619076"/>
    <n v="103.38668074589496"/>
    <n v="0"/>
    <n v="103.38668074589496"/>
    <m/>
    <n v="5065.9473565488524"/>
    <m/>
    <m/>
    <n v="0"/>
    <m/>
    <m/>
    <n v="0"/>
    <m/>
    <n v="5996.4274832619076"/>
    <n v="5996.4274832619076"/>
    <n v="0"/>
    <s v="ACTIVA"/>
    <d v="2023-03-08T00:00:00"/>
    <m/>
    <m/>
    <s v="MOTOR TPL"/>
    <m/>
    <m/>
    <m/>
  </r>
  <r>
    <x v="0"/>
    <s v="Yes"/>
    <d v="2023-06-07T00:00:00"/>
    <d v="2023-01-01T00:00:00"/>
    <d v="2023-01-01T00:00:00"/>
    <d v="2023-12-31T00:00:00"/>
    <s v="000-013/AIB RDC/2023"/>
    <n v="3"/>
    <s v="RENOUVELLEMENT"/>
    <s v="12001-33002-9005-014-00000399-2020"/>
    <s v="FERONIA - PLANTATIONS ET HUILERIES DU CONGO ( PHC)"/>
    <m/>
    <s v="MICHEE"/>
    <s v="Tychique"/>
    <s v="GENERAL LIABILITY"/>
    <s v="LIABILITIES"/>
    <x v="1"/>
    <s v="ACTIVA"/>
    <n v="1000000"/>
    <n v="9200.86"/>
    <n v="0"/>
    <n v="0"/>
    <n v="0"/>
    <n v="8965.4500000000007"/>
    <n v="0"/>
    <n v="8.9654500000000015E-3"/>
    <n v="0.15"/>
    <n v="1344.8175000000001"/>
    <n v="0"/>
    <n v="0"/>
    <n v="0"/>
    <n v="1344.8175000000001"/>
    <n v="215.17080000000001"/>
    <n v="1559.9883000000002"/>
    <n v="26.896350000000002"/>
    <n v="0"/>
    <n v="26.896350000000002"/>
    <m/>
    <n v="1317.9211500000001"/>
    <m/>
    <m/>
    <n v="0"/>
    <m/>
    <m/>
    <n v="0"/>
    <m/>
    <n v="1559.9883000000002"/>
    <n v="1559.9883000000002"/>
    <n v="0"/>
    <s v="ACTIVA"/>
    <d v="2023-06-05T00:00:00"/>
    <m/>
    <m/>
    <s v="GENERAL LIABILITY"/>
    <m/>
    <m/>
    <m/>
  </r>
  <r>
    <x v="0"/>
    <s v="Yes"/>
    <d v="2022-12-19T00:00:00"/>
    <d v="2022-12-19T00:00:00"/>
    <d v="2023-01-07T00:00:00"/>
    <d v="2024-01-06T00:00:00"/>
    <s v="000-014/AIB RDC/2023"/>
    <n v="2"/>
    <s v="RENOUVELLEMENT"/>
    <s v="12002-33002-0024-113-00017717-2022"/>
    <s v="SERVICE MAINTENANCE SOLUTION ( SMS)"/>
    <m/>
    <s v="MICHEE"/>
    <s v="Tychique"/>
    <s v="GENERAL LIABILITY"/>
    <s v="LIABILITIES"/>
    <x v="0"/>
    <s v="SFA"/>
    <n v="500000"/>
    <n v="2621"/>
    <n v="0"/>
    <n v="0"/>
    <n v="21"/>
    <n v="2200.19"/>
    <n v="355.39"/>
    <n v="4.4003799999999997E-3"/>
    <n v="0.15"/>
    <n v="330.02850000000001"/>
    <n v="0"/>
    <n v="0"/>
    <n v="0"/>
    <n v="330.02850000000001"/>
    <n v="52.804560000000002"/>
    <n v="382.83305999999999"/>
    <n v="6.6005700000000003"/>
    <n v="0"/>
    <n v="6.6005700000000003"/>
    <m/>
    <n v="323.42793"/>
    <m/>
    <m/>
    <n v="0"/>
    <m/>
    <m/>
    <n v="0"/>
    <m/>
    <n v="382.83305999999999"/>
    <n v="382.83305999999999"/>
    <n v="0"/>
    <s v="SFA"/>
    <d v="2023-01-23T00:00:00"/>
    <m/>
    <m/>
    <s v="GENERAL LIABILITY"/>
    <m/>
    <m/>
    <m/>
  </r>
  <r>
    <x v="0"/>
    <s v="Yes"/>
    <d v="2022-12-14T00:00:00"/>
    <d v="2022-12-21T00:00:00"/>
    <d v="2023-01-01T00:00:00"/>
    <d v="2023-12-31T00:00:00"/>
    <s v="000-015/AIB RDC/2023"/>
    <n v="3"/>
    <s v="RENOUVELLEMENT"/>
    <s v="33002-0017-104-0000032 / 10"/>
    <s v="Cargoman Sarl"/>
    <s v="Aviation"/>
    <s v="ANDY"/>
    <s v="Andy"/>
    <s v="MOTOR TPL"/>
    <s v="MOTOR TPL"/>
    <x v="4"/>
    <s v="SUNU"/>
    <n v="0"/>
    <n v="2177.3200000000002"/>
    <n v="0"/>
    <n v="0"/>
    <n v="18.579999999999998"/>
    <n v="1858.41"/>
    <n v="300.32"/>
    <e v="#DIV/0!"/>
    <n v="0.1"/>
    <n v="185.84100000000001"/>
    <n v="0"/>
    <n v="0"/>
    <n v="0"/>
    <n v="185.84100000000001"/>
    <n v="29.734560000000002"/>
    <n v="215.57556"/>
    <n v="3.7168200000000002"/>
    <n v="0"/>
    <n v="3.7168200000000002"/>
    <m/>
    <n v="182.12418"/>
    <m/>
    <m/>
    <n v="0"/>
    <m/>
    <m/>
    <n v="0"/>
    <m/>
    <n v="215.57556"/>
    <n v="215.57556"/>
    <n v="0"/>
    <s v="SUNU"/>
    <d v="2023-02-08T00:00:00"/>
    <m/>
    <m/>
    <s v="MOTOR TPL"/>
    <m/>
    <m/>
    <m/>
  </r>
  <r>
    <x v="0"/>
    <s v="Yes"/>
    <d v="2022-12-17T00:00:00"/>
    <d v="2022-12-17T00:00:00"/>
    <d v="2023-01-01T00:00:00"/>
    <d v="2023-12-31T00:00:00"/>
    <s v="000-016/AIB RDC/2023"/>
    <n v="2"/>
    <s v="RENOUVELLEMENT"/>
    <s v="33002-0011-111-0000927 / 0003"/>
    <s v="Canal Plus RDC  SARLU"/>
    <s v="Audiovision"/>
    <s v="ANDY"/>
    <s v="Andy"/>
    <s v="MARINE CARGO / GIT"/>
    <s v="MARINE"/>
    <x v="4"/>
    <s v="SUNU"/>
    <n v="0"/>
    <n v="41173.21"/>
    <n v="0"/>
    <n v="0"/>
    <n v="351.42"/>
    <n v="35142.720000000001"/>
    <n v="5679.07"/>
    <e v="#DIV/0!"/>
    <n v="0.15"/>
    <n v="5271.4080000000004"/>
    <n v="0"/>
    <n v="0"/>
    <n v="0"/>
    <n v="5271.4080000000004"/>
    <n v="843.42528000000004"/>
    <n v="6114.8332800000007"/>
    <n v="105.42816000000001"/>
    <n v="0"/>
    <n v="105.42816000000001"/>
    <m/>
    <n v="5165.97984"/>
    <s v="OLEA"/>
    <m/>
    <n v="0"/>
    <m/>
    <m/>
    <n v="0"/>
    <m/>
    <n v="6114.8332800000007"/>
    <n v="6114.8332800000007"/>
    <n v="0"/>
    <s v="SUNU"/>
    <d v="2023-02-08T00:00:00"/>
    <m/>
    <m/>
    <s v="MARINE CARGO / GIT"/>
    <m/>
    <m/>
    <m/>
  </r>
  <r>
    <x v="0"/>
    <s v="Yes"/>
    <d v="2022-12-20T00:00:00"/>
    <d v="2023-02-22T00:00:00"/>
    <d v="2023-01-01T00:00:00"/>
    <d v="2023-12-31T00:00:00"/>
    <s v="000-017/AIB RDC/2023"/>
    <n v="3"/>
    <s v="RENOUVELLEMENT"/>
    <s v="12001-09005/3002/1450000323"/>
    <s v="Cegelec CSS (Vinci energies)"/>
    <s v="Construction"/>
    <s v="ANDY"/>
    <s v="Andy"/>
    <s v="GENERAL LIABILITY"/>
    <s v="LIABILITIES"/>
    <x v="1"/>
    <s v="ACTIVA"/>
    <n v="0"/>
    <n v="3729.69"/>
    <n v="0"/>
    <n v="0"/>
    <n v="31.83"/>
    <n v="3183.42"/>
    <n v="514.44000000000005"/>
    <e v="#DIV/0!"/>
    <n v="0.15"/>
    <n v="477.51299999999998"/>
    <n v="0"/>
    <n v="0"/>
    <n v="0"/>
    <n v="477.51299999999998"/>
    <n v="76.402079999999998"/>
    <n v="553.91507999999999"/>
    <n v="9.5502599999999997"/>
    <n v="0"/>
    <n v="9.5502599999999997"/>
    <m/>
    <n v="467.96274"/>
    <s v="OLEA"/>
    <m/>
    <n v="0"/>
    <m/>
    <m/>
    <n v="0"/>
    <m/>
    <n v="553.91507999999999"/>
    <n v="553.91507999999999"/>
    <n v="0"/>
    <s v="ACTIVA"/>
    <d v="2023-04-19T00:00:00"/>
    <m/>
    <m/>
    <s v="GENERAL LIABILITY"/>
    <m/>
    <m/>
    <m/>
  </r>
  <r>
    <x v="0"/>
    <s v="Yes"/>
    <d v="2022-12-26T00:00:00"/>
    <d v="2023-01-06T00:00:00"/>
    <d v="2023-01-01T00:00:00"/>
    <d v="2023-12-31T00:00:00"/>
    <s v="000-018/AIB RDC/2023"/>
    <n v="2"/>
    <s v="RENOUVELLEMENT"/>
    <s v="12005-33002-0012-13001-00004352-2022"/>
    <s v="Agence Française de Développement - AFD"/>
    <s v="NGO"/>
    <s v="ANDY"/>
    <s v="Sabrina"/>
    <s v="FIRE"/>
    <s v="PROPERTIES"/>
    <x v="5"/>
    <s v="MAYFAIR"/>
    <n v="3109816"/>
    <n v="5116.32"/>
    <n v="0"/>
    <n v="0"/>
    <n v="50"/>
    <n v="4966"/>
    <n v="0"/>
    <n v="1.5968790436475984E-3"/>
    <n v="0.15"/>
    <n v="744.9"/>
    <n v="0"/>
    <n v="0"/>
    <n v="0"/>
    <n v="744.9"/>
    <n v="0"/>
    <n v="744.9"/>
    <n v="14.898"/>
    <n v="0"/>
    <n v="14.898"/>
    <m/>
    <n v="730.00199999999995"/>
    <s v="OLEA"/>
    <m/>
    <n v="0"/>
    <m/>
    <m/>
    <n v="0"/>
    <m/>
    <n v="744.9"/>
    <n v="744.9"/>
    <n v="0"/>
    <s v="MAYFAIR"/>
    <d v="2023-03-03T00:00:00"/>
    <m/>
    <m/>
    <s v="FIRE"/>
    <m/>
    <m/>
    <m/>
  </r>
  <r>
    <x v="0"/>
    <s v="Yes"/>
    <d v="2022-12-27T00:00:00"/>
    <d v="2023-01-06T00:00:00"/>
    <d v="2023-01-01T00:00:00"/>
    <d v="2023-12-31T00:00:00"/>
    <s v="000-019/AIB RDC/2023"/>
    <n v="1"/>
    <s v="RENOUVELLEMENT"/>
    <s v="12005-33002-0012-13001-00004353-2022"/>
    <s v="Agence Française de Développement - AFD"/>
    <s v="NGO"/>
    <s v="ANDY"/>
    <s v="Sabrina"/>
    <s v="FIRE/HOME"/>
    <s v="PROPERTIES"/>
    <x v="5"/>
    <s v="MAYFAIR"/>
    <n v="2101010"/>
    <n v="2559.1799999999998"/>
    <n v="0"/>
    <n v="0"/>
    <n v="50"/>
    <n v="2459"/>
    <n v="0"/>
    <n v="1.170389479345648E-3"/>
    <n v="0.2"/>
    <n v="491.8"/>
    <n v="0"/>
    <n v="0"/>
    <n v="0"/>
    <n v="491.8"/>
    <n v="0"/>
    <n v="491.8"/>
    <n v="9.8360000000000003"/>
    <n v="0"/>
    <n v="9.8360000000000003"/>
    <m/>
    <n v="481.964"/>
    <s v="OLEA"/>
    <m/>
    <n v="0"/>
    <m/>
    <m/>
    <n v="0"/>
    <m/>
    <n v="491.8"/>
    <n v="491.8"/>
    <n v="0"/>
    <s v="MAYFAIR"/>
    <d v="2023-03-03T00:00:00"/>
    <m/>
    <m/>
    <s v="FIRE/HOME"/>
    <m/>
    <m/>
    <m/>
  </r>
  <r>
    <x v="0"/>
    <s v="Yes"/>
    <d v="2022-12-27T00:00:00"/>
    <d v="2023-01-06T00:00:00"/>
    <d v="2023-01-01T00:00:00"/>
    <d v="2023-12-31T00:00:00"/>
    <s v="000-020/AIB RDC/2023"/>
    <n v="1"/>
    <s v="RENOUVELLEMENT"/>
    <s v="12005-33002-0014-13001-00004354-2022"/>
    <s v="Agence Française de Développement - AFD"/>
    <s v="NGO"/>
    <s v="ANDY"/>
    <s v="Sabrina"/>
    <s v="GENERAL LIABILITY"/>
    <s v="LIABILITIES"/>
    <x v="5"/>
    <s v="MAYFAIR"/>
    <n v="0"/>
    <n v="888"/>
    <n v="0"/>
    <n v="0"/>
    <n v="20"/>
    <n v="850"/>
    <n v="0"/>
    <e v="#DIV/0!"/>
    <n v="0.15"/>
    <n v="127.5"/>
    <n v="0"/>
    <n v="0"/>
    <n v="0"/>
    <n v="127.5"/>
    <n v="0"/>
    <n v="127.5"/>
    <n v="2.5500000000000003"/>
    <n v="0"/>
    <n v="2.5500000000000003"/>
    <m/>
    <n v="124.95"/>
    <s v="OLEA"/>
    <m/>
    <n v="0"/>
    <m/>
    <m/>
    <n v="0"/>
    <m/>
    <n v="127.5"/>
    <n v="127.5"/>
    <n v="0"/>
    <s v="MAYFAIR"/>
    <d v="2023-03-03T00:00:00"/>
    <m/>
    <m/>
    <s v="GENERAL LIABILITY"/>
    <m/>
    <m/>
    <m/>
  </r>
  <r>
    <x v="0"/>
    <s v="Yes"/>
    <d v="2022-12-27T00:00:00"/>
    <d v="2023-01-06T00:00:00"/>
    <d v="2023-01-01T00:00:00"/>
    <d v="2023-12-31T00:00:00"/>
    <s v="000-021/AIB RDC/2023"/>
    <n v="1"/>
    <s v="RENOUVELLEMENT"/>
    <s v="12005-33002-0014-13001-00004355-2022"/>
    <s v="Agence Française de Développement - AFD"/>
    <s v="NGO"/>
    <s v="ANDY"/>
    <s v="Sabrina"/>
    <s v="GENERAL LIABILITY"/>
    <s v="LIABILITIES"/>
    <x v="5"/>
    <s v="MAYFAIR"/>
    <n v="0"/>
    <n v="530.4"/>
    <n v="0"/>
    <n v="0"/>
    <n v="20"/>
    <n v="500"/>
    <n v="0"/>
    <e v="#DIV/0!"/>
    <n v="0.15"/>
    <n v="75"/>
    <n v="0"/>
    <n v="0"/>
    <n v="0"/>
    <n v="75"/>
    <n v="0"/>
    <n v="75"/>
    <n v="1.5"/>
    <n v="0"/>
    <n v="1.5"/>
    <m/>
    <n v="73.5"/>
    <s v="OLEA"/>
    <m/>
    <n v="0"/>
    <m/>
    <m/>
    <n v="0"/>
    <m/>
    <n v="75"/>
    <n v="75"/>
    <n v="0"/>
    <s v="MAYFAIR"/>
    <d v="2023-03-03T00:00:00"/>
    <m/>
    <m/>
    <s v="GENERAL LIABILITY"/>
    <m/>
    <m/>
    <m/>
  </r>
  <r>
    <x v="0"/>
    <s v="Yes"/>
    <d v="2022-12-27T00:00:00"/>
    <d v="2023-01-06T00:00:00"/>
    <d v="2023-01-01T00:00:00"/>
    <d v="2023-12-31T00:00:00"/>
    <s v="000-022/AIB RDC/2023"/>
    <n v="1"/>
    <s v="RENOUVELLEMENT"/>
    <s v="12005-33002-0003-13001-00004356-2022"/>
    <s v="Agence Française de Développement - AFD"/>
    <s v="NGO"/>
    <s v="ANDY"/>
    <s v="Sabrina"/>
    <s v="COMP MOTOR"/>
    <s v="MOTOR COMP"/>
    <x v="5"/>
    <s v="MAYFAIR"/>
    <n v="190876.9"/>
    <n v="8766.4699999999993"/>
    <n v="0"/>
    <n v="0"/>
    <n v="50"/>
    <n v="8544.58"/>
    <n v="0"/>
    <n v="4.4764872019610547E-2"/>
    <n v="0.15"/>
    <n v="1281.6869999999999"/>
    <n v="0"/>
    <n v="0"/>
    <n v="0"/>
    <n v="1281.6869999999999"/>
    <n v="0"/>
    <n v="1281.6869999999999"/>
    <n v="25.63374"/>
    <n v="0"/>
    <n v="25.63374"/>
    <m/>
    <n v="1256.0532599999999"/>
    <s v="OLEA"/>
    <m/>
    <n v="0"/>
    <m/>
    <m/>
    <n v="0"/>
    <m/>
    <n v="1281.6869999999999"/>
    <n v="1281.6869999999999"/>
    <n v="0"/>
    <s v="MAYFAIR"/>
    <d v="2023-03-03T00:00:00"/>
    <m/>
    <m/>
    <s v="COMP MOTOR"/>
    <m/>
    <m/>
    <m/>
  </r>
  <r>
    <x v="0"/>
    <s v="Yes"/>
    <d v="2022-12-26T00:00:00"/>
    <d v="2023-02-03T00:00:00"/>
    <d v="2023-01-01T00:00:00"/>
    <d v="2023-12-31T00:00:00"/>
    <s v="000-023/AIB RDC/2023"/>
    <n v="0"/>
    <s v="SOUSCRIPTION"/>
    <n v="45000018"/>
    <s v="Bolloré Transport &amp; Logistics"/>
    <s v="Transport"/>
    <s v="ANDY"/>
    <s v="Andy"/>
    <s v="FIRE"/>
    <s v="PROPERTIES"/>
    <x v="6"/>
    <s v="SANLAM"/>
    <n v="0"/>
    <n v="365966.91"/>
    <n v="0"/>
    <n v="0"/>
    <n v="0"/>
    <n v="310141.45"/>
    <n v="49622.63"/>
    <e v="#DIV/0!"/>
    <n v="0.18934898898550967"/>
    <n v="58724.97"/>
    <n v="0"/>
    <n v="0"/>
    <n v="0"/>
    <n v="58724.97"/>
    <n v="9395.9952000000012"/>
    <n v="68120.965200000006"/>
    <n v="1174.4994000000002"/>
    <n v="0"/>
    <n v="1174.4994000000002"/>
    <m/>
    <n v="57550.470600000001"/>
    <s v="OLEA"/>
    <n v="0.75"/>
    <n v="43162.85295"/>
    <m/>
    <m/>
    <n v="43162.85295"/>
    <m/>
    <n v="68120.97"/>
    <n v="68120.97"/>
    <n v="0"/>
    <s v="RAWSUR"/>
    <d v="2023-03-07T00:00:00"/>
    <m/>
    <m/>
    <s v="FIRE"/>
    <m/>
    <m/>
    <m/>
  </r>
  <r>
    <x v="0"/>
    <s v="Yes"/>
    <d v="2022-12-27T00:00:00"/>
    <d v="2023-02-09T00:00:00"/>
    <d v="2023-01-01T00:00:00"/>
    <d v="2023-12-31T00:00:00"/>
    <s v="000-024/AIB RDC/2023"/>
    <n v="0"/>
    <s v="SOUSCRIPTION"/>
    <s v="00018087"/>
    <s v="Optorg / Tractafric Equipment"/>
    <s v="Distribution"/>
    <s v="ANDY"/>
    <s v="Andy"/>
    <s v="MARINE CARGO / GIT"/>
    <s v="MARINE"/>
    <x v="0"/>
    <s v="SFA"/>
    <n v="0"/>
    <n v="48982.49"/>
    <n v="0"/>
    <n v="0"/>
    <n v="216.47"/>
    <n v="41294.120000000003"/>
    <n v="6641.69"/>
    <e v="#DIV/0!"/>
    <n v="0.15"/>
    <n v="6194.1180000000004"/>
    <n v="0"/>
    <n v="0"/>
    <n v="0"/>
    <n v="6194.1180000000004"/>
    <n v="991.05888000000004"/>
    <n v="7185.1768800000009"/>
    <n v="123.88236000000001"/>
    <n v="0"/>
    <n v="123.88236000000001"/>
    <m/>
    <n v="6070.2356400000008"/>
    <s v="OLEA"/>
    <m/>
    <n v="0"/>
    <m/>
    <m/>
    <n v="0"/>
    <m/>
    <n v="7185.1768800000009"/>
    <n v="7185.1768800000009"/>
    <n v="0"/>
    <s v="SFA"/>
    <d v="2023-03-20T00:00:00"/>
    <m/>
    <m/>
    <s v="MARINE CARGO / GIT"/>
    <m/>
    <m/>
    <m/>
  </r>
  <r>
    <x v="0"/>
    <s v="Yes"/>
    <d v="2023-01-09T00:00:00"/>
    <d v="2023-01-02T00:00:00"/>
    <d v="2023-01-02T00:00:00"/>
    <d v="2024-01-01T00:00:00"/>
    <s v="000-025/AIB RDC/2023"/>
    <n v="1"/>
    <s v="RENOUVELLEMENT"/>
    <s v="33002-0017-103-0003076 / 0002"/>
    <s v="LOLEKA BONGIMA THEODORE"/>
    <s v="Person"/>
    <s v="ALICE"/>
    <s v="Apphia"/>
    <s v="MOTOR TPL"/>
    <s v="MOTOR TPL"/>
    <x v="4"/>
    <s v="SUNU"/>
    <n v="0"/>
    <n v="240.12"/>
    <n v="0"/>
    <n v="0"/>
    <n v="10"/>
    <n v="197"/>
    <n v="33.119999999999997"/>
    <e v="#DIV/0!"/>
    <n v="0.125"/>
    <n v="24.625"/>
    <n v="0"/>
    <n v="0"/>
    <n v="0"/>
    <n v="24.625"/>
    <n v="3.94"/>
    <n v="28.565000000000001"/>
    <n v="0.49249999999999999"/>
    <n v="0"/>
    <n v="0.49249999999999999"/>
    <m/>
    <n v="24.1325"/>
    <m/>
    <m/>
    <n v="0"/>
    <m/>
    <m/>
    <n v="0"/>
    <m/>
    <n v="28.565000000000001"/>
    <n v="28.565000000000001"/>
    <n v="0"/>
    <s v="SUNU"/>
    <d v="2023-03-17T00:00:00"/>
    <s v="ND0005/AIB RDC/2022"/>
    <m/>
    <s v="MOTOR TPL"/>
    <m/>
    <m/>
    <m/>
  </r>
  <r>
    <x v="0"/>
    <s v="Yes"/>
    <d v="2022-11-04T00:00:00"/>
    <d v="2023-01-13T00:00:00"/>
    <d v="2023-01-01T00:00:00"/>
    <d v="2023-03-31T00:00:00"/>
    <s v="000-026/AIB RDC/2023"/>
    <n v="0"/>
    <s v="SOUSCRIPTION"/>
    <s v="33002-0006-112-0004489 / 0001"/>
    <s v="ABT ASSOCIATES / Bolloré"/>
    <m/>
    <s v="SYNTYCHE"/>
    <s v="Victor"/>
    <s v="FIRE"/>
    <s v="PROPERTIES"/>
    <x v="4"/>
    <s v="SUNU"/>
    <n v="3885387.84"/>
    <n v="4594.4399999999996"/>
    <n v="0"/>
    <n v="0"/>
    <n v="45.48"/>
    <n v="4548.96"/>
    <n v="0"/>
    <n v="1.1707865951420696E-3"/>
    <n v="0.1"/>
    <n v="454.89600000000002"/>
    <n v="0"/>
    <n v="0"/>
    <n v="0"/>
    <n v="454.89600000000002"/>
    <n v="72.783360000000002"/>
    <n v="527.67935999999997"/>
    <n v="9.0979200000000002"/>
    <n v="0"/>
    <n v="9.0979200000000002"/>
    <m/>
    <n v="445.79808000000003"/>
    <s v="BOLLORE"/>
    <n v="0.4"/>
    <n v="178.31923200000003"/>
    <n v="178.31923200000003"/>
    <d v="2023-10-30T00:00:00"/>
    <n v="0"/>
    <m/>
    <n v="527.67935999999997"/>
    <n v="527.67935999999997"/>
    <n v="0"/>
    <s v="SUNU"/>
    <d v="2023-03-17T00:00:00"/>
    <s v="ND0005/AIB RDC/2022"/>
    <s v="ONCE OFF"/>
    <s v="FIRE"/>
    <m/>
    <m/>
    <m/>
  </r>
  <r>
    <x v="0"/>
    <s v="Yes"/>
    <d v="2023-01-25T00:00:00"/>
    <d v="2023-01-31T00:00:00"/>
    <d v="2023-01-25T00:00:00"/>
    <d v="2024-01-24T00:00:00"/>
    <s v="000-027/AIB RDC/2023"/>
    <n v="0"/>
    <s v="SOUSCRIPTION"/>
    <s v="00018046"/>
    <s v="BGFI BANK RDC"/>
    <s v="BANKING"/>
    <s v="SYNTYCHE"/>
    <s v="Grâce"/>
    <s v="BBB"/>
    <s v="PROPERTIES"/>
    <x v="0"/>
    <s v="SFA"/>
    <n v="4000000"/>
    <n v="416835.95"/>
    <n v="52761.88"/>
    <n v="-17537.759999999998"/>
    <n v="1504.92"/>
    <n v="298984"/>
    <n v="56520.13"/>
    <n v="7.4746000000000007E-2"/>
    <n v="0.05"/>
    <n v="0"/>
    <n v="17612.059999999998"/>
    <n v="14949.2"/>
    <n v="0"/>
    <n v="32561.26"/>
    <n v="5209.8015999999998"/>
    <n v="37771.061600000001"/>
    <n v="651.22519999999997"/>
    <n v="0"/>
    <n v="651.22519999999997"/>
    <m/>
    <n v="31910.034799999998"/>
    <m/>
    <m/>
    <n v="0"/>
    <m/>
    <m/>
    <n v="0"/>
    <m/>
    <n v="37771.061600000001"/>
    <n v="37771.061600000001"/>
    <n v="0"/>
    <s v="SFA"/>
    <d v="2023-02-27T00:00:00"/>
    <m/>
    <m/>
    <s v="BBB"/>
    <m/>
    <m/>
    <m/>
  </r>
  <r>
    <x v="0"/>
    <s v="Yes"/>
    <d v="2023-01-31T00:00:00"/>
    <d v="2023-01-23T00:00:00"/>
    <d v="2023-01-20T00:00:00"/>
    <d v="2024-01-19T00:00:00"/>
    <s v="000-028/AIB RDC/2023"/>
    <n v="20"/>
    <s v="RENOUVELLEMENT"/>
    <s v="12002-33002-0004-103-00017955-2023"/>
    <s v="GSA"/>
    <m/>
    <s v="SYNTYCHE"/>
    <s v="Grâce"/>
    <s v="MOTOR TPL"/>
    <s v="MOTOR TPL"/>
    <x v="0"/>
    <s v="SFA"/>
    <n v="0"/>
    <n v="35750.81"/>
    <n v="0"/>
    <n v="0"/>
    <n v="447.31"/>
    <n v="29850"/>
    <n v="4847.5600000000004"/>
    <e v="#DIV/0!"/>
    <n v="0.1"/>
    <n v="2985"/>
    <n v="0"/>
    <n v="0"/>
    <n v="0"/>
    <n v="2985"/>
    <n v="477.6"/>
    <n v="3462.6"/>
    <n v="59.7"/>
    <n v="0"/>
    <n v="59.7"/>
    <m/>
    <n v="2925.3"/>
    <m/>
    <m/>
    <n v="0"/>
    <m/>
    <m/>
    <n v="0"/>
    <m/>
    <n v="2596.9499999999998"/>
    <n v="3462.6"/>
    <n v="865.65000000000009"/>
    <s v="SFA"/>
    <d v="2023-09-28T00:00:00"/>
    <s v="ND0092/AIB RDC/2023"/>
    <m/>
    <s v="MOTOR TPL"/>
    <m/>
    <m/>
    <s v="Commision à collecter dans le bordereau de Mai"/>
  </r>
  <r>
    <x v="1"/>
    <s v="Yes"/>
    <d v="2023-01-31T00:00:00"/>
    <d v="2023-02-13T00:00:00"/>
    <d v="2023-02-13T00:00:00"/>
    <d v="2024-02-12T00:00:00"/>
    <s v="000-029/AIB RDC/2023"/>
    <n v="0"/>
    <s v="SOUSCRIPTION"/>
    <s v="12002-33002-0022-111-00018117-2023"/>
    <s v="Bolloré Transport &amp; Logistics / Bolloré"/>
    <m/>
    <s v="SYNTYCHE"/>
    <s v="Victor"/>
    <s v="MARINE CARGO / GIT"/>
    <s v="MARINE"/>
    <x v="0"/>
    <s v="SFA"/>
    <n v="6040.04"/>
    <n v="65"/>
    <n v="0"/>
    <n v="0"/>
    <n v="0.81"/>
    <n v="54.28"/>
    <n v="8.81"/>
    <n v="8.9866954523479987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  <m/>
  </r>
  <r>
    <x v="0"/>
    <s v="Yes"/>
    <d v="2023-01-31T00:00:00"/>
    <d v="2023-01-25T00:00:00"/>
    <d v="2023-01-25T00:00:00"/>
    <d v="2024-01-24T00:00:00"/>
    <s v="000-030/AIB RDC/2023"/>
    <n v="0"/>
    <s v="SOUSCRIPTION"/>
    <s v="12002-33002-0022-111-00017971-2023"/>
    <s v="HELIOS INFRACO DRC SARL ( HT) / Bolloré"/>
    <m/>
    <s v="SYNTYCHE"/>
    <s v="Victor"/>
    <s v="MARINE CARGO / GIT"/>
    <s v="MARINE"/>
    <x v="0"/>
    <s v="SFA"/>
    <n v="26950"/>
    <n v="65"/>
    <n v="0"/>
    <n v="0"/>
    <n v="0.81"/>
    <n v="54.28"/>
    <n v="8.81"/>
    <n v="2.0141001855287569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2-27T00:00:00"/>
    <m/>
    <s v="ONCE OFF"/>
    <s v="MARINE CARGO / GIT"/>
    <m/>
    <m/>
    <m/>
  </r>
  <r>
    <x v="1"/>
    <s v="Yes"/>
    <d v="2023-01-31T00:00:00"/>
    <d v="2023-02-13T00:00:00"/>
    <d v="2023-02-13T00:00:00"/>
    <d v="2024-02-12T00:00:00"/>
    <s v="000-031/AIB RDC/2023"/>
    <n v="0"/>
    <s v="SOUSCRIPTION"/>
    <s v="12002-33002-0022-111-00018113-2023"/>
    <s v="WUHUANG CONSTRUCTION ET COMMERCE RDC SAS ( WHCC) / Bolloré"/>
    <m/>
    <s v="SYNTYCHE"/>
    <s v="Victor"/>
    <s v="MARINE CARGO / GIT"/>
    <s v="MARINE"/>
    <x v="0"/>
    <s v="SFA"/>
    <n v="23478.799999999999"/>
    <n v="65"/>
    <n v="0"/>
    <n v="0"/>
    <n v="0.81"/>
    <n v="54.28"/>
    <n v="8.81"/>
    <n v="2.3118728384755611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  <m/>
  </r>
  <r>
    <x v="1"/>
    <s v="Yes"/>
    <d v="2023-01-31T00:00:00"/>
    <d v="2023-02-13T00:00:00"/>
    <d v="2023-02-13T00:00:00"/>
    <d v="2024-02-12T00:00:00"/>
    <s v="000-032/AIB RDC/2023"/>
    <n v="0"/>
    <s v="SOUSCRIPTION"/>
    <s v="12002-33002-0022-111-00018110-2023"/>
    <s v="WUHUANG CONSTRUCTION ET COMMERCE RDC SAS ( WHCC) / Bolloré"/>
    <m/>
    <s v="SYNTYCHE"/>
    <s v="Victor"/>
    <s v="MARINE CARGO / GIT"/>
    <s v="MARINE"/>
    <x v="0"/>
    <s v="SFA"/>
    <n v="20040.66"/>
    <n v="65"/>
    <n v="0"/>
    <n v="0"/>
    <n v="0.81"/>
    <n v="54.28"/>
    <n v="8.81"/>
    <n v="2.7084936324452387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  <m/>
  </r>
  <r>
    <x v="2"/>
    <s v="Yes"/>
    <d v="2023-02-02T00:00:00"/>
    <d v="2023-03-11T00:00:00"/>
    <d v="2023-03-10T00:00:00"/>
    <d v="2024-03-08T00:00:00"/>
    <s v="000-033/AIB RDC/2023"/>
    <n v="0"/>
    <s v="SOUSCRIPTION"/>
    <s v="12002-33002-0021-111-00018691-2023"/>
    <s v="DEZIWA / Bolloré"/>
    <m/>
    <s v="SYNTYCHE"/>
    <s v="Victor"/>
    <s v="MARINE CARGO / GIT"/>
    <s v="MARINE"/>
    <x v="0"/>
    <s v="SFA"/>
    <n v="712662.74"/>
    <n v="1331.35"/>
    <n v="0"/>
    <n v="0"/>
    <n v="16.68"/>
    <n v="1111.75"/>
    <n v="180.55"/>
    <n v="1.5599945634873517E-3"/>
    <n v="0.15"/>
    <n v="166.76249999999999"/>
    <n v="0"/>
    <n v="0"/>
    <n v="0"/>
    <n v="166.76249999999999"/>
    <n v="26.681999999999999"/>
    <n v="193.44449999999998"/>
    <n v="3.3352499999999998"/>
    <n v="0"/>
    <n v="3.3352499999999998"/>
    <m/>
    <n v="163.42724999999999"/>
    <s v="BOLLORE"/>
    <n v="0.4"/>
    <n v="65.370899999999992"/>
    <n v="65.370899999999992"/>
    <d v="2023-10-30T00:00:00"/>
    <n v="0"/>
    <m/>
    <n v="193.44449999999998"/>
    <n v="193.44449999999998"/>
    <n v="0"/>
    <s v="SFA"/>
    <d v="2023-05-24T00:00:00"/>
    <m/>
    <s v="ONCE OFF"/>
    <s v="MARINE CARGO / GIT"/>
    <m/>
    <m/>
    <m/>
  </r>
  <r>
    <x v="0"/>
    <s v="Yes"/>
    <d v="2023-02-02T00:00:00"/>
    <d v="2023-03-11T00:00:00"/>
    <d v="2023-01-20T00:00:00"/>
    <d v="2024-01-19T00:00:00"/>
    <s v="000-034/AIB RDC/2023"/>
    <n v="0"/>
    <s v="SOUSCRIPTION"/>
    <s v="12002-33002-0021-111-00018690-2023"/>
    <s v="DEZIWA / Bolloré"/>
    <m/>
    <s v="SYNTYCHE"/>
    <s v="Victor"/>
    <s v="MARINE CARGO / GIT"/>
    <s v="MARINE"/>
    <x v="0"/>
    <s v="SFA"/>
    <n v="23339.43"/>
    <n v="65"/>
    <n v="0"/>
    <n v="0"/>
    <n v="0.81"/>
    <n v="54.28"/>
    <n v="8.81"/>
    <n v="2.3256780478357868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0"/>
    <s v="No"/>
    <d v="2023-02-02T00:00:00"/>
    <s v="TBA"/>
    <s v="TBA"/>
    <s v="TBA"/>
    <s v="000-035/AIB RDC/2023"/>
    <n v="0"/>
    <s v="SOUSCRIPTION"/>
    <s v="PR005463"/>
    <s v="DEZIWA / Bolloré"/>
    <m/>
    <s v="SYNTYCHE"/>
    <s v="Victor"/>
    <s v="MARINE CARGO / GIT"/>
    <s v="MARINE"/>
    <x v="0"/>
    <s v="SFA"/>
    <n v="155580.87"/>
    <n v="290.7"/>
    <n v="0"/>
    <n v="0"/>
    <n v="3.64"/>
    <n v="242.71"/>
    <n v="39.42"/>
    <n v="1.5600246996947634E-3"/>
    <n v="0.15"/>
    <n v="36.406500000000001"/>
    <n v="0"/>
    <n v="0"/>
    <n v="0"/>
    <n v="36.406500000000001"/>
    <n v="5.8250400000000004"/>
    <n v="42.231540000000003"/>
    <n v="0.72813000000000005"/>
    <n v="0"/>
    <n v="0.72813000000000005"/>
    <m/>
    <n v="35.678370000000001"/>
    <s v="BOLLORE"/>
    <n v="0.4"/>
    <n v="14.271348000000001"/>
    <m/>
    <m/>
    <n v="14.271348000000001"/>
    <m/>
    <m/>
    <n v="42.231540000000003"/>
    <n v="42.231540000000003"/>
    <s v="SFA"/>
    <m/>
    <m/>
    <s v="ONCE OFF"/>
    <s v="MARINE CARGO / GIT"/>
    <m/>
    <m/>
    <s v="en attentete de paiement Bollore"/>
  </r>
  <r>
    <x v="1"/>
    <s v="Yes"/>
    <d v="2023-02-02T00:00:00"/>
    <d v="2023-02-25T00:00:00"/>
    <d v="2023-02-25T00:00:00"/>
    <d v="2024-02-24T00:00:00"/>
    <s v="000-036/AIB RDC/2023"/>
    <n v="0"/>
    <s v="SOUSCRIPTION"/>
    <s v="12002-33002-0022-111-00018224-2023"/>
    <s v="DEZIWA / Bolloré"/>
    <m/>
    <s v="SYNTYCHE"/>
    <s v="Victor"/>
    <s v="MARINE CARGO / GIT"/>
    <s v="MARINE"/>
    <x v="0"/>
    <s v="SFA"/>
    <n v="29431.15"/>
    <n v="65"/>
    <n v="0"/>
    <n v="0"/>
    <n v="0.81"/>
    <n v="54.28"/>
    <n v="8.81"/>
    <n v="1.844304418957465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  <m/>
  </r>
  <r>
    <x v="1"/>
    <s v="Yes"/>
    <d v="2023-02-02T00:00:00"/>
    <d v="2023-02-25T00:00:00"/>
    <d v="2023-02-25T00:00:00"/>
    <d v="2024-02-24T00:00:00"/>
    <s v="000-037/AIB RDC/2023"/>
    <n v="0"/>
    <s v="SOUSCRIPTION"/>
    <s v="12002-33002-0022-111-00018223-2023"/>
    <s v="DEZIWA / Bolloré"/>
    <m/>
    <s v="SYNTYCHE"/>
    <s v="Victor"/>
    <s v="MARINE CARGO / GIT"/>
    <s v="MARINE"/>
    <x v="0"/>
    <s v="SFA"/>
    <n v="14858.44"/>
    <n v="65"/>
    <n v="0"/>
    <n v="0"/>
    <n v="0.8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  <m/>
  </r>
  <r>
    <x v="1"/>
    <s v="Yes"/>
    <d v="2023-02-02T00:00:00"/>
    <d v="2023-02-25T00:00:00"/>
    <d v="2023-02-25T00:00:00"/>
    <d v="2024-02-24T00:00:00"/>
    <s v="000-038/AIB RDC/2023"/>
    <n v="0"/>
    <s v="SOUSCRIPTION"/>
    <s v="12002-33002-0022-111-00018229-2023"/>
    <s v="DEZIWA / Bolloré"/>
    <m/>
    <s v="SYNTYCHE"/>
    <s v="Victor"/>
    <s v="MARINE CARGO / GIT"/>
    <s v="MARINE"/>
    <x v="0"/>
    <s v="SFA"/>
    <n v="14858.44"/>
    <n v="65"/>
    <n v="0"/>
    <n v="0"/>
    <n v="0.8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m/>
    <m/>
    <n v="3.1916639999999998"/>
    <m/>
    <n v="9.4447200000000002"/>
    <n v="9.4447200000000002"/>
    <n v="0"/>
    <s v="SFA"/>
    <d v="2023-03-20T00:00:00"/>
    <m/>
    <s v="ONCE OFF"/>
    <s v="MARINE CARGO / GIT"/>
    <m/>
    <m/>
    <m/>
  </r>
  <r>
    <x v="1"/>
    <s v="Yes"/>
    <d v="2023-02-02T00:00:00"/>
    <d v="2023-02-25T00:00:00"/>
    <d v="2023-02-25T00:00:00"/>
    <d v="2024-02-24T00:00:00"/>
    <s v="000-039/AIB RDC/2023"/>
    <n v="0"/>
    <s v="SOUSCRIPTION"/>
    <s v="12002-33002-0022-111-00018228-2023"/>
    <s v="DEZIWA / Bolloré"/>
    <m/>
    <s v="SYNTYCHE"/>
    <s v="Victor"/>
    <s v="MARINE CARGO / GIT"/>
    <s v="MARINE"/>
    <x v="0"/>
    <s v="SFA"/>
    <n v="14858.44"/>
    <n v="65"/>
    <n v="0"/>
    <n v="0"/>
    <n v="0.8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m/>
    <m/>
    <n v="3.1916639999999998"/>
    <m/>
    <n v="9.4447200000000002"/>
    <n v="9.4447200000000002"/>
    <n v="0"/>
    <s v="SFA"/>
    <d v="2023-03-20T00:00:00"/>
    <m/>
    <s v="ONCE OFF"/>
    <s v="MARINE CARGO / GIT"/>
    <m/>
    <m/>
    <m/>
  </r>
  <r>
    <x v="1"/>
    <s v="Yes"/>
    <d v="2023-02-02T00:00:00"/>
    <d v="2023-02-25T00:00:00"/>
    <d v="2023-02-25T00:00:00"/>
    <d v="2024-02-24T00:00:00"/>
    <s v="000-040/AIB RDC/2023"/>
    <n v="0"/>
    <s v="SOUSCRIPTION"/>
    <s v="12002-33002-0022-111-00018227-2023"/>
    <s v="DEZIWA / Bolloré"/>
    <m/>
    <s v="SYNTYCHE"/>
    <s v="Victor"/>
    <s v="MARINE CARGO / GIT"/>
    <s v="MARINE"/>
    <x v="0"/>
    <s v="SFA"/>
    <n v="29716.89"/>
    <n v="65"/>
    <n v="0"/>
    <n v="0"/>
    <n v="0.81"/>
    <n v="54.28"/>
    <n v="8.81"/>
    <n v="1.8265706808485006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  <m/>
  </r>
  <r>
    <x v="1"/>
    <s v="Yes"/>
    <d v="2023-02-02T00:00:00"/>
    <d v="2023-02-10T00:00:00"/>
    <d v="2023-02-10T00:00:00"/>
    <d v="2024-02-09T00:00:00"/>
    <s v="000-041/AIB RDC/2023"/>
    <n v="0"/>
    <s v="SOUSCRIPTION"/>
    <s v="12002-33002-0022-111-00018107-2023"/>
    <s v="DEZIWA / Bolloré"/>
    <m/>
    <s v="SYNTYCHE"/>
    <s v="Victor"/>
    <s v="MARINE CARGO / GIT"/>
    <s v="MARINE"/>
    <x v="0"/>
    <s v="SFA"/>
    <n v="75920.350000000006"/>
    <n v="87.29"/>
    <n v="0"/>
    <n v="0"/>
    <n v="1.0900000000000001"/>
    <n v="72.88"/>
    <n v="11.84"/>
    <n v="9.5995342487225081E-4"/>
    <n v="0.15"/>
    <n v="10.931999999999999"/>
    <n v="0"/>
    <n v="0"/>
    <n v="0"/>
    <n v="10.931999999999999"/>
    <n v="1.7491199999999998"/>
    <n v="12.681119999999998"/>
    <n v="0.21863999999999997"/>
    <n v="0"/>
    <n v="0.21863999999999997"/>
    <m/>
    <n v="10.713359999999998"/>
    <s v="BOLLORE"/>
    <n v="0.4"/>
    <n v="4.2853439999999994"/>
    <n v="4.2853439999999994"/>
    <d v="2023-10-30T00:00:00"/>
    <n v="0"/>
    <m/>
    <n v="12.681119999999998"/>
    <n v="12.681119999999998"/>
    <n v="0"/>
    <s v="SFA"/>
    <d v="2023-03-20T00:00:00"/>
    <m/>
    <s v="ONCE OFF"/>
    <s v="MARINE CARGO / GIT"/>
    <m/>
    <m/>
    <m/>
  </r>
  <r>
    <x v="2"/>
    <s v="Yes"/>
    <d v="2023-02-02T00:00:00"/>
    <d v="2023-03-30T00:00:00"/>
    <d v="2023-03-30T00:00:00"/>
    <d v="2024-03-28T00:00:00"/>
    <s v="000-042/AIB RDC/2023"/>
    <n v="0"/>
    <s v="SOUSCRIPTION"/>
    <s v="12002-33002-0021-111-00019219-2023"/>
    <s v="DEZIWA / Bolloré"/>
    <m/>
    <s v="SYNTYCHE"/>
    <s v="Victor"/>
    <s v="MARINE CARGO / GIT"/>
    <s v="MARINE"/>
    <x v="0"/>
    <s v="SFA"/>
    <n v="501939.35"/>
    <n v="937.84"/>
    <n v="0"/>
    <n v="0"/>
    <n v="11.75"/>
    <n v="783.03"/>
    <n v="127.16"/>
    <n v="1.560009192345649E-3"/>
    <n v="0.15"/>
    <n v="117.4545"/>
    <n v="0"/>
    <n v="0"/>
    <n v="0"/>
    <n v="117.4545"/>
    <n v="18.792719999999999"/>
    <n v="136.24722"/>
    <n v="2.3490899999999999"/>
    <n v="0"/>
    <n v="2.3490899999999999"/>
    <m/>
    <n v="115.10540999999999"/>
    <s v="BOLLORE"/>
    <n v="0.4"/>
    <n v="46.042164"/>
    <n v="46.042164"/>
    <d v="2023-10-30T00:00:00"/>
    <n v="0"/>
    <m/>
    <n v="136.24722"/>
    <n v="136.24722"/>
    <n v="0"/>
    <s v="SFA"/>
    <d v="2023-05-24T00:00:00"/>
    <m/>
    <s v="ONCE OFF"/>
    <s v="MARINE CARGO / GIT"/>
    <m/>
    <m/>
    <m/>
  </r>
  <r>
    <x v="0"/>
    <s v="No"/>
    <d v="2023-02-02T00:00:00"/>
    <s v="TBA"/>
    <s v="TBA"/>
    <s v="TBA"/>
    <s v="000-043/AIB RDC/2023"/>
    <n v="0"/>
    <s v="SOUSCRIPTION"/>
    <s v="PR005483"/>
    <s v="DEZIWA / Bolloré"/>
    <m/>
    <s v="SYNTYCHE"/>
    <s v="Victor"/>
    <s v="MARINE CARGO / GIT"/>
    <s v="MARINE"/>
    <x v="0"/>
    <s v="SFA"/>
    <n v="191331.35"/>
    <n v="357.49"/>
    <n v="0"/>
    <n v="0"/>
    <n v="4.4800000000000004"/>
    <n v="298.48"/>
    <n v="48.47"/>
    <n v="1.5600161708993325E-3"/>
    <n v="0.15"/>
    <n v="44.771999999999998"/>
    <n v="0"/>
    <n v="0"/>
    <n v="0"/>
    <n v="44.771999999999998"/>
    <n v="7.1635200000000001"/>
    <n v="51.935519999999997"/>
    <n v="0.89544000000000001"/>
    <n v="0"/>
    <n v="0.89544000000000001"/>
    <m/>
    <n v="43.876559999999998"/>
    <s v="BOLLORE"/>
    <n v="0.4"/>
    <n v="17.550623999999999"/>
    <m/>
    <m/>
    <n v="17.550623999999999"/>
    <m/>
    <m/>
    <n v="51.935519999999997"/>
    <n v="51.935519999999997"/>
    <s v="SFA"/>
    <m/>
    <m/>
    <s v="ONCE OFF"/>
    <s v="MARINE CARGO / GIT"/>
    <m/>
    <m/>
    <s v="en attentete de paiement Bollore"/>
  </r>
  <r>
    <x v="0"/>
    <s v="No"/>
    <d v="2023-02-02T00:00:00"/>
    <s v="TBA"/>
    <s v="TBA"/>
    <s v="TBA"/>
    <s v="000-044/AIB RDC/2023"/>
    <n v="0"/>
    <s v="SOUSCRIPTION"/>
    <s v="PR005457"/>
    <s v="DEZIWA / Bolloré"/>
    <m/>
    <s v="SYNTYCHE"/>
    <s v="Victor"/>
    <s v="MARINE CARGO / GIT"/>
    <s v="MARINE"/>
    <x v="0"/>
    <s v="SFA"/>
    <n v="14858.44"/>
    <n v="65"/>
    <n v="0"/>
    <n v="0"/>
    <n v="0.8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m/>
    <n v="9.4447200000000002"/>
    <n v="9.4447200000000002"/>
    <s v="SFA"/>
    <m/>
    <m/>
    <s v="ONCE OFF"/>
    <s v="MARINE CARGO / GIT"/>
    <m/>
    <m/>
    <s v="en attentete de paiement Bollore"/>
  </r>
  <r>
    <x v="1"/>
    <s v="Yes"/>
    <d v="2023-02-02T00:00:00"/>
    <d v="2023-02-25T00:00:00"/>
    <d v="2023-02-25T00:00:00"/>
    <d v="2024-02-24T00:00:00"/>
    <s v="000-045/AIB RDC/2023"/>
    <n v="0"/>
    <s v="SOUSCRIPTION"/>
    <s v="12002-33002-0022-111-00018226-2023"/>
    <s v="DEZIWA / Bolloré"/>
    <m/>
    <s v="SYNTYCHE"/>
    <s v="Victor"/>
    <s v="MARINE CARGO / GIT"/>
    <s v="MARINE"/>
    <x v="0"/>
    <s v="SFA"/>
    <n v="25950.43"/>
    <n v="65"/>
    <n v="0"/>
    <n v="0"/>
    <n v="0.81"/>
    <n v="54.28"/>
    <n v="8.81"/>
    <n v="2.0916801763978476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  <m/>
  </r>
  <r>
    <x v="0"/>
    <s v="No"/>
    <d v="2023-02-02T00:00:00"/>
    <s v="TBA"/>
    <s v="TBA"/>
    <s v="TBA"/>
    <s v="000-046/AIB RDC/2023"/>
    <n v="0"/>
    <s v="SOUSCRIPTION"/>
    <s v="PR005452"/>
    <s v="DEZIWA / Bolloré"/>
    <m/>
    <s v="SYNTYCHE"/>
    <s v="Victor"/>
    <s v="MARINE CARGO / GIT"/>
    <s v="MARINE"/>
    <x v="0"/>
    <s v="SFA"/>
    <n v="14858.44"/>
    <n v="65"/>
    <n v="0"/>
    <n v="0"/>
    <n v="0.8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m/>
    <n v="9.4447200000000002"/>
    <n v="9.4447200000000002"/>
    <s v="SFA"/>
    <m/>
    <m/>
    <s v="ONCE OFF"/>
    <s v="MARINE CARGO / GIT"/>
    <m/>
    <m/>
    <s v="en attentete de paiement Bollore"/>
  </r>
  <r>
    <x v="0"/>
    <s v="Yes"/>
    <d v="2023-02-02T00:00:00"/>
    <d v="2023-03-11T00:00:00"/>
    <d v="2023-01-20T00:00:00"/>
    <d v="2024-01-19T00:00:00"/>
    <s v="000-047/AIB RDC/2023"/>
    <n v="0"/>
    <s v="SOUSCRIPTION"/>
    <s v="12002-33002-0021-111-00018689-2023"/>
    <s v="DEZIWA / Bolloré"/>
    <m/>
    <s v="SYNTYCHE"/>
    <s v="Victor"/>
    <s v="MARINE CARGO / GIT"/>
    <s v="MARINE"/>
    <x v="0"/>
    <s v="SFA"/>
    <n v="79077.72"/>
    <n v="147.74"/>
    <n v="0"/>
    <n v="0"/>
    <n v="4.3499999999999996"/>
    <n v="123.36"/>
    <n v="20.03"/>
    <n v="1.5599842787576575E-3"/>
    <n v="0.15"/>
    <n v="18.503999999999998"/>
    <n v="0"/>
    <n v="0"/>
    <n v="0"/>
    <n v="18.503999999999998"/>
    <n v="2.9606399999999997"/>
    <n v="21.464639999999996"/>
    <n v="0.37007999999999996"/>
    <n v="0"/>
    <n v="0.37007999999999996"/>
    <m/>
    <n v="18.133919999999996"/>
    <s v="BOLLORE"/>
    <n v="0.4"/>
    <n v="7.2535679999999987"/>
    <n v="7.2535679999999987"/>
    <d v="2023-10-30T00:00:00"/>
    <n v="0"/>
    <m/>
    <n v="21.464639999999996"/>
    <n v="21.464639999999996"/>
    <n v="0"/>
    <s v="SFA"/>
    <d v="2023-05-24T00:00:00"/>
    <m/>
    <s v="ONCE OFF"/>
    <s v="MARINE CARGO / GIT"/>
    <m/>
    <m/>
    <m/>
  </r>
  <r>
    <x v="0"/>
    <s v="Yes"/>
    <d v="2022-12-20T00:00:00"/>
    <d v="2023-01-01T00:00:00"/>
    <d v="2023-01-01T00:00:00"/>
    <d v="2023-12-31T00:00:00"/>
    <s v="000-048/AIB RDC/2023"/>
    <n v="1"/>
    <s v="RENOUVELLEMENT"/>
    <s v="11001-33002-0001-207-00000029-2022 / 219000006"/>
    <s v="BRITISH AMERICAN TOBACCO / BAT SERVICES CONGO"/>
    <m/>
    <s v="ALICE"/>
    <s v="Apphia"/>
    <s v="LIFE"/>
    <s v="LIFE"/>
    <x v="3"/>
    <s v="RAWSUR - LIFE"/>
    <n v="0"/>
    <n v="4886.8999999999996"/>
    <n v="0"/>
    <n v="0"/>
    <n v="0"/>
    <n v="4838.47"/>
    <n v="0"/>
    <e v="#DIV/0!"/>
    <n v="0.1"/>
    <n v="483.84700000000004"/>
    <n v="0"/>
    <n v="0"/>
    <n v="0"/>
    <n v="483.84700000000004"/>
    <n v="0"/>
    <n v="483.84700000000004"/>
    <n v="4.83847"/>
    <n v="0"/>
    <n v="4.83847"/>
    <m/>
    <n v="479.00853000000006"/>
    <s v="MERCER"/>
    <n v="0.7"/>
    <n v="335.305971"/>
    <m/>
    <m/>
    <n v="335.305971"/>
    <m/>
    <n v="483.84700000000004"/>
    <n v="483.84700000000004"/>
    <n v="0"/>
    <s v="RAWSUR - LIFE"/>
    <d v="2023-06-06T00:00:00"/>
    <m/>
    <m/>
    <s v="LIFE"/>
    <m/>
    <m/>
    <m/>
  </r>
  <r>
    <x v="0"/>
    <s v="Yes"/>
    <d v="2023-01-03T00:00:00"/>
    <d v="2023-01-31T00:00:00"/>
    <d v="2023-01-01T00:00:00"/>
    <d v="2023-12-31T00:00:00"/>
    <s v="000-049/AIB RDC/2023"/>
    <n v="0"/>
    <s v="SOUSCRIPTION"/>
    <n v="10100010"/>
    <s v="BRITISH AMERICAN TOBACCO / BAT SERVICES CONGO"/>
    <m/>
    <s v="ALICE"/>
    <s v="Apphia"/>
    <s v="MEDICAL"/>
    <s v="MEDICAL &amp; GPA"/>
    <x v="6"/>
    <s v="RAWSUR"/>
    <n v="0"/>
    <n v="144443.22"/>
    <n v="0"/>
    <n v="0"/>
    <n v="0"/>
    <n v="141611"/>
    <n v="0"/>
    <e v="#DIV/0!"/>
    <n v="0.100023303274463"/>
    <n v="14164.39999999998"/>
    <n v="0"/>
    <n v="0"/>
    <n v="0"/>
    <n v="14164.39999999998"/>
    <n v="0"/>
    <n v="14164.39999999998"/>
    <n v="283.28799999999961"/>
    <n v="0"/>
    <n v="283.28799999999961"/>
    <m/>
    <n v="13881.111999999979"/>
    <s v="MERCER"/>
    <n v="0.5"/>
    <n v="6940.5559999999896"/>
    <m/>
    <m/>
    <n v="6940.5559999999896"/>
    <m/>
    <n v="14164.39999999998"/>
    <n v="14164.39999999998"/>
    <n v="0"/>
    <s v="RAWSUR"/>
    <d v="2023-03-07T00:00:00"/>
    <m/>
    <m/>
    <s v="MEDICAL"/>
    <m/>
    <m/>
    <m/>
  </r>
  <r>
    <x v="0"/>
    <s v="Yes"/>
    <d v="2022-12-02T00:00:00"/>
    <d v="2023-01-01T00:00:00"/>
    <d v="2023-01-01T00:00:00"/>
    <d v="2023-12-31T00:00:00"/>
    <s v="000-050/AIB RDC/2023"/>
    <n v="0"/>
    <s v="SOUSCRIPTION"/>
    <s v="11001-33002-0001-207-00000004-2023 / 219000008"/>
    <s v="CMA CGM RDC SA"/>
    <m/>
    <s v="ALICE"/>
    <s v="Apphia"/>
    <s v="LIFE"/>
    <s v="LIFE"/>
    <x v="3"/>
    <s v="RAWSUR - LIFE"/>
    <n v="1602847.58"/>
    <n v="17600"/>
    <n v="0"/>
    <n v="0"/>
    <n v="174.3"/>
    <n v="17425.7"/>
    <n v="0"/>
    <n v="1.0871713703432737E-2"/>
    <n v="0.1"/>
    <n v="1742.5700000000002"/>
    <n v="0"/>
    <n v="0"/>
    <n v="0"/>
    <n v="1742.5700000000002"/>
    <n v="0"/>
    <n v="1742.5700000000002"/>
    <n v="17.425700000000003"/>
    <n v="0"/>
    <n v="17.425700000000003"/>
    <m/>
    <n v="1725.1443000000002"/>
    <s v="MERCER"/>
    <n v="0.7"/>
    <n v="1207.6010100000001"/>
    <m/>
    <m/>
    <n v="1207.6010100000001"/>
    <m/>
    <n v="1742.5700000000002"/>
    <n v="1742.5700000000002"/>
    <n v="0"/>
    <s v="RAWSUR - LIFE"/>
    <d v="2023-06-06T00:00:00"/>
    <m/>
    <m/>
    <s v="LIFE"/>
    <m/>
    <m/>
    <m/>
  </r>
  <r>
    <x v="0"/>
    <s v="Yes"/>
    <d v="2022-12-21T00:00:00"/>
    <d v="2023-01-13T00:00:00"/>
    <d v="2023-01-09T00:00:00"/>
    <d v="2023-01-23T00:00:00"/>
    <s v="000-051/AIB RDC/2023"/>
    <n v="1"/>
    <s v="PROROGATION"/>
    <s v="12002-33002-0004-104-00017665-2022"/>
    <s v="T K XPORT LLC"/>
    <m/>
    <s v="MICHEE"/>
    <s v="Tychique"/>
    <s v="COMP MOTOR"/>
    <s v="MOTOR COMP"/>
    <x v="0"/>
    <s v="SFA"/>
    <n v="0"/>
    <n v="2500.0100000000002"/>
    <n v="0"/>
    <n v="0"/>
    <n v="31.24"/>
    <n v="2087.42"/>
    <n v="338.98"/>
    <e v="#DIV/0!"/>
    <n v="0.15"/>
    <n v="313.113"/>
    <n v="0"/>
    <n v="0"/>
    <n v="0"/>
    <n v="313.113"/>
    <n v="50.098080000000003"/>
    <n v="363.21107999999998"/>
    <n v="6.2622600000000004"/>
    <n v="0"/>
    <n v="6.2622600000000004"/>
    <m/>
    <n v="306.85073999999997"/>
    <m/>
    <m/>
    <n v="0"/>
    <m/>
    <m/>
    <n v="0"/>
    <m/>
    <n v="363.21107999999998"/>
    <n v="363.21107999999998"/>
    <n v="0"/>
    <s v="SFA"/>
    <d v="2023-02-27T00:00:00"/>
    <m/>
    <m/>
    <s v="COMP MOTOR"/>
    <m/>
    <m/>
    <m/>
  </r>
  <r>
    <x v="0"/>
    <s v="Yes"/>
    <d v="2023-01-02T00:00:00"/>
    <d v="2023-01-05T00:00:00"/>
    <d v="2023-01-01T00:00:00"/>
    <d v="2023-12-31T00:00:00"/>
    <s v="000-052/AIB RDC/2023"/>
    <n v="1"/>
    <s v="RENOUVELLEMENT"/>
    <s v="12005-33002-0008-13001-0004398-2023"/>
    <s v="EASTCASTLE INFRASTRUCTURE DRC SARLU"/>
    <m/>
    <s v="MICHEE"/>
    <s v="Tychique"/>
    <s v="PROPERTY DAMAGE &amp; BI"/>
    <s v="PROPERTIES"/>
    <x v="5"/>
    <s v="MAYFAIR"/>
    <n v="0"/>
    <n v="34237.5"/>
    <n v="0"/>
    <n v="0"/>
    <n v="100"/>
    <n v="28914.83"/>
    <n v="4642.37"/>
    <e v="#DIV/0!"/>
    <n v="0.15"/>
    <n v="4337.2245000000003"/>
    <n v="0"/>
    <n v="0"/>
    <n v="0"/>
    <n v="4337.2245000000003"/>
    <n v="693.95592000000011"/>
    <n v="5031.1804200000006"/>
    <n v="86.744490000000013"/>
    <n v="0"/>
    <n v="86.744490000000013"/>
    <m/>
    <n v="4250.4800100000002"/>
    <s v="MARSH"/>
    <n v="0"/>
    <n v="0"/>
    <m/>
    <m/>
    <n v="0"/>
    <m/>
    <n v="5031.1804200000006"/>
    <n v="5031.1804200000006"/>
    <n v="0"/>
    <s v="MAYFAIR"/>
    <d v="2023-03-03T00:00:00"/>
    <m/>
    <m/>
    <s v="PROPERTY DAMAGE &amp; BI"/>
    <m/>
    <m/>
    <m/>
  </r>
  <r>
    <x v="2"/>
    <s v="Yes"/>
    <d v="2023-05-25T00:00:00"/>
    <d v="2023-04-26T00:00:00"/>
    <d v="2023-03-25T00:00:00"/>
    <d v="2024-03-23T00:00:00"/>
    <s v="000-053/AIB RDC/2023"/>
    <n v="0"/>
    <s v="SOUSCRIPTION"/>
    <s v="12002-33002-0021-111-00019760-2023"/>
    <s v="ORICA / Bolloré"/>
    <m/>
    <s v="SYNTYCHE"/>
    <s v="Victor"/>
    <s v="MARINE CARGO / GIT"/>
    <s v="MARINE"/>
    <x v="0"/>
    <s v="SFA"/>
    <n v="60095"/>
    <n v="172.47"/>
    <n v="0"/>
    <n v="0"/>
    <n v="3.82"/>
    <n v="121.15"/>
    <n v="20"/>
    <n v="2.0159747067143691E-3"/>
    <n v="0.15"/>
    <n v="18.172499999999999"/>
    <n v="0"/>
    <n v="0"/>
    <n v="0"/>
    <n v="18.172499999999999"/>
    <n v="2.9076"/>
    <n v="21.080099999999998"/>
    <n v="0.36345"/>
    <n v="0"/>
    <n v="0.36345"/>
    <m/>
    <n v="17.809049999999999"/>
    <s v="BOLLORE"/>
    <n v="0.4"/>
    <n v="7.1236199999999998"/>
    <n v="7.1236199999999998"/>
    <d v="2023-10-30T00:00:00"/>
    <n v="0"/>
    <m/>
    <n v="21.080099999999998"/>
    <n v="21.080099999999998"/>
    <n v="0"/>
    <s v="SFA"/>
    <d v="2023-05-30T00:00:00"/>
    <m/>
    <s v="ONCE OFF"/>
    <s v="MARINE CARGO / GIT"/>
    <m/>
    <m/>
    <m/>
  </r>
  <r>
    <x v="0"/>
    <s v="Yes"/>
    <d v="2023-01-18T00:00:00"/>
    <d v="2023-01-18T00:00:00"/>
    <d v="2023-01-12T00:00:00"/>
    <d v="2023-07-12T00:00:00"/>
    <s v="000-054/AIB RDC/2023"/>
    <n v="0"/>
    <s v="SOUSCRIPTION"/>
    <s v="12002-33002-0002-112-00017933-2023"/>
    <s v="BIAC RDC"/>
    <m/>
    <s v="MICHEE"/>
    <s v="Tychique"/>
    <s v="FIRE"/>
    <s v="PROPERTIES"/>
    <x v="0"/>
    <s v="SFA"/>
    <n v="0"/>
    <n v="6028.85"/>
    <n v="0"/>
    <n v="0"/>
    <n v="35.369999999999997"/>
    <n v="5073.83"/>
    <n v="817.47"/>
    <e v="#DIV/0!"/>
    <n v="0.1"/>
    <n v="507.38300000000004"/>
    <n v="0"/>
    <n v="0"/>
    <n v="0"/>
    <n v="507.38300000000004"/>
    <n v="81.181280000000001"/>
    <n v="588.56428000000005"/>
    <n v="10.14766"/>
    <n v="0"/>
    <n v="10.14766"/>
    <m/>
    <n v="497.23534000000006"/>
    <m/>
    <m/>
    <n v="0"/>
    <m/>
    <m/>
    <n v="0"/>
    <m/>
    <n v="588.56428000000005"/>
    <n v="588.56428000000005"/>
    <n v="0"/>
    <s v="SFA"/>
    <d v="2023-02-27T00:00:00"/>
    <m/>
    <m/>
    <s v="FIRE"/>
    <m/>
    <m/>
    <m/>
  </r>
  <r>
    <x v="0"/>
    <s v="Yes"/>
    <d v="2023-01-14T00:00:00"/>
    <d v="2023-01-14T00:00:00"/>
    <d v="2023-01-12T00:00:00"/>
    <d v="2023-07-12T00:00:00"/>
    <s v="000-055/AIB RDC/2023"/>
    <n v="0"/>
    <s v="SOUSCRIPTION"/>
    <s v="12002-33002-0002-112-00017931-2023"/>
    <s v="BIAC RDC"/>
    <m/>
    <s v="MICHEE"/>
    <s v="Tychique"/>
    <s v="FIRE/HOME"/>
    <s v="PROPERTIES"/>
    <x v="0"/>
    <s v="SFA"/>
    <n v="0"/>
    <n v="1632.32"/>
    <n v="0"/>
    <n v="0"/>
    <n v="20"/>
    <n v="1363.32"/>
    <n v="221.33"/>
    <e v="#DIV/0!"/>
    <n v="0.2"/>
    <n v="272.66399999999999"/>
    <n v="0"/>
    <n v="0"/>
    <n v="0"/>
    <n v="272.66399999999999"/>
    <n v="43.626239999999996"/>
    <n v="316.29023999999998"/>
    <n v="5.4532799999999995"/>
    <n v="0"/>
    <n v="5.4532799999999995"/>
    <m/>
    <n v="267.21071999999998"/>
    <m/>
    <m/>
    <n v="0"/>
    <m/>
    <m/>
    <n v="0"/>
    <m/>
    <n v="316.29023999999998"/>
    <n v="316.29023999999998"/>
    <n v="0"/>
    <s v="SFA"/>
    <d v="2023-02-27T00:00:00"/>
    <m/>
    <m/>
    <s v="FIRE/HOME"/>
    <m/>
    <m/>
    <m/>
  </r>
  <r>
    <x v="0"/>
    <s v="Yes"/>
    <d v="2023-01-19T00:00:00"/>
    <d v="2023-01-23T00:00:00"/>
    <d v="2023-01-20T00:00:00"/>
    <d v="2024-01-19T00:00:00"/>
    <s v="000-056/AIB RDC/2023"/>
    <n v="1"/>
    <s v="RENOUVELLEMENT"/>
    <s v="12005-33002-0014-13001-4509-2023"/>
    <s v="RESTAURANT BAR LODGE CHEZ MARC"/>
    <m/>
    <s v="MICHEE"/>
    <s v="Apphia"/>
    <s v="GENERAL LIABILITY"/>
    <s v="LIABILITIES"/>
    <x v="5"/>
    <s v="MAYFAIR"/>
    <n v="0"/>
    <n v="1570.58"/>
    <n v="0"/>
    <n v="0"/>
    <n v="50"/>
    <n v="1281"/>
    <n v="212.96"/>
    <e v="#DIV/0!"/>
    <n v="0.15"/>
    <n v="192.15"/>
    <n v="0"/>
    <n v="0"/>
    <n v="0"/>
    <n v="192.15"/>
    <n v="30.744"/>
    <n v="222.89400000000001"/>
    <n v="3.843"/>
    <n v="0"/>
    <n v="3.843"/>
    <m/>
    <n v="188.30700000000002"/>
    <m/>
    <m/>
    <n v="0"/>
    <m/>
    <m/>
    <n v="0"/>
    <m/>
    <n v="222.89400000000001"/>
    <n v="222.89400000000001"/>
    <n v="0"/>
    <s v="MAYFAIR"/>
    <d v="2023-03-03T00:00:00"/>
    <m/>
    <m/>
    <s v="GENERAL LIABILITY"/>
    <m/>
    <m/>
    <m/>
  </r>
  <r>
    <x v="1"/>
    <s v="Yes"/>
    <d v="2023-01-21T00:00:00"/>
    <d v="2023-02-03T00:00:00"/>
    <d v="2023-02-11T00:00:00"/>
    <d v="2023-06-30T00:00:00"/>
    <s v="000-057/AIB RDC/2023"/>
    <n v="1"/>
    <s v="PROROGATION"/>
    <s v="01-IMR-2022-000039"/>
    <s v="Teichmann Group / T3 Projects"/>
    <s v="Construction"/>
    <s v="ANDY"/>
    <s v="Michée"/>
    <s v="FIRE"/>
    <s v="PROPERTIES"/>
    <x v="0"/>
    <s v="SFA"/>
    <n v="0"/>
    <n v="878.35"/>
    <n v="0"/>
    <n v="0"/>
    <n v="20"/>
    <n v="724.36"/>
    <n v="119.1"/>
    <e v="#DIV/0!"/>
    <n v="0.1"/>
    <n v="72.436000000000007"/>
    <n v="0"/>
    <n v="0"/>
    <n v="0"/>
    <n v="72.436000000000007"/>
    <n v="11.589760000000002"/>
    <n v="84.025760000000005"/>
    <n v="1.4487200000000002"/>
    <n v="0"/>
    <n v="1.4487200000000002"/>
    <m/>
    <n v="70.987280000000013"/>
    <s v="O'NEILS"/>
    <n v="0.5"/>
    <n v="35.493640000000006"/>
    <n v="35.493640000000006"/>
    <d v="2023-10-20T00:00:00"/>
    <n v="0"/>
    <m/>
    <n v="84.025760000000005"/>
    <n v="84.025760000000005"/>
    <n v="0"/>
    <s v="SFA"/>
    <d v="2023-03-20T00:00:00"/>
    <m/>
    <s v="RENEWING..."/>
    <s v="FIRE"/>
    <m/>
    <m/>
    <m/>
  </r>
  <r>
    <x v="1"/>
    <s v="Yes"/>
    <d v="2023-05-05T00:00:00"/>
    <d v="2023-03-06T00:00:00"/>
    <d v="2023-02-21T00:00:00"/>
    <d v="2024-02-20T00:00:00"/>
    <s v="000-058/AIB RDC/2023"/>
    <n v="0"/>
    <s v="SOUSCRIPTION"/>
    <s v="12002-33002-0022-111-00018365-2023"/>
    <s v="PANACO / Bolloré"/>
    <m/>
    <s v="SYNTYCHE"/>
    <s v="Victor"/>
    <s v="MARINE CARGO / GIT"/>
    <s v="MARINE"/>
    <x v="0"/>
    <s v="SFA"/>
    <n v="245602.62"/>
    <n v="458.89"/>
    <n v="0"/>
    <n v="0"/>
    <n v="5.75"/>
    <n v="383.14"/>
    <n v="62.22"/>
    <n v="1.5599996449549276E-3"/>
    <n v="0.15"/>
    <n v="57.470999999999997"/>
    <n v="0"/>
    <n v="0"/>
    <n v="0"/>
    <n v="57.470999999999997"/>
    <n v="9.1953599999999991"/>
    <n v="66.666359999999997"/>
    <n v="1.1494199999999999"/>
    <n v="0"/>
    <n v="1.1494199999999999"/>
    <m/>
    <n v="56.321579999999997"/>
    <s v="BOLLORE"/>
    <n v="0.4"/>
    <n v="22.528632000000002"/>
    <n v="22.528632000000002"/>
    <d v="2023-10-30T00:00:00"/>
    <n v="0"/>
    <m/>
    <n v="66.666359999999997"/>
    <n v="66.666359999999997"/>
    <n v="0"/>
    <s v="SFA"/>
    <d v="2023-05-24T00:00:00"/>
    <m/>
    <s v="ONCE OFF"/>
    <s v="MARINE CARGO / GIT"/>
    <m/>
    <m/>
    <m/>
  </r>
  <r>
    <x v="1"/>
    <s v="Yes"/>
    <d v="2023-01-27T00:00:00"/>
    <d v="2023-01-31T00:00:00"/>
    <d v="2023-02-01T00:00:00"/>
    <d v="2024-01-31T00:00:00"/>
    <s v="000-059/AIB RDC/2023"/>
    <n v="1"/>
    <s v="RENOUVELLEMENT"/>
    <s v="12002-33002-0004-104-00018031-2023"/>
    <s v="Confiance DRC Sarl"/>
    <m/>
    <s v="ANDY"/>
    <s v="Michée"/>
    <s v="COMP MOTOR"/>
    <s v="MOTOR COMP"/>
    <x v="0"/>
    <s v="SFA"/>
    <n v="0"/>
    <n v="3109.13"/>
    <n v="0"/>
    <n v="0"/>
    <n v="38.94"/>
    <n v="2595.91"/>
    <n v="421.58"/>
    <e v="#DIV/0!"/>
    <n v="0.15"/>
    <n v="389.38649999999996"/>
    <n v="0"/>
    <n v="0"/>
    <n v="0"/>
    <n v="389.38649999999996"/>
    <n v="62.301839999999991"/>
    <n v="451.68833999999993"/>
    <n v="7.7877299999999989"/>
    <n v="0"/>
    <n v="7.7877299999999989"/>
    <m/>
    <n v="381.59876999999994"/>
    <s v="O'NEILS"/>
    <n v="0.5"/>
    <n v="190.79938499999997"/>
    <n v="190.8"/>
    <d v="2023-10-20T00:00:00"/>
    <n v="-6.1500000003888999E-4"/>
    <m/>
    <n v="451.68833999999993"/>
    <n v="451.68833999999993"/>
    <n v="0"/>
    <s v="SFA"/>
    <d v="2023-03-20T00:00:00"/>
    <m/>
    <m/>
    <s v="COMP MOTOR"/>
    <m/>
    <m/>
    <m/>
  </r>
  <r>
    <x v="3"/>
    <s v="Yes"/>
    <d v="2023-06-26T00:00:00"/>
    <d v="2023-07-10T00:00:00"/>
    <d v="2023-06-01T00:00:00"/>
    <d v="2023-09-06T00:00:00"/>
    <s v="000-060/AIB RDC/2023"/>
    <n v="3"/>
    <s v="INCORPORATION"/>
    <s v="00016944"/>
    <s v="Sandvik Mining &amp; Construction Sarl"/>
    <s v="Mining"/>
    <s v="ANDY"/>
    <s v="Andy"/>
    <s v="COMP MOTOR"/>
    <s v="MOTOR COMP"/>
    <x v="0"/>
    <s v="SFA"/>
    <n v="72000"/>
    <n v="994.81"/>
    <n v="0"/>
    <n v="0"/>
    <n v="31.18"/>
    <n v="826.42"/>
    <n v="137.21"/>
    <n v="1.1478055555555556E-2"/>
    <n v="0.15"/>
    <n v="123.96299999999999"/>
    <n v="0"/>
    <n v="0"/>
    <n v="0"/>
    <n v="123.96299999999999"/>
    <n v="19.83408"/>
    <n v="143.79707999999999"/>
    <n v="2.47926"/>
    <n v="0"/>
    <n v="2.47926"/>
    <m/>
    <n v="121.48374"/>
    <s v="AFINBRO"/>
    <n v="0.5"/>
    <n v="60.741869999999999"/>
    <n v="60.741869999999999"/>
    <d v="2023-10-23T00:00:00"/>
    <n v="0"/>
    <m/>
    <n v="143.79707999999999"/>
    <n v="143.79707999999999"/>
    <n v="0"/>
    <s v="SFA"/>
    <d v="2023-08-25T00:00:00"/>
    <m/>
    <m/>
    <m/>
    <m/>
    <m/>
    <m/>
  </r>
  <r>
    <x v="0"/>
    <s v="Yes"/>
    <d v="2023-01-26T00:00:00"/>
    <d v="2023-03-01T00:00:00"/>
    <d v="2023-01-26T00:00:00"/>
    <d v="2023-03-30T00:00:00"/>
    <s v="000-061/AIB RDC/2023"/>
    <n v="1"/>
    <s v="INCORPORATION"/>
    <s v="12003-33002-0005-111-00000351-2022 / 73200017"/>
    <s v="EXCELLEN MINERALS / Bolloré"/>
    <m/>
    <s v="MICHEE"/>
    <s v="Tychique"/>
    <s v="MARINE CARGO / GIT"/>
    <s v="MARINE"/>
    <x v="6"/>
    <s v="RAWSUR"/>
    <n v="0"/>
    <n v="15316.4"/>
    <n v="0"/>
    <n v="0"/>
    <n v="100"/>
    <n v="12880"/>
    <n v="2076.8000000000002"/>
    <e v="#DIV/0!"/>
    <n v="0.15"/>
    <n v="1932"/>
    <n v="0"/>
    <n v="0"/>
    <n v="0"/>
    <n v="1932"/>
    <n v="309.12"/>
    <n v="2241.12"/>
    <n v="38.64"/>
    <n v="0"/>
    <n v="38.64"/>
    <m/>
    <n v="1893.36"/>
    <s v="BOLLORE"/>
    <n v="0.4"/>
    <n v="757.34400000000005"/>
    <n v="757.34400000000005"/>
    <d v="2023-10-30T00:00:00"/>
    <n v="0"/>
    <m/>
    <n v="2241.12"/>
    <n v="2241.12"/>
    <n v="0"/>
    <s v="RAWSUR"/>
    <d v="2023-04-27T00:00:00"/>
    <m/>
    <s v="ONCE OFF"/>
    <s v="MARINE CARGO / GIT"/>
    <m/>
    <m/>
    <m/>
  </r>
  <r>
    <x v="0"/>
    <s v="Yes"/>
    <d v="2023-01-26T00:00:00"/>
    <d v="2023-03-01T00:00:00"/>
    <d v="2023-01-26T00:00:00"/>
    <d v="2023-03-30T00:00:00"/>
    <s v="000-062/AIB RDC/2023"/>
    <n v="1"/>
    <s v="INCORPORATION"/>
    <s v="12003-33002-0005-111-00000352-2022 / 73200016"/>
    <s v="STE LUILU RESSOURCES SAS / Bolloré"/>
    <m/>
    <s v="MICHEE"/>
    <s v="Tychique"/>
    <s v="MARINE CARGO / GIT"/>
    <s v="MARINE"/>
    <x v="6"/>
    <s v="RAWSUR"/>
    <n v="0"/>
    <n v="23246"/>
    <n v="0"/>
    <n v="0"/>
    <n v="100"/>
    <n v="19600"/>
    <n v="3152"/>
    <e v="#DIV/0!"/>
    <n v="0.15"/>
    <n v="2940"/>
    <n v="0"/>
    <n v="0"/>
    <n v="0"/>
    <n v="2940"/>
    <n v="470.40000000000003"/>
    <n v="3410.4"/>
    <n v="58.800000000000004"/>
    <n v="0"/>
    <n v="58.800000000000004"/>
    <m/>
    <n v="2881.2"/>
    <s v="BOLLORE"/>
    <n v="0.4"/>
    <n v="1152.48"/>
    <n v="1152.48"/>
    <d v="2023-10-30T00:00:00"/>
    <n v="0"/>
    <m/>
    <n v="3410.4"/>
    <n v="3410.4"/>
    <n v="0"/>
    <s v="RAWSUR"/>
    <d v="2023-04-27T00:00:00"/>
    <m/>
    <s v="ONCE OFF"/>
    <s v="MARINE CARGO / GIT"/>
    <m/>
    <m/>
    <m/>
  </r>
  <r>
    <x v="0"/>
    <s v="Yes"/>
    <d v="2023-01-31T00:00:00"/>
    <d v="2023-02-14T00:00:00"/>
    <d v="2023-01-11T00:00:00"/>
    <d v="2024-01-10T00:00:00"/>
    <s v="000-063/AIB RDC/2023"/>
    <n v="0"/>
    <s v="SOUSCRIPTION"/>
    <s v="12002-33002-0002-112-00018129-2023"/>
    <s v="RAWSUR"/>
    <s v="INSURANCE"/>
    <s v="MICHEE"/>
    <s v="Tychique"/>
    <s v="FIRE"/>
    <s v="PROPERTIES"/>
    <x v="0"/>
    <s v="SFA"/>
    <n v="3965093.61"/>
    <n v="7496.05"/>
    <n v="0"/>
    <n v="0"/>
    <n v="41.56"/>
    <n v="6311.03"/>
    <n v="1016.41"/>
    <n v="1.5916471641636727E-3"/>
    <n v="0.1"/>
    <n v="631.10300000000007"/>
    <n v="0"/>
    <n v="0"/>
    <n v="0"/>
    <n v="631.10300000000007"/>
    <n v="100.97648000000001"/>
    <n v="732.0794800000001"/>
    <n v="12.622060000000001"/>
    <n v="0"/>
    <n v="12.622060000000001"/>
    <m/>
    <n v="618.48094000000003"/>
    <m/>
    <m/>
    <n v="0"/>
    <m/>
    <m/>
    <n v="0"/>
    <m/>
    <n v="732.0794800000001"/>
    <n v="732.0794800000001"/>
    <n v="0"/>
    <s v="SFA"/>
    <d v="2023-03-20T00:00:00"/>
    <m/>
    <m/>
    <s v="FIRE"/>
    <m/>
    <m/>
    <m/>
  </r>
  <r>
    <x v="0"/>
    <s v="Yes"/>
    <d v="2023-01-31T00:00:00"/>
    <d v="2023-02-20T00:00:00"/>
    <d v="2023-01-01T00:00:00"/>
    <d v="2023-12-31T00:00:00"/>
    <s v="000-064/AIB RDC/2023"/>
    <n v="0"/>
    <s v="SOUSCRIPTION"/>
    <s v="12002-33002-0002-112-00018180-2023"/>
    <s v="Stevie MEERTEN"/>
    <m/>
    <s v="MICHEE"/>
    <s v="Tychique"/>
    <s v="FIRE"/>
    <s v="PROPERTIES"/>
    <x v="0"/>
    <s v="SFA"/>
    <n v="611500"/>
    <n v="2700.02"/>
    <n v="0"/>
    <n v="0"/>
    <n v="500"/>
    <n v="1788.15"/>
    <n v="366.1"/>
    <n v="2.9242027800490599E-3"/>
    <n v="0.2"/>
    <n v="357.63000000000005"/>
    <n v="0"/>
    <n v="0"/>
    <n v="0"/>
    <n v="357.63000000000005"/>
    <n v="57.220800000000011"/>
    <n v="414.85080000000005"/>
    <n v="7.1526000000000014"/>
    <n v="0"/>
    <n v="7.1526000000000014"/>
    <m/>
    <n v="350.47740000000005"/>
    <m/>
    <m/>
    <n v="0"/>
    <m/>
    <m/>
    <n v="0"/>
    <m/>
    <n v="414.85"/>
    <n v="414.85080000000005"/>
    <n v="8.0000000002655725E-4"/>
    <s v="SFA"/>
    <d v="2023-08-25T00:00:00"/>
    <m/>
    <m/>
    <s v="FIRE"/>
    <m/>
    <m/>
    <m/>
  </r>
  <r>
    <x v="0"/>
    <s v="Yes"/>
    <d v="2023-01-26T00:00:00"/>
    <d v="2023-01-01T00:00:00"/>
    <d v="2023-01-01T00:00:00"/>
    <d v="2023-12-31T00:00:00"/>
    <s v="000-065/AIB RDC/2023"/>
    <n v="0"/>
    <s v="SOUSCRIPTION"/>
    <s v="12001-33002-9005-014-00000145-2020"/>
    <s v="Bolloré Transport &amp; Logistics"/>
    <s v="Transport"/>
    <s v="ANDY"/>
    <s v="Andy"/>
    <s v="MARINE CARGO / GIT"/>
    <s v="MARINE"/>
    <x v="1"/>
    <s v="ACTIVA"/>
    <n v="0"/>
    <n v="2343.1999999999998"/>
    <n v="0"/>
    <n v="0"/>
    <n v="20"/>
    <n v="2000"/>
    <n v="323.2"/>
    <e v="#DIV/0!"/>
    <n v="0.05"/>
    <n v="100"/>
    <n v="0"/>
    <n v="0"/>
    <n v="0"/>
    <n v="100"/>
    <n v="16"/>
    <n v="116"/>
    <n v="2"/>
    <n v="0"/>
    <n v="2"/>
    <m/>
    <n v="98"/>
    <s v="OLEA"/>
    <m/>
    <n v="0"/>
    <m/>
    <m/>
    <n v="0"/>
    <m/>
    <n v="116"/>
    <n v="116"/>
    <n v="0"/>
    <s v="ACTIVA"/>
    <d v="2023-06-05T00:00:00"/>
    <m/>
    <m/>
    <s v="MARINE CARGO / GIT"/>
    <m/>
    <m/>
    <m/>
  </r>
  <r>
    <x v="0"/>
    <s v="Yes"/>
    <d v="2023-01-27T00:00:00"/>
    <d v="2023-01-11T00:00:00"/>
    <d v="2023-01-11T00:00:00"/>
    <d v="2024-01-10T00:00:00"/>
    <s v="000-066/AIB RDC/2023"/>
    <n v="0"/>
    <s v="SOUSCRIPTION"/>
    <s v="12001-33002-0001-103-00005043-2023"/>
    <s v="Canal Plus RDC  SARLU"/>
    <s v="Audiovision"/>
    <s v="ANDY"/>
    <s v="Sabrina"/>
    <s v="COMP MOTOR"/>
    <s v="MOTOR COMP"/>
    <x v="1"/>
    <s v="ACTIVA"/>
    <n v="1845230.53"/>
    <n v="23527.93"/>
    <n v="0"/>
    <n v="0"/>
    <n v="201.2"/>
    <n v="20120.29"/>
    <n v="3251.44"/>
    <n v="1.0903943801536819E-2"/>
    <n v="0.119077309521881"/>
    <n v="2395.8700000000072"/>
    <n v="0"/>
    <n v="0"/>
    <n v="0"/>
    <n v="2395.8700000000072"/>
    <n v="383.33920000000114"/>
    <n v="2779.2092000000084"/>
    <n v="47.917400000000143"/>
    <n v="0"/>
    <n v="47.917400000000143"/>
    <m/>
    <n v="2347.9526000000069"/>
    <s v="OLEA"/>
    <m/>
    <n v="0"/>
    <m/>
    <m/>
    <n v="0"/>
    <m/>
    <n v="2779.2092000000084"/>
    <n v="2779.2092000000084"/>
    <n v="0"/>
    <s v="ACTIVA"/>
    <d v="2023-03-08T00:00:00"/>
    <m/>
    <m/>
    <s v="COMP MOTOR"/>
    <m/>
    <m/>
    <m/>
  </r>
  <r>
    <x v="0"/>
    <s v="Yes"/>
    <d v="2023-01-27T00:00:00"/>
    <d v="2023-01-25T00:00:00"/>
    <d v="2023-01-14T00:00:00"/>
    <d v="2024-01-13T00:00:00"/>
    <s v="000-067/AIB RDC/2023"/>
    <n v="0"/>
    <s v="SOUSCRIPTION"/>
    <s v="12002-33002-0022-111-00017968-2023"/>
    <s v="ERG / Metalkol"/>
    <s v="Mining"/>
    <s v="ANDY"/>
    <s v="Sabrina"/>
    <s v="MARINE CARGO / GIT"/>
    <s v="MARINE"/>
    <x v="0"/>
    <s v="SFA"/>
    <n v="70000000"/>
    <n v="95847.18"/>
    <n v="0"/>
    <n v="0"/>
    <n v="404.11"/>
    <n v="80822.31"/>
    <n v="12996.23"/>
    <n v="1.1546044285714286E-3"/>
    <n v="0.15"/>
    <n v="12123.3465"/>
    <n v="0"/>
    <n v="0"/>
    <n v="0"/>
    <n v="12123.3465"/>
    <n v="1939.7354399999999"/>
    <n v="14063.08194"/>
    <n v="242.46692999999999"/>
    <n v="0"/>
    <n v="242.46692999999999"/>
    <m/>
    <n v="11880.879569999999"/>
    <s v="Aucun"/>
    <m/>
    <n v="0"/>
    <m/>
    <m/>
    <n v="0"/>
    <m/>
    <n v="14063.08194"/>
    <n v="14063.08194"/>
    <n v="0"/>
    <s v="SFA"/>
    <d v="2023-03-20T00:00:00"/>
    <m/>
    <m/>
    <s v="MARINE CARGO / GIT"/>
    <m/>
    <m/>
    <m/>
  </r>
  <r>
    <x v="0"/>
    <s v="Yes"/>
    <d v="2023-01-27T00:00:00"/>
    <d v="2023-01-20T00:00:00"/>
    <d v="2023-01-01T00:00:00"/>
    <d v="2023-12-31T00:00:00"/>
    <s v="000-068/AIB RDC/2023"/>
    <n v="4"/>
    <s v="RENOUVELLEMENT"/>
    <s v="12001-09005/3002/1450000314"/>
    <s v="Bolloré Transport &amp; Logistics"/>
    <s v="Transport"/>
    <s v="ANDY"/>
    <s v="Andy"/>
    <s v="GENERAL LIABILITY"/>
    <s v="LIABILITIES"/>
    <x v="1"/>
    <s v="ACTIVA"/>
    <n v="0"/>
    <n v="245681.38"/>
    <n v="0"/>
    <n v="0"/>
    <n v="2096.9699999999998"/>
    <n v="209697.32"/>
    <n v="33887.089999999997"/>
    <e v="#DIV/0!"/>
    <n v="0.05"/>
    <n v="10484.866000000002"/>
    <n v="0"/>
    <n v="0"/>
    <n v="0"/>
    <n v="10484.866000000002"/>
    <n v="1677.5785600000004"/>
    <n v="12162.444560000002"/>
    <n v="209.69732000000005"/>
    <n v="0"/>
    <n v="209.69732000000005"/>
    <m/>
    <n v="10275.168680000002"/>
    <s v="OLEA"/>
    <m/>
    <n v="0"/>
    <m/>
    <m/>
    <n v="0"/>
    <m/>
    <n v="12162.444560000002"/>
    <n v="12162.444560000002"/>
    <n v="0"/>
    <s v="ACTIVA"/>
    <d v="2023-03-08T00:00:00"/>
    <m/>
    <m/>
    <s v="GENERAL LIABILITY"/>
    <m/>
    <m/>
    <m/>
  </r>
  <r>
    <x v="4"/>
    <s v="Yes"/>
    <d v="2023-01-27T00:00:00"/>
    <d v="2023-01-20T00:00:00"/>
    <d v="2023-05-04T00:00:00"/>
    <d v="2023-09-30T00:00:00"/>
    <s v="000-069/AIB RDC/2023"/>
    <n v="1"/>
    <s v="PROROGATION"/>
    <s v="12002-33002-0006-114-00016195-2022"/>
    <s v="Luano City"/>
    <s v="Construction"/>
    <s v="ANDY"/>
    <s v="Andy"/>
    <s v="CAR"/>
    <s v="CONSTRUCTIONS"/>
    <x v="0"/>
    <s v="SFA"/>
    <n v="5552191.1200000001"/>
    <n v="7608.19"/>
    <n v="0"/>
    <n v="0"/>
    <n v="42.03"/>
    <n v="6405.59"/>
    <n v="1031.6199999999999"/>
    <n v="1.1537048818305088E-3"/>
    <n v="0.15"/>
    <n v="960.83849999999995"/>
    <n v="0"/>
    <n v="0"/>
    <n v="0"/>
    <n v="960.83849999999995"/>
    <n v="153.73416"/>
    <n v="1114.57266"/>
    <n v="19.21677"/>
    <n v="0"/>
    <n v="19.21677"/>
    <m/>
    <n v="941.62172999999996"/>
    <s v="Aucun"/>
    <m/>
    <n v="0"/>
    <m/>
    <m/>
    <n v="0"/>
    <m/>
    <n v="1114.57266"/>
    <n v="1114.57266"/>
    <n v="0"/>
    <s v="SFA"/>
    <d v="2023-02-27T00:00:00"/>
    <m/>
    <s v="EXTENDED"/>
    <s v="CAR"/>
    <m/>
    <m/>
    <m/>
  </r>
  <r>
    <x v="0"/>
    <s v="Yes"/>
    <d v="2023-02-07T00:00:00"/>
    <d v="2023-01-31T00:00:00"/>
    <d v="2023-01-01T00:00:00"/>
    <d v="2023-02-28T00:00:00"/>
    <s v="000-070/AIB RDC/2023"/>
    <n v="6"/>
    <s v="PROROGATION"/>
    <s v="01-TRC-2020-000015"/>
    <s v="LUANO GRANDES PROPRIETES  S.A.R.L/ Résidences"/>
    <s v="Construction"/>
    <s v="ANDY"/>
    <s v="Andy"/>
    <s v="CAR"/>
    <s v="CONSTRUCTIONS"/>
    <x v="0"/>
    <s v="SFA"/>
    <n v="0"/>
    <n v="3951.58"/>
    <n v="269.36"/>
    <n v="0"/>
    <n v="26.61"/>
    <n v="3052.81"/>
    <n v="535.80999999999995"/>
    <e v="#DIV/0!"/>
    <n v="0.15"/>
    <n v="457.92149999999998"/>
    <n v="0"/>
    <n v="0"/>
    <n v="0"/>
    <n v="457.92149999999998"/>
    <n v="73.267439999999993"/>
    <n v="531.18894"/>
    <n v="9.1584299999999992"/>
    <n v="0"/>
    <n v="9.1584299999999992"/>
    <m/>
    <n v="448.76306999999997"/>
    <s v="Aucun"/>
    <m/>
    <n v="0"/>
    <m/>
    <m/>
    <n v="0"/>
    <m/>
    <n v="531.18894"/>
    <n v="531.18894"/>
    <n v="0"/>
    <s v="SFA"/>
    <d v="2023-02-27T00:00:00"/>
    <m/>
    <s v="EXTENDED"/>
    <s v="CAR"/>
    <m/>
    <m/>
    <m/>
  </r>
  <r>
    <x v="0"/>
    <s v="Yes"/>
    <d v="2023-02-07T00:00:00"/>
    <d v="2023-01-18T00:00:00"/>
    <d v="2023-01-01T00:00:00"/>
    <d v="2023-03-30T00:00:00"/>
    <s v="000-071/AIB RDC/2023"/>
    <n v="3"/>
    <s v="PROROGATION"/>
    <s v="01-TRC-2020-000014"/>
    <s v="Luano City"/>
    <s v="Construction"/>
    <s v="ANDY"/>
    <s v="Andy"/>
    <s v="CAR"/>
    <s v="CONSTRUCTIONS"/>
    <x v="0"/>
    <s v="SFA"/>
    <n v="0"/>
    <n v="1724.45"/>
    <n v="0"/>
    <n v="0"/>
    <n v="20"/>
    <n v="1441.41"/>
    <n v="233.83"/>
    <e v="#DIV/0!"/>
    <n v="0.15"/>
    <n v="216.2115"/>
    <n v="0"/>
    <n v="0"/>
    <n v="0"/>
    <n v="216.2115"/>
    <n v="34.59384"/>
    <n v="250.80534"/>
    <n v="4.32423"/>
    <n v="0"/>
    <n v="4.32423"/>
    <m/>
    <n v="211.88727"/>
    <s v="Aucun"/>
    <m/>
    <n v="0"/>
    <m/>
    <m/>
    <n v="0"/>
    <m/>
    <n v="250.80534"/>
    <n v="250.80534"/>
    <n v="0"/>
    <s v="SFA"/>
    <d v="2023-02-27T00:00:00"/>
    <m/>
    <s v="EXTENDED"/>
    <s v="CAR"/>
    <m/>
    <m/>
    <m/>
  </r>
  <r>
    <x v="1"/>
    <s v="Yes"/>
    <d v="2023-02-07T00:00:00"/>
    <d v="2023-01-27T00:00:00"/>
    <d v="2023-02-01T00:00:00"/>
    <d v="2024-01-31T00:00:00"/>
    <s v="000-072/AIB RDC/2023"/>
    <n v="27"/>
    <s v="RENOUVELLEMENT"/>
    <s v="12001-33002-9001-103-00001852"/>
    <s v="CFAO RDC / Loxea RDC"/>
    <s v="Distribution"/>
    <s v="ANDY"/>
    <s v="Sabrina"/>
    <s v="COMP MOTOR"/>
    <s v="MOTOR COMP"/>
    <x v="1"/>
    <s v="ACTIVA"/>
    <n v="0"/>
    <n v="302564.27"/>
    <n v="0"/>
    <n v="0"/>
    <n v="2582.4899999999998"/>
    <n v="258248.78"/>
    <n v="41733"/>
    <e v="#DIV/0!"/>
    <n v="0.13807956808159899"/>
    <n v="35658.879999999881"/>
    <n v="0"/>
    <n v="0"/>
    <n v="7747.4633999999996"/>
    <n v="43406.343399999882"/>
    <n v="6945.0149439999814"/>
    <n v="50351.358343999862"/>
    <n v="713.1775999999976"/>
    <n v="0"/>
    <n v="713.1775999999976"/>
    <m/>
    <n v="42693.165799999886"/>
    <s v="Aucun"/>
    <m/>
    <n v="0"/>
    <m/>
    <m/>
    <n v="0"/>
    <m/>
    <n v="50351.358343999862"/>
    <n v="50351.358343999862"/>
    <n v="0"/>
    <s v="ACTIVA"/>
    <d v="2023-03-08T00:00:00"/>
    <m/>
    <m/>
    <s v="COMP MOTOR"/>
    <m/>
    <m/>
    <m/>
  </r>
  <r>
    <x v="0"/>
    <s v="Yes"/>
    <d v="2023-02-07T00:00:00"/>
    <d v="2023-01-26T00:00:00"/>
    <d v="2023-01-26T00:00:00"/>
    <d v="2024-01-25T00:00:00"/>
    <s v="000-073/AIB RDC/2023"/>
    <n v="0"/>
    <s v="SOUSCRIPTION"/>
    <s v="12002-33002-0022-111-00017981-2023"/>
    <s v="Liberty SPRL"/>
    <s v="Supermarché"/>
    <s v="ANDY"/>
    <s v="Sabrina"/>
    <s v="MARINE CARGO / GIT"/>
    <s v="MARINE"/>
    <x v="0"/>
    <s v="SFA"/>
    <n v="1575000"/>
    <n v="5281.85"/>
    <n v="0"/>
    <n v="0"/>
    <n v="66.150000000000006"/>
    <n v="4410"/>
    <n v="716.18"/>
    <n v="2.8E-3"/>
    <n v="0.15"/>
    <n v="661.5"/>
    <n v="0"/>
    <n v="0"/>
    <n v="0"/>
    <n v="661.5"/>
    <n v="105.84"/>
    <n v="767.34"/>
    <n v="13.23"/>
    <n v="0"/>
    <n v="13.23"/>
    <m/>
    <n v="648.27"/>
    <s v="Aucun"/>
    <m/>
    <n v="0"/>
    <m/>
    <m/>
    <n v="0"/>
    <m/>
    <n v="767.34"/>
    <n v="767.34"/>
    <n v="0"/>
    <s v="SFA"/>
    <d v="2023-02-27T00:00:00"/>
    <m/>
    <m/>
    <s v="MARINE CARGO / GIT"/>
    <m/>
    <m/>
    <m/>
  </r>
  <r>
    <x v="0"/>
    <s v="Yes"/>
    <d v="2023-02-07T00:00:00"/>
    <d v="2023-06-12T00:00:00"/>
    <d v="2023-01-01T00:00:00"/>
    <d v="2023-12-31T00:00:00"/>
    <s v="000-074/AIB RDC/2023"/>
    <n v="0"/>
    <s v="SOUSCRIPTION"/>
    <s v="12002-33002-0001-114-00020657-2023"/>
    <s v="Kibali Barrick Gold"/>
    <s v="Mining"/>
    <s v="ANDY"/>
    <s v="Andy"/>
    <s v="MACHINARY BREAKDOWN"/>
    <s v="PROPERTIES"/>
    <x v="0"/>
    <s v="McGill"/>
    <n v="148918874"/>
    <n v="1014819.47"/>
    <n v="111689.16"/>
    <n v="-110000"/>
    <n v="3732.97"/>
    <n v="744504.37"/>
    <n v="137602.64000000001"/>
    <n v="4.9993956441008276E-3"/>
    <n v="6.6827510159544204E-2"/>
    <n v="49753.37335000006"/>
    <n v="506.74800000000101"/>
    <n v="0"/>
    <n v="0"/>
    <n v="50260.121350000059"/>
    <n v="8041.6194160000096"/>
    <n v="58301.740766000068"/>
    <n v="1005.2024270000012"/>
    <n v="0"/>
    <n v="1005.2024270000012"/>
    <m/>
    <n v="49254.918923000056"/>
    <s v="Aucun"/>
    <m/>
    <n v="0"/>
    <m/>
    <m/>
    <n v="0"/>
    <m/>
    <n v="58301.740766000068"/>
    <n v="58301.740766000068"/>
    <n v="0"/>
    <s v="SFA"/>
    <d v="2023-07-28T00:00:00"/>
    <m/>
    <m/>
    <s v="MACHINARY BREAKDOWN"/>
    <m/>
    <m/>
    <m/>
  </r>
  <r>
    <x v="0"/>
    <s v="Yes"/>
    <d v="2023-01-07T00:00:00"/>
    <d v="2023-04-28T00:00:00"/>
    <d v="2023-01-08T00:00:00"/>
    <d v="2024-01-08T00:00:00"/>
    <s v="000-075/AIB RDC/2023"/>
    <n v="0"/>
    <s v="SOUSCRIPTION"/>
    <s v="00019847"/>
    <s v="Compagnie Africaine d'Aviation / CAA"/>
    <s v="Aviation"/>
    <s v="ANDY"/>
    <s v="Andy"/>
    <s v="AVIATION HULL ALL RISK"/>
    <s v="AVIATION"/>
    <x v="0"/>
    <s v="ARTHUR J. GALLAGHERS"/>
    <n v="0"/>
    <n v="2435843.46"/>
    <n v="309626.12"/>
    <n v="-233242.59"/>
    <n v="100"/>
    <n v="1754548"/>
    <n v="330283.86"/>
    <e v="#DIV/0!"/>
    <n v="0"/>
    <n v="0"/>
    <n v="22915.058999999997"/>
    <n v="8620.69"/>
    <n v="0"/>
    <n v="31535.748999999996"/>
    <n v="5045.7198399999997"/>
    <n v="36581.468839999994"/>
    <n v="630.71497999999997"/>
    <n v="0"/>
    <n v="630.71497999999997"/>
    <m/>
    <n v="30905.034019999996"/>
    <s v="Aucun"/>
    <m/>
    <n v="0"/>
    <m/>
    <m/>
    <n v="0"/>
    <m/>
    <n v="18290.73"/>
    <n v="36581.468839999994"/>
    <n v="18290.738839999995"/>
    <s v="SFA"/>
    <d v="2023-07-28T00:00:00"/>
    <m/>
    <m/>
    <s v="AVIATION HULL ALL RISK"/>
    <m/>
    <m/>
    <s v="Andy calcul les primes que nous devons collecter chez SFA ce 31-10-2023"/>
  </r>
  <r>
    <x v="0"/>
    <s v="Yes"/>
    <d v="2023-01-18T00:00:00"/>
    <d v="2023-02-01T00:00:00"/>
    <d v="2023-01-01T00:00:00"/>
    <d v="2023-12-31T00:00:00"/>
    <s v="000-076/AIB RDC/2023"/>
    <n v="2"/>
    <s v="RENOUVELLEMENT"/>
    <n v="51000007"/>
    <s v="Teichmann Group / T3 Projects"/>
    <s v="Construction"/>
    <s v="ANDY"/>
    <s v="Michée"/>
    <s v="CAR"/>
    <s v="CONSTRUCTIONS"/>
    <x v="6"/>
    <s v="HOLLARD"/>
    <n v="5500000"/>
    <n v="14625.06"/>
    <n v="1844.12"/>
    <n v="0"/>
    <n v="100"/>
    <n v="10450"/>
    <n v="1983.06"/>
    <n v="1.9E-3"/>
    <n v="0"/>
    <n v="0"/>
    <n v="553.23599999999999"/>
    <n v="900.86206896551732"/>
    <n v="0"/>
    <n v="1454.0980689655173"/>
    <n v="232.65569103448277"/>
    <n v="1686.7537600000001"/>
    <n v="29.081961379310346"/>
    <n v="0"/>
    <n v="29.081961379310346"/>
    <m/>
    <n v="1425.016107586207"/>
    <s v="O'NEILS"/>
    <n v="0"/>
    <n v="0"/>
    <m/>
    <m/>
    <n v="0"/>
    <m/>
    <n v="1686.7537600000001"/>
    <n v="1686.7537600000001"/>
    <n v="0"/>
    <s v="O'Neils"/>
    <d v="2023-06-09T00:00:00"/>
    <m/>
    <m/>
    <s v="CAR"/>
    <m/>
    <m/>
    <m/>
  </r>
  <r>
    <x v="0"/>
    <s v="Yes"/>
    <d v="2022-12-17T00:00:00"/>
    <d v="2023-01-01T00:00:00"/>
    <d v="2023-01-01T00:00:00"/>
    <d v="2023-12-31T00:00:00"/>
    <s v="000-077/AIB RDC/2023"/>
    <n v="0"/>
    <s v="SOUSCRIPTION"/>
    <s v="33002-0011-111-0004478 / 0001"/>
    <s v="GROUP VIVENDI AFRICA RDC ( GVA RDC)"/>
    <m/>
    <s v="ANDY"/>
    <s v="Andy"/>
    <s v="MARINE CARGO / GIT"/>
    <s v="MARINE"/>
    <x v="4"/>
    <s v="SUNU"/>
    <n v="0"/>
    <n v="9411.2800000000007"/>
    <n v="0"/>
    <n v="0"/>
    <n v="80.319999999999993"/>
    <n v="8032.85"/>
    <n v="1298.1099999999999"/>
    <e v="#DIV/0!"/>
    <n v="0.15"/>
    <n v="1204.9275"/>
    <n v="0"/>
    <n v="0"/>
    <n v="0"/>
    <n v="1204.9275"/>
    <n v="192.7884"/>
    <n v="1397.7158999999999"/>
    <n v="24.098549999999999"/>
    <n v="0"/>
    <n v="24.098549999999999"/>
    <m/>
    <n v="1180.8289500000001"/>
    <m/>
    <m/>
    <n v="0"/>
    <m/>
    <m/>
    <n v="0"/>
    <m/>
    <n v="1397.7158999999999"/>
    <n v="1397.7158999999999"/>
    <n v="0"/>
    <s v="SUNU"/>
    <d v="2023-03-17T00:00:00"/>
    <s v="ND0005/AIB RDC/2022"/>
    <m/>
    <s v="MARINE CARGO / GIT"/>
    <m/>
    <m/>
    <m/>
  </r>
  <r>
    <x v="0"/>
    <s v="Yes"/>
    <d v="2022-12-20T00:00:00"/>
    <d v="2023-01-23T00:00:00"/>
    <d v="2023-01-23T00:00:00"/>
    <d v="2024-01-22T00:00:00"/>
    <s v="000-078/AIB RDC/2023"/>
    <n v="0"/>
    <s v="SOUSCRIPTION"/>
    <s v="12002-33002-0022-111-00017958-2023"/>
    <s v="WUHUANG CONSTRUCTION ET COMMERCE RDC SAS ( WHCC) / Bolloré"/>
    <m/>
    <s v="SYNTYCHE"/>
    <s v="Victor"/>
    <s v="MARINE CARGO / GIT"/>
    <s v="MARINE"/>
    <x v="0"/>
    <s v="SFA"/>
    <n v="13492.28"/>
    <n v="65"/>
    <n v="0"/>
    <n v="0"/>
    <n v="0.81"/>
    <n v="54.28"/>
    <n v="8.81"/>
    <n v="4.0230413243721591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2-27T00:00:00"/>
    <m/>
    <s v="ONCE OFF"/>
    <s v="MARINE CARGO / GIT"/>
    <m/>
    <m/>
    <m/>
  </r>
  <r>
    <x v="0"/>
    <s v="Yes"/>
    <d v="2022-12-22T00:00:00"/>
    <d v="2023-01-13T00:00:00"/>
    <d v="2023-01-01T00:00:00"/>
    <d v="2023-12-31T00:00:00"/>
    <s v="000-079/AIB RDC/2023"/>
    <n v="0"/>
    <s v="SOUSCRIPTION"/>
    <n v="41000002"/>
    <s v="BIVAC BV"/>
    <m/>
    <s v="ALICE"/>
    <s v="Apphia"/>
    <s v="FIRE/HOME"/>
    <s v="PROPERTIES"/>
    <x v="6"/>
    <s v="RAWSUR"/>
    <n v="0"/>
    <n v="1111.72"/>
    <n v="0"/>
    <n v="0"/>
    <n v="100"/>
    <n v="842.14"/>
    <n v="150.74"/>
    <e v="#DIV/0!"/>
    <n v="0.2"/>
    <n v="168.428"/>
    <n v="0"/>
    <n v="0"/>
    <n v="0"/>
    <n v="168.428"/>
    <n v="26.94848"/>
    <n v="195.37647999999999"/>
    <n v="3.36856"/>
    <n v="0"/>
    <n v="3.36856"/>
    <m/>
    <n v="165.05944"/>
    <m/>
    <m/>
    <n v="0"/>
    <m/>
    <m/>
    <n v="0"/>
    <m/>
    <n v="195.37647999999999"/>
    <n v="195.37647999999999"/>
    <n v="0"/>
    <s v="RAWSUR"/>
    <d v="2023-03-07T00:00:00"/>
    <m/>
    <m/>
    <s v="FIRE/HOME"/>
    <m/>
    <m/>
    <m/>
  </r>
  <r>
    <x v="0"/>
    <s v="Yes"/>
    <d v="2022-12-22T00:00:00"/>
    <d v="2023-01-13T00:00:00"/>
    <d v="2023-01-01T00:00:00"/>
    <d v="2023-12-31T00:00:00"/>
    <s v="000-080/AIB RDC/2023"/>
    <n v="0"/>
    <s v="SOUSCRIPTION"/>
    <n v="42000015"/>
    <s v="BIVAC BV"/>
    <m/>
    <s v="ALICE"/>
    <s v="Apphia"/>
    <s v="FIRE"/>
    <s v="PROPERTIES"/>
    <x v="6"/>
    <s v="RAWSUR"/>
    <n v="0"/>
    <n v="5757.39"/>
    <n v="0"/>
    <n v="0"/>
    <n v="100"/>
    <n v="4779.1400000000003"/>
    <n v="780.67"/>
    <e v="#DIV/0!"/>
    <n v="0.15"/>
    <n v="716.87099999999998"/>
    <n v="0"/>
    <n v="0"/>
    <n v="0"/>
    <n v="716.87099999999998"/>
    <n v="114.69936"/>
    <n v="831.57035999999994"/>
    <n v="14.33742"/>
    <n v="0"/>
    <n v="14.33742"/>
    <m/>
    <n v="702.53358000000003"/>
    <m/>
    <m/>
    <n v="0"/>
    <m/>
    <m/>
    <n v="0"/>
    <m/>
    <n v="831.57035999999994"/>
    <n v="831.57035999999994"/>
    <n v="0"/>
    <s v="RAWSUR"/>
    <d v="2023-03-07T00:00:00"/>
    <m/>
    <m/>
    <s v="FIRE"/>
    <m/>
    <m/>
    <m/>
  </r>
  <r>
    <x v="0"/>
    <s v="Yes"/>
    <d v="2023-01-18T00:00:00"/>
    <d v="2023-01-18T00:00:00"/>
    <d v="2023-01-12T00:00:00"/>
    <d v="2023-07-12T00:00:00"/>
    <s v="000-081/AIB RDC/2023"/>
    <n v="0"/>
    <s v="SOUSCRIPTION"/>
    <s v="12002-33002-0002-112-00017934-2023"/>
    <s v="BIAC RDC"/>
    <m/>
    <s v="MICHEE"/>
    <s v="Tychique"/>
    <s v="FIRE"/>
    <s v="PROPERTIES"/>
    <x v="0"/>
    <s v="SFA"/>
    <n v="0"/>
    <n v="9060.66"/>
    <n v="0"/>
    <n v="0"/>
    <n v="38.200000000000003"/>
    <n v="7640.33"/>
    <n v="1228.56"/>
    <e v="#DIV/0!"/>
    <n v="0.1"/>
    <n v="764.03300000000002"/>
    <n v="0"/>
    <n v="0"/>
    <n v="0"/>
    <n v="764.03300000000002"/>
    <n v="122.24528000000001"/>
    <n v="886.27828"/>
    <n v="15.280660000000001"/>
    <n v="0"/>
    <n v="15.280660000000001"/>
    <m/>
    <n v="748.75234"/>
    <m/>
    <m/>
    <n v="0"/>
    <m/>
    <m/>
    <n v="0"/>
    <m/>
    <n v="886.27828"/>
    <n v="886.27828"/>
    <n v="0"/>
    <s v="SFA"/>
    <d v="2023-02-27T00:00:00"/>
    <m/>
    <m/>
    <s v="FIRE"/>
    <m/>
    <m/>
    <m/>
  </r>
  <r>
    <x v="0"/>
    <s v="Yes"/>
    <d v="2022-12-29T00:00:00"/>
    <d v="2023-01-24T00:00:00"/>
    <d v="2023-01-23T00:00:00"/>
    <d v="2024-01-22T00:00:00"/>
    <s v="000-082/AIB RDC/2023"/>
    <n v="0"/>
    <s v="SOUSCRIPTION"/>
    <s v="12002-33002-0022-111-00017963-2023"/>
    <s v="PANACO / Bolloré"/>
    <m/>
    <s v="SYNTYCHE"/>
    <s v="Victor"/>
    <s v="MARINE CARGO / GIT"/>
    <s v="MARINE"/>
    <x v="0"/>
    <s v="SFA"/>
    <n v="52258.61"/>
    <n v="72.099999999999994"/>
    <n v="0"/>
    <n v="0"/>
    <n v="0.9"/>
    <n v="60.2"/>
    <n v="9.7799999999999994"/>
    <n v="1.1519632841363366E-3"/>
    <n v="0.15"/>
    <n v="9.0299999999999994"/>
    <n v="0"/>
    <n v="0"/>
    <n v="0"/>
    <n v="9.0299999999999994"/>
    <n v="1.4447999999999999"/>
    <n v="10.474799999999998"/>
    <n v="0.18059999999999998"/>
    <n v="0"/>
    <n v="0.18059999999999998"/>
    <m/>
    <n v="8.8493999999999993"/>
    <s v="BOLLORE"/>
    <n v="0.4"/>
    <n v="3.5397599999999998"/>
    <n v="3.5397599999999998"/>
    <d v="2023-10-30T00:00:00"/>
    <n v="0"/>
    <m/>
    <n v="10.474799999999998"/>
    <n v="10.474799999999998"/>
    <n v="0"/>
    <s v="SFA"/>
    <d v="2023-02-27T00:00:00"/>
    <m/>
    <s v="ONCE OFF"/>
    <s v="MARINE CARGO / GIT"/>
    <m/>
    <m/>
    <m/>
  </r>
  <r>
    <x v="0"/>
    <s v="Yes"/>
    <d v="2023-01-02T00:00:00"/>
    <d v="2023-01-24T00:00:00"/>
    <d v="2023-01-23T00:00:00"/>
    <d v="2024-01-22T00:00:00"/>
    <s v="000-083/AIB RDC/2023"/>
    <n v="0"/>
    <s v="SOUSCRIPTION"/>
    <s v="12002-33002-0022-111-00017961-2023"/>
    <s v="PANACO / Bolloré"/>
    <m/>
    <s v="SYNTYCHE"/>
    <s v="Victor"/>
    <s v="MARINE CARGO / GIT"/>
    <s v="MARINE"/>
    <x v="0"/>
    <s v="SFA"/>
    <n v="49210.78"/>
    <n v="67.900000000000006"/>
    <n v="0"/>
    <n v="0"/>
    <n v="0.85"/>
    <n v="56.69"/>
    <n v="9.2100000000000009"/>
    <n v="1.1519833662461761E-3"/>
    <n v="0.15"/>
    <n v="8.5034999999999989"/>
    <n v="0"/>
    <n v="0"/>
    <n v="0"/>
    <n v="8.5034999999999989"/>
    <n v="1.3605599999999998"/>
    <n v="9.8640599999999985"/>
    <n v="0.17006999999999997"/>
    <n v="0"/>
    <n v="0.17006999999999997"/>
    <m/>
    <n v="8.3334299999999981"/>
    <s v="BOLLORE"/>
    <n v="0.4"/>
    <n v="3.3333719999999993"/>
    <n v="3.3333719999999993"/>
    <d v="2023-10-30T00:00:00"/>
    <n v="0"/>
    <m/>
    <n v="9.8640599999999985"/>
    <n v="9.8640599999999985"/>
    <n v="0"/>
    <s v="SFA"/>
    <d v="2023-02-27T00:00:00"/>
    <m/>
    <s v="ONCE OFF"/>
    <s v="MARINE CARGO / GIT"/>
    <m/>
    <m/>
    <m/>
  </r>
  <r>
    <x v="0"/>
    <s v="Yes"/>
    <d v="2023-01-02T00:00:00"/>
    <d v="2023-01-24T00:00:00"/>
    <d v="2023-01-23T00:00:00"/>
    <d v="2024-01-22T00:00:00"/>
    <s v="000-084/AIB RDC/2023"/>
    <n v="0"/>
    <s v="SOUSCRIPTION"/>
    <s v="12002-33002-0022-111-00017962-2023"/>
    <s v="PANACO / Bolloré"/>
    <m/>
    <s v="SYNTYCHE"/>
    <s v="Victor"/>
    <s v="MARINE CARGO / GIT"/>
    <s v="MARINE"/>
    <x v="0"/>
    <s v="SFA"/>
    <n v="7067.33"/>
    <n v="65"/>
    <n v="0"/>
    <n v="0"/>
    <n v="0.81"/>
    <n v="54.28"/>
    <n v="8.81"/>
    <n v="7.680411131219287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2-27T00:00:00"/>
    <m/>
    <s v="ONCE OFF"/>
    <s v="MARINE CARGO / GIT"/>
    <m/>
    <m/>
    <m/>
  </r>
  <r>
    <x v="0"/>
    <s v="Yes"/>
    <d v="2023-01-02T00:00:00"/>
    <d v="2023-01-24T00:00:00"/>
    <d v="2023-01-23T00:00:00"/>
    <d v="2024-01-22T00:00:00"/>
    <s v="000-085/AIB RDC/2023"/>
    <n v="0"/>
    <s v="SOUSCRIPTION"/>
    <s v="12002-33002-0022-111-00017964-2023"/>
    <s v="MAKALA COAL COMPANY / Bolloré"/>
    <m/>
    <s v="SYNTYCHE"/>
    <s v="Victor"/>
    <s v="MARINE CARGO / GIT"/>
    <s v="MARINE"/>
    <x v="0"/>
    <s v="SFA"/>
    <n v="6901.01"/>
    <n v="65"/>
    <n v="0"/>
    <n v="0"/>
    <n v="0.81"/>
    <n v="54.28"/>
    <n v="8.81"/>
    <n v="7.8655153376100025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2-27T00:00:00"/>
    <m/>
    <s v="ONCE OFF"/>
    <s v="MARINE CARGO / GIT"/>
    <m/>
    <m/>
    <m/>
  </r>
  <r>
    <x v="0"/>
    <s v="Yes"/>
    <d v="2022-09-29T00:00:00"/>
    <d v="2023-01-26T00:00:00"/>
    <d v="2023-01-01T00:00:00"/>
    <d v="2023-12-31T00:00:00"/>
    <s v="000-086/AIB RDC/2023"/>
    <n v="0"/>
    <s v="SOUSCRIPTION"/>
    <s v="00017979"/>
    <s v="Liberty SPRL"/>
    <s v="Supermarché"/>
    <s v="ANDY"/>
    <s v="Nyota"/>
    <s v="MARINE CARGO / GIT"/>
    <s v="MARINE"/>
    <x v="0"/>
    <s v="SFA"/>
    <n v="3010000"/>
    <n v="5986.94"/>
    <n v="0"/>
    <n v="0"/>
    <n v="25.24"/>
    <n v="5048.4399999999996"/>
    <n v="811.79"/>
    <n v="1.6772225913621261E-3"/>
    <n v="0.15"/>
    <n v="757.26599999999996"/>
    <n v="0"/>
    <n v="0"/>
    <n v="0"/>
    <n v="757.26599999999996"/>
    <n v="121.16256"/>
    <n v="878.42855999999995"/>
    <n v="15.14532"/>
    <n v="0"/>
    <n v="15.14532"/>
    <m/>
    <n v="742.12067999999999"/>
    <s v="Aucun"/>
    <m/>
    <n v="0"/>
    <m/>
    <m/>
    <n v="0"/>
    <m/>
    <n v="878.42855999999995"/>
    <n v="878.42855999999995"/>
    <n v="0"/>
    <s v="SFA"/>
    <d v="2023-02-27T00:00:00"/>
    <m/>
    <m/>
    <s v="MARINE CARGO / GIT"/>
    <m/>
    <m/>
    <m/>
  </r>
  <r>
    <x v="0"/>
    <s v="Yes"/>
    <d v="2022-09-29T00:00:00"/>
    <d v="2023-01-26T00:00:00"/>
    <d v="2023-01-01T00:00:00"/>
    <d v="2023-12-31T00:00:00"/>
    <s v="000-087/AIB RDC/2023"/>
    <n v="0"/>
    <s v="SOUSCRIPTION"/>
    <s v="00017980"/>
    <s v="Tokon"/>
    <m/>
    <s v="ANDY"/>
    <s v="Nyota"/>
    <s v="MARINE CARGO / GIT"/>
    <s v="MARINE"/>
    <x v="0"/>
    <s v="SFA"/>
    <n v="1000000"/>
    <n v="960.58"/>
    <n v="0"/>
    <n v="0"/>
    <n v="4.05"/>
    <n v="810"/>
    <n v="130.25"/>
    <n v="8.0999999999999996E-4"/>
    <n v="0.15"/>
    <n v="121.5"/>
    <n v="0"/>
    <n v="0"/>
    <n v="0"/>
    <n v="121.5"/>
    <n v="19.440000000000001"/>
    <n v="140.94"/>
    <n v="2.4300000000000002"/>
    <n v="0"/>
    <n v="2.4300000000000002"/>
    <m/>
    <n v="119.07"/>
    <m/>
    <m/>
    <n v="0"/>
    <m/>
    <m/>
    <n v="0"/>
    <m/>
    <n v="140.94"/>
    <n v="140.94"/>
    <n v="0"/>
    <s v="SFA"/>
    <d v="2023-02-27T00:00:00"/>
    <m/>
    <m/>
    <s v="MARINE CARGO / GIT"/>
    <m/>
    <m/>
    <m/>
  </r>
  <r>
    <x v="1"/>
    <s v="Yes"/>
    <d v="2023-01-02T00:00:00"/>
    <d v="2023-02-13T00:00:00"/>
    <d v="2023-02-13T00:00:00"/>
    <d v="2024-02-12T00:00:00"/>
    <s v="000-088/AIB RDC/2023"/>
    <n v="0"/>
    <s v="SOUSCRIPTION"/>
    <s v="12002-33002-0022-111-00018124-2023"/>
    <s v="CONGO NEW ENERGY CAMPANY / Bolloré"/>
    <m/>
    <s v="SYNTYCHE"/>
    <s v="Victor"/>
    <s v="MARINE CARGO / GIT"/>
    <s v="MARINE"/>
    <x v="0"/>
    <s v="SFA"/>
    <n v="717421.2"/>
    <n v="1902.32"/>
    <n v="0"/>
    <n v="0"/>
    <n v="23.82"/>
    <n v="1588.32"/>
    <n v="257.94"/>
    <n v="2.2139295576991593E-3"/>
    <n v="0.15"/>
    <n v="238.24799999999999"/>
    <n v="0"/>
    <n v="0"/>
    <n v="0"/>
    <n v="238.24799999999999"/>
    <n v="38.119680000000002"/>
    <n v="276.36768000000001"/>
    <n v="4.7649600000000003"/>
    <n v="0"/>
    <n v="4.7649600000000003"/>
    <m/>
    <n v="233.48303999999999"/>
    <s v="BOLLORE"/>
    <n v="0.4"/>
    <n v="93.393215999999995"/>
    <n v="93.393215999999995"/>
    <d v="2023-10-30T00:00:00"/>
    <n v="0"/>
    <m/>
    <n v="276.36768000000001"/>
    <n v="276.36768000000001"/>
    <n v="0"/>
    <s v="SFA"/>
    <d v="2023-03-20T00:00:00"/>
    <m/>
    <s v="ONCE OFF"/>
    <s v="MARINE CARGO / GIT"/>
    <m/>
    <m/>
    <m/>
  </r>
  <r>
    <x v="0"/>
    <s v="Yes"/>
    <d v="2022-12-20T00:00:00"/>
    <d v="2023-01-23T00:00:00"/>
    <d v="2023-01-23T00:00:00"/>
    <d v="2024-01-22T00:00:00"/>
    <s v="000-089/AIB RDC/2023"/>
    <n v="0"/>
    <s v="SOUSCRIPTION"/>
    <s v="12002-33002-0022-111-00017957-2023"/>
    <s v="WUHUANG CONSTRUCTION ET COMMERCE RDC SAS ( WHCC) / Bolloré"/>
    <m/>
    <s v="SYNTYCHE"/>
    <s v="Victor"/>
    <s v="MARINE CARGO / GIT"/>
    <s v="MARINE"/>
    <x v="0"/>
    <s v="SFA"/>
    <n v="13492.28"/>
    <n v="65"/>
    <n v="0"/>
    <n v="0"/>
    <n v="0.81"/>
    <n v="54.28"/>
    <n v="8.81"/>
    <n v="4.0230413243721591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2-27T00:00:00"/>
    <m/>
    <s v="ONCE OFF"/>
    <s v="MARINE CARGO / GIT"/>
    <m/>
    <m/>
    <m/>
  </r>
  <r>
    <x v="1"/>
    <s v="Yes"/>
    <d v="2023-02-07T00:00:00"/>
    <d v="2023-02-09T00:00:00"/>
    <d v="2023-02-08T00:00:00"/>
    <d v="2023-02-22T00:00:00"/>
    <s v="000-090/AIB RDC/2023"/>
    <n v="3"/>
    <s v="PROROGATION"/>
    <s v="12002-33002-0004-104-00017665-2022"/>
    <s v="T K XPORT LLC"/>
    <m/>
    <s v="MICHEE"/>
    <s v="Tychique"/>
    <s v="COMP MOTOR"/>
    <s v="MOTOR COMP"/>
    <x v="0"/>
    <s v="SFA"/>
    <n v="149952"/>
    <n v="950.55"/>
    <n v="0"/>
    <n v="0"/>
    <n v="11.88"/>
    <n v="793.68"/>
    <n v="128.88"/>
    <n v="5.2928937259923174E-3"/>
    <n v="0.15"/>
    <n v="119.05199999999999"/>
    <n v="0"/>
    <n v="0"/>
    <n v="0"/>
    <n v="119.05199999999999"/>
    <n v="19.04832"/>
    <n v="138.10031999999998"/>
    <n v="2.38104"/>
    <n v="0"/>
    <n v="2.38104"/>
    <m/>
    <n v="116.67095999999999"/>
    <m/>
    <m/>
    <n v="0"/>
    <m/>
    <m/>
    <n v="0"/>
    <m/>
    <n v="138.10031999999998"/>
    <n v="138.10031999999998"/>
    <n v="0"/>
    <s v="SFA"/>
    <d v="2023-03-20T00:00:00"/>
    <m/>
    <s v="EXTENDED"/>
    <s v="COMP MOTOR"/>
    <m/>
    <m/>
    <m/>
  </r>
  <r>
    <x v="1"/>
    <s v="Yes"/>
    <d v="2023-02-07T00:00:00"/>
    <d v="2023-02-21T00:00:00"/>
    <d v="2023-02-21T00:00:00"/>
    <d v="2024-02-20T00:00:00"/>
    <s v="000-091/AIB RDC/2023"/>
    <n v="3"/>
    <s v="RENOUVELLEMENT"/>
    <s v="12001-33002-001-103-00000349-2020"/>
    <s v="BGFI BANK RDC"/>
    <s v="BANKING"/>
    <s v="MICHEE"/>
    <s v="Tychique"/>
    <s v="COMP MOTOR"/>
    <s v="MOTOR COMP"/>
    <x v="1"/>
    <s v="ACTIVA"/>
    <n v="0"/>
    <n v="38854.199999999997"/>
    <n v="0"/>
    <n v="0"/>
    <n v="331.63"/>
    <n v="33163.370000000003"/>
    <n v="5359.2"/>
    <e v="#DIV/0!"/>
    <n v="0.13572323922448201"/>
    <n v="4501.04000000001"/>
    <n v="0"/>
    <n v="0"/>
    <n v="0"/>
    <n v="4501.04000000001"/>
    <n v="720.16640000000166"/>
    <n v="5221.2064000000119"/>
    <n v="90.020800000000207"/>
    <n v="0"/>
    <n v="90.020800000000207"/>
    <m/>
    <n v="4411.0192000000097"/>
    <m/>
    <m/>
    <n v="0"/>
    <m/>
    <m/>
    <n v="0"/>
    <m/>
    <n v="5221.2064000000119"/>
    <n v="5221.2064000000119"/>
    <n v="0"/>
    <s v="ACTIVA"/>
    <d v="2023-04-19T00:00:00"/>
    <m/>
    <m/>
    <s v="COMP MOTOR"/>
    <m/>
    <m/>
    <m/>
  </r>
  <r>
    <x v="1"/>
    <s v="No"/>
    <d v="2023-02-08T00:00:00"/>
    <m/>
    <d v="2023-02-09T00:00:00"/>
    <d v="2023-04-08T00:00:00"/>
    <s v="000-092/AIB RDC/2023"/>
    <n v="0"/>
    <s v="SOUSCRIPTION"/>
    <m/>
    <s v="STE AFRICELL RDC SA"/>
    <m/>
    <s v="MICHEE"/>
    <s v="Tychique"/>
    <s v="MARINE CARGO / GIT"/>
    <s v="MARINE"/>
    <x v="6"/>
    <s v="RAWSUR"/>
    <n v="200000"/>
    <n v="737.5"/>
    <n v="0"/>
    <n v="0"/>
    <n v="25"/>
    <n v="600"/>
    <n v="100"/>
    <n v="3.0000000000000001E-3"/>
    <n v="0.15"/>
    <n v="90"/>
    <n v="0"/>
    <n v="0"/>
    <n v="0"/>
    <n v="90"/>
    <n v="14.4"/>
    <n v="104.4"/>
    <n v="1.8"/>
    <n v="0"/>
    <n v="1.8"/>
    <m/>
    <n v="88.2"/>
    <m/>
    <n v="0"/>
    <n v="0"/>
    <m/>
    <m/>
    <n v="0"/>
    <m/>
    <m/>
    <n v="104.4"/>
    <n v="104.4"/>
    <s v="RAWSUR"/>
    <m/>
    <m/>
    <s v="RENEWED"/>
    <s v="MARINE CARGO / GIT"/>
    <m/>
    <m/>
    <s v="01-11-2023/ confirmation que c'est déjà payé"/>
  </r>
  <r>
    <x v="1"/>
    <s v="Yes"/>
    <d v="2023-02-13T00:00:00"/>
    <d v="2023-02-17T00:00:00"/>
    <d v="2023-02-14T00:00:00"/>
    <d v="2024-02-13T00:00:00"/>
    <s v="000-093/AIB RDC/2023"/>
    <n v="0"/>
    <s v="SOUSCRIPTION"/>
    <s v="12005-33002-0013-13001-0004673-2023"/>
    <s v="ROYAL FORCE SECURITE SARL"/>
    <m/>
    <s v="MICHEE"/>
    <s v="Nyota"/>
    <s v="GENERAL LIABILITY"/>
    <s v="LIABILITIES"/>
    <x v="5"/>
    <s v="MAYFAIR"/>
    <n v="1000000"/>
    <n v="5470.48"/>
    <n v="0"/>
    <n v="0"/>
    <n v="50"/>
    <n v="4586"/>
    <n v="741.76"/>
    <n v="4.5859999999999998E-3"/>
    <n v="0.15"/>
    <n v="687.9"/>
    <n v="0"/>
    <n v="1439.4"/>
    <n v="0"/>
    <n v="2127.3000000000002"/>
    <n v="340.36800000000005"/>
    <n v="2467.6680000000001"/>
    <n v="42.546000000000006"/>
    <n v="0"/>
    <n v="42.546000000000006"/>
    <m/>
    <n v="2084.7540000000004"/>
    <m/>
    <m/>
    <n v="0"/>
    <m/>
    <m/>
    <n v="0"/>
    <m/>
    <n v="2467.6680000000001"/>
    <n v="2467.6680000000001"/>
    <n v="0"/>
    <s v="MAYFAIR"/>
    <d v="2023-04-18T00:00:00"/>
    <m/>
    <m/>
    <s v="GENERAL LIABILITY"/>
    <m/>
    <m/>
    <m/>
  </r>
  <r>
    <x v="1"/>
    <s v="Yes"/>
    <d v="2023-02-07T00:00:00"/>
    <m/>
    <d v="2023-02-10T00:00:00"/>
    <d v="2024-02-09T00:00:00"/>
    <s v="000-094/AIB RDC/2023"/>
    <n v="2"/>
    <s v="RENOUVELLEMENT"/>
    <s v="12005-33002-0012-13001-00004636-2023"/>
    <s v="SHAMIM SHAMJI / SARAH SHAMJI"/>
    <m/>
    <s v="MICHEE"/>
    <s v="Tychique"/>
    <s v="FIRE"/>
    <s v="PROPERTIES"/>
    <x v="5"/>
    <s v="MAYFAIR"/>
    <n v="3200000"/>
    <n v="4833.87"/>
    <n v="0"/>
    <n v="0"/>
    <n v="20"/>
    <n v="4076.5"/>
    <n v="655.44"/>
    <n v="1.2739062500000001E-3"/>
    <n v="0.15"/>
    <n v="611.47500000000002"/>
    <n v="0"/>
    <n v="0"/>
    <n v="0"/>
    <n v="611.47500000000002"/>
    <n v="97.836000000000013"/>
    <n v="709.31100000000004"/>
    <n v="12.229500000000002"/>
    <n v="0"/>
    <n v="12.229500000000002"/>
    <m/>
    <n v="599.24549999999999"/>
    <m/>
    <m/>
    <n v="0"/>
    <m/>
    <m/>
    <n v="0"/>
    <m/>
    <m/>
    <n v="709.31100000000004"/>
    <n v="709.31100000000004"/>
    <s v="MAYFAIR"/>
    <m/>
    <m/>
    <m/>
    <s v="FIRE"/>
    <m/>
    <m/>
    <s v="01-11-2023/ confirmation que c'est déjà payée"/>
  </r>
  <r>
    <x v="0"/>
    <s v="Yes"/>
    <d v="2023-01-19T00:00:00"/>
    <d v="2023-02-17T00:00:00"/>
    <d v="2023-01-22T00:00:00"/>
    <d v="2024-01-21T00:00:00"/>
    <s v="000-095/AIB RDC/2023"/>
    <n v="1"/>
    <s v="RENOUVELLEMENT"/>
    <s v="12002-33002-0005-122-00018160-2023"/>
    <s v="SUN DISTRIBUTION CONGO"/>
    <m/>
    <s v="MICHEE"/>
    <s v="Tychique"/>
    <s v="PVT"/>
    <s v="POLITICAL VIOLENCE"/>
    <x v="0"/>
    <s v="SFA"/>
    <n v="650000"/>
    <n v="3501.2"/>
    <n v="344.12"/>
    <n v="0"/>
    <n v="23"/>
    <n v="2600"/>
    <n v="474.74"/>
    <n v="4.0000000000000001E-3"/>
    <n v="0.15"/>
    <n v="390"/>
    <n v="0"/>
    <n v="0"/>
    <n v="0"/>
    <n v="390"/>
    <n v="62.4"/>
    <n v="452.4"/>
    <n v="7.8"/>
    <n v="0"/>
    <n v="7.8"/>
    <m/>
    <n v="382.2"/>
    <m/>
    <m/>
    <n v="0"/>
    <m/>
    <m/>
    <n v="0"/>
    <m/>
    <n v="452.4"/>
    <n v="452.4"/>
    <n v="0"/>
    <s v="SFA"/>
    <d v="2023-03-20T00:00:00"/>
    <m/>
    <m/>
    <s v="PVT"/>
    <m/>
    <m/>
    <m/>
  </r>
  <r>
    <x v="0"/>
    <s v="Yes"/>
    <d v="2023-01-23T00:00:00"/>
    <d v="2023-02-17T00:00:00"/>
    <d v="2023-01-23T00:00:00"/>
    <d v="2024-01-22T00:00:00"/>
    <s v="000-096/AIB RDC/2023"/>
    <n v="1"/>
    <s v="RENOUVELLEMENT"/>
    <s v="12002-33002-0002-112-00018162-2023"/>
    <s v="SUN DISTRIBUTION CONGO"/>
    <m/>
    <s v="MICHEE"/>
    <s v="Tychique"/>
    <s v="FIRE"/>
    <s v="PROPERTIES"/>
    <x v="0"/>
    <s v="SFA"/>
    <n v="879000"/>
    <n v="1912.31"/>
    <n v="0"/>
    <n v="0"/>
    <n v="20"/>
    <n v="1600.6"/>
    <n v="259.3"/>
    <n v="1.820932878270762E-3"/>
    <n v="0.1"/>
    <n v="160.06"/>
    <n v="0"/>
    <n v="0"/>
    <n v="0"/>
    <n v="160.06"/>
    <n v="25.6096"/>
    <n v="185.6696"/>
    <n v="3.2012"/>
    <n v="0"/>
    <n v="3.2012"/>
    <m/>
    <n v="156.8588"/>
    <m/>
    <m/>
    <n v="0"/>
    <m/>
    <m/>
    <n v="0"/>
    <m/>
    <n v="185.6696"/>
    <n v="185.6696"/>
    <n v="0"/>
    <s v="SFA"/>
    <d v="2023-03-20T00:00:00"/>
    <m/>
    <m/>
    <s v="FIRE"/>
    <m/>
    <m/>
    <m/>
  </r>
  <r>
    <x v="1"/>
    <s v="Yes"/>
    <d v="2023-01-23T00:00:00"/>
    <d v="2023-02-17T00:00:00"/>
    <d v="2023-02-17T00:00:00"/>
    <d v="2024-02-16T00:00:00"/>
    <s v="000-097/AIB RDC/2023"/>
    <n v="1"/>
    <s v="RENOUVELLEMENT"/>
    <s v="12002-33002-0022-111-00018161-2023"/>
    <s v="SUN DISTRIBUTION CONGO"/>
    <m/>
    <s v="MICHEE"/>
    <s v="Tychique"/>
    <s v="MARINE CARGO / GIT"/>
    <s v="MARINE"/>
    <x v="0"/>
    <s v="SFA"/>
    <n v="500000"/>
    <n v="2179.09"/>
    <n v="0"/>
    <n v="0"/>
    <n v="9.19"/>
    <n v="1837.5"/>
    <n v="295.47000000000003"/>
    <n v="3.6749999999999999E-3"/>
    <n v="0.15"/>
    <n v="275.625"/>
    <n v="0"/>
    <n v="0"/>
    <n v="0"/>
    <n v="275.625"/>
    <n v="44.1"/>
    <n v="319.72500000000002"/>
    <n v="5.5125000000000002"/>
    <n v="0"/>
    <n v="5.5125000000000002"/>
    <m/>
    <n v="270.11250000000001"/>
    <m/>
    <m/>
    <n v="0"/>
    <m/>
    <m/>
    <n v="0"/>
    <m/>
    <n v="319.72500000000002"/>
    <n v="319.72500000000002"/>
    <n v="0"/>
    <s v="SFA"/>
    <d v="2023-03-20T00:00:00"/>
    <m/>
    <m/>
    <s v="MARINE CARGO / GIT"/>
    <m/>
    <m/>
    <m/>
  </r>
  <r>
    <x v="1"/>
    <s v="Yes"/>
    <d v="2023-02-17T00:00:00"/>
    <d v="2023-02-21T00:00:00"/>
    <d v="2023-02-09T00:00:00"/>
    <d v="2023-09-26T00:00:00"/>
    <s v="000-098/AIB RDC/2023"/>
    <n v="1"/>
    <s v="INCORPORATION"/>
    <s v="12005-33002-0001-13001-00003575-2022"/>
    <s v="FABRI METAL CONGO SARL ( FAMECO)"/>
    <m/>
    <s v="MICHEE"/>
    <s v="Tychique"/>
    <s v="GPA"/>
    <s v="MEDICAL &amp; GPA"/>
    <x v="5"/>
    <s v="MAYFAIR"/>
    <n v="0"/>
    <n v="3042"/>
    <n v="0"/>
    <n v="0"/>
    <n v="50"/>
    <n v="2528"/>
    <n v="413"/>
    <e v="#DIV/0!"/>
    <n v="0.1"/>
    <n v="252.8"/>
    <n v="0"/>
    <n v="0"/>
    <n v="0"/>
    <n v="252.8"/>
    <n v="40.448"/>
    <n v="293.24799999999999"/>
    <n v="5.056"/>
    <n v="0"/>
    <n v="5.056"/>
    <m/>
    <n v="247.744"/>
    <m/>
    <m/>
    <n v="0"/>
    <m/>
    <m/>
    <n v="0"/>
    <m/>
    <n v="293.24799999999999"/>
    <n v="293.24799999999999"/>
    <n v="0"/>
    <s v="MAYFAIR"/>
    <d v="2023-03-30T00:00:00"/>
    <m/>
    <m/>
    <s v="GPA"/>
    <m/>
    <m/>
    <m/>
  </r>
  <r>
    <x v="1"/>
    <s v="Yes"/>
    <d v="2023-02-17T00:00:00"/>
    <d v="2023-02-21T00:00:00"/>
    <d v="2023-02-09T00:00:00"/>
    <d v="2023-09-26T00:00:00"/>
    <s v="000-099/AIB RDC/2023"/>
    <n v="1"/>
    <s v="INCORPORATION"/>
    <s v="12005-33002-0001-13001-00003576-2022"/>
    <s v="FABRI METAL CONGO SARL ( FAMECO)"/>
    <m/>
    <s v="MICHEE"/>
    <s v="Tychique"/>
    <s v="GPA"/>
    <s v="MEDICAL &amp; GPA"/>
    <x v="5"/>
    <s v="MAYFAIR"/>
    <n v="0"/>
    <n v="3233"/>
    <n v="0"/>
    <n v="0"/>
    <n v="50"/>
    <n v="2690"/>
    <n v="438"/>
    <e v="#DIV/0!"/>
    <n v="0.1"/>
    <n v="269"/>
    <n v="0"/>
    <n v="0"/>
    <n v="0"/>
    <n v="269"/>
    <n v="43.04"/>
    <n v="312.04000000000002"/>
    <n v="5.38"/>
    <n v="0"/>
    <n v="5.38"/>
    <m/>
    <n v="263.62"/>
    <m/>
    <m/>
    <n v="0"/>
    <m/>
    <m/>
    <n v="0"/>
    <m/>
    <n v="312.04000000000002"/>
    <n v="312.04000000000002"/>
    <n v="0"/>
    <s v="MAYFAIR"/>
    <d v="2023-03-30T00:00:00"/>
    <m/>
    <m/>
    <s v="GPA"/>
    <m/>
    <m/>
    <m/>
  </r>
  <r>
    <x v="1"/>
    <s v="Yes"/>
    <d v="2022-02-22T00:00:00"/>
    <d v="2023-03-01T00:00:00"/>
    <d v="2023-02-22T00:00:00"/>
    <d v="2023-03-08T00:00:00"/>
    <s v="000-100/AIB RDC/2023"/>
    <n v="4"/>
    <s v="PROROGATION"/>
    <s v="12002-33002-0004-104-00017665-2022"/>
    <s v="T K XPORT LLC"/>
    <m/>
    <s v="MICHEE"/>
    <s v="Tychique"/>
    <s v="COMP MOTOR"/>
    <s v="MOTOR COMP"/>
    <x v="0"/>
    <s v="SFA"/>
    <n v="149952"/>
    <n v="950.55"/>
    <n v="0"/>
    <n v="0"/>
    <n v="11.88"/>
    <n v="793.68"/>
    <n v="128.88"/>
    <n v="5.2928937259923174E-3"/>
    <n v="0.15"/>
    <n v="119.05199999999999"/>
    <n v="0"/>
    <n v="0"/>
    <n v="0"/>
    <n v="119.05199999999999"/>
    <n v="19.04832"/>
    <n v="138.10031999999998"/>
    <n v="2.38104"/>
    <n v="0"/>
    <n v="2.38104"/>
    <m/>
    <n v="116.67095999999999"/>
    <m/>
    <m/>
    <n v="0"/>
    <m/>
    <m/>
    <n v="0"/>
    <m/>
    <n v="138.10031999999998"/>
    <n v="138.10031999999998"/>
    <n v="0"/>
    <s v="SFA"/>
    <d v="2023-03-20T00:00:00"/>
    <m/>
    <s v="EXTENDED"/>
    <s v="COMP MOTOR"/>
    <m/>
    <m/>
    <m/>
  </r>
  <r>
    <x v="1"/>
    <s v="Yes"/>
    <d v="2023-02-08T00:00:00"/>
    <m/>
    <d v="2023-02-08T00:00:00"/>
    <s v="31/02/2023"/>
    <s v="000-101/AIB RDC/2023"/>
    <n v="1"/>
    <s v="PROROGATION"/>
    <s v="12005-33002-0008-13001-00004398-2023"/>
    <s v="EASTCASTLE INFRASTRUCTURE DRC SARLU"/>
    <m/>
    <s v="MICHEE"/>
    <s v="Tychique"/>
    <s v="PROPERTY DAMAGE &amp; BI"/>
    <s v="PROPERTIES"/>
    <x v="5"/>
    <s v="MAYFAIR"/>
    <n v="0"/>
    <n v="1625.29"/>
    <n v="0"/>
    <n v="0"/>
    <n v="100"/>
    <n v="1277.3599999999999"/>
    <n v="220.38"/>
    <e v="#DIV/0!"/>
    <n v="0.15"/>
    <n v="191.60399999999998"/>
    <n v="0"/>
    <n v="0"/>
    <n v="0"/>
    <n v="191.60399999999998"/>
    <n v="30.656639999999999"/>
    <n v="222.26064"/>
    <n v="3.8320799999999999"/>
    <n v="0"/>
    <n v="3.8320799999999999"/>
    <m/>
    <n v="187.77191999999999"/>
    <m/>
    <m/>
    <n v="0"/>
    <m/>
    <m/>
    <n v="0"/>
    <m/>
    <m/>
    <n v="222.26064"/>
    <n v="222.26064"/>
    <s v="MAYFAIR"/>
    <m/>
    <m/>
    <s v="ONCE OFF"/>
    <s v="PROPERTY DAMAGE &amp; BI"/>
    <m/>
    <m/>
    <s v="01-11-2023/ confirmation que c'est déjà payée"/>
  </r>
  <r>
    <x v="1"/>
    <s v="No"/>
    <d v="2023-02-23T00:00:00"/>
    <m/>
    <m/>
    <m/>
    <s v="000-102/AIB RDC/2023"/>
    <n v="0"/>
    <s v="SOUSCRIPTION"/>
    <m/>
    <s v="T K XPORT LLC"/>
    <m/>
    <s v="MICHEE"/>
    <s v="Tychique"/>
    <s v="COMP MOTOR"/>
    <s v="MOTOR COMP"/>
    <x v="0"/>
    <s v="SFA"/>
    <n v="44369"/>
    <n v="575.66999999999996"/>
    <n v="0"/>
    <n v="0"/>
    <n v="7.21"/>
    <n v="480.64"/>
    <n v="78.06"/>
    <n v="1.0832788658748226E-2"/>
    <n v="0.15"/>
    <n v="72.095999999999989"/>
    <n v="0"/>
    <n v="0"/>
    <n v="0"/>
    <n v="72.095999999999989"/>
    <n v="11.535359999999999"/>
    <n v="83.631359999999987"/>
    <n v="1.4419199999999999"/>
    <n v="0"/>
    <n v="1.4419199999999999"/>
    <m/>
    <n v="70.654079999999993"/>
    <m/>
    <m/>
    <n v="0"/>
    <m/>
    <m/>
    <n v="0"/>
    <m/>
    <m/>
    <n v="83.631359999999987"/>
    <n v="83.631359999999987"/>
    <s v="SFA"/>
    <m/>
    <m/>
    <m/>
    <s v="COMP MOTOR"/>
    <m/>
    <m/>
    <s v="le client n'a jamais donné de retour, une ligne à ne plus considerer cfr Michée"/>
  </r>
  <r>
    <x v="1"/>
    <s v="Yes"/>
    <d v="2023-02-23T00:00:00"/>
    <d v="2023-03-06T00:00:00"/>
    <d v="2023-02-22T00:00:00"/>
    <d v="2023-10-17T00:00:00"/>
    <s v="000-103/AIB RDC/2023"/>
    <n v="1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970.51"/>
    <n v="0"/>
    <n v="0"/>
    <n v="10.46"/>
    <n v="810.32"/>
    <n v="131.32"/>
    <e v="#DIV/0!"/>
    <n v="0.1"/>
    <n v="81.032000000000011"/>
    <n v="0"/>
    <n v="0"/>
    <n v="0"/>
    <n v="81.032000000000011"/>
    <n v="12.965120000000002"/>
    <n v="93.99712000000001"/>
    <n v="1.6206400000000003"/>
    <n v="0"/>
    <n v="1.6206400000000003"/>
    <m/>
    <n v="79.411360000000016"/>
    <m/>
    <m/>
    <n v="0"/>
    <m/>
    <m/>
    <n v="0"/>
    <m/>
    <n v="93.99712000000001"/>
    <n v="93.99712000000001"/>
    <n v="0"/>
    <s v="SFA"/>
    <d v="2023-05-24T00:00:00"/>
    <m/>
    <m/>
    <s v="MOTOR TPL"/>
    <m/>
    <m/>
    <m/>
  </r>
  <r>
    <x v="1"/>
    <s v="Yes"/>
    <d v="2023-02-24T00:00:00"/>
    <d v="2023-02-28T00:00:00"/>
    <d v="2023-02-24T00:00:00"/>
    <d v="2023-03-09T00:00:00"/>
    <s v="000-104/AIB RDC/2023"/>
    <n v="3"/>
    <s v="INCORPORATION"/>
    <s v="13001/01/0700/00255/2022"/>
    <s v="MAFRICOM"/>
    <m/>
    <s v="MICHEE"/>
    <s v="Tychique"/>
    <s v="MOTOR TPL"/>
    <s v="MOTOR TPL"/>
    <x v="5"/>
    <s v="MAYFAIR"/>
    <m/>
    <n v="318.60000000000002"/>
    <n v="0"/>
    <n v="0"/>
    <n v="30"/>
    <n v="240"/>
    <n v="43.2"/>
    <e v="#DIV/0!"/>
    <n v="0.1"/>
    <n v="24"/>
    <n v="0"/>
    <n v="0"/>
    <n v="0"/>
    <n v="24"/>
    <n v="3.84"/>
    <n v="27.84"/>
    <n v="0.48"/>
    <n v="0"/>
    <n v="0.48"/>
    <m/>
    <n v="23.52"/>
    <m/>
    <m/>
    <n v="0"/>
    <m/>
    <m/>
    <n v="0"/>
    <m/>
    <n v="27.84"/>
    <n v="27.84"/>
    <n v="0"/>
    <s v="MAYFAIR"/>
    <d v="2023-03-30T00:00:00"/>
    <m/>
    <s v="RENEWED"/>
    <s v="MOTOR TPL"/>
    <m/>
    <m/>
    <m/>
  </r>
  <r>
    <x v="1"/>
    <s v="Yes"/>
    <d v="2023-03-09T00:00:00"/>
    <d v="2023-02-27T00:00:00"/>
    <d v="2023-02-24T00:00:00"/>
    <d v="2023-03-09T00:00:00"/>
    <s v="000-105/AIB RDC/2023"/>
    <n v="4"/>
    <s v="INCORPORATION"/>
    <s v="13001/01/0700/00256/2022"/>
    <s v="NUTRI AFRICA"/>
    <m/>
    <s v="MICHEE"/>
    <s v="Tychique"/>
    <s v="MOTOR TPL"/>
    <s v="MOTOR TPL"/>
    <x v="5"/>
    <s v="MAYFAIR"/>
    <n v="0"/>
    <n v="212.4"/>
    <n v="0"/>
    <n v="0"/>
    <n v="20"/>
    <n v="160"/>
    <n v="28.8"/>
    <e v="#DIV/0!"/>
    <n v="0.1"/>
    <n v="16"/>
    <n v="0"/>
    <n v="0"/>
    <n v="0"/>
    <n v="16"/>
    <n v="2.56"/>
    <n v="18.559999999999999"/>
    <n v="0.32"/>
    <n v="0"/>
    <n v="0.32"/>
    <m/>
    <n v="15.68"/>
    <m/>
    <m/>
    <n v="0"/>
    <m/>
    <m/>
    <n v="0"/>
    <m/>
    <n v="18.559999999999999"/>
    <n v="18.559999999999999"/>
    <n v="0"/>
    <s v="MAYFAIR"/>
    <d v="2023-03-30T00:00:00"/>
    <m/>
    <s v="RENEWED"/>
    <s v="MOTOR TPL"/>
    <m/>
    <m/>
    <m/>
  </r>
  <r>
    <x v="2"/>
    <s v="No"/>
    <d v="2023-08-18T00:00:00"/>
    <m/>
    <d v="2023-03-15T00:00:00"/>
    <d v="2023-06-15T00:00:00"/>
    <s v="000-106/AIB RDC/2023"/>
    <n v="0"/>
    <s v="SOUSCRIPTION"/>
    <s v="301-14400002"/>
    <s v="Mme MWENDA NGOMBE CHRISTINE"/>
    <m/>
    <s v="MICHEE"/>
    <s v="Tychique"/>
    <s v="TRAVEL"/>
    <s v="MEDICAL &amp; GPA"/>
    <x v="6"/>
    <s v="RAWSUR"/>
    <n v="30000"/>
    <n v="165.91"/>
    <n v="0"/>
    <n v="0"/>
    <n v="2"/>
    <n v="138.6"/>
    <n v="22.5"/>
    <n v="4.62E-3"/>
    <n v="0.2"/>
    <n v="27.72"/>
    <n v="0"/>
    <n v="0"/>
    <n v="0"/>
    <n v="27.72"/>
    <n v="4.4352"/>
    <n v="32.155200000000001"/>
    <n v="0.5544"/>
    <n v="0"/>
    <n v="0.5544"/>
    <m/>
    <n v="27.165599999999998"/>
    <m/>
    <m/>
    <n v="0"/>
    <m/>
    <m/>
    <n v="0"/>
    <m/>
    <n v="32.155200000000001"/>
    <n v="32.155200000000001"/>
    <n v="0"/>
    <s v="RAWSUR"/>
    <d v="2023-11-14T00:00:00"/>
    <m/>
    <s v="ONCE OFF"/>
    <s v="TRAVEL"/>
    <m/>
    <m/>
    <s v="01-11-2023// corfirmation du paiement "/>
  </r>
  <r>
    <x v="2"/>
    <s v="No"/>
    <d v="2023-08-18T00:00:00"/>
    <m/>
    <d v="2023-03-03T00:00:00"/>
    <d v="2023-07-02T00:00:00"/>
    <s v="000-107/AIB RDC/2023"/>
    <n v="0"/>
    <s v="SOUSCRIPTION"/>
    <s v="301-14400003"/>
    <s v="KAJ NONGA MALUNDA MURIELLE"/>
    <m/>
    <s v="MICHEE"/>
    <s v="Tychique"/>
    <s v="TRAVEL"/>
    <s v="MEDICAL &amp; GPA"/>
    <x v="6"/>
    <s v="RAWSUR"/>
    <n v="300000"/>
    <n v="165.91"/>
    <n v="0"/>
    <n v="0"/>
    <n v="2"/>
    <n v="138.6"/>
    <n v="22.5"/>
    <n v="4.6199999999999995E-4"/>
    <n v="0.2"/>
    <n v="27.72"/>
    <n v="0"/>
    <n v="0"/>
    <n v="0"/>
    <n v="27.72"/>
    <n v="4.4352"/>
    <n v="32.155200000000001"/>
    <n v="0.5544"/>
    <n v="0"/>
    <n v="0.5544"/>
    <m/>
    <n v="27.165599999999998"/>
    <m/>
    <m/>
    <n v="0"/>
    <m/>
    <m/>
    <n v="0"/>
    <m/>
    <n v="32.155200000000001"/>
    <n v="32.155200000000001"/>
    <n v="0"/>
    <s v="RAWSUR"/>
    <d v="2023-11-14T00:00:00"/>
    <m/>
    <s v="ONCE OFF"/>
    <s v="TRAVEL"/>
    <m/>
    <m/>
    <s v="01-11-2023// corfirmation du paiement "/>
  </r>
  <r>
    <x v="1"/>
    <s v="Yes"/>
    <d v="2023-02-06T00:00:00"/>
    <d v="2023-02-06T00:00:00"/>
    <d v="2023-02-06T00:00:00"/>
    <d v="2023-05-05T00:00:00"/>
    <s v="000-108/AIB RDC/2023"/>
    <n v="0"/>
    <s v="SOUSCRIPTION"/>
    <s v="33002-0011-111-0004773 / 0001"/>
    <s v="KEMIRA OYJ"/>
    <m/>
    <s v="MICHEE"/>
    <s v="Tychique"/>
    <s v="MARINE CARGO / GIT"/>
    <s v="MARINE"/>
    <x v="4"/>
    <s v="SUNU"/>
    <n v="158495"/>
    <n v="669.99"/>
    <n v="0"/>
    <n v="0"/>
    <n v="10"/>
    <n v="567.58000000000004"/>
    <n v="92.41"/>
    <n v="3.5810593394113382E-3"/>
    <n v="0.15"/>
    <n v="85.137"/>
    <n v="0"/>
    <n v="0"/>
    <n v="0"/>
    <n v="85.137"/>
    <n v="13.621920000000001"/>
    <n v="98.758920000000003"/>
    <n v="1.7027400000000001"/>
    <n v="0"/>
    <n v="1.7027400000000001"/>
    <m/>
    <n v="83.434259999999995"/>
    <s v="AFINBRO"/>
    <n v="0.5"/>
    <n v="41.717129999999997"/>
    <n v="41.72"/>
    <d v="2023-10-23T00:00:00"/>
    <n v="-2.8700000000014825E-3"/>
    <m/>
    <n v="98.758920000000003"/>
    <n v="98.758920000000003"/>
    <n v="0"/>
    <s v="SUNU"/>
    <d v="2023-05-16T00:00:00"/>
    <m/>
    <s v="ONCE OFF"/>
    <s v="MARINE CARGO / GIT"/>
    <m/>
    <m/>
    <m/>
  </r>
  <r>
    <x v="2"/>
    <s v="Yes"/>
    <d v="2023-02-27T00:00:00"/>
    <d v="2023-02-27T00:00:00"/>
    <d v="2023-03-01T00:00:00"/>
    <d v="2023-06-30T00:00:00"/>
    <s v="000-109/AIB RDC/2023"/>
    <n v="1"/>
    <s v="PROROGATION"/>
    <s v="12005-33002-0015-13001-00000068-2022"/>
    <s v="EASTCASTLE INFRASTRUCTURE DRC SARLU"/>
    <m/>
    <s v="MICHEE"/>
    <s v="Tychique"/>
    <s v="TRC"/>
    <s v="CONSTRUCTIONS"/>
    <x v="5"/>
    <s v="MAYFAIR"/>
    <n v="0"/>
    <n v="5293.57"/>
    <n v="0"/>
    <n v="0"/>
    <n v="100"/>
    <n v="4386.08"/>
    <n v="717.77"/>
    <e v="#DIV/0!"/>
    <n v="0.15"/>
    <n v="657.91199999999992"/>
    <n v="0"/>
    <n v="0"/>
    <n v="0"/>
    <n v="657.91199999999992"/>
    <n v="105.26591999999999"/>
    <n v="763.17791999999986"/>
    <n v="13.158239999999999"/>
    <n v="0"/>
    <n v="13.158239999999999"/>
    <m/>
    <n v="644.75375999999994"/>
    <s v="MARSH"/>
    <m/>
    <n v="0"/>
    <m/>
    <m/>
    <n v="0"/>
    <m/>
    <n v="763.17791999999986"/>
    <n v="763.17791999999986"/>
    <n v="0"/>
    <s v="MAYFAIR"/>
    <d v="2023-08-08T00:00:00"/>
    <m/>
    <s v="EXTENDED"/>
    <s v="TRC"/>
    <m/>
    <m/>
    <m/>
  </r>
  <r>
    <x v="2"/>
    <s v="Yes"/>
    <d v="2023-02-27T00:00:00"/>
    <d v="2023-02-27T00:00:00"/>
    <d v="2023-02-01T00:00:00"/>
    <d v="2023-06-30T00:00:00"/>
    <s v="000-110/AIB RDC/2023"/>
    <n v="1"/>
    <s v="PROROGATION"/>
    <s v="12005-33002-0015-13001-00000070-2022"/>
    <s v="EASTCASTLE INFRASTRUCTURE DRC SARLU"/>
    <m/>
    <s v="MICHEE"/>
    <s v="Tychique"/>
    <s v="TRC"/>
    <s v="CONSTRUCTIONS"/>
    <x v="5"/>
    <s v="MAYFAIR"/>
    <n v="0"/>
    <n v="2476.4899999999998"/>
    <n v="0"/>
    <n v="0"/>
    <n v="100"/>
    <n v="1998.72"/>
    <n v="335.79"/>
    <e v="#DIV/0!"/>
    <n v="0.15"/>
    <n v="299.80799999999999"/>
    <n v="0"/>
    <n v="0"/>
    <n v="0"/>
    <n v="299.80799999999999"/>
    <n v="47.969279999999998"/>
    <n v="347.77728000000002"/>
    <n v="5.9961599999999997"/>
    <n v="0"/>
    <n v="5.9961599999999997"/>
    <m/>
    <n v="293.81184000000002"/>
    <s v="MARSH"/>
    <m/>
    <n v="0"/>
    <m/>
    <m/>
    <n v="0"/>
    <m/>
    <n v="347.77728000000002"/>
    <n v="347.77728000000002"/>
    <n v="0"/>
    <s v="MAYFAIR"/>
    <d v="2023-08-08T00:00:00"/>
    <m/>
    <m/>
    <s v="TRC"/>
    <m/>
    <m/>
    <m/>
  </r>
  <r>
    <x v="1"/>
    <s v="Yes"/>
    <d v="2023-02-13T00:00:00"/>
    <d v="2023-02-14T00:00:00"/>
    <d v="2023-02-11T00:00:00"/>
    <d v="2024-02-10T00:00:00"/>
    <s v="000-111/AIB RDC/2023"/>
    <n v="0"/>
    <s v="SOUSCRIPTION"/>
    <s v="12005-33002-0012-13001-00004680-2023"/>
    <s v="ETS KAMBALE LABORATOIRE PHATKIN"/>
    <m/>
    <s v="ALICE"/>
    <s v="Apphia"/>
    <s v="FIRE"/>
    <s v="PROPERTIES"/>
    <x v="5"/>
    <s v="MAYFAIR"/>
    <n v="4000000"/>
    <n v="8013.38"/>
    <n v="0"/>
    <n v="0"/>
    <n v="50"/>
    <n v="6741"/>
    <n v="1086.56"/>
    <n v="1.6852499999999999E-3"/>
    <n v="0.15"/>
    <n v="1011.15"/>
    <m/>
    <n v="0"/>
    <n v="0"/>
    <n v="1011.15"/>
    <n v="161.78399999999999"/>
    <n v="1172.934"/>
    <n v="20.222999999999999"/>
    <n v="0"/>
    <n v="20.222999999999999"/>
    <m/>
    <n v="990.92700000000002"/>
    <m/>
    <m/>
    <n v="0"/>
    <m/>
    <m/>
    <n v="0"/>
    <m/>
    <n v="1172.934"/>
    <n v="1172.934"/>
    <n v="0"/>
    <s v="MAYFAIR"/>
    <d v="2023-03-30T00:00:00"/>
    <m/>
    <m/>
    <s v="FIRE"/>
    <m/>
    <m/>
    <m/>
  </r>
  <r>
    <x v="1"/>
    <s v="Yes"/>
    <d v="2023-02-03T00:00:00"/>
    <d v="2023-02-03T00:00:00"/>
    <d v="2023-02-03T00:00:00"/>
    <d v="2023-12-15T00:00:00"/>
    <s v="000-112/AIB RDC/2023"/>
    <n v="1"/>
    <s v="INCORPORATION"/>
    <s v="33002-0017-104-0004313 / 0002"/>
    <s v="GROUP VIVENDI AFRICA RDC ( GVA RDC)"/>
    <m/>
    <s v="ALICE"/>
    <s v="Apphia"/>
    <s v="COMP MOTOR"/>
    <s v="MOTOR COMP"/>
    <x v="4"/>
    <s v="SUNU"/>
    <n v="33060.53"/>
    <n v="2747.31"/>
    <n v="0"/>
    <n v="0"/>
    <n v="23.45"/>
    <n v="2344.92"/>
    <n v="378.94"/>
    <n v="7.0928082520153188E-2"/>
    <n v="0.15"/>
    <n v="351.738"/>
    <n v="0"/>
    <n v="0"/>
    <n v="0"/>
    <n v="351.738"/>
    <n v="56.278080000000003"/>
    <n v="408.01607999999999"/>
    <n v="7.0347600000000003"/>
    <n v="0"/>
    <n v="7.0347600000000003"/>
    <m/>
    <n v="344.70323999999999"/>
    <m/>
    <m/>
    <n v="0"/>
    <m/>
    <m/>
    <n v="0"/>
    <m/>
    <n v="408.01607999999999"/>
    <n v="408.01607999999999"/>
    <n v="0"/>
    <s v="SUNU"/>
    <d v="2023-05-16T00:00:00"/>
    <m/>
    <m/>
    <s v="COMP MOTOR"/>
    <m/>
    <m/>
    <m/>
  </r>
  <r>
    <x v="1"/>
    <s v="Yes"/>
    <d v="2023-03-08T00:00:00"/>
    <d v="2023-03-01T00:00:00"/>
    <d v="2023-02-20T00:00:00"/>
    <d v="2023-08-31T00:00:00"/>
    <s v="000-113/AIB RDC/2023"/>
    <n v="0"/>
    <s v="SOUSCRIPTION"/>
    <s v="12005-33002-0008-13001-00001339-2022"/>
    <s v="MAARTEN LOECKX"/>
    <m/>
    <s v="SYNTYCHE"/>
    <s v="Grâce"/>
    <s v="FIRE"/>
    <s v="PROPERTIES"/>
    <x v="5"/>
    <s v="MAYFAIR"/>
    <n v="0"/>
    <n v="268.89"/>
    <n v="0"/>
    <n v="0"/>
    <n v="20"/>
    <n v="207.87"/>
    <n v="36.46"/>
    <e v="#DIV/0!"/>
    <n v="0.2"/>
    <n v="41.574000000000005"/>
    <n v="0"/>
    <n v="0"/>
    <n v="0"/>
    <n v="41.574000000000005"/>
    <n v="6.6518400000000009"/>
    <n v="48.225840000000005"/>
    <n v="0.83148000000000011"/>
    <n v="0"/>
    <n v="0.83148000000000011"/>
    <m/>
    <n v="40.742520000000006"/>
    <m/>
    <m/>
    <n v="0"/>
    <m/>
    <m/>
    <n v="0"/>
    <m/>
    <n v="48.225840000000005"/>
    <n v="48.225840000000005"/>
    <n v="0"/>
    <s v="MAYFAIR"/>
    <d v="2023-05-18T00:00:00"/>
    <m/>
    <m/>
    <s v="FIRE"/>
    <m/>
    <m/>
    <m/>
  </r>
  <r>
    <x v="1"/>
    <s v="Yes"/>
    <d v="2023-02-20T00:00:00"/>
    <d v="2023-02-08T00:00:00"/>
    <d v="2023-02-08T00:00:00"/>
    <d v="2024-01-31T00:00:00"/>
    <s v="000-114/AIB RDC/2023"/>
    <n v="28"/>
    <s v="INCORPORATION"/>
    <s v="12001-33002-9001-103-00001852"/>
    <s v="CFAO RDC / Loxea RDC"/>
    <s v="Distribution"/>
    <s v="ANDY"/>
    <s v="Sabrina"/>
    <s v="COMP MOTOR"/>
    <s v="MOTOR COMP"/>
    <x v="1"/>
    <s v="ACTIVA"/>
    <n v="42973"/>
    <n v="2246.77"/>
    <n v="0"/>
    <n v="0"/>
    <n v="19.18"/>
    <n v="1917.7"/>
    <n v="309.89999999999998"/>
    <n v="4.4625695203965282E-2"/>
    <n v="0.14588906444732899"/>
    <n v="279.7714588906428"/>
    <n v="0"/>
    <n v="0"/>
    <n v="57.530999999999999"/>
    <n v="337.30245889064281"/>
    <n v="53.968393422502849"/>
    <n v="391.27085231314567"/>
    <n v="5.5954291778128562"/>
    <n v="0"/>
    <n v="5.5954291778128562"/>
    <m/>
    <n v="331.70702971282998"/>
    <s v="Aucun"/>
    <n v="0"/>
    <n v="0"/>
    <m/>
    <m/>
    <n v="0"/>
    <m/>
    <n v="391.27000000000004"/>
    <n v="391.27000000000004"/>
    <n v="0"/>
    <s v="ACTIVA"/>
    <d v="2023-05-31T00:00:00"/>
    <m/>
    <m/>
    <s v="COMP MOTOR"/>
    <m/>
    <m/>
    <m/>
  </r>
  <r>
    <x v="1"/>
    <s v="Yes"/>
    <d v="2023-02-20T00:00:00"/>
    <d v="2023-02-01T00:00:00"/>
    <d v="2023-02-01T00:00:00"/>
    <d v="2024-01-31T00:00:00"/>
    <s v="000-115/AIB RDC/2023"/>
    <n v="0"/>
    <s v="SOUSCRIPTION"/>
    <s v="33002-0006-112-0004787 / 0001"/>
    <s v="CRDB BANK"/>
    <s v="Bank"/>
    <s v="ANDY"/>
    <s v="Michée"/>
    <s v="FIRE"/>
    <s v="PROPERTIES"/>
    <x v="4"/>
    <s v="SUNU"/>
    <n v="7886345.5300000003"/>
    <n v="9487.48"/>
    <n v="0"/>
    <n v="0"/>
    <n v="80.98"/>
    <n v="8097.88"/>
    <n v="1308.6199999999999"/>
    <n v="1.0268228762226196E-3"/>
    <n v="0.1047"/>
    <n v="847.84803599999998"/>
    <n v="0"/>
    <n v="0"/>
    <n v="0"/>
    <n v="847.84803599999998"/>
    <n v="135.65568576000001"/>
    <n v="983.50372175999996"/>
    <n v="16.956960720000001"/>
    <n v="0"/>
    <n v="16.956960720000001"/>
    <m/>
    <n v="830.89107528"/>
    <s v="Aucun"/>
    <m/>
    <n v="0"/>
    <m/>
    <m/>
    <n v="0"/>
    <m/>
    <n v="983.50372175999996"/>
    <n v="983.50372175999996"/>
    <n v="0"/>
    <s v="SUNU"/>
    <d v="2023-05-16T00:00:00"/>
    <m/>
    <m/>
    <s v="FIRE"/>
    <m/>
    <m/>
    <m/>
  </r>
  <r>
    <x v="1"/>
    <s v="Yes"/>
    <d v="2023-02-20T00:00:00"/>
    <d v="2023-02-01T00:00:00"/>
    <d v="2023-02-01T00:00:00"/>
    <d v="2024-01-31T00:00:00"/>
    <s v="000-116/AIB RDC/2023"/>
    <n v="0"/>
    <s v="SOUSCRIPTION"/>
    <s v="33002-0001-101-0004791 / 0001"/>
    <s v="CRDB BANK"/>
    <s v="Bank"/>
    <s v="ANDY"/>
    <s v="Michée"/>
    <s v="GPA"/>
    <s v="MEDICAL &amp; GPA"/>
    <x v="4"/>
    <s v="SUNU"/>
    <n v="0"/>
    <n v="4175.88"/>
    <n v="0"/>
    <n v="0"/>
    <n v="35.64"/>
    <n v="3564.26"/>
    <n v="575.98"/>
    <e v="#DIV/0!"/>
    <n v="0.1"/>
    <n v="356.42600000000004"/>
    <n v="0"/>
    <n v="0"/>
    <n v="0"/>
    <n v="356.42600000000004"/>
    <n v="57.028160000000007"/>
    <n v="413.45416000000006"/>
    <n v="7.1285200000000009"/>
    <n v="0"/>
    <n v="7.1285200000000009"/>
    <m/>
    <n v="349.29748000000006"/>
    <s v="Aucun"/>
    <m/>
    <n v="0"/>
    <m/>
    <m/>
    <n v="0"/>
    <m/>
    <n v="413.45416000000006"/>
    <n v="413.45416000000006"/>
    <n v="0"/>
    <s v="SUNU"/>
    <d v="2023-05-16T00:00:00"/>
    <m/>
    <m/>
    <s v="GPA"/>
    <m/>
    <m/>
    <m/>
  </r>
  <r>
    <x v="1"/>
    <s v="Yes"/>
    <d v="2023-02-20T00:00:00"/>
    <d v="2023-02-01T00:00:00"/>
    <d v="2023-02-01T00:00:00"/>
    <d v="2024-01-31T00:00:00"/>
    <s v="000-117/AIB RDC/2023"/>
    <n v="0"/>
    <s v="SOUSCRIPTION"/>
    <s v="33002-0009-113-0004788 / 0001"/>
    <s v="CRDB BANK"/>
    <s v="Bank"/>
    <s v="ANDY"/>
    <s v="Michée"/>
    <s v="GENERAL LIABILITY"/>
    <s v="LIABILITIES"/>
    <x v="4"/>
    <s v="SUNU"/>
    <n v="50000"/>
    <n v="894.35"/>
    <n v="0"/>
    <n v="0"/>
    <n v="10"/>
    <n v="760.99"/>
    <n v="123.36"/>
    <n v="1.52198E-2"/>
    <n v="0.15"/>
    <n v="114.1485"/>
    <n v="0"/>
    <n v="0"/>
    <n v="0"/>
    <n v="114.1485"/>
    <n v="18.263760000000001"/>
    <n v="132.41226"/>
    <n v="2.2829700000000002"/>
    <n v="0"/>
    <n v="2.2829700000000002"/>
    <m/>
    <n v="111.86552999999999"/>
    <s v="Aucun"/>
    <m/>
    <n v="0"/>
    <m/>
    <m/>
    <n v="0"/>
    <m/>
    <n v="132.41226"/>
    <n v="132.41226"/>
    <n v="0"/>
    <s v="SUNU"/>
    <d v="2023-05-16T00:00:00"/>
    <m/>
    <m/>
    <s v="GENERAL LIABILITY"/>
    <m/>
    <m/>
    <m/>
  </r>
  <r>
    <x v="1"/>
    <s v="Yes"/>
    <d v="2023-02-20T00:00:00"/>
    <d v="2023-02-07T00:00:00"/>
    <d v="2023-02-01T00:00:00"/>
    <d v="2024-01-31T00:00:00"/>
    <s v="000-118/AIB RDC/2023"/>
    <n v="0"/>
    <s v="SOUSCRIPTION"/>
    <s v="33002-0014-122-0006446 / 0003"/>
    <s v="CRDB BANK"/>
    <s v="Bank"/>
    <s v="ANDY"/>
    <s v="Michée"/>
    <s v="PVT"/>
    <s v="POLITICAL VIOLENCE"/>
    <x v="4"/>
    <s v="SUNU"/>
    <n v="0"/>
    <n v="4217.76"/>
    <n v="0"/>
    <n v="0"/>
    <n v="36"/>
    <n v="3600"/>
    <n v="581.76"/>
    <e v="#DIV/0!"/>
    <n v="0.15"/>
    <n v="540"/>
    <n v="0"/>
    <n v="0"/>
    <n v="0"/>
    <n v="540"/>
    <n v="86.4"/>
    <n v="626.4"/>
    <n v="10.8"/>
    <n v="0"/>
    <n v="10.8"/>
    <m/>
    <n v="529.20000000000005"/>
    <s v="Aucun"/>
    <m/>
    <n v="0"/>
    <m/>
    <m/>
    <n v="0"/>
    <m/>
    <n v="626.4"/>
    <n v="626.4"/>
    <n v="0"/>
    <s v="SUNU"/>
    <d v="2023-05-16T00:00:00"/>
    <m/>
    <m/>
    <s v="PVT"/>
    <m/>
    <m/>
    <m/>
  </r>
  <r>
    <x v="1"/>
    <s v="Yes"/>
    <d v="2023-02-20T00:00:00"/>
    <d v="2023-02-01T00:00:00"/>
    <d v="2023-02-01T00:00:00"/>
    <d v="2024-01-31T00:00:00"/>
    <s v="000-119/AIB RDC/2023"/>
    <n v="0"/>
    <s v="SOUSCRIPTION"/>
    <s v="33002-0017-104-0004792 / 0002"/>
    <s v="CRDB BANK"/>
    <s v="Bank"/>
    <s v="ANDY"/>
    <s v="Michée"/>
    <s v="COMP MOTOR"/>
    <s v="MOTOR COMP"/>
    <x v="4"/>
    <s v="SUNU"/>
    <n v="204370"/>
    <n v="9270.4"/>
    <n v="0"/>
    <n v="0"/>
    <n v="79.12"/>
    <n v="7912.6"/>
    <n v="1278.68"/>
    <n v="3.871703283260753E-2"/>
    <n v="0.15"/>
    <n v="1186.8900000000001"/>
    <n v="0"/>
    <n v="0"/>
    <n v="0"/>
    <n v="1186.8900000000001"/>
    <n v="189.90240000000003"/>
    <n v="1376.7924"/>
    <n v="23.737800000000004"/>
    <n v="0"/>
    <n v="23.737800000000004"/>
    <m/>
    <n v="1163.1522"/>
    <s v="Aucun"/>
    <m/>
    <n v="0"/>
    <m/>
    <m/>
    <n v="0"/>
    <m/>
    <n v="1376.7924"/>
    <n v="1376.7924"/>
    <n v="0"/>
    <s v="SUNU"/>
    <d v="2023-05-16T00:00:00"/>
    <m/>
    <m/>
    <s v="COMP MOTOR"/>
    <m/>
    <m/>
    <m/>
  </r>
  <r>
    <x v="1"/>
    <s v="Yes"/>
    <d v="2023-02-20T00:00:00"/>
    <d v="2023-02-08T00:00:00"/>
    <d v="2023-02-07T00:00:00"/>
    <d v="2023-05-06T00:00:00"/>
    <s v="000-120/AIB RDC/2023"/>
    <n v="0"/>
    <s v="SOUSCRIPTION"/>
    <s v="12001-33002-00114-111-0000674-2023"/>
    <s v="Canokin Sarl"/>
    <s v="Imprimerie"/>
    <s v="ANDY"/>
    <s v="Sabrina"/>
    <s v="MARINE CARGO / GIT"/>
    <s v="MARINE"/>
    <x v="1"/>
    <s v="ACTIVA"/>
    <n v="28143.599999999999"/>
    <n v="180.6"/>
    <n v="0"/>
    <n v="0"/>
    <n v="10"/>
    <n v="150"/>
    <n v="25.6"/>
    <n v="5.3298085532767665E-3"/>
    <n v="0.15"/>
    <n v="22.5"/>
    <n v="0"/>
    <n v="0"/>
    <n v="0"/>
    <n v="22.5"/>
    <n v="3.6"/>
    <n v="26.1"/>
    <n v="0.45"/>
    <n v="0"/>
    <n v="0.45"/>
    <m/>
    <n v="22.05"/>
    <s v="Aucun"/>
    <m/>
    <n v="0"/>
    <m/>
    <m/>
    <n v="0"/>
    <m/>
    <n v="26.1"/>
    <n v="26.1"/>
    <n v="0"/>
    <s v="ACTIVA"/>
    <d v="2023-04-19T00:00:00"/>
    <m/>
    <m/>
    <s v="MARINE CARGO / GIT"/>
    <m/>
    <m/>
    <m/>
  </r>
  <r>
    <x v="0"/>
    <s v="Yes"/>
    <d v="2023-02-20T00:00:00"/>
    <d v="2023-02-07T00:00:00"/>
    <d v="2023-01-31T00:00:00"/>
    <d v="2023-11-30T00:00:00"/>
    <s v="000-121/AIB RDC/2023"/>
    <n v="1"/>
    <s v="INCORPORATION"/>
    <s v="30000015-301"/>
    <s v="TechnoServe"/>
    <s v="Agriculture"/>
    <s v="ANDY"/>
    <s v="Victor"/>
    <s v="MOTOR TPL"/>
    <s v="MOTOR TPL"/>
    <x v="6"/>
    <s v="RAWSUR"/>
    <n v="0"/>
    <n v="1413.25"/>
    <n v="0"/>
    <n v="0"/>
    <n v="160"/>
    <n v="1037.71"/>
    <n v="191.59"/>
    <e v="#DIV/0!"/>
    <n v="0.1"/>
    <n v="103.77100000000002"/>
    <n v="0"/>
    <n v="0"/>
    <n v="0"/>
    <n v="103.77100000000002"/>
    <n v="16.603360000000002"/>
    <n v="120.37436000000002"/>
    <n v="2.0754200000000003"/>
    <n v="0"/>
    <n v="2.0754200000000003"/>
    <m/>
    <n v="101.69558000000002"/>
    <s v="Aucun"/>
    <m/>
    <n v="0"/>
    <m/>
    <m/>
    <n v="0"/>
    <m/>
    <n v="120.37436000000002"/>
    <n v="120.37436000000002"/>
    <n v="0"/>
    <s v="RAWSUR"/>
    <d v="2023-03-07T00:00:00"/>
    <m/>
    <m/>
    <s v="MOTOR TPL"/>
    <m/>
    <m/>
    <m/>
  </r>
  <r>
    <x v="0"/>
    <s v="Yes"/>
    <d v="2022-12-30T00:00:00"/>
    <d v="2023-02-20T00:00:00"/>
    <d v="2023-01-01T00:00:00"/>
    <d v="2023-12-31T00:00:00"/>
    <s v="000-122/AIB RDC/2023"/>
    <n v="0"/>
    <s v="SOUSCRIPTION"/>
    <s v="00018182"/>
    <s v="Optorg / Tractafric Equipement - Katanga Motors - Tractafric Motor Corporation"/>
    <s v="Distribution"/>
    <s v="ANDY"/>
    <s v="Andy"/>
    <s v="FIRE"/>
    <s v="PROPERTIES"/>
    <x v="0"/>
    <s v="SFA"/>
    <n v="0"/>
    <n v="79323.960000000006"/>
    <n v="5424.83"/>
    <n v="0"/>
    <n v="317.41000000000003"/>
    <n v="61481.46"/>
    <n v="10755.79"/>
    <e v="#DIV/0!"/>
    <n v="7.4999999999999997E-2"/>
    <n v="4611.1094999999996"/>
    <n v="1627.4489999999998"/>
    <n v="0"/>
    <n v="0"/>
    <n v="6238.5584999999992"/>
    <n v="998.16935999999987"/>
    <n v="7236.7278599999991"/>
    <n v="124.77116999999998"/>
    <n v="0"/>
    <n v="124.77116999999998"/>
    <m/>
    <n v="6113.7873299999992"/>
    <s v="OLEA"/>
    <n v="0.35"/>
    <n v="2139.8255654999998"/>
    <m/>
    <m/>
    <n v="2139.8255654999998"/>
    <m/>
    <n v="3918.6"/>
    <n v="7236.7278599999991"/>
    <n v="3318.1278599999991"/>
    <s v="SFA"/>
    <d v="2023-03-20T00:00:00"/>
    <m/>
    <m/>
    <s v="FIRE"/>
    <m/>
    <m/>
    <m/>
  </r>
  <r>
    <x v="1"/>
    <s v="Yes"/>
    <d v="2023-02-20T00:00:00"/>
    <d v="2023-02-21T00:00:00"/>
    <d v="2023-02-26T00:00:00"/>
    <d v="2024-02-25T00:00:00"/>
    <s v="000-123/AIB RDC/2023"/>
    <n v="0"/>
    <s v="SOUSCRIPTION"/>
    <n v="30000017"/>
    <s v="Glencore / Mutanda Mining"/>
    <s v="Mining"/>
    <s v="ANDY"/>
    <s v="Andy"/>
    <s v="MOTOR TPL"/>
    <s v="MOTOR TPL"/>
    <x v="6"/>
    <s v="RAWSUR"/>
    <n v="0"/>
    <n v="52846.080000000002"/>
    <n v="0"/>
    <n v="0"/>
    <n v="1620"/>
    <n v="43164.59"/>
    <n v="7165.48"/>
    <e v="#DIV/0!"/>
    <n v="0.1"/>
    <n v="4316.4589999999998"/>
    <n v="0"/>
    <n v="0"/>
    <n v="0"/>
    <n v="4316.4589999999998"/>
    <n v="690.63343999999995"/>
    <n v="5007.0924399999994"/>
    <n v="86.329179999999994"/>
    <n v="0"/>
    <n v="86.329179999999994"/>
    <m/>
    <n v="4230.1298200000001"/>
    <s v="Aucun"/>
    <m/>
    <n v="0"/>
    <m/>
    <m/>
    <n v="0"/>
    <m/>
    <n v="5007.0924399999994"/>
    <n v="5007.0924399999994"/>
    <n v="0"/>
    <s v="RAWSUR"/>
    <d v="2023-03-07T00:00:00"/>
    <m/>
    <m/>
    <s v="MOTOR TPL"/>
    <m/>
    <m/>
    <m/>
  </r>
  <r>
    <x v="1"/>
    <s v="Yes"/>
    <d v="2023-02-16T00:00:00"/>
    <d v="2023-02-20T00:00:00"/>
    <d v="2023-02-12T00:00:00"/>
    <d v="2023-03-11T00:00:00"/>
    <s v="000-124/AIB RDC/2023"/>
    <n v="1"/>
    <s v="PROROGATION"/>
    <s v="100001-0017-003-0000144"/>
    <s v="Cilu Heidelberg"/>
    <s v="Cimenterie"/>
    <s v="ANDY"/>
    <s v="Sabrina"/>
    <s v="MOTOR TPL"/>
    <s v="MOTOR TPL"/>
    <x v="4"/>
    <s v="SUNU"/>
    <n v="0"/>
    <n v="1004.82"/>
    <n v="0"/>
    <n v="0"/>
    <n v="10"/>
    <n v="856.23"/>
    <n v="138.59"/>
    <e v="#DIV/0!"/>
    <n v="0.1"/>
    <n v="85.623000000000005"/>
    <n v="0"/>
    <n v="0"/>
    <n v="0"/>
    <n v="85.623000000000005"/>
    <n v="13.699680000000001"/>
    <n v="99.322680000000005"/>
    <n v="1.7124600000000001"/>
    <n v="0"/>
    <n v="1.7124600000000001"/>
    <m/>
    <n v="83.910539999999997"/>
    <s v="OLEA"/>
    <n v="0"/>
    <n v="0"/>
    <m/>
    <m/>
    <n v="0"/>
    <m/>
    <n v="99.322680000000005"/>
    <n v="99.322680000000005"/>
    <n v="0"/>
    <s v="SUNU"/>
    <d v="2023-05-16T00:00:00"/>
    <m/>
    <s v="RENEWED"/>
    <s v="MOTOR TPL"/>
    <m/>
    <m/>
    <m/>
  </r>
  <r>
    <x v="2"/>
    <s v="Yes"/>
    <d v="2023-02-13T00:00:00"/>
    <d v="2023-02-15T00:00:00"/>
    <d v="2023-03-08T00:00:00"/>
    <d v="2023-10-14T00:00:00"/>
    <s v="000-125/AIB RDC/2023"/>
    <n v="10"/>
    <s v="INCORPORATION"/>
    <s v="12002-33002-0004-103-00017222-2022"/>
    <s v="Glencore / Kamoto Copper Company"/>
    <s v="Mining"/>
    <s v="ANDY"/>
    <s v="Andy"/>
    <s v="MOTOR TPL"/>
    <s v="MOTOR TPL"/>
    <x v="0"/>
    <s v="SFA"/>
    <n v="0"/>
    <n v="189.1"/>
    <n v="0"/>
    <n v="0"/>
    <n v="2.37"/>
    <n v="157.88999999999999"/>
    <n v="25.64"/>
    <e v="#DIV/0!"/>
    <n v="0.1"/>
    <n v="15.789"/>
    <n v="0"/>
    <n v="0"/>
    <n v="0"/>
    <n v="15.789"/>
    <n v="2.52624"/>
    <n v="18.315239999999999"/>
    <n v="0.31578000000000001"/>
    <n v="0"/>
    <n v="0.31578000000000001"/>
    <m/>
    <n v="15.47322"/>
    <s v="Aucun"/>
    <m/>
    <n v="0"/>
    <m/>
    <m/>
    <n v="0"/>
    <m/>
    <n v="18.315239999999999"/>
    <n v="18.315239999999999"/>
    <n v="0"/>
    <s v="SFA"/>
    <d v="2023-05-24T00:00:00"/>
    <m/>
    <m/>
    <s v="MOTOR TPL"/>
    <m/>
    <m/>
    <m/>
  </r>
  <r>
    <x v="1"/>
    <s v="Yes"/>
    <d v="2023-02-13T00:00:00"/>
    <d v="2023-02-15T00:00:00"/>
    <d v="2023-02-13T00:00:00"/>
    <d v="2023-10-14T00:00:00"/>
    <s v="000-126/AIB RDC/2023"/>
    <n v="9"/>
    <s v="INCORPORATION"/>
    <s v="12002-33002-0004-103-00017222-2022"/>
    <s v="Glencore / Kamoto Copper Company"/>
    <s v="Mining"/>
    <s v="ANDY"/>
    <s v="Andy"/>
    <s v="MOTOR TPL"/>
    <s v="MOTOR TPL"/>
    <x v="0"/>
    <s v="SFA"/>
    <n v="0"/>
    <n v="3617.94"/>
    <n v="0"/>
    <n v="0"/>
    <n v="45.24"/>
    <n v="3020.82"/>
    <n v="490.56"/>
    <e v="#DIV/0!"/>
    <n v="0.1"/>
    <n v="302.08200000000005"/>
    <n v="0"/>
    <n v="0"/>
    <n v="0"/>
    <n v="302.08200000000005"/>
    <n v="48.333120000000008"/>
    <n v="350.41512000000006"/>
    <n v="6.041640000000001"/>
    <n v="0"/>
    <n v="6.041640000000001"/>
    <m/>
    <n v="296.04036000000008"/>
    <s v="Aucun"/>
    <m/>
    <n v="0"/>
    <m/>
    <m/>
    <n v="0"/>
    <m/>
    <n v="350.41512000000006"/>
    <n v="350.41512000000006"/>
    <n v="0"/>
    <s v="SFA"/>
    <d v="2023-05-24T00:00:00"/>
    <m/>
    <m/>
    <s v="MOTOR TPL"/>
    <m/>
    <m/>
    <m/>
  </r>
  <r>
    <x v="2"/>
    <s v="Yes"/>
    <d v="2023-02-07T00:00:00"/>
    <d v="2023-03-07T00:00:00"/>
    <d v="2023-03-07T00:00:00"/>
    <d v="2024-01-10T00:00:00"/>
    <s v="000-127/AIB RDC/2023"/>
    <n v="1"/>
    <s v="INCORPORATION"/>
    <s v="12001-33002-0001-103-00005043-2023"/>
    <s v="Canal Plus RDC  SARLU"/>
    <s v="Audiovision"/>
    <s v="ANDY"/>
    <s v="Sabrina"/>
    <s v="COMP MOTOR"/>
    <s v="MOTOR COMP"/>
    <x v="1"/>
    <s v="ACTIVA"/>
    <n v="150884.28"/>
    <n v="9313.39"/>
    <n v="0"/>
    <n v="0"/>
    <n v="79"/>
    <n v="7949.72"/>
    <n v="1284.67"/>
    <n v="5.2687529807611502E-2"/>
    <n v="0.15"/>
    <n v="1192.4580000000001"/>
    <n v="0"/>
    <n v="0"/>
    <n v="0"/>
    <n v="1192.4580000000001"/>
    <n v="190.79328000000001"/>
    <n v="1383.2512800000002"/>
    <n v="23.849160000000001"/>
    <n v="0"/>
    <n v="23.849160000000001"/>
    <m/>
    <n v="1168.6088400000001"/>
    <s v="OLEA"/>
    <n v="0.35"/>
    <n v="409.01309400000002"/>
    <m/>
    <m/>
    <n v="409.01309400000002"/>
    <m/>
    <n v="1383.2512800000002"/>
    <n v="1383.2512800000002"/>
    <n v="0"/>
    <s v="ACTIVA"/>
    <d v="2023-05-31T00:00:00"/>
    <m/>
    <m/>
    <s v="COMP MOTOR"/>
    <m/>
    <m/>
    <m/>
  </r>
  <r>
    <x v="1"/>
    <s v="Yes"/>
    <d v="2023-03-06T00:00:00"/>
    <d v="2023-02-28T00:00:00"/>
    <d v="2023-02-28T00:00:00"/>
    <d v="2024-01-10T00:00:00"/>
    <s v="000-128/AIB RDC/2023"/>
    <n v="2"/>
    <s v="INCORPORATION"/>
    <s v="12001-33002-0001-103-00005043-2023"/>
    <s v="Canal Plus RDC  SARLU"/>
    <s v="Audiovision"/>
    <s v="ANDY"/>
    <s v="Sabrina"/>
    <s v="COMP MOTOR"/>
    <s v="MOTOR COMP"/>
    <x v="1"/>
    <s v="ACTIVA"/>
    <n v="22500"/>
    <n v="321.58999999999997"/>
    <n v="0"/>
    <n v="0"/>
    <n v="10"/>
    <n v="267.24"/>
    <n v="44.36"/>
    <n v="1.1877333333333333E-2"/>
    <n v="0.113427138687224"/>
    <n v="30.31226854277374"/>
    <n v="0"/>
    <n v="0"/>
    <n v="0"/>
    <n v="30.31226854277374"/>
    <n v="4.8499629668437985"/>
    <n v="35.162231509617541"/>
    <n v="0.60624537085547481"/>
    <n v="0"/>
    <n v="0.60624537085547481"/>
    <m/>
    <n v="29.706023171918265"/>
    <s v="OLEA"/>
    <n v="0.35"/>
    <n v="10.397108110171391"/>
    <m/>
    <m/>
    <n v="10.397108110171391"/>
    <m/>
    <n v="35.162231509617541"/>
    <n v="35.162231509617541"/>
    <n v="0"/>
    <s v="ACTIVA"/>
    <d v="2023-05-31T00:00:00"/>
    <m/>
    <m/>
    <s v="COMP MOTOR"/>
    <m/>
    <m/>
    <m/>
  </r>
  <r>
    <x v="2"/>
    <s v="Yes"/>
    <d v="2023-01-30T00:00:00"/>
    <d v="2023-03-01T00:00:00"/>
    <d v="2023-03-01T00:00:00"/>
    <d v="2024-02-29T00:00:00"/>
    <s v="000-129/AIB RDC/2023"/>
    <n v="0"/>
    <s v="SOUSCRIPTION"/>
    <s v="12002-33002-0004-104-00018277-2023"/>
    <s v="Group Optorg / Katanga Motors"/>
    <s v="Distribution"/>
    <s v="ANDY"/>
    <s v="Andy"/>
    <s v="COMP MOTOR"/>
    <s v="MOTOR COMP"/>
    <x v="0"/>
    <s v="SFA"/>
    <n v="17397"/>
    <n v="2277.7800000000002"/>
    <n v="0"/>
    <n v="0"/>
    <n v="28.52"/>
    <n v="1901.39"/>
    <n v="308.77999999999997"/>
    <n v="0.10929413117204116"/>
    <n v="0.15"/>
    <n v="285.20850000000002"/>
    <n v="0"/>
    <n v="0"/>
    <n v="0"/>
    <n v="285.20850000000002"/>
    <n v="45.633360000000003"/>
    <n v="330.84186"/>
    <n v="5.7041700000000004"/>
    <n v="0"/>
    <n v="5.7041700000000004"/>
    <m/>
    <n v="279.50433000000004"/>
    <s v="OLEA"/>
    <n v="0.35"/>
    <n v="97.826515500000014"/>
    <m/>
    <m/>
    <n v="97.826515500000014"/>
    <m/>
    <n v="330.84186"/>
    <n v="330.84186"/>
    <n v="0"/>
    <s v="SFA"/>
    <d v="2023-03-20T00:00:00"/>
    <m/>
    <m/>
    <s v="COMP MOTOR"/>
    <m/>
    <m/>
    <m/>
  </r>
  <r>
    <x v="1"/>
    <s v="Yes"/>
    <d v="2023-01-02T00:00:00"/>
    <d v="2023-02-27T00:00:00"/>
    <d v="2023-02-25T00:00:00"/>
    <d v="2024-02-24T00:00:00"/>
    <s v="000-130/AIB RDC/2023"/>
    <n v="0"/>
    <s v="SOUSCRIPTION"/>
    <s v="12002-33002-0022-111-00018238-2023"/>
    <s v="DEZIWA / Bolloré"/>
    <m/>
    <s v="SYNTYCHE"/>
    <s v="Victor"/>
    <s v="MARINE CARGO / GIT"/>
    <s v="MARINE"/>
    <x v="0"/>
    <s v="SFA"/>
    <n v="83691.13"/>
    <n v="131.74"/>
    <n v="0"/>
    <n v="0"/>
    <n v="1.65"/>
    <n v="110"/>
    <n v="17.86"/>
    <n v="1.3143567305161251E-3"/>
    <n v="0.15"/>
    <n v="16.5"/>
    <n v="0"/>
    <n v="0"/>
    <n v="0"/>
    <n v="16.5"/>
    <n v="2.64"/>
    <n v="19.14"/>
    <n v="0.33"/>
    <n v="0"/>
    <n v="0.33"/>
    <m/>
    <n v="16.170000000000002"/>
    <s v="BOLLORE"/>
    <n v="0.4"/>
    <n v="6.4680000000000009"/>
    <n v="6.4680000000000009"/>
    <d v="2023-10-30T00:00:00"/>
    <n v="0"/>
    <m/>
    <n v="19.14"/>
    <n v="19.14"/>
    <n v="0"/>
    <s v="SFA"/>
    <d v="2023-03-20T00:00:00"/>
    <m/>
    <s v="ONCE OFF"/>
    <s v="MARINE CARGO / GIT"/>
    <m/>
    <m/>
    <m/>
  </r>
  <r>
    <x v="1"/>
    <s v="Yes"/>
    <d v="2023-01-02T00:00:00"/>
    <d v="2023-02-27T00:00:00"/>
    <d v="2023-02-25T00:00:00"/>
    <d v="2024-02-24T00:00:00"/>
    <s v="000-131/AIB RDC/2023"/>
    <n v="0"/>
    <s v="SOUSCRIPTION"/>
    <s v="12002-33002-0022-111-00018237-2023"/>
    <s v="DEZIWA / Bolloré"/>
    <m/>
    <s v="SYNTYCHE"/>
    <s v="Victor"/>
    <s v="MARINE CARGO / GIT"/>
    <s v="MARINE"/>
    <x v="0"/>
    <s v="SFA"/>
    <n v="63859.54"/>
    <n v="119.77"/>
    <n v="0"/>
    <n v="0"/>
    <n v="1.5"/>
    <n v="100"/>
    <n v="16.239999999999998"/>
    <n v="1.5659367417930037E-3"/>
    <n v="0.15"/>
    <n v="15"/>
    <n v="0"/>
    <n v="0"/>
    <n v="0"/>
    <n v="15"/>
    <n v="2.4"/>
    <n v="17.399999999999999"/>
    <n v="0.3"/>
    <n v="0"/>
    <n v="0.3"/>
    <m/>
    <n v="14.7"/>
    <s v="BOLLORE"/>
    <n v="0.4"/>
    <n v="5.88"/>
    <n v="5.88"/>
    <d v="2023-10-30T00:00:00"/>
    <n v="0"/>
    <m/>
    <n v="17.399999999999999"/>
    <n v="17.399999999999999"/>
    <n v="0"/>
    <s v="SFA"/>
    <d v="2023-03-20T00:00:00"/>
    <m/>
    <s v="ONCE OFF"/>
    <s v="MARINE CARGO / GIT"/>
    <m/>
    <m/>
    <m/>
  </r>
  <r>
    <x v="1"/>
    <s v="Yes"/>
    <d v="2023-01-02T00:00:00"/>
    <d v="2023-02-25T00:00:00"/>
    <d v="2023-02-25T00:00:00"/>
    <d v="2024-02-24T00:00:00"/>
    <s v="000-132/AIB RDC/2023"/>
    <n v="0"/>
    <s v="SOUSCRIPTION"/>
    <s v="12002-33002-0022-111-00018230-2023"/>
    <s v="DEZIWA / Bolloré"/>
    <m/>
    <s v="SYNTYCHE"/>
    <s v="Victor"/>
    <s v="MARINE CARGO / GIT"/>
    <s v="MARINE"/>
    <x v="0"/>
    <s v="SFA"/>
    <n v="95500.79"/>
    <n v="281.37"/>
    <n v="0"/>
    <n v="0"/>
    <n v="3.52"/>
    <n v="234.93"/>
    <n v="38.15"/>
    <n v="2.459979650430117E-3"/>
    <n v="0.15"/>
    <n v="35.2395"/>
    <n v="0"/>
    <n v="0"/>
    <n v="0"/>
    <n v="35.2395"/>
    <n v="5.6383200000000002"/>
    <n v="40.87782"/>
    <n v="0.70479000000000003"/>
    <n v="0"/>
    <n v="0.70479000000000003"/>
    <m/>
    <n v="34.534709999999997"/>
    <s v="BOLLORE"/>
    <n v="0.4"/>
    <n v="13.813884"/>
    <n v="13.813884"/>
    <d v="2023-10-30T00:00:00"/>
    <n v="0"/>
    <m/>
    <n v="40.87782"/>
    <n v="40.87782"/>
    <n v="0"/>
    <s v="SFA"/>
    <d v="2023-03-20T00:00:00"/>
    <m/>
    <s v="ONCE OFF"/>
    <s v="MARINE CARGO / GIT"/>
    <m/>
    <m/>
    <m/>
  </r>
  <r>
    <x v="1"/>
    <s v="Yes"/>
    <d v="2023-01-02T00:00:00"/>
    <d v="2023-02-25T00:00:00"/>
    <d v="2023-02-25T00:00:00"/>
    <d v="2024-02-24T00:00:00"/>
    <s v="000-133/AIB RDC/2023"/>
    <n v="0"/>
    <s v="SOUSCRIPTION"/>
    <s v="12002-33002-0022-111-00018234-2023"/>
    <s v="DEZIWA / Bolloré"/>
    <m/>
    <s v="SYNTYCHE"/>
    <s v="Victor"/>
    <s v="MARINE CARGO / GIT"/>
    <s v="MARINE"/>
    <x v="0"/>
    <s v="SFA"/>
    <n v="232958.77"/>
    <n v="435.17"/>
    <n v="0"/>
    <n v="0"/>
    <n v="5.45"/>
    <n v="363.42"/>
    <n v="59.02"/>
    <n v="1.5600185389028282E-3"/>
    <n v="0.15"/>
    <n v="54.512999999999998"/>
    <n v="0"/>
    <n v="0"/>
    <n v="0"/>
    <n v="54.512999999999998"/>
    <n v="8.7220800000000001"/>
    <n v="63.235079999999996"/>
    <n v="1.09026"/>
    <n v="0"/>
    <n v="1.09026"/>
    <m/>
    <n v="53.422739999999997"/>
    <s v="BOLLORE"/>
    <n v="0.4"/>
    <n v="21.369095999999999"/>
    <n v="21.369095999999999"/>
    <d v="2023-10-30T00:00:00"/>
    <n v="0"/>
    <m/>
    <n v="63.235079999999996"/>
    <n v="63.235079999999996"/>
    <n v="0"/>
    <s v="SFA"/>
    <d v="2023-03-20T00:00:00"/>
    <m/>
    <s v="ONCE OFF"/>
    <s v="MARINE CARGO / GIT"/>
    <m/>
    <m/>
    <m/>
  </r>
  <r>
    <x v="1"/>
    <s v="Yes"/>
    <d v="2023-01-02T00:00:00"/>
    <d v="2023-02-25T00:00:00"/>
    <d v="2023-02-25T00:00:00"/>
    <d v="2024-02-24T00:00:00"/>
    <s v="000-134/AIB RDC/2023"/>
    <n v="0"/>
    <s v="SOUSCRIPTION"/>
    <s v="12002-33002-0022-111-00018232-2023"/>
    <s v="DEZIWA / Bolloré"/>
    <m/>
    <s v="SYNTYCHE"/>
    <s v="Victor"/>
    <s v="MARINE CARGO / GIT"/>
    <s v="MARINE"/>
    <x v="0"/>
    <s v="SFA"/>
    <n v="211509.47"/>
    <n v="395.18"/>
    <n v="0"/>
    <n v="0"/>
    <n v="4.95"/>
    <n v="329.95"/>
    <n v="53.58"/>
    <n v="1.5599774326889475E-3"/>
    <n v="0.15"/>
    <n v="49.4925"/>
    <n v="0"/>
    <n v="0"/>
    <n v="0"/>
    <n v="49.4925"/>
    <n v="7.9188000000000001"/>
    <n v="57.411299999999997"/>
    <n v="0.98985000000000001"/>
    <n v="0"/>
    <n v="0.98985000000000001"/>
    <m/>
    <n v="48.502650000000003"/>
    <s v="BOLLORE"/>
    <n v="0.4"/>
    <n v="19.401060000000001"/>
    <n v="19.401060000000001"/>
    <d v="2023-10-30T00:00:00"/>
    <n v="0"/>
    <m/>
    <n v="57.411299999999997"/>
    <n v="57.411299999999997"/>
    <n v="0"/>
    <s v="SFA"/>
    <d v="2023-03-20T00:00:00"/>
    <m/>
    <s v="ONCE OFF"/>
    <s v="MARINE CARGO / GIT"/>
    <m/>
    <m/>
    <m/>
  </r>
  <r>
    <x v="1"/>
    <s v="Yes"/>
    <d v="2023-01-02T00:00:00"/>
    <d v="2023-02-25T00:00:00"/>
    <d v="2023-02-25T00:00:00"/>
    <d v="2024-02-24T00:00:00"/>
    <s v="000-135/AIB RDC/2023"/>
    <n v="0"/>
    <s v="SOUSCRIPTION"/>
    <s v="12002-33002-0022-111-00018231-2023"/>
    <s v="DEZIWA / Bolloré"/>
    <m/>
    <s v="SYNTYCHE"/>
    <s v="Victor"/>
    <s v="MARINE CARGO / GIT"/>
    <s v="MARINE"/>
    <x v="0"/>
    <s v="SFA"/>
    <n v="196821"/>
    <n v="367.74"/>
    <n v="0"/>
    <n v="0"/>
    <n v="4.6100000000000003"/>
    <n v="307.04000000000002"/>
    <n v="49.86"/>
    <n v="1.5599961386234193E-3"/>
    <n v="0.15"/>
    <n v="46.056000000000004"/>
    <n v="0"/>
    <n v="0"/>
    <n v="0"/>
    <n v="46.056000000000004"/>
    <n v="7.3689600000000013"/>
    <n v="53.424960000000006"/>
    <n v="0.92112000000000016"/>
    <n v="0"/>
    <n v="0.92112000000000016"/>
    <m/>
    <n v="45.134880000000003"/>
    <s v="BOLLORE"/>
    <n v="0.4"/>
    <n v="18.053952000000002"/>
    <n v="18.053952000000002"/>
    <d v="2023-10-30T00:00:00"/>
    <n v="0"/>
    <m/>
    <n v="53.424960000000006"/>
    <n v="53.424960000000006"/>
    <n v="0"/>
    <s v="SFA"/>
    <d v="2023-03-20T00:00:00"/>
    <m/>
    <s v="ONCE OFF"/>
    <s v="MARINE CARGO / GIT"/>
    <m/>
    <m/>
    <m/>
  </r>
  <r>
    <x v="1"/>
    <s v="Yes"/>
    <d v="2023-01-02T00:00:00"/>
    <d v="2023-02-25T00:00:00"/>
    <d v="2023-02-25T00:00:00"/>
    <d v="2024-02-24T00:00:00"/>
    <s v="000-136/AIB RDC/2023"/>
    <n v="0"/>
    <s v="SOUSCRIPTION"/>
    <s v="12002-33002-0022-111-00018233-2023"/>
    <s v="DEZIWA / Bolloré"/>
    <m/>
    <s v="SYNTYCHE"/>
    <s v="Victor"/>
    <s v="MARINE CARGO / GIT"/>
    <s v="MARINE"/>
    <x v="0"/>
    <s v="SFA"/>
    <n v="232131.34"/>
    <n v="433.71"/>
    <n v="0"/>
    <n v="0"/>
    <n v="5.43"/>
    <n v="362.12"/>
    <n v="58.81"/>
    <n v="1.5599789326163371E-3"/>
    <n v="0.15"/>
    <n v="54.317999999999998"/>
    <n v="0"/>
    <n v="0"/>
    <n v="0"/>
    <n v="54.317999999999998"/>
    <n v="8.6908799999999999"/>
    <n v="63.008879999999998"/>
    <n v="1.08636"/>
    <n v="0"/>
    <n v="1.08636"/>
    <m/>
    <n v="53.231639999999999"/>
    <s v="BOLLORE"/>
    <n v="0.4"/>
    <n v="21.292656000000001"/>
    <n v="21.292656000000001"/>
    <d v="2023-10-30T00:00:00"/>
    <n v="0"/>
    <m/>
    <n v="63.008879999999998"/>
    <n v="63.008879999999998"/>
    <n v="0"/>
    <s v="SFA"/>
    <d v="2023-03-20T00:00:00"/>
    <m/>
    <s v="ONCE OFF"/>
    <s v="MARINE CARGO / GIT"/>
    <m/>
    <m/>
    <m/>
  </r>
  <r>
    <x v="1"/>
    <s v="Yes"/>
    <d v="2023-01-02T00:00:00"/>
    <d v="2023-02-25T00:00:00"/>
    <d v="2023-02-25T00:00:00"/>
    <d v="2024-02-24T00:00:00"/>
    <s v="000-137/AIB RDC/2023"/>
    <n v="0"/>
    <s v="SOUSCRIPTION"/>
    <s v="12002-33002-0022-111-00018235-2023"/>
    <s v="DEZIWA / Bolloré"/>
    <m/>
    <s v="SYNTYCHE"/>
    <s v="Victor"/>
    <s v="MARINE CARGO / GIT"/>
    <s v="MARINE"/>
    <x v="0"/>
    <s v="SFA"/>
    <n v="25709.93"/>
    <n v="65"/>
    <n v="0"/>
    <n v="0"/>
    <n v="0.81"/>
    <n v="54.28"/>
    <n v="8.81"/>
    <n v="2.111246510589488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  <m/>
  </r>
  <r>
    <x v="1"/>
    <s v="Yes"/>
    <d v="2022-12-15T00:00:00"/>
    <d v="2023-02-25T00:00:00"/>
    <d v="2023-02-25T00:00:00"/>
    <d v="2024-02-24T00:00:00"/>
    <s v="000-138/AIB RDC/2023"/>
    <n v="0"/>
    <s v="SOUSCRIPTION"/>
    <s v="12002-33002-0022-111-00018236-2023"/>
    <s v="WUHUANG CONSTRUCTION ET COMMERCE RDC SAS ( WHCC) / Bolloré"/>
    <m/>
    <s v="SYNTYCHE"/>
    <s v="Victor"/>
    <s v="MARINE CARGO / GIT"/>
    <s v="MARINE"/>
    <x v="0"/>
    <s v="SFA"/>
    <n v="48355.85"/>
    <n v="65"/>
    <n v="0"/>
    <n v="0"/>
    <n v="0.81"/>
    <n v="54.28"/>
    <n v="8.81"/>
    <n v="1.1225115472068012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  <m/>
  </r>
  <r>
    <x v="1"/>
    <s v="Yes"/>
    <d v="2022-12-21T00:00:00"/>
    <d v="2023-02-10T00:00:00"/>
    <d v="2023-02-10T00:00:00"/>
    <d v="2024-02-09T00:00:00"/>
    <s v="000-139/AIB RDC/2023"/>
    <n v="0"/>
    <s v="SOUSCRIPTION"/>
    <s v="12002-33002-0022-111-00018106-2023"/>
    <s v="Grand Hotel Karavia Pullman / Bolloré"/>
    <m/>
    <s v="SYNTYCHE"/>
    <s v="Victor"/>
    <s v="MARINE CARGO / GIT"/>
    <s v="MARINE"/>
    <x v="0"/>
    <s v="SFA"/>
    <n v="3025.41"/>
    <n v="115"/>
    <n v="0"/>
    <n v="0"/>
    <n v="1.44"/>
    <n v="96.02"/>
    <n v="15.59"/>
    <n v="3.1737847101715143E-2"/>
    <n v="0.15"/>
    <n v="14.402999999999999"/>
    <n v="0"/>
    <n v="0"/>
    <n v="0"/>
    <n v="14.402999999999999"/>
    <n v="2.3044799999999999"/>
    <n v="16.707479999999997"/>
    <n v="0.28805999999999998"/>
    <n v="0"/>
    <n v="0.28805999999999998"/>
    <m/>
    <n v="14.114939999999999"/>
    <s v="BOLLORE"/>
    <n v="0.4"/>
    <n v="5.6459760000000001"/>
    <n v="5.6459760000000001"/>
    <d v="2023-10-30T00:00:00"/>
    <n v="0"/>
    <m/>
    <n v="16.707479999999997"/>
    <n v="16.707479999999997"/>
    <n v="0"/>
    <s v="SFA"/>
    <d v="2023-03-20T00:00:00"/>
    <m/>
    <s v="ONCE OFF"/>
    <s v="MARINE CARGO / GIT"/>
    <m/>
    <m/>
    <m/>
  </r>
  <r>
    <x v="1"/>
    <s v="Yes"/>
    <d v="2023-01-02T00:00:00"/>
    <d v="2023-02-13T00:00:00"/>
    <d v="2023-02-13T00:00:00"/>
    <d v="2024-02-12T00:00:00"/>
    <s v="000-140/AIB RDC/2023"/>
    <n v="0"/>
    <s v="SOUSCRIPTION"/>
    <s v="12002-33006-0022-111-00018120-2023"/>
    <s v="BRASIMBA / Bolloré"/>
    <m/>
    <s v="SYNTYCHE"/>
    <s v="Victor"/>
    <s v="MARINE CARGO / GIT"/>
    <s v="MARINE"/>
    <x v="0"/>
    <s v="SFA"/>
    <n v="1925.13"/>
    <n v="65"/>
    <n v="0"/>
    <n v="0"/>
    <n v="0.81"/>
    <n v="54.28"/>
    <n v="8.81"/>
    <n v="2.8195498485816543E-2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3-20T00:00:00"/>
    <m/>
    <s v="ONCE OFF"/>
    <s v="MARINE CARGO / GIT"/>
    <m/>
    <m/>
    <m/>
  </r>
  <r>
    <x v="2"/>
    <s v="Yes"/>
    <d v="2023-03-01T00:00:00"/>
    <d v="2023-03-01T00:00:00"/>
    <d v="2023-03-01T00:00:00"/>
    <d v="2023-12-31T00:00:00"/>
    <s v="000-141/AIB RDC/2023"/>
    <n v="0"/>
    <s v="SOUSCRIPTION"/>
    <s v="12002-33002-0024-113-00018280-2023"/>
    <s v="CMA CGM RDC SA"/>
    <m/>
    <s v="SYNTYCHE"/>
    <s v="Grâce"/>
    <s v="GENERAL LIABILITY"/>
    <s v="LIABILITIES"/>
    <x v="0"/>
    <s v="SFA"/>
    <n v="0"/>
    <n v="3736.97"/>
    <n v="0"/>
    <n v="0"/>
    <n v="25.71"/>
    <n v="3141.21"/>
    <n v="506.71"/>
    <e v="#DIV/0!"/>
    <n v="0.15"/>
    <n v="471.18149999999997"/>
    <n v="0"/>
    <n v="0"/>
    <n v="0"/>
    <n v="471.18149999999997"/>
    <n v="75.389039999999994"/>
    <n v="546.57053999999994"/>
    <n v="9.4236299999999993"/>
    <m/>
    <n v="9.4236299999999993"/>
    <m/>
    <n v="461.75786999999997"/>
    <m/>
    <m/>
    <n v="0"/>
    <m/>
    <m/>
    <n v="0"/>
    <m/>
    <n v="546.57053999999994"/>
    <n v="546.57053999999994"/>
    <n v="0"/>
    <s v="SFA"/>
    <d v="2023-03-20T00:00:00"/>
    <m/>
    <m/>
    <s v="GENERAL LIABILITY"/>
    <m/>
    <m/>
    <m/>
  </r>
  <r>
    <x v="2"/>
    <s v="Yes"/>
    <d v="2023-03-01T00:00:00"/>
    <d v="2023-03-01T00:00:00"/>
    <d v="2023-03-01T00:00:00"/>
    <d v="2023-12-31T00:00:00"/>
    <s v="000-142/AIB RDC/2023"/>
    <n v="0"/>
    <s v="SOUSCRIPTION"/>
    <s v="12002-33002-0002-112-00018268-2023"/>
    <s v="CMA CGM RDC SA"/>
    <m/>
    <s v="SYNTYCHE"/>
    <s v="Grâce"/>
    <s v="FIRE"/>
    <s v="PROPERTIES"/>
    <x v="0"/>
    <s v="SFA"/>
    <n v="531380"/>
    <n v="1591.3"/>
    <n v="0"/>
    <n v="0"/>
    <n v="20"/>
    <n v="1328.56"/>
    <n v="215.77"/>
    <n v="2.5002070081674129E-3"/>
    <n v="0.1"/>
    <n v="132.85599999999999"/>
    <n v="0"/>
    <n v="0"/>
    <n v="0"/>
    <n v="132.85599999999999"/>
    <n v="21.256959999999999"/>
    <n v="154.11295999999999"/>
    <n v="2.6571199999999999"/>
    <m/>
    <n v="2.6571199999999999"/>
    <m/>
    <n v="130.19888"/>
    <m/>
    <m/>
    <n v="0"/>
    <m/>
    <m/>
    <n v="0"/>
    <m/>
    <n v="154.11295999999999"/>
    <n v="154.11295999999999"/>
    <n v="0"/>
    <s v="SFA"/>
    <d v="2023-03-20T00:00:00"/>
    <m/>
    <m/>
    <s v="FIRE"/>
    <m/>
    <m/>
    <m/>
  </r>
  <r>
    <x v="1"/>
    <s v="Yes"/>
    <d v="2022-09-23T00:00:00"/>
    <d v="2023-02-09T00:00:00"/>
    <d v="2023-02-08T00:00:00"/>
    <d v="2024-02-07T00:00:00"/>
    <s v="000-143/AIB RDC/2023"/>
    <n v="0"/>
    <s v="SOUSCRIPTION"/>
    <s v="00018095"/>
    <s v="ATLAS"/>
    <m/>
    <s v="MICHEE"/>
    <s v="Tychique"/>
    <s v="FIRE"/>
    <s v="PROPERTIES"/>
    <x v="0"/>
    <s v="SFA"/>
    <n v="680000"/>
    <n v="1920.92"/>
    <n v="0"/>
    <n v="0"/>
    <n v="32.56"/>
    <n v="1607.9"/>
    <n v="260.45999999999998"/>
    <n v="2.3645588235294119E-3"/>
    <n v="0.1"/>
    <n v="160.79000000000002"/>
    <n v="0"/>
    <n v="0"/>
    <n v="0"/>
    <n v="160.79000000000002"/>
    <n v="25.726400000000005"/>
    <n v="186.51640000000003"/>
    <n v="3.2158000000000007"/>
    <n v="0"/>
    <n v="3.2158000000000007"/>
    <m/>
    <n v="157.57420000000002"/>
    <m/>
    <m/>
    <n v="0"/>
    <m/>
    <m/>
    <n v="0"/>
    <m/>
    <n v="186.51640000000003"/>
    <n v="186.51640000000003"/>
    <n v="0"/>
    <s v="SFA"/>
    <d v="2023-03-20T00:00:00"/>
    <m/>
    <m/>
    <s v="FIRE"/>
    <m/>
    <m/>
    <m/>
  </r>
  <r>
    <x v="1"/>
    <s v="Yes"/>
    <d v="2023-03-15T00:00:00"/>
    <d v="2023-02-20T00:00:00"/>
    <d v="2023-02-17T00:00:00"/>
    <d v="2024-02-16T00:00:00"/>
    <s v="000-144/AIB RDC/2023"/>
    <n v="0"/>
    <s v="SOUSCRIPTION"/>
    <s v="00018193"/>
    <s v="Sandvik Mining &amp; Construction Sarl"/>
    <s v="Mining"/>
    <s v="ANDY"/>
    <s v="Andy"/>
    <s v="MARINE CARGO / GIT"/>
    <s v="MARINE"/>
    <x v="0"/>
    <s v="SFA"/>
    <n v="0"/>
    <n v="152663.84"/>
    <n v="0"/>
    <n v="0"/>
    <n v="643.66"/>
    <n v="128732.48"/>
    <n v="20700.18"/>
    <e v="#DIV/0!"/>
    <n v="0.15"/>
    <n v="19309.871999999999"/>
    <n v="0"/>
    <n v="0"/>
    <n v="0"/>
    <n v="19309.871999999999"/>
    <n v="3089.5795199999998"/>
    <n v="22399.451519999999"/>
    <n v="386.19743999999997"/>
    <n v="0"/>
    <n v="386.19743999999997"/>
    <m/>
    <n v="18923.674559999999"/>
    <s v="Aucun"/>
    <n v="0"/>
    <n v="0"/>
    <m/>
    <m/>
    <n v="0"/>
    <m/>
    <n v="22399.451519999999"/>
    <n v="22399.451519999999"/>
    <n v="0"/>
    <s v="SFA"/>
    <d v="2023-03-20T00:00:00"/>
    <m/>
    <m/>
    <s v="MARINE CARGO / GIT"/>
    <m/>
    <m/>
    <m/>
  </r>
  <r>
    <x v="5"/>
    <s v="No"/>
    <d v="2022-11-17T00:00:00"/>
    <d v="2022-11-17T00:00:00"/>
    <d v="2023-11-15T00:00:00"/>
    <d v="2024-11-14T00:00:00"/>
    <s v="000-145/AIB RDC/2023"/>
    <n v="1"/>
    <s v="PROROGATION"/>
    <s v="12003-33002-0004-114-00000046-2022 / 51000010"/>
    <s v="IVANHOE / Kamoa Copper SA"/>
    <s v="Mining"/>
    <s v="ANDY"/>
    <s v="Sabrina"/>
    <s v="CAR"/>
    <s v="CONSTRUCTIONS"/>
    <x v="6"/>
    <s v="RAWSUR"/>
    <n v="2933200000"/>
    <n v="1813957.2"/>
    <n v="99983.86"/>
    <n v="0"/>
    <n v="0"/>
    <n v="1149814.3999999999"/>
    <n v="245960.3"/>
    <n v="3.9199999999999999E-4"/>
    <n v="0"/>
    <n v="21559.02"/>
    <n v="29995.16"/>
    <n v="0"/>
    <n v="0"/>
    <n v="51554.18"/>
    <n v="8248.6687999999995"/>
    <n v="59802.8488"/>
    <n v="1031.0835999999999"/>
    <n v="0"/>
    <n v="1031.0835999999999"/>
    <m/>
    <n v="50523.096400000002"/>
    <m/>
    <m/>
    <n v="0"/>
    <m/>
    <m/>
    <n v="0"/>
    <m/>
    <m/>
    <n v="59802.8488"/>
    <n v="59802.8488"/>
    <s v="RAWSUR"/>
    <m/>
    <m/>
    <m/>
    <s v="CAR"/>
    <m/>
    <m/>
    <m/>
  </r>
  <r>
    <x v="1"/>
    <s v="Yes"/>
    <d v="2023-02-20T00:00:00"/>
    <d v="2023-02-24T00:00:00"/>
    <d v="2023-02-20T00:00:00"/>
    <d v="2024-02-19T00:00:00"/>
    <s v="000-146/AIB RDC/2023"/>
    <n v="0"/>
    <s v="SOUSCRIPTION"/>
    <s v="33002-0017-104-0005032 / 0002"/>
    <s v="Bolloré Transport &amp; Logistics"/>
    <s v="Transport"/>
    <s v="SYNTYCHE"/>
    <s v="Grâce"/>
    <s v="COMP MOTOR"/>
    <s v="MOTOR COMP"/>
    <x v="4"/>
    <s v="SUNU"/>
    <n v="0"/>
    <n v="20267.86"/>
    <n v="0"/>
    <n v="0"/>
    <n v="172.99"/>
    <n v="17299.3"/>
    <n v="2795.57"/>
    <e v="#DIV/0!"/>
    <n v="0.15"/>
    <n v="2594.895"/>
    <n v="0"/>
    <n v="0"/>
    <n v="0"/>
    <n v="2594.895"/>
    <n v="415.1832"/>
    <n v="3010.0781999999999"/>
    <n v="51.8979"/>
    <n v="0"/>
    <n v="51.8979"/>
    <m/>
    <n v="2542.9971"/>
    <s v="OLEA"/>
    <m/>
    <n v="0"/>
    <m/>
    <m/>
    <n v="0"/>
    <m/>
    <n v="3010.0781999999999"/>
    <n v="3010.0781999999999"/>
    <n v="0"/>
    <s v="SUNU"/>
    <d v="2023-05-16T00:00:00"/>
    <m/>
    <m/>
    <s v="COMP MOTOR"/>
    <m/>
    <m/>
    <m/>
  </r>
  <r>
    <x v="2"/>
    <s v="Yes"/>
    <d v="2022-11-30T00:00:00"/>
    <d v="2023-03-01T00:00:00"/>
    <d v="2023-03-01T00:00:00"/>
    <d v="2024-02-29T00:00:00"/>
    <s v="000-147/AIB RDC/2023"/>
    <n v="0"/>
    <s v="SOUSCRIPTION"/>
    <s v="33002-0009-113-0005361 / 0001"/>
    <s v="JOHN MENZIES LIMITED AND/OR NATIONAL SERVICES (NAS) DRC"/>
    <m/>
    <s v="MICHEE"/>
    <s v="Tychique"/>
    <s v="AVIATION HULL ALL RISK"/>
    <s v="AVIATION"/>
    <x v="4"/>
    <s v="SUNU"/>
    <n v="0"/>
    <n v="14021.18"/>
    <n v="0"/>
    <n v="0"/>
    <n v="119.67"/>
    <n v="11764.71"/>
    <n v="1933.95"/>
    <e v="#DIV/0!"/>
    <n v="0"/>
    <n v="0"/>
    <n v="529.40999999999974"/>
    <n v="862.06896551724139"/>
    <n v="0"/>
    <n v="1391.4789655172412"/>
    <n v="222.63663448275861"/>
    <n v="1614.1155999999999"/>
    <n v="27.829579310344826"/>
    <n v="0"/>
    <n v="27.829579310344826"/>
    <m/>
    <n v="1363.6493862068965"/>
    <s v="OLEA"/>
    <m/>
    <n v="0"/>
    <m/>
    <m/>
    <n v="0"/>
    <m/>
    <n v="1614.1155999999999"/>
    <n v="1614.1155999999999"/>
    <n v="0"/>
    <s v="SUNU"/>
    <d v="2023-05-16T00:00:00"/>
    <m/>
    <m/>
    <s v="AVIATION HULL ALL RISK"/>
    <m/>
    <m/>
    <m/>
  </r>
  <r>
    <x v="2"/>
    <s v="Yes"/>
    <d v="2023-03-27T00:00:00"/>
    <d v="2023-04-19T00:00:00"/>
    <d v="2023-03-07T00:00:00"/>
    <d v="2024-03-06T00:00:00"/>
    <s v="000-148/AIB RDC/2023"/>
    <n v="2"/>
    <s v="RENOUVELLEMENT"/>
    <s v="12003-33002-0122-101-00000013-2022 / 12200001"/>
    <s v="BRALIMA SA"/>
    <m/>
    <s v="MICHEE"/>
    <s v="Tychique"/>
    <s v="GPA"/>
    <s v="MEDICAL &amp; GPA"/>
    <x v="6"/>
    <s v="RAWSUR"/>
    <n v="2000000"/>
    <n v="22530.71"/>
    <n v="0"/>
    <n v="0"/>
    <n v="100"/>
    <n v="18993.82"/>
    <n v="3055.01"/>
    <n v="9.496909999999999E-3"/>
    <n v="0.1"/>
    <n v="1899.3820000000001"/>
    <n v="0"/>
    <n v="0"/>
    <n v="0"/>
    <n v="1899.3820000000001"/>
    <n v="303.90111999999999"/>
    <n v="2203.2831200000001"/>
    <n v="37.987639999999999"/>
    <n v="0"/>
    <n v="37.987639999999999"/>
    <m/>
    <n v="1861.39436"/>
    <m/>
    <m/>
    <n v="0"/>
    <m/>
    <m/>
    <n v="0"/>
    <m/>
    <n v="2203.2831200000001"/>
    <n v="2203.2831200000001"/>
    <n v="0"/>
    <s v="RAWSUR"/>
    <d v="2023-05-26T00:00:00"/>
    <m/>
    <m/>
    <s v="GPA"/>
    <m/>
    <m/>
    <m/>
  </r>
  <r>
    <x v="2"/>
    <s v="Yes"/>
    <d v="2023-03-09T00:00:00"/>
    <d v="2023-03-30T00:00:00"/>
    <d v="2023-03-31T00:00:00"/>
    <d v="2024-03-30T00:00:00"/>
    <s v="000-149/AIB RDC/2023"/>
    <n v="0"/>
    <s v="SOUSCRIPTION"/>
    <n v="73200026"/>
    <s v="KINGA  KILA MINING SASU"/>
    <m/>
    <s v="MICHEE"/>
    <s v="Tychique"/>
    <s v="MARINE CARGO / GIT"/>
    <s v="MARINE"/>
    <x v="6"/>
    <s v="RAWSUR"/>
    <n v="2000000"/>
    <n v="2000"/>
    <n v="0"/>
    <n v="0"/>
    <n v="100"/>
    <n v="1594.91"/>
    <n v="271.19"/>
    <n v="7.9745500000000008E-4"/>
    <n v="0.15"/>
    <n v="239.23650000000001"/>
    <n v="0"/>
    <n v="0"/>
    <n v="0"/>
    <n v="239.23650000000001"/>
    <n v="38.277840000000005"/>
    <n v="277.51434"/>
    <n v="4.7847300000000006"/>
    <n v="0"/>
    <n v="4.7847300000000006"/>
    <m/>
    <n v="234.45177000000001"/>
    <m/>
    <m/>
    <n v="0"/>
    <m/>
    <m/>
    <n v="0"/>
    <m/>
    <n v="277.51434"/>
    <n v="277.51434"/>
    <n v="0"/>
    <s v="RAWSUR"/>
    <d v="2023-04-27T00:00:00"/>
    <m/>
    <m/>
    <s v="MARINE CARGO / GIT"/>
    <m/>
    <m/>
    <m/>
  </r>
  <r>
    <x v="2"/>
    <s v="Yes"/>
    <d v="2023-03-09T00:00:00"/>
    <d v="2023-03-31T00:00:00"/>
    <d v="2023-03-31T00:00:00"/>
    <d v="2024-03-30T00:00:00"/>
    <s v="000-150/AIB RDC/2023"/>
    <n v="2"/>
    <s v="RENOUVELLEMENT"/>
    <s v="12003-33002-0005-111-00000351-2022 / 73200017"/>
    <s v="EXCELLEN MINERALS / Bolloré"/>
    <m/>
    <s v="MICHEE"/>
    <s v="Tychique"/>
    <s v="MARINE CARGO / GIT"/>
    <s v="MARINE"/>
    <x v="6"/>
    <s v="RAWSUR"/>
    <n v="22000000"/>
    <n v="41654"/>
    <n v="0"/>
    <n v="0"/>
    <n v="100"/>
    <n v="35200"/>
    <n v="5648"/>
    <n v="1.6000000000000001E-3"/>
    <n v="0.15"/>
    <n v="5280"/>
    <n v="0"/>
    <n v="0"/>
    <n v="0"/>
    <n v="5280"/>
    <n v="844.80000000000007"/>
    <n v="6124.8"/>
    <n v="105.60000000000001"/>
    <n v="0"/>
    <n v="105.60000000000001"/>
    <m/>
    <n v="5174.3999999999996"/>
    <s v="BOLLORE"/>
    <n v="0.4"/>
    <n v="2069.7599999999998"/>
    <n v="2069.7599999999998"/>
    <d v="2023-10-30T00:00:00"/>
    <n v="0"/>
    <m/>
    <n v="6124.8"/>
    <n v="6124.8"/>
    <n v="0"/>
    <s v="RAWSUR"/>
    <d v="2023-04-27T00:00:00"/>
    <m/>
    <s v="ONCE OFF"/>
    <s v="MARINE CARGO / GIT"/>
    <m/>
    <m/>
    <m/>
  </r>
  <r>
    <x v="2"/>
    <s v="Yes"/>
    <d v="2023-03-09T00:00:00"/>
    <d v="2023-04-04T00:00:00"/>
    <d v="2023-03-31T00:00:00"/>
    <d v="2024-03-30T00:00:00"/>
    <s v="000-151/AIB RDC/2023"/>
    <n v="2"/>
    <s v="RENOUVELLEMENT"/>
    <s v="12003-33002-0005-111-00000352-2022 / 73200016"/>
    <s v="STE LUILU RESSOURCES SAS / Bolloré"/>
    <m/>
    <s v="MICHEE"/>
    <s v="Tychique"/>
    <s v="MARINE CARGO / GIT"/>
    <s v="MARINE"/>
    <x v="6"/>
    <s v="RAWSUR"/>
    <n v="27000000"/>
    <n v="51094"/>
    <n v="0"/>
    <n v="0"/>
    <n v="100"/>
    <n v="43200"/>
    <n v="6928"/>
    <n v="1.6000000000000001E-3"/>
    <n v="0.15"/>
    <n v="6480"/>
    <n v="0"/>
    <n v="0"/>
    <n v="0"/>
    <n v="6480"/>
    <n v="1036.8"/>
    <n v="7516.8"/>
    <n v="129.6"/>
    <n v="0"/>
    <n v="129.6"/>
    <m/>
    <n v="6350.4"/>
    <s v="BOLLORE"/>
    <n v="0.4"/>
    <n v="2540.16"/>
    <n v="2540.16"/>
    <d v="2023-10-30T00:00:00"/>
    <n v="0"/>
    <m/>
    <n v="7516.8"/>
    <n v="7516.8"/>
    <n v="0"/>
    <s v="RAWSUR"/>
    <d v="2023-05-26T00:00:00"/>
    <m/>
    <s v="ONCE OFF"/>
    <s v="MARINE CARGO / GIT"/>
    <m/>
    <m/>
    <m/>
  </r>
  <r>
    <x v="2"/>
    <s v="Yes"/>
    <d v="2023-03-09T00:00:00"/>
    <d v="2023-03-21T00:00:00"/>
    <d v="2023-03-10T00:00:00"/>
    <d v="2024-03-09T00:00:00"/>
    <s v="000-152/AIB RDC/2023"/>
    <n v="0"/>
    <s v="SOUSCRIPTION"/>
    <s v="12005-33002-0003-13001-00004979-2023"/>
    <s v="MAFRICOM"/>
    <m/>
    <s v="MICHEE"/>
    <s v="Tychique"/>
    <s v="MOTOR TPL"/>
    <s v="MOTOR TPL"/>
    <x v="5"/>
    <s v="MAYFAIR"/>
    <n v="0"/>
    <n v="8361.48"/>
    <n v="0"/>
    <n v="0"/>
    <n v="390"/>
    <n v="6696"/>
    <n v="1133.76"/>
    <e v="#DIV/0!"/>
    <n v="0.1"/>
    <n v="669.6"/>
    <n v="0"/>
    <n v="0"/>
    <n v="0"/>
    <n v="669.6"/>
    <n v="107.13600000000001"/>
    <n v="776.73599999999999"/>
    <n v="13.392000000000001"/>
    <n v="0"/>
    <n v="13.392000000000001"/>
    <m/>
    <n v="656.20799999999997"/>
    <m/>
    <m/>
    <n v="0"/>
    <m/>
    <m/>
    <n v="0"/>
    <m/>
    <n v="776.73599999999999"/>
    <n v="776.73599999999999"/>
    <n v="0"/>
    <s v="MAYFAIR"/>
    <d v="2023-05-18T00:00:00"/>
    <m/>
    <m/>
    <s v="MOTOR TPL"/>
    <m/>
    <m/>
    <m/>
  </r>
  <r>
    <x v="2"/>
    <s v="Yes"/>
    <d v="2023-03-09T00:00:00"/>
    <d v="2023-03-21T00:00:00"/>
    <d v="2023-03-10T00:00:00"/>
    <d v="2024-03-09T00:00:00"/>
    <s v="000-153/AIB RDC/2023"/>
    <n v="0"/>
    <s v="SOUSCRIPTION"/>
    <s v="12005-33002-0003-13001-00004980-2023"/>
    <s v="NUTRI AFRICA"/>
    <m/>
    <s v="MICHEE"/>
    <s v="Tychique"/>
    <s v="MOTOR TPL"/>
    <s v="MOTOR TPL"/>
    <x v="5"/>
    <s v="MAYFAIR"/>
    <n v="0"/>
    <n v="8494.11"/>
    <n v="0"/>
    <n v="0"/>
    <n v="280"/>
    <n v="6818.4"/>
    <n v="1151.74"/>
    <e v="#DIV/0!"/>
    <n v="0.1"/>
    <n v="681.84"/>
    <n v="0"/>
    <n v="0"/>
    <n v="0"/>
    <n v="681.84"/>
    <n v="109.09440000000001"/>
    <n v="790.9344000000001"/>
    <n v="13.636800000000001"/>
    <n v="0"/>
    <n v="13.636800000000001"/>
    <m/>
    <n v="668.20320000000004"/>
    <m/>
    <m/>
    <n v="0"/>
    <m/>
    <m/>
    <n v="0"/>
    <m/>
    <n v="790.9344000000001"/>
    <n v="790.9344000000001"/>
    <n v="0"/>
    <s v="MAYFAIR"/>
    <d v="2023-05-18T00:00:00"/>
    <m/>
    <m/>
    <s v="MOTOR TPL"/>
    <m/>
    <m/>
    <m/>
  </r>
  <r>
    <x v="2"/>
    <s v="Yes"/>
    <d v="2023-03-09T00:00:00"/>
    <d v="2023-03-21T00:00:00"/>
    <d v="2023-03-10T00:00:00"/>
    <d v="2024-03-09T00:00:00"/>
    <s v="000-154/AIB RDC/2023"/>
    <n v="0"/>
    <s v="SOUSCRIPTION"/>
    <s v="12005-33002-0003-13001-00004981-2023"/>
    <s v="HOPITAL OASIS"/>
    <m/>
    <s v="MICHEE"/>
    <s v="Tychique"/>
    <s v="MOTOR TPL"/>
    <s v="MOTOR TPL"/>
    <x v="5"/>
    <s v="MAYFAIR"/>
    <n v="0"/>
    <n v="1339.36"/>
    <n v="0"/>
    <n v="0"/>
    <n v="70"/>
    <n v="1065.05"/>
    <n v="181.61"/>
    <e v="#DIV/0!"/>
    <n v="0.1"/>
    <n v="106.505"/>
    <n v="0"/>
    <n v="0"/>
    <n v="0"/>
    <n v="106.505"/>
    <n v="17.040800000000001"/>
    <n v="123.5458"/>
    <n v="2.1301000000000001"/>
    <n v="0"/>
    <n v="2.1301000000000001"/>
    <m/>
    <n v="104.3749"/>
    <m/>
    <m/>
    <n v="0"/>
    <m/>
    <m/>
    <n v="0"/>
    <m/>
    <n v="123.5458"/>
    <n v="123.5458"/>
    <n v="0"/>
    <s v="MAYFAIR"/>
    <d v="2023-05-18T00:00:00"/>
    <m/>
    <m/>
    <s v="MOTOR TPL"/>
    <m/>
    <m/>
    <m/>
  </r>
  <r>
    <x v="2"/>
    <s v="Yes"/>
    <d v="2023-03-13T00:00:00"/>
    <d v="2023-03-21T00:00:00"/>
    <d v="2023-03-13T00:00:00"/>
    <d v="2024-03-09T00:00:00"/>
    <s v="000-155/AIB RDC/2023"/>
    <n v="1"/>
    <s v="INCORPORATION"/>
    <s v="12005-33002-0003-13001-00004979-2023"/>
    <s v="MAFRICOM"/>
    <m/>
    <s v="MICHEE"/>
    <s v="Tychique"/>
    <s v="MOTOR TPL"/>
    <s v="MOTOR TPL"/>
    <x v="5"/>
    <s v="MAYFAIR"/>
    <n v="0"/>
    <n v="2074.91"/>
    <n v="0"/>
    <n v="0"/>
    <n v="60"/>
    <n v="1698.4"/>
    <n v="281.33999999999997"/>
    <e v="#DIV/0!"/>
    <n v="0.1"/>
    <n v="169.84000000000003"/>
    <n v="0"/>
    <n v="0"/>
    <n v="0"/>
    <n v="169.84000000000003"/>
    <n v="27.174400000000006"/>
    <n v="197.01440000000002"/>
    <n v="3.3968000000000007"/>
    <n v="0"/>
    <n v="3.3968000000000007"/>
    <m/>
    <n v="166.44320000000002"/>
    <m/>
    <m/>
    <n v="0"/>
    <m/>
    <m/>
    <n v="0"/>
    <m/>
    <n v="197.01440000000002"/>
    <n v="197.01440000000002"/>
    <n v="0"/>
    <s v="MAYFAIR"/>
    <d v="2023-05-18T00:00:00"/>
    <m/>
    <m/>
    <s v="MOTOR TPL"/>
    <m/>
    <m/>
    <m/>
  </r>
  <r>
    <x v="2"/>
    <s v="Yes"/>
    <d v="2023-03-15T00:00:00"/>
    <d v="2023-03-15T00:00:00"/>
    <d v="2023-03-13T00:00:00"/>
    <d v="2023-05-12T00:00:00"/>
    <s v="000-156/AIB RDC/2023"/>
    <n v="0"/>
    <s v="SOUSCRIPTION"/>
    <s v="12002-33002-0021-111-00018788-2023"/>
    <s v="STE. FONDEG CATERING CONGO"/>
    <m/>
    <s v="MICHEE"/>
    <s v="Tychique"/>
    <s v="MARINE CARGO / GIT"/>
    <s v="MARINE"/>
    <x v="0"/>
    <s v="SFA"/>
    <n v="3045.7"/>
    <n v="45.33"/>
    <n v="0"/>
    <n v="0"/>
    <n v="2.23"/>
    <n v="15"/>
    <n v="2.76"/>
    <n v="4.9249761959483862E-3"/>
    <n v="0.15"/>
    <n v="2.25"/>
    <n v="0"/>
    <n v="0"/>
    <n v="0"/>
    <n v="2.25"/>
    <n v="0.36"/>
    <n v="2.61"/>
    <n v="4.4999999999999998E-2"/>
    <n v="0"/>
    <n v="4.4999999999999998E-2"/>
    <m/>
    <n v="2.2050000000000001"/>
    <m/>
    <m/>
    <n v="0"/>
    <m/>
    <m/>
    <n v="0"/>
    <m/>
    <n v="2.61"/>
    <n v="2.61"/>
    <n v="0"/>
    <s v="SFA"/>
    <d v="2023-05-24T00:00:00"/>
    <m/>
    <s v="ONCE OFF"/>
    <s v="MARINE CARGO / GIT"/>
    <m/>
    <m/>
    <m/>
  </r>
  <r>
    <x v="2"/>
    <s v="Yes"/>
    <d v="2023-03-15T00:00:00"/>
    <d v="2023-03-17T00:00:00"/>
    <d v="2023-03-16T00:00:00"/>
    <d v="2024-03-15T00:00:00"/>
    <s v="000-157/AIB RDC/2023"/>
    <n v="0"/>
    <s v="SOUSCRIPTION"/>
    <s v="120001-33002-001-103-00002051-2021"/>
    <s v="FERONIA - PLANTATIONS ET HUILERIES DU CONGO ( PHC)"/>
    <m/>
    <s v="MICHEE"/>
    <s v="Tychique"/>
    <s v="COMP MOTOR"/>
    <s v="MOTOR COMP"/>
    <x v="1"/>
    <s v="ACTIVA"/>
    <n v="810800"/>
    <n v="30902.76"/>
    <n v="0"/>
    <n v="0"/>
    <n v="305.97000000000003"/>
    <n v="30596.78"/>
    <n v="0"/>
    <n v="3.7736531820424274E-2"/>
    <n v="0.144426076486529"/>
    <n v="4418.9728885215009"/>
    <n v="0"/>
    <n v="0"/>
    <n v="0"/>
    <n v="4418.9728885215009"/>
    <n v="707.03566216344018"/>
    <n v="5126.0085506849409"/>
    <n v="88.379457770430022"/>
    <n v="0"/>
    <n v="88.379457770430022"/>
    <m/>
    <n v="4330.5934307510706"/>
    <m/>
    <m/>
    <n v="0"/>
    <m/>
    <m/>
    <n v="0"/>
    <m/>
    <n v="5126.0085506849409"/>
    <n v="5126.0085506849409"/>
    <n v="0"/>
    <s v="ACTIVA"/>
    <d v="2023-06-05T00:00:00"/>
    <m/>
    <m/>
    <s v="COMP MOTOR"/>
    <m/>
    <m/>
    <m/>
  </r>
  <r>
    <x v="2"/>
    <s v="Yes"/>
    <d v="2023-03-17T00:00:00"/>
    <d v="2023-03-16T00:00:00"/>
    <d v="2023-03-17T00:00:00"/>
    <d v="2024-03-16T00:00:00"/>
    <s v="000-158/AIB RDC/2023"/>
    <n v="1"/>
    <s v="RENOUVELLEMENT"/>
    <s v="12002-33002-0002-112-00018844-2023"/>
    <s v="MAFRICOM"/>
    <m/>
    <s v="MICHEE"/>
    <s v="Tychique"/>
    <s v="FIRE"/>
    <s v="PROPERTIES"/>
    <x v="0"/>
    <s v="SFA"/>
    <n v="10358000"/>
    <n v="14486.33"/>
    <n v="0"/>
    <n v="0"/>
    <n v="71.03"/>
    <n v="12205.52"/>
    <n v="1964.25"/>
    <n v="1.178366480015447E-3"/>
    <n v="0.1"/>
    <n v="1220.5520000000001"/>
    <n v="0"/>
    <n v="0"/>
    <n v="0"/>
    <n v="1220.5520000000001"/>
    <n v="195.28832000000003"/>
    <n v="1415.8403200000002"/>
    <n v="24.411040000000003"/>
    <n v="0"/>
    <n v="24.411040000000003"/>
    <m/>
    <n v="1196.1409600000002"/>
    <m/>
    <m/>
    <n v="0"/>
    <m/>
    <m/>
    <n v="0"/>
    <m/>
    <n v="1415.8403200000002"/>
    <n v="1415.8403200000002"/>
    <n v="0"/>
    <s v="SFA"/>
    <d v="2023-05-24T00:00:00"/>
    <m/>
    <m/>
    <s v="FIRE"/>
    <m/>
    <m/>
    <m/>
  </r>
  <r>
    <x v="2"/>
    <s v="Yes"/>
    <d v="2023-03-17T00:00:00"/>
    <d v="2023-03-17T00:00:00"/>
    <d v="2023-03-17T00:00:00"/>
    <d v="2024-03-16T00:00:00"/>
    <s v="000-159/AIB RDC/2023"/>
    <n v="1"/>
    <s v="RENOUVELLEMENT"/>
    <s v="12002-33002-0002-112-00018843-2023"/>
    <s v="NUTRI AFRICA"/>
    <m/>
    <s v="MICHEE"/>
    <s v="Tychique"/>
    <s v="FIRE"/>
    <s v="PROPERTIES"/>
    <x v="0"/>
    <s v="SFA"/>
    <n v="3055800"/>
    <n v="4464.88"/>
    <n v="0"/>
    <n v="0"/>
    <n v="41.8"/>
    <n v="3741.99"/>
    <n v="605.41"/>
    <n v="1.2245533084625957E-3"/>
    <n v="0.1"/>
    <n v="374.19900000000001"/>
    <n v="0"/>
    <n v="0"/>
    <n v="0"/>
    <n v="374.19900000000001"/>
    <n v="59.871840000000006"/>
    <n v="434.07084000000003"/>
    <n v="7.4839800000000007"/>
    <n v="0"/>
    <n v="7.4839800000000007"/>
    <m/>
    <n v="366.71502000000004"/>
    <m/>
    <m/>
    <n v="0"/>
    <m/>
    <m/>
    <n v="0"/>
    <m/>
    <n v="434.07084000000003"/>
    <n v="434.07084000000003"/>
    <n v="0"/>
    <s v="SFA"/>
    <d v="2023-05-24T00:00:00"/>
    <m/>
    <m/>
    <s v="FIRE"/>
    <m/>
    <m/>
    <m/>
  </r>
  <r>
    <x v="2"/>
    <s v="Yes"/>
    <d v="2023-03-17T00:00:00"/>
    <d v="2023-03-17T00:00:00"/>
    <d v="2023-03-17T00:00:00"/>
    <d v="2024-03-16T00:00:00"/>
    <s v="000-160/AIB RDC/2023"/>
    <n v="1"/>
    <s v="RENOUVELLEMENT"/>
    <s v="12002-33002-0002-112-00018840-2023"/>
    <s v="HOPITAL OASIS"/>
    <m/>
    <s v="MICHEE"/>
    <s v="Tychique"/>
    <s v="FIRE"/>
    <s v="PROPERTIES"/>
    <x v="0"/>
    <s v="SFA"/>
    <n v="1100000"/>
    <n v="2333.52"/>
    <n v="0"/>
    <n v="0"/>
    <n v="20"/>
    <n v="1957.56"/>
    <n v="316.41000000000003"/>
    <n v="1.7795999999999999E-3"/>
    <n v="0.1"/>
    <n v="195.756"/>
    <n v="0"/>
    <n v="0"/>
    <n v="0"/>
    <n v="195.756"/>
    <n v="31.320959999999999"/>
    <n v="227.07695999999999"/>
    <n v="3.9151199999999999"/>
    <n v="0"/>
    <n v="3.9151199999999999"/>
    <m/>
    <n v="191.84088"/>
    <m/>
    <m/>
    <n v="0"/>
    <m/>
    <m/>
    <n v="0"/>
    <m/>
    <n v="227.07695999999999"/>
    <n v="227.07695999999999"/>
    <n v="0"/>
    <s v="SFA"/>
    <d v="2023-05-24T00:00:00"/>
    <m/>
    <m/>
    <s v="FIRE"/>
    <m/>
    <m/>
    <m/>
  </r>
  <r>
    <x v="2"/>
    <s v="Yes"/>
    <d v="2023-03-17T00:00:00"/>
    <d v="2023-03-16T00:00:00"/>
    <d v="2023-03-17T00:00:00"/>
    <d v="2024-03-16T00:00:00"/>
    <s v="000-161/AIB RDC/2023"/>
    <n v="1"/>
    <s v="RENOUVELLEMENT"/>
    <s v="12002-33002-0021-111-00018813-2023"/>
    <s v="MAFRICOM"/>
    <m/>
    <s v="MICHEE"/>
    <s v="Tychique"/>
    <s v="MARINE CARGO / GIT"/>
    <s v="MARINE"/>
    <x v="0"/>
    <s v="SFA"/>
    <n v="4000000"/>
    <n v="9656.8700000000008"/>
    <n v="0"/>
    <n v="0"/>
    <n v="122.6"/>
    <n v="8040"/>
    <n v="1306.02"/>
    <n v="2.0100000000000001E-3"/>
    <n v="0.15"/>
    <n v="1206"/>
    <n v="0"/>
    <n v="0"/>
    <n v="0"/>
    <n v="1206"/>
    <n v="192.96"/>
    <n v="1398.96"/>
    <n v="24.12"/>
    <n v="0"/>
    <n v="24.12"/>
    <m/>
    <n v="1181.8800000000001"/>
    <m/>
    <m/>
    <n v="0"/>
    <m/>
    <m/>
    <n v="0"/>
    <m/>
    <n v="1398.96"/>
    <n v="1398.96"/>
    <n v="0"/>
    <s v="SFA"/>
    <d v="2023-05-24T00:00:00"/>
    <m/>
    <m/>
    <s v="MARINE CARGO / GIT"/>
    <m/>
    <m/>
    <m/>
  </r>
  <r>
    <x v="2"/>
    <s v="Yes"/>
    <d v="2023-03-17T00:00:00"/>
    <d v="2023-03-17T00:00:00"/>
    <d v="2023-03-17T00:00:00"/>
    <d v="2024-03-16T00:00:00"/>
    <s v="000-162/AIB RDC/2023"/>
    <n v="1"/>
    <s v="RENOUVELLEMENT"/>
    <s v="12002-33002-0021-111-00018814-2023"/>
    <s v="NUTRI AFRICA"/>
    <m/>
    <s v="MICHEE"/>
    <s v="Tychique"/>
    <s v="MARINE CARGO / GIT"/>
    <s v="MARINE"/>
    <x v="0"/>
    <s v="SFA"/>
    <n v="160000"/>
    <n v="487.04"/>
    <n v="0"/>
    <n v="0"/>
    <n v="7.76"/>
    <n v="383.8"/>
    <n v="62.25"/>
    <n v="2.3987500000000003E-3"/>
    <n v="0.15"/>
    <n v="57.57"/>
    <n v="0"/>
    <n v="0"/>
    <n v="0"/>
    <n v="57.57"/>
    <n v="9.2111999999999998"/>
    <n v="66.781199999999998"/>
    <n v="1.1514"/>
    <n v="0"/>
    <n v="1.1514"/>
    <m/>
    <n v="56.418599999999998"/>
    <m/>
    <m/>
    <n v="0"/>
    <m/>
    <m/>
    <n v="0"/>
    <m/>
    <n v="66.781199999999998"/>
    <n v="66.781199999999998"/>
    <n v="0"/>
    <s v="SFA"/>
    <d v="2023-05-24T00:00:00"/>
    <m/>
    <m/>
    <s v="MARINE CARGO / GIT"/>
    <m/>
    <m/>
    <m/>
  </r>
  <r>
    <x v="2"/>
    <s v="Yes"/>
    <d v="2023-03-22T00:00:00"/>
    <d v="2023-03-22T00:00:00"/>
    <d v="2023-03-22T00:00:00"/>
    <d v="2023-10-17T00:00:00"/>
    <s v="000-163/AIB RDC/2023"/>
    <n v="2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294.35000000000002"/>
    <n v="0"/>
    <n v="0"/>
    <n v="7.6"/>
    <n v="240.16"/>
    <n v="39.64"/>
    <e v="#DIV/0!"/>
    <n v="0.1"/>
    <n v="24.016000000000002"/>
    <n v="0"/>
    <n v="0"/>
    <n v="0"/>
    <n v="24.016000000000002"/>
    <n v="3.8425600000000002"/>
    <n v="27.858560000000001"/>
    <n v="0.48032000000000002"/>
    <n v="0"/>
    <n v="0.48032000000000002"/>
    <m/>
    <n v="23.535680000000003"/>
    <m/>
    <m/>
    <n v="0"/>
    <m/>
    <m/>
    <n v="0"/>
    <m/>
    <n v="27.858560000000001"/>
    <n v="27.858560000000001"/>
    <n v="0"/>
    <s v="SFA"/>
    <d v="2023-05-24T00:00:00"/>
    <m/>
    <m/>
    <s v="MOTOR TPL"/>
    <m/>
    <m/>
    <m/>
  </r>
  <r>
    <x v="2"/>
    <s v="Yes"/>
    <d v="2023-03-23T00:00:00"/>
    <d v="2023-03-23T00:00:00"/>
    <d v="2023-03-23T00:00:00"/>
    <d v="2024-03-22T00:00:00"/>
    <s v="000-164/AIB RDC/2023"/>
    <n v="0"/>
    <s v="SOUSCRIPTION"/>
    <s v="12002-33002-0004-104-00018966-2023"/>
    <s v="KONNECT AFRICA"/>
    <m/>
    <s v="MICHEE"/>
    <s v="Tychique"/>
    <s v="COMP MOTOR"/>
    <s v="MOTOR COMP"/>
    <x v="0"/>
    <s v="SFA"/>
    <n v="57550"/>
    <n v="3411.97"/>
    <n v="0"/>
    <n v="0"/>
    <n v="42.72"/>
    <n v="2848.77"/>
    <n v="462.64"/>
    <n v="4.9500781928757599E-2"/>
    <n v="0.15"/>
    <n v="427.31549999999999"/>
    <n v="0"/>
    <n v="0"/>
    <n v="0"/>
    <n v="427.31549999999999"/>
    <n v="68.370480000000001"/>
    <n v="495.68597999999997"/>
    <n v="8.5463100000000001"/>
    <n v="0"/>
    <n v="8.5463100000000001"/>
    <m/>
    <n v="418.76918999999998"/>
    <s v="OLEA"/>
    <m/>
    <n v="0"/>
    <m/>
    <m/>
    <n v="0"/>
    <m/>
    <n v="495.68597999999997"/>
    <n v="495.68597999999997"/>
    <n v="0"/>
    <s v="SFA"/>
    <d v="2023-05-24T00:00:00"/>
    <m/>
    <m/>
    <s v="COMP MOTOR"/>
    <m/>
    <m/>
    <m/>
  </r>
  <r>
    <x v="2"/>
    <s v="Yes"/>
    <d v="2023-03-24T00:00:00"/>
    <d v="2023-03-23T00:00:00"/>
    <d v="2023-03-23T00:00:00"/>
    <d v="2024-03-22T00:00:00"/>
    <s v="000-165/AIB RDC/2023"/>
    <n v="5"/>
    <s v="RENOUVELLEMENT"/>
    <s v="12002-33002-0004-103-00018967-2023"/>
    <s v="STE AFRI MOBILE MONEY RDC SA"/>
    <m/>
    <s v="MICHEE"/>
    <s v="Tychique"/>
    <s v="MOTOR TPL"/>
    <s v="MOTOR TPL"/>
    <x v="0"/>
    <s v="SFA"/>
    <n v="0"/>
    <n v="2741.26"/>
    <n v="0"/>
    <n v="0"/>
    <n v="87.45"/>
    <n v="2233.9699999999998"/>
    <n v="371.42"/>
    <e v="#DIV/0!"/>
    <n v="0.1"/>
    <n v="223.39699999999999"/>
    <n v="0"/>
    <n v="0"/>
    <n v="0"/>
    <n v="223.39699999999999"/>
    <n v="35.743519999999997"/>
    <n v="259.14051999999998"/>
    <n v="4.4679399999999996"/>
    <n v="0"/>
    <n v="4.4679399999999996"/>
    <m/>
    <n v="218.92905999999999"/>
    <s v="WP Brokers"/>
    <n v="0.35"/>
    <n v="76.625170999999995"/>
    <m/>
    <m/>
    <n v="76.625170999999995"/>
    <m/>
    <n v="259.14051999999998"/>
    <n v="259.14051999999998"/>
    <n v="0"/>
    <s v="SFA"/>
    <d v="2023-05-24T00:00:00"/>
    <m/>
    <m/>
    <s v="MOTOR TPL"/>
    <m/>
    <m/>
    <m/>
  </r>
  <r>
    <x v="2"/>
    <s v="Yes"/>
    <d v="2023-03-24T00:00:00"/>
    <d v="2023-03-24T00:00:00"/>
    <d v="2023-03-23T00:00:00"/>
    <d v="2024-03-22T00:00:00"/>
    <s v="000-166/AIB RDC/2023"/>
    <n v="0"/>
    <s v="SOUSCRIPTION"/>
    <s v="12002-33002-0004-103-00018998-2023"/>
    <s v="STE AFRICELL RDC SA"/>
    <m/>
    <s v="MICHEE"/>
    <s v="Tychique"/>
    <s v="MOTOR TPL"/>
    <s v="MOTOR TPL"/>
    <x v="0"/>
    <s v="SFA"/>
    <n v="0"/>
    <n v="19707.740000000002"/>
    <n v="0"/>
    <n v="0"/>
    <n v="445.39"/>
    <n v="16254.4"/>
    <n v="2671.96"/>
    <e v="#DIV/0!"/>
    <n v="0.1"/>
    <n v="1625.44"/>
    <n v="0"/>
    <n v="0"/>
    <n v="0"/>
    <n v="1625.44"/>
    <n v="260.07040000000001"/>
    <n v="1885.5104000000001"/>
    <n v="32.508800000000001"/>
    <n v="0"/>
    <n v="32.508800000000001"/>
    <m/>
    <n v="1592.9312"/>
    <s v="WP Brokers"/>
    <n v="0.35"/>
    <n v="557.52591999999993"/>
    <m/>
    <m/>
    <n v="557.52591999999993"/>
    <m/>
    <n v="1885.5104000000001"/>
    <n v="1885.5104000000001"/>
    <n v="0"/>
    <s v="SFA"/>
    <d v="2023-05-24T00:00:00"/>
    <m/>
    <m/>
    <s v="MOTOR TPL"/>
    <m/>
    <m/>
    <m/>
  </r>
  <r>
    <x v="2"/>
    <s v="Yes"/>
    <d v="2023-04-01T00:00:00"/>
    <d v="2023-04-01T00:00:00"/>
    <d v="2023-03-30T00:00:00"/>
    <d v="2024-03-28T00:00:00"/>
    <s v="000-167/AIB RDC/2023"/>
    <n v="1"/>
    <s v="RENOUVELLEMENT"/>
    <s v="12002-33002-0024-113-00019273-2023"/>
    <s v="GYM &amp; TONIC"/>
    <m/>
    <s v="MICHEE"/>
    <s v="Tychique"/>
    <s v="PUBLIC LIABILITY"/>
    <s v="LIABILITIES"/>
    <x v="0"/>
    <s v="SFA"/>
    <n v="25000"/>
    <n v="613.6"/>
    <n v="0"/>
    <n v="0"/>
    <n v="20"/>
    <n v="500"/>
    <n v="83.2"/>
    <n v="0.02"/>
    <n v="0.15"/>
    <n v="75"/>
    <n v="0"/>
    <n v="0"/>
    <n v="0"/>
    <n v="75"/>
    <n v="12"/>
    <n v="87"/>
    <n v="1.5"/>
    <n v="0"/>
    <n v="1.5"/>
    <m/>
    <n v="73.5"/>
    <m/>
    <m/>
    <n v="0"/>
    <m/>
    <m/>
    <n v="0"/>
    <m/>
    <n v="87"/>
    <n v="87"/>
    <n v="0"/>
    <s v="SFA"/>
    <d v="2023-05-24T00:00:00"/>
    <m/>
    <m/>
    <s v="PUBLIC LIABILITY"/>
    <m/>
    <m/>
    <m/>
  </r>
  <r>
    <x v="2"/>
    <s v="Yes"/>
    <d v="2023-03-24T00:00:00"/>
    <d v="2023-03-24T00:00:00"/>
    <d v="2023-03-15T00:00:00"/>
    <d v="2024-03-13T00:00:00"/>
    <s v="000-168/AIB RDC/2023"/>
    <n v="0"/>
    <s v="SOUSCRIPTION"/>
    <s v="12002-33002-0021-111-00019035-2023"/>
    <s v="STE AFRICELL RDC SA"/>
    <m/>
    <s v="MICHEE"/>
    <s v="Tychique"/>
    <s v="MARINE CARGO / GIT"/>
    <s v="MARINE"/>
    <x v="0"/>
    <s v="SFA"/>
    <n v="4000000"/>
    <n v="10567.12"/>
    <n v="0"/>
    <n v="0"/>
    <n v="134"/>
    <n v="8800"/>
    <n v="1429.44"/>
    <n v="2.2000000000000001E-3"/>
    <n v="0.15"/>
    <n v="1320"/>
    <n v="0"/>
    <n v="0"/>
    <n v="0"/>
    <n v="1320"/>
    <n v="211.20000000000002"/>
    <n v="1531.2"/>
    <n v="26.400000000000002"/>
    <n v="0"/>
    <n v="26.400000000000002"/>
    <m/>
    <n v="1293.5999999999999"/>
    <s v="WP Brokers"/>
    <n v="0.35"/>
    <n v="452.75999999999993"/>
    <m/>
    <m/>
    <n v="452.75999999999993"/>
    <m/>
    <n v="1531.2"/>
    <n v="1531.2"/>
    <n v="0"/>
    <s v="SFA"/>
    <d v="2023-05-24T00:00:00"/>
    <m/>
    <m/>
    <s v="MARINE CARGO / GIT"/>
    <m/>
    <m/>
    <m/>
  </r>
  <r>
    <x v="2"/>
    <s v="Yes"/>
    <d v="2023-03-24T00:00:00"/>
    <d v="2023-03-24T00:00:00"/>
    <d v="2023-03-23T00:00:00"/>
    <d v="2024-03-22T00:00:00"/>
    <s v="000-169/AIB RDC/2023"/>
    <n v="1"/>
    <s v="RENOUVELLEMENT"/>
    <s v="12002-33002-0002-112-00019024-2023"/>
    <s v="STE AFRICELL RDC SA/ KINSHASA"/>
    <m/>
    <s v="MICHEE"/>
    <s v="Tychique"/>
    <s v="FIRE"/>
    <s v="PROPERTIES"/>
    <x v="0"/>
    <s v="SFA"/>
    <n v="4064062.5"/>
    <n v="9867.9699999999993"/>
    <n v="0"/>
    <n v="0"/>
    <n v="51.56"/>
    <n v="8311.08"/>
    <n v="1338.02"/>
    <n v="2.0450177623990771E-3"/>
    <n v="0.1"/>
    <n v="831.10800000000006"/>
    <n v="0"/>
    <n v="0"/>
    <n v="0"/>
    <n v="831.10800000000006"/>
    <n v="132.97728000000001"/>
    <n v="964.08528000000001"/>
    <n v="16.622160000000001"/>
    <n v="0"/>
    <n v="16.622160000000001"/>
    <m/>
    <n v="814.48584000000005"/>
    <s v="WP Brokers"/>
    <n v="0.35"/>
    <n v="285.070044"/>
    <m/>
    <m/>
    <n v="285.070044"/>
    <m/>
    <n v="964.08528000000001"/>
    <n v="964.08528000000001"/>
    <n v="0"/>
    <s v="SFA"/>
    <d v="2023-05-24T00:00:00"/>
    <m/>
    <m/>
    <s v="FIRE"/>
    <m/>
    <m/>
    <m/>
  </r>
  <r>
    <x v="2"/>
    <s v="Yes"/>
    <d v="2023-03-24T00:00:00"/>
    <d v="2023-03-24T00:00:00"/>
    <d v="2023-03-28T00:00:00"/>
    <d v="2024-03-27T00:00:00"/>
    <s v="000-170/AIB RDC/2023"/>
    <n v="1"/>
    <s v="RENOUVELLEMENT"/>
    <s v="12002-33002-0002-112-00019027-2023"/>
    <s v="STE AFRICELL RDC SA/ HAUT KATANGA"/>
    <m/>
    <s v="MICHEE"/>
    <s v="Tychique"/>
    <s v="FIRE"/>
    <s v="PROPERTIES"/>
    <x v="0"/>
    <s v="SFA"/>
    <n v="1333000"/>
    <n v="3729.22"/>
    <n v="0"/>
    <n v="0"/>
    <n v="25.67"/>
    <n v="3134.68"/>
    <n v="505.68"/>
    <n v="2.3515978994748687E-3"/>
    <n v="0.1"/>
    <n v="313.46800000000002"/>
    <n v="0"/>
    <n v="0"/>
    <n v="0"/>
    <n v="313.46800000000002"/>
    <n v="50.154880000000006"/>
    <n v="363.62288000000001"/>
    <n v="6.2693600000000007"/>
    <n v="0"/>
    <n v="6.2693600000000007"/>
    <m/>
    <n v="307.19864000000001"/>
    <s v="WP Brokers"/>
    <n v="0.35"/>
    <n v="107.519524"/>
    <m/>
    <m/>
    <n v="107.519524"/>
    <m/>
    <n v="363.62288000000001"/>
    <n v="363.62288000000001"/>
    <n v="0"/>
    <s v="SFA"/>
    <d v="2023-05-24T00:00:00"/>
    <m/>
    <m/>
    <s v="FIRE"/>
    <m/>
    <m/>
    <m/>
  </r>
  <r>
    <x v="2"/>
    <s v="Yes"/>
    <d v="2023-03-24T00:00:00"/>
    <d v="2023-03-24T00:00:00"/>
    <d v="2023-03-28T00:00:00"/>
    <d v="2024-03-27T00:00:00"/>
    <s v="000-171/AIB RDC/2023"/>
    <n v="1"/>
    <s v="RENOUVELLEMENT"/>
    <s v="12002-33002-0002-112-00019030-2023"/>
    <s v="STE AFRICA MEDIA RDC SARL/HAUT KATANGA"/>
    <m/>
    <s v="MICHEE"/>
    <s v="Tychique"/>
    <s v="FIRE"/>
    <s v="PROPERTIES"/>
    <x v="0"/>
    <s v="SFA"/>
    <n v="599000"/>
    <n v="3176.04"/>
    <n v="0"/>
    <n v="0"/>
    <n v="23.34"/>
    <n v="2668.22"/>
    <n v="430.65"/>
    <n v="4.4544574290484133E-3"/>
    <n v="0.1"/>
    <n v="266.822"/>
    <n v="0"/>
    <n v="0"/>
    <n v="0"/>
    <n v="266.822"/>
    <n v="42.691520000000004"/>
    <n v="309.51352000000003"/>
    <n v="5.3364400000000005"/>
    <n v="0"/>
    <n v="5.3364400000000005"/>
    <m/>
    <n v="261.48556000000002"/>
    <s v="WP Brokers"/>
    <n v="0.35"/>
    <n v="91.519946000000004"/>
    <m/>
    <m/>
    <n v="91.519946000000004"/>
    <m/>
    <n v="309.51352000000003"/>
    <n v="309.51352000000003"/>
    <n v="0"/>
    <s v="SFA"/>
    <d v="2023-05-24T00:00:00"/>
    <m/>
    <m/>
    <s v="FIRE"/>
    <m/>
    <m/>
    <m/>
  </r>
  <r>
    <x v="2"/>
    <s v="Yes"/>
    <d v="2023-03-24T00:00:00"/>
    <d v="2023-03-24T00:00:00"/>
    <d v="2023-03-28T00:00:00"/>
    <d v="2024-03-27T00:00:00"/>
    <s v="000-172/AIB RDC/2023"/>
    <n v="1"/>
    <s v="RENOUVELLEMENT"/>
    <s v="12002-33002-0002-112-00019032-2023"/>
    <s v="STE AFRICA MEDIA RDC SARL/KINSHASA"/>
    <m/>
    <s v="MICHEE"/>
    <s v="Tychique"/>
    <s v="FIRE"/>
    <s v="PROPERTIES"/>
    <x v="0"/>
    <s v="SFA"/>
    <n v="572500"/>
    <n v="3119.8"/>
    <n v="0"/>
    <n v="0"/>
    <n v="23.1"/>
    <n v="2620.8000000000002"/>
    <n v="423.02"/>
    <n v="4.5778165938864636E-3"/>
    <n v="0.1"/>
    <n v="262.08000000000004"/>
    <n v="0"/>
    <n v="0"/>
    <n v="0"/>
    <n v="262.08000000000004"/>
    <n v="41.932800000000007"/>
    <n v="304.01280000000003"/>
    <n v="5.2416000000000009"/>
    <n v="0"/>
    <n v="5.2416000000000009"/>
    <m/>
    <n v="256.83840000000004"/>
    <s v="WP Brokers"/>
    <n v="0.35"/>
    <n v="89.893440000000012"/>
    <m/>
    <m/>
    <n v="89.893440000000012"/>
    <m/>
    <n v="304.01280000000003"/>
    <n v="304.01280000000003"/>
    <n v="0"/>
    <s v="SFA"/>
    <d v="2023-05-24T00:00:00"/>
    <m/>
    <m/>
    <s v="FIRE"/>
    <m/>
    <m/>
    <m/>
  </r>
  <r>
    <x v="2"/>
    <s v="Yes"/>
    <d v="2023-03-24T00:00:00"/>
    <d v="2023-03-24T00:00:00"/>
    <d v="2023-03-15T00:00:00"/>
    <d v="2024-03-14T00:00:00"/>
    <s v="000-173/AIB RDC/2023"/>
    <n v="1"/>
    <s v="RENOUVELLEMENT"/>
    <s v="12002-33002-0002-112-00019021-2023"/>
    <s v="STE AFRI MOBILE MONEY RDC SA"/>
    <m/>
    <s v="MICHEE"/>
    <s v="Tychique"/>
    <s v="FIRE"/>
    <s v="PROPERTIES"/>
    <x v="0"/>
    <s v="SFA"/>
    <n v="1354687.5"/>
    <n v="2936.66"/>
    <n v="0"/>
    <n v="0"/>
    <n v="22.33"/>
    <n v="2466.36"/>
    <n v="398.19"/>
    <n v="1.8206117647058824E-3"/>
    <n v="0.1"/>
    <n v="246.63600000000002"/>
    <n v="0"/>
    <n v="0"/>
    <n v="0"/>
    <n v="246.63600000000002"/>
    <n v="39.461760000000005"/>
    <n v="286.09776000000005"/>
    <n v="4.9327200000000007"/>
    <n v="0"/>
    <n v="4.9327200000000007"/>
    <m/>
    <n v="241.70328000000003"/>
    <s v="WP Brokers"/>
    <n v="0.35"/>
    <n v="84.596148000000014"/>
    <m/>
    <m/>
    <n v="84.596148000000014"/>
    <m/>
    <n v="286.09776000000005"/>
    <n v="286.09776000000005"/>
    <n v="0"/>
    <s v="SFA"/>
    <d v="2023-05-24T00:00:00"/>
    <m/>
    <m/>
    <s v="FIRE"/>
    <m/>
    <m/>
    <m/>
  </r>
  <r>
    <x v="2"/>
    <s v="Yes"/>
    <d v="2023-03-24T00:00:00"/>
    <d v="2023-03-24T00:00:00"/>
    <d v="2023-03-28T00:00:00"/>
    <d v="2024-03-27T00:00:00"/>
    <s v="000-174/AIB RDC/2023"/>
    <n v="0"/>
    <s v="SOUSCRIPTION"/>
    <s v="12002-33002-0002-112-00019029-2023"/>
    <s v="STE AFRICELL RDC SA/ GOMA"/>
    <m/>
    <s v="MICHEE"/>
    <s v="Tychique"/>
    <s v="FIRE"/>
    <s v="PROPERTIES"/>
    <x v="0"/>
    <s v="SFA"/>
    <n v="900000"/>
    <n v="2519.87"/>
    <n v="0"/>
    <n v="0"/>
    <n v="20.57"/>
    <n v="2114.91"/>
    <n v="341.68"/>
    <n v="2.3498999999999998E-3"/>
    <n v="0.1"/>
    <n v="211.49099999999999"/>
    <n v="0"/>
    <n v="0"/>
    <n v="0"/>
    <n v="211.49099999999999"/>
    <n v="33.838560000000001"/>
    <n v="245.32955999999999"/>
    <n v="4.2298200000000001"/>
    <n v="0"/>
    <n v="4.2298200000000001"/>
    <m/>
    <n v="207.26118"/>
    <s v="WP Brokers"/>
    <n v="0.35"/>
    <n v="72.541412999999991"/>
    <m/>
    <m/>
    <n v="72.541412999999991"/>
    <m/>
    <n v="245.32955999999999"/>
    <n v="245.32955999999999"/>
    <n v="0"/>
    <s v="SFA"/>
    <d v="2023-05-24T00:00:00"/>
    <m/>
    <m/>
    <s v="FIRE"/>
    <m/>
    <m/>
    <m/>
  </r>
  <r>
    <x v="2"/>
    <s v="Yes"/>
    <d v="2023-03-27T00:00:00"/>
    <d v="2023-03-27T00:00:00"/>
    <d v="2023-03-27T00:00:00"/>
    <d v="2023-05-26T00:00:00"/>
    <s v="000-175/AIB RDC/2023"/>
    <n v="0"/>
    <s v="SOUSCRIPTION"/>
    <s v="12002-33002-0021-111-00019082-2023"/>
    <s v="STE. FONDEG CATERING CONGO"/>
    <m/>
    <s v="MICHEE"/>
    <s v="Tychique"/>
    <s v="MARINE CARGO / GIT"/>
    <s v="MARINE"/>
    <x v="0"/>
    <s v="SFA"/>
    <n v="3755.16"/>
    <n v="45.33"/>
    <n v="0"/>
    <n v="0"/>
    <n v="2.23"/>
    <n v="15"/>
    <n v="2.76"/>
    <n v="3.9945035630971782E-3"/>
    <n v="0.15"/>
    <n v="2.25"/>
    <n v="0"/>
    <n v="0"/>
    <n v="0"/>
    <n v="2.25"/>
    <n v="0.36"/>
    <n v="2.61"/>
    <n v="4.4999999999999998E-2"/>
    <n v="0"/>
    <n v="4.4999999999999998E-2"/>
    <m/>
    <n v="2.2050000000000001"/>
    <m/>
    <m/>
    <n v="0"/>
    <m/>
    <m/>
    <n v="0"/>
    <m/>
    <n v="2.61"/>
    <n v="2.61"/>
    <n v="0"/>
    <s v="SFA"/>
    <d v="2023-05-30T00:00:00"/>
    <m/>
    <s v="ONCE OFF"/>
    <s v="MARINE CARGO / GIT"/>
    <m/>
    <m/>
    <m/>
  </r>
  <r>
    <x v="2"/>
    <s v="Yes"/>
    <d v="2023-03-31T00:00:00"/>
    <d v="2023-04-03T00:00:00"/>
    <d v="2023-03-30T00:00:00"/>
    <d v="2024-03-29T00:00:00"/>
    <s v="000-176/AIB RDC/2023"/>
    <n v="1"/>
    <s v="RENOUVELLEMENT"/>
    <s v="12002-33002-0002-112-00019258-2023"/>
    <s v="GYM &amp; TONIC"/>
    <m/>
    <s v="MICHEE"/>
    <s v="Tychique"/>
    <s v="FIRE"/>
    <s v="PROPERTIES"/>
    <x v="0"/>
    <s v="SFA"/>
    <n v="75000"/>
    <n v="403.57"/>
    <n v="0"/>
    <n v="0"/>
    <n v="20"/>
    <n v="322.01"/>
    <n v="54.72"/>
    <n v="4.2934666666666664E-3"/>
    <n v="0.1"/>
    <n v="32.201000000000001"/>
    <n v="0"/>
    <n v="0"/>
    <n v="0"/>
    <n v="32.201000000000001"/>
    <n v="5.1521600000000003"/>
    <n v="37.353160000000003"/>
    <n v="0.64402000000000004"/>
    <n v="0"/>
    <n v="0.64402000000000004"/>
    <m/>
    <n v="31.556979999999999"/>
    <m/>
    <m/>
    <n v="0"/>
    <m/>
    <m/>
    <n v="0"/>
    <m/>
    <n v="37.353160000000003"/>
    <n v="37.353160000000003"/>
    <n v="0"/>
    <s v="SFA"/>
    <d v="2023-05-24T00:00:00"/>
    <m/>
    <m/>
    <s v="FIRE"/>
    <m/>
    <m/>
    <m/>
  </r>
  <r>
    <x v="2"/>
    <s v="Yes"/>
    <d v="2023-03-31T00:00:00"/>
    <d v="2023-04-04T00:00:00"/>
    <d v="2023-03-31T00:00:00"/>
    <d v="2023-07-31T00:00:00"/>
    <s v="000-177/AIB RDC/2023"/>
    <n v="0"/>
    <s v="SOUSCRIPTION"/>
    <s v="12005-33002-0001-13001-00005237-2023"/>
    <s v="GROUPE  EUROPEEN DE DEVELOPPEMENT CONGO SARLU"/>
    <m/>
    <s v="MICHEE"/>
    <s v="Tychique"/>
    <s v="GPA"/>
    <s v="MEDICAL &amp; GPA"/>
    <x v="5"/>
    <s v="MAYFAIR"/>
    <n v="60000"/>
    <n v="1038.4000000000001"/>
    <n v="0"/>
    <n v="0"/>
    <n v="100"/>
    <n v="780"/>
    <n v="140"/>
    <n v="1.2999999999999999E-2"/>
    <n v="0.1"/>
    <n v="78"/>
    <n v="0"/>
    <n v="0"/>
    <n v="0"/>
    <n v="78"/>
    <n v="12.48"/>
    <n v="90.48"/>
    <n v="1.56"/>
    <n v="0"/>
    <n v="1.56"/>
    <m/>
    <n v="76.44"/>
    <m/>
    <m/>
    <n v="0"/>
    <m/>
    <m/>
    <n v="0"/>
    <m/>
    <n v="90.48"/>
    <n v="90.48"/>
    <n v="0"/>
    <s v="MAYFAIR"/>
    <d v="2023-06-01T00:00:00"/>
    <m/>
    <s v="ONCE OFF"/>
    <s v="GPA"/>
    <m/>
    <m/>
    <m/>
  </r>
  <r>
    <x v="1"/>
    <s v="Yes"/>
    <d v="2023-05-05T00:00:00"/>
    <d v="2023-03-07T00:00:00"/>
    <d v="2023-02-13T00:00:00"/>
    <d v="2024-02-12T00:00:00"/>
    <s v="000-178/AIB RDC/2023"/>
    <n v="0"/>
    <s v="SOUSCRIPTION"/>
    <s v="00018436"/>
    <s v="CHUAN TIE ELECTRIC (TIANJIN) GROUP SARL / Bolloré"/>
    <m/>
    <s v="SYNTYCHE"/>
    <s v="Victor"/>
    <s v="MARINE CARGO / GIT"/>
    <s v="MARINE"/>
    <x v="0"/>
    <s v="SFA"/>
    <n v="100222"/>
    <n v="315.44"/>
    <n v="0"/>
    <n v="0"/>
    <n v="5.61"/>
    <n v="240.53"/>
    <n v="39.380000000000003"/>
    <n v="2.3999720620223107E-3"/>
    <n v="0.15"/>
    <n v="36.079499999999996"/>
    <n v="0"/>
    <n v="0"/>
    <n v="0"/>
    <n v="36.079499999999996"/>
    <n v="5.7727199999999996"/>
    <n v="41.852219999999996"/>
    <n v="0.72158999999999995"/>
    <n v="0"/>
    <n v="0.72158999999999995"/>
    <m/>
    <n v="35.357909999999997"/>
    <s v="BOLLORE"/>
    <n v="0.4"/>
    <n v="14.143163999999999"/>
    <n v="14.143163999999999"/>
    <d v="2023-10-30T00:00:00"/>
    <n v="0"/>
    <m/>
    <n v="41.852219999999996"/>
    <n v="41.852219999999996"/>
    <n v="0"/>
    <s v="SFA"/>
    <d v="2023-05-24T00:00:00"/>
    <m/>
    <s v="ONCE OFF"/>
    <s v="MARINE CARGO / GIT"/>
    <m/>
    <m/>
    <m/>
  </r>
  <r>
    <x v="1"/>
    <s v="Yes"/>
    <d v="2023-05-05T00:00:00"/>
    <d v="2023-03-07T00:00:00"/>
    <d v="2023-02-13T00:00:00"/>
    <d v="2024-02-12T00:00:00"/>
    <s v="000-179/AIB RDC/2023"/>
    <n v="0"/>
    <s v="SOUSCRIPTION"/>
    <s v="00018438"/>
    <s v="CHUAN TIE ELECTRIC (TIANJIN) GROUP SARL / Bolloré"/>
    <m/>
    <s v="SYNTYCHE"/>
    <s v="Victor"/>
    <s v="MARINE CARGO / GIT"/>
    <s v="MARINE"/>
    <x v="0"/>
    <s v="SFA"/>
    <n v="125007.24"/>
    <n v="386.69"/>
    <n v="0"/>
    <n v="0"/>
    <n v="6.5"/>
    <n v="300.02"/>
    <n v="49.04"/>
    <n v="2.4000209907842135E-3"/>
    <n v="0.15"/>
    <n v="45.002999999999993"/>
    <n v="0"/>
    <n v="0"/>
    <n v="0"/>
    <n v="45.002999999999993"/>
    <n v="7.2004799999999989"/>
    <n v="52.203479999999992"/>
    <n v="0.90005999999999986"/>
    <n v="0"/>
    <n v="0.90005999999999986"/>
    <m/>
    <n v="44.10293999999999"/>
    <s v="BOLLORE"/>
    <n v="0.4"/>
    <n v="17.641175999999998"/>
    <n v="17.641175999999998"/>
    <d v="2023-10-30T00:00:00"/>
    <n v="0"/>
    <m/>
    <n v="52.203479999999992"/>
    <n v="52.203479999999992"/>
    <n v="0"/>
    <s v="SFA"/>
    <d v="2023-05-24T00:00:00"/>
    <m/>
    <s v="ONCE OFF"/>
    <s v="MARINE CARGO / GIT"/>
    <m/>
    <m/>
    <m/>
  </r>
  <r>
    <x v="1"/>
    <s v="Yes"/>
    <d v="2023-05-05T00:00:00"/>
    <d v="2023-03-07T00:00:00"/>
    <d v="2023-02-13T00:00:00"/>
    <d v="2024-02-12T00:00:00"/>
    <s v="000-180/AIB RDC/2023"/>
    <n v="0"/>
    <s v="SOUSCRIPTION"/>
    <s v="00018439"/>
    <s v="CHUAN TIE ELECTRIC (TIANJIN) GROUP SARL / Bolloré"/>
    <m/>
    <s v="SYNTYCHE"/>
    <s v="Victor"/>
    <s v="MARINE CARGO / GIT"/>
    <s v="MARINE"/>
    <x v="0"/>
    <s v="SFA"/>
    <n v="25167.19"/>
    <n v="142.34"/>
    <n v="0"/>
    <n v="0"/>
    <n v="3.44"/>
    <n v="96"/>
    <n v="15.91"/>
    <n v="3.814490215236584E-3"/>
    <n v="0.15"/>
    <n v="14.399999999999999"/>
    <n v="0"/>
    <n v="0"/>
    <n v="0"/>
    <n v="14.399999999999999"/>
    <n v="2.3039999999999998"/>
    <n v="16.703999999999997"/>
    <n v="0.28799999999999998"/>
    <n v="0"/>
    <n v="0.28799999999999998"/>
    <m/>
    <n v="14.111999999999998"/>
    <s v="BOLLORE"/>
    <n v="0.4"/>
    <n v="5.6448"/>
    <n v="5.6448"/>
    <d v="2023-10-30T00:00:00"/>
    <n v="0"/>
    <m/>
    <n v="16.703999999999997"/>
    <n v="16.703999999999997"/>
    <n v="0"/>
    <s v="SFA"/>
    <d v="2023-05-24T00:00:00"/>
    <m/>
    <s v="ONCE OFF"/>
    <s v="MARINE CARGO / GIT"/>
    <m/>
    <m/>
    <m/>
  </r>
  <r>
    <x v="6"/>
    <s v="Yes"/>
    <d v="2023-03-31T00:00:00"/>
    <d v="2023-04-04T00:00:00"/>
    <d v="2023-04-01T00:00:00"/>
    <d v="2024-03-31T00:00:00"/>
    <s v="000-181/AIB RDC/2023"/>
    <n v="0"/>
    <s v="SOUSCRIPTION"/>
    <s v="12005-33002-0014-13001-00005238-2023"/>
    <s v="GROUPE  EUROPEEN DE DEVELOPPEMENT CONGO SARLU"/>
    <m/>
    <s v="MICHEE"/>
    <s v="Tychique"/>
    <s v="TRC"/>
    <s v="CONSTRUCTIONS"/>
    <x v="5"/>
    <s v="MAYFAIR"/>
    <n v="1037835.5"/>
    <n v="2261.14"/>
    <n v="0"/>
    <n v="0"/>
    <n v="100"/>
    <n v="1816.22"/>
    <n v="306.60000000000002"/>
    <n v="1.7500075879077176E-3"/>
    <n v="0.15"/>
    <n v="272.43299999999999"/>
    <n v="0"/>
    <n v="0"/>
    <n v="0"/>
    <n v="272.43299999999999"/>
    <n v="43.589280000000002"/>
    <n v="316.02228000000002"/>
    <n v="5.4486600000000003"/>
    <n v="0"/>
    <n v="5.4486600000000003"/>
    <m/>
    <n v="266.98433999999997"/>
    <m/>
    <m/>
    <n v="0"/>
    <m/>
    <m/>
    <n v="0"/>
    <m/>
    <n v="316.02228000000002"/>
    <n v="316.02228000000002"/>
    <n v="0"/>
    <s v="MAYFAIR"/>
    <d v="2023-06-01T00:00:00"/>
    <m/>
    <m/>
    <s v="TRC"/>
    <m/>
    <m/>
    <m/>
  </r>
  <r>
    <x v="6"/>
    <s v="Yes"/>
    <d v="2023-04-03T00:00:00"/>
    <d v="2023-04-03T00:00:00"/>
    <d v="2023-04-03T00:00:00"/>
    <d v="2023-10-17T00:00:00"/>
    <s v="000-182/AIB RDC/2023"/>
    <n v="3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645.77"/>
    <n v="0"/>
    <n v="0"/>
    <n v="13.96"/>
    <n v="531.61"/>
    <n v="87.29"/>
    <e v="#DIV/0!"/>
    <n v="0.1"/>
    <n v="53.161000000000001"/>
    <n v="0"/>
    <n v="0"/>
    <n v="0"/>
    <n v="53.161000000000001"/>
    <n v="8.5057600000000004"/>
    <n v="61.666760000000004"/>
    <n v="1.0632200000000001"/>
    <n v="0"/>
    <n v="1.0632200000000001"/>
    <m/>
    <n v="52.09778"/>
    <m/>
    <m/>
    <n v="0"/>
    <m/>
    <m/>
    <n v="0"/>
    <m/>
    <n v="61.666760000000004"/>
    <n v="61.666760000000004"/>
    <n v="0"/>
    <s v="SFA"/>
    <d v="2023-05-24T00:00:00"/>
    <m/>
    <m/>
    <s v="MOTOR TPL"/>
    <m/>
    <m/>
    <m/>
  </r>
  <r>
    <x v="6"/>
    <s v="Yes"/>
    <d v="2023-04-03T00:00:00"/>
    <d v="2024-04-03T00:00:00"/>
    <d v="2023-04-02T00:00:00"/>
    <d v="2024-04-01T00:00:00"/>
    <s v="000-183/AIB RDC/2023"/>
    <n v="0"/>
    <s v="SOUSCRIPTION"/>
    <s v="12002-33002-0004-103-00019291-2023"/>
    <s v="AMBASSADE DE LA BELGIQUE"/>
    <m/>
    <s v="MICHEE"/>
    <s v="Tychique"/>
    <s v="MOTOR TPL"/>
    <s v="MOTOR TPL"/>
    <x v="0"/>
    <s v="SFA"/>
    <n v="0"/>
    <n v="3216.8"/>
    <n v="0"/>
    <n v="0"/>
    <n v="64.27"/>
    <n v="3087.5"/>
    <n v="0"/>
    <e v="#DIV/0!"/>
    <n v="0.1"/>
    <n v="308.75"/>
    <n v="0"/>
    <n v="0"/>
    <n v="0"/>
    <n v="308.75"/>
    <n v="49.4"/>
    <n v="358.15"/>
    <n v="6.1749999999999998"/>
    <n v="0"/>
    <n v="6.1749999999999998"/>
    <m/>
    <n v="302.57499999999999"/>
    <m/>
    <m/>
    <n v="0"/>
    <m/>
    <m/>
    <n v="0"/>
    <m/>
    <n v="358.15"/>
    <n v="358.15"/>
    <n v="0"/>
    <s v="SFA"/>
    <d v="2023-05-30T00:00:00"/>
    <m/>
    <m/>
    <s v="MOTOR TPL"/>
    <m/>
    <m/>
    <m/>
  </r>
  <r>
    <x v="6"/>
    <s v="Yes"/>
    <d v="2023-04-03T00:00:00"/>
    <d v="2024-04-03T00:00:00"/>
    <d v="2023-04-02T00:00:00"/>
    <d v="2024-04-01T00:00:00"/>
    <s v="000-184/AIB RDC/2023"/>
    <n v="0"/>
    <s v="SOUSCRIPTION"/>
    <s v="12002-33002-0004-103-00019290-2023"/>
    <s v="AMBASSADE DE LA BELGIQUE"/>
    <m/>
    <s v="MICHEE"/>
    <s v="Tychique"/>
    <s v="MOTOR TPL"/>
    <s v="MOTOR TPL"/>
    <x v="0"/>
    <s v="SFA"/>
    <n v="0"/>
    <n v="331.19"/>
    <n v="0"/>
    <n v="0"/>
    <n v="6.74"/>
    <n v="316"/>
    <n v="0"/>
    <e v="#DIV/0!"/>
    <n v="0.125"/>
    <n v="39.5"/>
    <n v="0"/>
    <n v="0"/>
    <n v="0"/>
    <n v="39.5"/>
    <n v="6.32"/>
    <n v="45.82"/>
    <n v="0.79"/>
    <n v="0"/>
    <n v="0.79"/>
    <m/>
    <n v="38.71"/>
    <m/>
    <m/>
    <n v="0"/>
    <m/>
    <m/>
    <n v="0"/>
    <m/>
    <n v="45.82"/>
    <n v="45.82"/>
    <n v="0"/>
    <s v="SFA"/>
    <d v="2023-05-30T00:00:00"/>
    <m/>
    <m/>
    <s v="MOTOR TPL"/>
    <m/>
    <m/>
    <m/>
  </r>
  <r>
    <x v="6"/>
    <s v="Yes"/>
    <d v="2023-05-15T00:00:00"/>
    <d v="2023-03-11T00:00:00"/>
    <d v="2023-03-10T00:00:00"/>
    <d v="2024-03-08T00:00:00"/>
    <s v="000-185/AIB RDC/2023"/>
    <n v="0"/>
    <s v="SOUSCRIPTION"/>
    <s v="12002-33002-0021-111-00018675-2023"/>
    <s v="Compagnie Africaine d'Aviation / CAA"/>
    <s v="Aviation"/>
    <s v="MICHEE"/>
    <s v="Tychique"/>
    <s v="MARINE CARGO / GIT"/>
    <s v="MARINE"/>
    <x v="0"/>
    <s v="SFA"/>
    <n v="83644.320000000007"/>
    <n v="307.85000000000002"/>
    <n v="0"/>
    <n v="0"/>
    <n v="5.51"/>
    <n v="234.2"/>
    <n v="38.35"/>
    <n v="2.7999510307454224E-3"/>
    <n v="0.15"/>
    <n v="35.129999999999995"/>
    <n v="0"/>
    <n v="0"/>
    <n v="0"/>
    <n v="35.129999999999995"/>
    <n v="5.6207999999999991"/>
    <n v="40.750799999999998"/>
    <n v="0.70259999999999989"/>
    <n v="0"/>
    <n v="0.70259999999999989"/>
    <m/>
    <n v="34.427399999999999"/>
    <s v="Aucun"/>
    <m/>
    <n v="0"/>
    <m/>
    <m/>
    <n v="0"/>
    <m/>
    <n v="40.750799999999998"/>
    <n v="40.750799999999998"/>
    <n v="0"/>
    <s v="SFA"/>
    <d v="2023-05-24T00:00:00"/>
    <m/>
    <s v="ONCE OFF"/>
    <s v="MARINE CARGO / GIT"/>
    <m/>
    <m/>
    <m/>
  </r>
  <r>
    <x v="3"/>
    <s v="Yes"/>
    <d v="2022-12-10T00:00:00"/>
    <d v="2023-06-13T00:00:00"/>
    <d v="2023-06-09T00:00:00"/>
    <d v="2024-06-08T00:00:00"/>
    <s v="000-186/AIB RDC/2023"/>
    <n v="0"/>
    <s v="SOUSCRIPTION"/>
    <s v="12002-33002-0002-112-00020695-2023"/>
    <s v="DANNY ET XENIA TOUSSAINT-MARUCCHI"/>
    <m/>
    <s v="MICHEE"/>
    <s v="Tychique"/>
    <s v="FIRE/HOME"/>
    <s v="PROPERTIES"/>
    <x v="0"/>
    <s v="SFA"/>
    <n v="1045000"/>
    <n v="793.93"/>
    <n v="0"/>
    <n v="0"/>
    <n v="33.46"/>
    <n v="652.82000000000005"/>
    <n v="107.65"/>
    <n v="6.2470813397129193E-4"/>
    <n v="0.2"/>
    <n v="130.56400000000002"/>
    <n v="0"/>
    <n v="0"/>
    <n v="0"/>
    <n v="130.56400000000002"/>
    <n v="20.890240000000002"/>
    <n v="151.45424000000003"/>
    <n v="2.6112800000000003"/>
    <n v="0"/>
    <n v="2.6112800000000003"/>
    <m/>
    <n v="127.95272000000003"/>
    <m/>
    <m/>
    <n v="0"/>
    <m/>
    <m/>
    <n v="0"/>
    <m/>
    <n v="151.45424000000003"/>
    <n v="151.45424000000003"/>
    <n v="0"/>
    <s v="SFA"/>
    <d v="2023-07-28T00:00:00"/>
    <m/>
    <m/>
    <s v="FIRE/HOME"/>
    <m/>
    <m/>
    <m/>
  </r>
  <r>
    <x v="6"/>
    <s v="Yes"/>
    <d v="2023-04-01T00:00:00"/>
    <d v="2023-04-12T00:00:00"/>
    <d v="2023-04-04T00:00:00"/>
    <d v="2024-04-03T00:00:00"/>
    <s v="000-187/AIB RDC/2023"/>
    <n v="0"/>
    <s v="SOUSCRIPTION"/>
    <s v="12002-33002-0005-122-00019435-2023"/>
    <s v="MAFRICOM"/>
    <m/>
    <s v="MICHEE"/>
    <s v="Tychique"/>
    <s v="PVT"/>
    <s v="POLITICAL VIOLENCE"/>
    <x v="0"/>
    <s v="SFA"/>
    <n v="13413800"/>
    <n v="33963.089999999997"/>
    <n v="4297.58"/>
    <n v="0"/>
    <n v="131.76"/>
    <n v="24352.94"/>
    <n v="4605.16"/>
    <n v="1.8155138737717871E-3"/>
    <n v="0.15"/>
    <n v="3652.9409999999998"/>
    <n v="0"/>
    <n v="0"/>
    <n v="0"/>
    <n v="3652.9409999999998"/>
    <n v="584.47055999999998"/>
    <n v="4237.4115599999996"/>
    <n v="73.058819999999997"/>
    <n v="0"/>
    <n v="73.058819999999997"/>
    <m/>
    <n v="3579.8821799999996"/>
    <m/>
    <m/>
    <n v="0"/>
    <m/>
    <m/>
    <n v="0"/>
    <m/>
    <n v="4237.4115599999996"/>
    <n v="4237.4115599999996"/>
    <n v="0"/>
    <s v="SFA"/>
    <d v="2023-05-30T00:00:00"/>
    <m/>
    <m/>
    <s v="PVT"/>
    <m/>
    <m/>
    <m/>
  </r>
  <r>
    <x v="2"/>
    <s v="Yes"/>
    <d v="2023-04-10T00:00:00"/>
    <d v="2023-03-30T00:00:00"/>
    <d v="2023-03-24T00:00:00"/>
    <d v="2024-03-23T00:00:00"/>
    <s v="000-188/AIB RDC/2023"/>
    <n v="0"/>
    <s v="SOUSCRIPTION"/>
    <s v="12005-33002-0012-13001-00004636-2023"/>
    <s v="SHAMIM SHAMJI / SARAH SHAMJI"/>
    <m/>
    <s v="MICHEE"/>
    <s v="Tychique"/>
    <s v="FIRE"/>
    <s v="PROPERTIES"/>
    <x v="5"/>
    <s v="MAYFAIR"/>
    <n v="3230000"/>
    <n v="5478.89"/>
    <n v="0"/>
    <n v="0"/>
    <n v="20"/>
    <n v="4623.13"/>
    <n v="742.9"/>
    <n v="1.4313095975232199E-3"/>
    <n v="0.15"/>
    <n v="693.46950000000004"/>
    <n v="0"/>
    <n v="0"/>
    <n v="0"/>
    <n v="693.46950000000004"/>
    <n v="110.95512000000001"/>
    <n v="804.42462"/>
    <n v="13.869390000000001"/>
    <n v="0"/>
    <n v="13.869390000000001"/>
    <m/>
    <n v="679.60011000000009"/>
    <m/>
    <m/>
    <n v="0"/>
    <m/>
    <m/>
    <n v="0"/>
    <m/>
    <n v="804.42462"/>
    <n v="804.42462"/>
    <n v="0"/>
    <s v="MAYFAIR"/>
    <d v="2023-05-18T00:00:00"/>
    <m/>
    <m/>
    <s v="FIRE"/>
    <m/>
    <m/>
    <m/>
  </r>
  <r>
    <x v="1"/>
    <s v="Yes"/>
    <d v="2023-02-09T00:00:00"/>
    <d v="2023-03-29T00:00:00"/>
    <d v="2023-03-29T00:00:00"/>
    <d v="2024-02-25T00:00:00"/>
    <s v="000-189/AIB RDC/2023"/>
    <n v="2"/>
    <s v="INCORPORATION"/>
    <s v="301 30000017"/>
    <s v="Glencore / Mutanda Mining"/>
    <s v="Mining"/>
    <s v="ANDY"/>
    <s v="Andy"/>
    <s v="MOTOR TPL"/>
    <s v="MOTOR TPL"/>
    <x v="6"/>
    <s v="RAWSUR"/>
    <n v="0"/>
    <n v="724.35"/>
    <n v="0"/>
    <n v="0"/>
    <n v="30"/>
    <n v="583.86"/>
    <n v="98.21"/>
    <e v="#DIV/0!"/>
    <n v="0.1"/>
    <n v="58.386000000000003"/>
    <n v="0"/>
    <n v="0"/>
    <n v="0"/>
    <n v="58.386000000000003"/>
    <n v="9.3417600000000007"/>
    <n v="67.727760000000004"/>
    <n v="1.1677200000000001"/>
    <n v="0"/>
    <n v="1.1677200000000001"/>
    <m/>
    <n v="57.21828"/>
    <s v="Aucun"/>
    <m/>
    <n v="0"/>
    <m/>
    <m/>
    <n v="0"/>
    <m/>
    <m/>
    <n v="67.727760000000004"/>
    <n v="67.727760000000004"/>
    <s v="RAWSUR"/>
    <m/>
    <m/>
    <m/>
    <s v="MOTOR TPL"/>
    <m/>
    <m/>
    <m/>
  </r>
  <r>
    <x v="1"/>
    <s v="Yes"/>
    <d v="2023-02-09T00:00:00"/>
    <d v="2023-03-15T00:00:00"/>
    <d v="2023-03-15T00:00:00"/>
    <d v="2024-02-25T00:00:00"/>
    <s v="000-190/AIB RDC/2023"/>
    <n v="1"/>
    <s v="INCORPORATION"/>
    <s v="301 30000017"/>
    <s v="Glencore / Mutanda Mining"/>
    <s v="Mining"/>
    <s v="ANDY"/>
    <s v="Sabrina"/>
    <s v="MOTOR TPL"/>
    <s v="MOTOR TPL"/>
    <x v="6"/>
    <s v="RAWSUR"/>
    <n v="0"/>
    <n v="515.46"/>
    <n v="0"/>
    <n v="0"/>
    <n v="20"/>
    <n v="416.87"/>
    <n v="69.88"/>
    <e v="#DIV/0!"/>
    <n v="0.1"/>
    <n v="41.687000000000005"/>
    <n v="0"/>
    <n v="0"/>
    <n v="0"/>
    <n v="41.687000000000005"/>
    <n v="6.6699200000000012"/>
    <n v="48.356920000000002"/>
    <n v="0.83374000000000015"/>
    <n v="0"/>
    <n v="0.83374000000000015"/>
    <m/>
    <n v="40.853260000000006"/>
    <s v="Aucun"/>
    <m/>
    <n v="0"/>
    <m/>
    <m/>
    <n v="0"/>
    <m/>
    <m/>
    <n v="48.356920000000002"/>
    <n v="48.356920000000002"/>
    <s v="RAWSUR"/>
    <m/>
    <m/>
    <m/>
    <s v="MOTOR TPL"/>
    <m/>
    <m/>
    <m/>
  </r>
  <r>
    <x v="2"/>
    <s v="Yes"/>
    <d v="2023-03-11T00:00:00"/>
    <d v="2023-03-13T00:00:00"/>
    <d v="2023-03-12T00:00:00"/>
    <d v="2024-03-11T00:00:00"/>
    <s v="000-191/AIB RDC/2023"/>
    <n v="2"/>
    <s v="RENOUVELLEMENT"/>
    <s v="33002-0017- 104-0000144 / 0008"/>
    <s v="Cilu Heidelberg"/>
    <s v="Cimenterie"/>
    <s v="ANDY"/>
    <s v="Sabrina"/>
    <s v="MOTOR TPL"/>
    <s v="MOTOR TPL"/>
    <x v="4"/>
    <s v="SUNU"/>
    <n v="0"/>
    <n v="7500.47"/>
    <n v="0"/>
    <n v="0"/>
    <n v="64.02"/>
    <n v="6401.91"/>
    <n v="1034.55"/>
    <e v="#DIV/0!"/>
    <n v="0.1"/>
    <n v="640.19100000000003"/>
    <n v="0"/>
    <n v="0"/>
    <n v="0"/>
    <n v="640.19100000000003"/>
    <n v="102.43056000000001"/>
    <n v="742.62156000000004"/>
    <n v="12.803820000000002"/>
    <n v="0"/>
    <n v="12.803820000000002"/>
    <m/>
    <n v="627.38718000000006"/>
    <s v="OLEA"/>
    <n v="0"/>
    <n v="0"/>
    <m/>
    <m/>
    <n v="0"/>
    <m/>
    <n v="742.62156000000004"/>
    <n v="742.62156000000004"/>
    <n v="0"/>
    <s v="SUNU"/>
    <d v="2023-05-16T00:00:00"/>
    <m/>
    <m/>
    <s v="MOTOR TPL"/>
    <m/>
    <m/>
    <m/>
  </r>
  <r>
    <x v="2"/>
    <s v="Yes"/>
    <d v="2023-03-30T00:00:00"/>
    <d v="2023-03-30T00:00:00"/>
    <d v="2023-03-30T00:00:00"/>
    <d v="2024-01-31T00:00:00"/>
    <s v="000-192/AIB RDC/2023"/>
    <n v="29"/>
    <s v="INCORPORATION"/>
    <s v="12001-33002-9001-103-00001852"/>
    <s v="CFAO RDC / Loxea RDC"/>
    <s v="Distribution"/>
    <s v="ANDY"/>
    <s v="Andy"/>
    <s v="COMP MOTOR"/>
    <s v="MOTOR COMP"/>
    <x v="1"/>
    <s v="ACTIVA"/>
    <n v="12721"/>
    <n v="877.28"/>
    <n v="0"/>
    <n v="0"/>
    <n v="10"/>
    <n v="746.28"/>
    <n v="121"/>
    <n v="5.8665199276786414E-2"/>
    <n v="0.13967947687195101"/>
    <n v="104.2399999999996"/>
    <n v="0"/>
    <n v="0"/>
    <n v="22.388399999999997"/>
    <n v="126.6283999999996"/>
    <n v="20.260543999999935"/>
    <n v="146.88894399999953"/>
    <n v="2.084799999999992"/>
    <n v="0"/>
    <n v="2.084799999999992"/>
    <m/>
    <n v="124.54359999999961"/>
    <s v="Aucun"/>
    <m/>
    <n v="0"/>
    <m/>
    <m/>
    <n v="0"/>
    <m/>
    <n v="146.88999999999999"/>
    <n v="146.88999999999999"/>
    <n v="0"/>
    <s v="ACTIVA"/>
    <d v="2023-05-31T00:00:00"/>
    <m/>
    <m/>
    <s v="COMP MOTOR"/>
    <m/>
    <m/>
    <m/>
  </r>
  <r>
    <x v="2"/>
    <s v="Yes"/>
    <d v="2023-03-30T00:00:00"/>
    <d v="2023-03-30T00:00:00"/>
    <d v="2023-03-30T00:00:00"/>
    <d v="2024-01-31T00:00:00"/>
    <s v="000-193/AIB RDC/2023"/>
    <n v="30"/>
    <s v="INCORPORATION"/>
    <s v="12001-33002-9001-103-00001852"/>
    <s v="CFAO RDC / Loxea RDC"/>
    <s v="Distribution"/>
    <s v="ANDY"/>
    <s v="Sabrina"/>
    <s v="COMP MOTOR"/>
    <s v="MOTOR COMP"/>
    <x v="1"/>
    <s v="ACTIVA"/>
    <n v="367028"/>
    <n v="16310.8"/>
    <n v="0"/>
    <n v="0"/>
    <n v="10"/>
    <n v="14051.04"/>
    <n v="2249.77"/>
    <n v="3.8283291737960051E-2"/>
    <n v="0.145929840414489"/>
    <n v="2050.4660248576015"/>
    <n v="0"/>
    <n v="0"/>
    <n v="421.53120000000001"/>
    <n v="2471.9972248576014"/>
    <n v="395.51955597721621"/>
    <n v="2867.5167808348178"/>
    <n v="41.009320497152032"/>
    <n v="0"/>
    <n v="41.009320497152032"/>
    <m/>
    <n v="2430.9879043604492"/>
    <s v="Aucun"/>
    <m/>
    <n v="0"/>
    <m/>
    <m/>
    <n v="0"/>
    <m/>
    <n v="2867.5200000000004"/>
    <n v="2867.5200000000004"/>
    <n v="0"/>
    <s v="ACTIVA"/>
    <d v="2023-05-31T00:00:00"/>
    <m/>
    <m/>
    <s v="COMP MOTOR"/>
    <m/>
    <m/>
    <m/>
  </r>
  <r>
    <x v="2"/>
    <s v="Yes"/>
    <d v="2023-05-16T00:00:00"/>
    <d v="2023-03-21T00:00:00"/>
    <d v="2023-03-21T00:00:00"/>
    <d v="2024-03-20T00:00:00"/>
    <s v="000-194/AIB RDC/2023"/>
    <n v="0"/>
    <s v="SOUSCRIPTION"/>
    <s v="12002-33002-0004-104-00018893-2023"/>
    <s v="Optorg / Tractafric Equipement - Katanga Motors - Tractafric Motor Corporation"/>
    <s v="Distribution"/>
    <s v="ANDY"/>
    <s v="Sabrina"/>
    <s v="COMP MOTOR"/>
    <s v="MOTOR COMP"/>
    <x v="0"/>
    <s v="SFA"/>
    <n v="0"/>
    <n v="14861.58"/>
    <n v="0"/>
    <n v="0"/>
    <n v="237.29"/>
    <n v="12357.27"/>
    <n v="2015"/>
    <e v="#DIV/0!"/>
    <n v="0.15"/>
    <n v="1853.5905"/>
    <n v="0"/>
    <n v="0"/>
    <n v="0"/>
    <n v="1853.5905"/>
    <n v="296.57447999999999"/>
    <n v="2150.16498"/>
    <n v="37.071809999999999"/>
    <n v="0"/>
    <n v="37.071809999999999"/>
    <m/>
    <n v="1816.5186900000001"/>
    <s v="OLEA"/>
    <m/>
    <n v="0"/>
    <m/>
    <m/>
    <n v="0"/>
    <m/>
    <n v="2150.16498"/>
    <n v="2150.16498"/>
    <n v="0"/>
    <s v="SFA"/>
    <d v="2023-05-24T00:00:00"/>
    <m/>
    <m/>
    <s v="COMP MOTOR"/>
    <m/>
    <m/>
    <m/>
  </r>
  <r>
    <x v="2"/>
    <s v="Yes"/>
    <d v="2023-03-21T00:00:00"/>
    <d v="2023-03-21T00:00:00"/>
    <d v="2023-03-22T00:00:00"/>
    <d v="2023-04-22T00:00:00"/>
    <s v="000-195/AIB RDC/2023"/>
    <n v="17"/>
    <s v="INCORPORATION"/>
    <s v="301 30000011"/>
    <s v="Chemaf Sarl"/>
    <s v="Mining"/>
    <s v="ANDY"/>
    <s v="Nyota"/>
    <s v="MOTOR TPL"/>
    <s v="MOTOR TPL"/>
    <x v="6"/>
    <s v="RAWSUR"/>
    <n v="0"/>
    <n v="56.8"/>
    <n v="0"/>
    <n v="0"/>
    <n v="20"/>
    <n v="28.14"/>
    <n v="7.7"/>
    <e v="#DIV/0!"/>
    <n v="0.1"/>
    <n v="2.8140000000000001"/>
    <n v="0"/>
    <n v="0"/>
    <n v="0"/>
    <n v="2.8140000000000001"/>
    <n v="0.45024000000000003"/>
    <n v="3.26424"/>
    <n v="5.6280000000000004E-2"/>
    <n v="0"/>
    <n v="5.6280000000000004E-2"/>
    <m/>
    <n v="2.7577199999999999"/>
    <s v="Aucun"/>
    <m/>
    <n v="0"/>
    <m/>
    <m/>
    <n v="0"/>
    <m/>
    <m/>
    <n v="3.26424"/>
    <n v="3.26424"/>
    <s v="RAWSUR"/>
    <m/>
    <m/>
    <m/>
    <s v="MOTOR TPL"/>
    <m/>
    <m/>
    <m/>
  </r>
  <r>
    <x v="2"/>
    <s v="Yes"/>
    <d v="2023-03-24T00:00:00"/>
    <m/>
    <d v="2023-03-08T00:00:00"/>
    <d v="2021-03-08T00:00:00"/>
    <s v="000-196/AIB RDC/2023"/>
    <n v="0"/>
    <s v="RENOUVELLEMENT"/>
    <s v="12001-33002-9005-113-00001496-2021"/>
    <s v="ELISABETH GLASER PEDIATRIC AIDS FOUNDATION ( EGPAF)"/>
    <s v="NGO"/>
    <s v="ANDY"/>
    <s v="Andy"/>
    <s v="GENERAL LIABILITY"/>
    <s v="LIABILITIES"/>
    <x v="1"/>
    <s v="ACTIVA"/>
    <n v="0"/>
    <n v="3044.61"/>
    <n v="0"/>
    <n v="0"/>
    <n v="30.14"/>
    <n v="3014.47"/>
    <n v="0"/>
    <e v="#DIV/0!"/>
    <n v="0.15"/>
    <n v="452.17049999999995"/>
    <n v="0"/>
    <n v="0"/>
    <n v="0"/>
    <n v="452.17049999999995"/>
    <n v="72.347279999999998"/>
    <n v="524.5177799999999"/>
    <n v="9.0434099999999997"/>
    <n v="0"/>
    <n v="9.0434099999999997"/>
    <m/>
    <n v="443.12708999999995"/>
    <s v="OLEA"/>
    <m/>
    <n v="0"/>
    <m/>
    <m/>
    <n v="0"/>
    <m/>
    <m/>
    <n v="524.5177799999999"/>
    <n v="524.5177799999999"/>
    <s v="ACTIVA"/>
    <m/>
    <m/>
    <m/>
    <s v="GENERAL LIABILITY"/>
    <m/>
    <m/>
    <m/>
  </r>
  <r>
    <x v="2"/>
    <s v="Yes"/>
    <d v="2023-03-24T00:00:00"/>
    <m/>
    <d v="2023-03-08T00:00:00"/>
    <d v="2024-03-08T00:00:00"/>
    <s v="000-197/AIB RDC/2023"/>
    <n v="0"/>
    <s v="RENOUVELLEMENT"/>
    <s v="12001-33002-9007-117-00001496-2021"/>
    <s v="ELISABETH GLASER PEDIATRIC AIDS FOUNDATION ( EGPAF)"/>
    <s v="NGO"/>
    <s v="ANDY"/>
    <s v="Andy"/>
    <s v="FIRE"/>
    <s v="PROPERTIES"/>
    <x v="1"/>
    <s v="ACTIVA"/>
    <n v="0"/>
    <n v="4472.24"/>
    <n v="0"/>
    <n v="0"/>
    <n v="44.28"/>
    <n v="4427.96"/>
    <n v="0"/>
    <e v="#DIV/0!"/>
    <n v="0.15"/>
    <n v="664.19399999999996"/>
    <n v="0"/>
    <n v="0"/>
    <n v="0"/>
    <n v="664.19399999999996"/>
    <n v="106.27104"/>
    <n v="770.46503999999993"/>
    <n v="13.28388"/>
    <n v="0"/>
    <n v="13.28388"/>
    <m/>
    <n v="650.91012000000001"/>
    <s v="OLEA"/>
    <m/>
    <n v="0"/>
    <m/>
    <m/>
    <n v="0"/>
    <m/>
    <m/>
    <n v="770.46503999999993"/>
    <n v="770.46503999999993"/>
    <s v="ACTIVA"/>
    <m/>
    <m/>
    <m/>
    <s v="FIRE"/>
    <m/>
    <m/>
    <m/>
  </r>
  <r>
    <x v="2"/>
    <s v="Yes"/>
    <d v="2023-03-15T00:00:00"/>
    <d v="2023-03-23T00:00:00"/>
    <d v="2023-03-22T00:00:00"/>
    <d v="2024-03-21T00:00:00"/>
    <s v="000-198/AIB RDC/2023"/>
    <n v="0"/>
    <s v="SOUSCRIPTION"/>
    <s v="33002-0017-104-0001417 / 0004"/>
    <s v="Teichmann Group / Mashamba Foods"/>
    <s v="Distribution"/>
    <s v="ANDY"/>
    <s v="Andy"/>
    <s v="COMP MOTOR"/>
    <s v="MOTOR COMP"/>
    <x v="4"/>
    <s v="SUNU"/>
    <n v="0"/>
    <n v="10656.34"/>
    <n v="0"/>
    <n v="0"/>
    <n v="90.96"/>
    <n v="9095.5499999999993"/>
    <n v="1469.83"/>
    <e v="#DIV/0!"/>
    <n v="0.15"/>
    <n v="1364.3324999999998"/>
    <n v="0"/>
    <n v="0"/>
    <n v="0"/>
    <n v="1364.3324999999998"/>
    <n v="218.29319999999996"/>
    <n v="1582.6256999999996"/>
    <n v="27.286649999999995"/>
    <n v="0"/>
    <n v="27.286649999999995"/>
    <m/>
    <n v="1337.0458499999997"/>
    <s v="O'NEILS"/>
    <n v="0.5"/>
    <n v="668.52292499999987"/>
    <n v="668.52"/>
    <d v="2023-10-20T00:00:00"/>
    <n v="2.9249999998910425E-3"/>
    <m/>
    <n v="1582.6256999999996"/>
    <n v="1582.6256999999996"/>
    <n v="0"/>
    <s v="SUNU"/>
    <d v="2023-05-16T00:00:00"/>
    <m/>
    <m/>
    <s v="COMP MOTOR"/>
    <m/>
    <m/>
    <m/>
  </r>
  <r>
    <x v="2"/>
    <s v="Yes"/>
    <d v="2023-03-29T00:00:00"/>
    <m/>
    <d v="2023-03-31T00:00:00"/>
    <d v="2024-03-30T00:00:00"/>
    <s v="000-199/AIB RDC/2023"/>
    <n v="1"/>
    <s v="RENOUVELLEMENT"/>
    <s v="301-30000009"/>
    <s v="Ivanhoe Mine Energy"/>
    <s v="Mining"/>
    <s v="ANDY"/>
    <s v="Sabrina"/>
    <s v="MOTOR TPL"/>
    <s v="MOTOR TPL"/>
    <x v="6"/>
    <s v="RAWSUR"/>
    <n v="0"/>
    <n v="1912.96"/>
    <n v="0"/>
    <n v="0"/>
    <n v="60"/>
    <n v="1561.15"/>
    <n v="254.38"/>
    <e v="#DIV/0!"/>
    <n v="0.1"/>
    <n v="156.11500000000001"/>
    <n v="0"/>
    <n v="0"/>
    <n v="0"/>
    <n v="156.11500000000001"/>
    <n v="24.978400000000001"/>
    <n v="181.0934"/>
    <n v="3.1223000000000001"/>
    <n v="0"/>
    <n v="3.1223000000000001"/>
    <m/>
    <n v="152.99270000000001"/>
    <s v="Aucun"/>
    <m/>
    <n v="0"/>
    <m/>
    <m/>
    <n v="0"/>
    <m/>
    <n v="181.0934"/>
    <n v="181.0934"/>
    <n v="0"/>
    <s v="RAWSUR"/>
    <d v="2023-11-14T00:00:00"/>
    <m/>
    <m/>
    <s v="MOTOR TPL"/>
    <m/>
    <m/>
    <m/>
  </r>
  <r>
    <x v="2"/>
    <s v="Yes"/>
    <d v="2023-03-30T00:00:00"/>
    <d v="2023-03-30T00:00:00"/>
    <d v="2023-03-31T00:00:00"/>
    <d v="2024-03-30T00:00:00"/>
    <s v="000-200/AIB RDC/2023"/>
    <n v="0"/>
    <s v="SOUSCRIPTION"/>
    <s v="12005-33002-0012-13001-00005220-2023"/>
    <s v="Class and Style"/>
    <m/>
    <s v="ANDY"/>
    <s v="Tychique"/>
    <s v="FIRE"/>
    <s v="PROPERTIES"/>
    <x v="5"/>
    <s v="MAYFAIR"/>
    <n v="0"/>
    <n v="759.92"/>
    <n v="0"/>
    <n v="0"/>
    <n v="20"/>
    <n v="624"/>
    <n v="103.04"/>
    <e v="#DIV/0!"/>
    <n v="0.15"/>
    <n v="93.6"/>
    <n v="0"/>
    <n v="0"/>
    <n v="0"/>
    <n v="93.6"/>
    <n v="14.975999999999999"/>
    <n v="108.57599999999999"/>
    <n v="1.8719999999999999"/>
    <n v="0"/>
    <n v="1.8719999999999999"/>
    <m/>
    <n v="91.727999999999994"/>
    <s v="Aucun"/>
    <m/>
    <n v="0"/>
    <m/>
    <m/>
    <n v="0"/>
    <m/>
    <n v="108.57599999999999"/>
    <n v="108.57599999999999"/>
    <n v="0"/>
    <s v="MAYFAIR"/>
    <d v="2023-05-18T00:00:00"/>
    <m/>
    <m/>
    <s v="FIRE"/>
    <m/>
    <m/>
    <m/>
  </r>
  <r>
    <x v="6"/>
    <s v="Yes"/>
    <d v="2023-04-05T00:00:00"/>
    <d v="2023-04-05T00:00:00"/>
    <d v="2023-04-05T00:00:00"/>
    <d v="2023-09-06T00:00:00"/>
    <s v="000-201/AIB RDC/2023"/>
    <n v="1"/>
    <s v="INCORPORATION"/>
    <s v="00016944"/>
    <s v="Sandvik Mining &amp; Construction Sarl"/>
    <s v="Mining"/>
    <s v="ANDY"/>
    <s v="Andy"/>
    <s v="COMP MOTOR"/>
    <s v="MOTOR COMP"/>
    <x v="0"/>
    <s v="SFA"/>
    <n v="0"/>
    <n v="6230.74"/>
    <n v="0"/>
    <n v="0"/>
    <n v="85.86"/>
    <n v="5192.74"/>
    <n v="844.57"/>
    <e v="#DIV/0!"/>
    <n v="0.15"/>
    <n v="778.91099999999994"/>
    <n v="0"/>
    <n v="0"/>
    <n v="0"/>
    <n v="778.91099999999994"/>
    <n v="124.62576"/>
    <n v="903.53675999999996"/>
    <n v="15.57822"/>
    <n v="0"/>
    <n v="15.57822"/>
    <m/>
    <n v="763.33277999999996"/>
    <s v="AFINBRO"/>
    <n v="0.5"/>
    <n v="381.66638999999998"/>
    <n v="381.67"/>
    <d v="2023-10-23T00:00:00"/>
    <n v="-3.6100000000374166E-3"/>
    <m/>
    <n v="903.53675999999996"/>
    <n v="903.53675999999996"/>
    <n v="0"/>
    <s v="SFA"/>
    <d v="2023-05-30T00:00:00"/>
    <m/>
    <m/>
    <s v="COMP MOTOR"/>
    <m/>
    <m/>
    <m/>
  </r>
  <r>
    <x v="6"/>
    <s v="Yes"/>
    <d v="2023-03-21T00:00:00"/>
    <d v="2023-08-16T00:00:00"/>
    <d v="2023-04-01T00:00:00"/>
    <d v="2024-03-31T00:00:00"/>
    <s v="000-202/AIB RDC/2023"/>
    <n v="3"/>
    <s v="RENOUVELLEMENT"/>
    <s v="12001-33002-0006-112-000002091-2022"/>
    <s v="All Terrain DRC Service ( ATS)"/>
    <s v="Distribution"/>
    <s v="ANDY"/>
    <s v="Andy"/>
    <s v="FIRE"/>
    <s v="PROPERTIES"/>
    <x v="1"/>
    <s v="ACTIVA"/>
    <n v="0"/>
    <n v="761.42"/>
    <n v="0"/>
    <n v="0"/>
    <n v="10"/>
    <n v="646.39"/>
    <n v="105.02"/>
    <e v="#DIV/0!"/>
    <n v="0.1"/>
    <n v="64.638999999999996"/>
    <n v="0"/>
    <n v="0"/>
    <n v="0"/>
    <n v="64.638999999999996"/>
    <n v="10.34224"/>
    <n v="74.98124"/>
    <n v="1.29278"/>
    <n v="0"/>
    <n v="1.29278"/>
    <m/>
    <n v="63.346219999999995"/>
    <s v="Aucun"/>
    <m/>
    <n v="0"/>
    <m/>
    <m/>
    <n v="0"/>
    <m/>
    <n v="74.98124"/>
    <n v="74.98124"/>
    <n v="0"/>
    <s v="ACTIVA"/>
    <d v="2023-09-01T00:00:00"/>
    <m/>
    <m/>
    <s v="FIRE"/>
    <m/>
    <m/>
    <m/>
  </r>
  <r>
    <x v="6"/>
    <s v="Yes"/>
    <d v="2023-03-28T00:00:00"/>
    <d v="2023-08-16T00:00:00"/>
    <d v="2023-04-01T00:00:00"/>
    <d v="2024-03-31T00:00:00"/>
    <s v="000-203/AIB RDC/2023"/>
    <n v="2"/>
    <s v="RENOUVELLEMENT"/>
    <s v="12001-33002-0005-113-000002092-2022"/>
    <s v="All Terrain DRC Service ( ATS)"/>
    <s v="Distribution"/>
    <s v="ANDY"/>
    <s v="Andy"/>
    <s v="GENERAL LIABILITY"/>
    <s v="LIABILITIES"/>
    <x v="1"/>
    <s v="ACTIVA"/>
    <n v="5232000"/>
    <n v="2870.42"/>
    <n v="0"/>
    <n v="0"/>
    <n v="25.5"/>
    <n v="2450"/>
    <n v="395.92"/>
    <n v="4.6827217125382264E-4"/>
    <n v="0.15"/>
    <n v="367.5"/>
    <n v="0"/>
    <n v="0"/>
    <n v="0"/>
    <n v="367.5"/>
    <n v="58.800000000000004"/>
    <n v="426.3"/>
    <n v="7.3500000000000005"/>
    <n v="0"/>
    <n v="7.3500000000000005"/>
    <m/>
    <n v="360.15"/>
    <s v="Aucun"/>
    <m/>
    <n v="0"/>
    <m/>
    <m/>
    <n v="0"/>
    <m/>
    <n v="426.3"/>
    <n v="426.3"/>
    <n v="0"/>
    <s v="ACTIVA"/>
    <d v="2023-10-23T00:00:00"/>
    <m/>
    <m/>
    <s v="GENERAL LIABILITY"/>
    <m/>
    <m/>
    <m/>
  </r>
  <r>
    <x v="2"/>
    <s v="Yes"/>
    <d v="2023-02-27T00:00:00"/>
    <d v="2023-07-27T00:00:00"/>
    <d v="2023-03-01T00:00:00"/>
    <d v="2024-02-28T00:00:00"/>
    <s v="000-204/AIB RDC/2023"/>
    <n v="0"/>
    <s v="SOUSCRIPTION"/>
    <s v="12002-33002-0021-111-00021420-2023"/>
    <s v="Kibali Barrick Gold"/>
    <s v="Mining"/>
    <s v="ANDY"/>
    <s v="Andy"/>
    <s v="MARINE CARGO / GIT"/>
    <s v="MARINE"/>
    <x v="0"/>
    <s v="McGill"/>
    <n v="0"/>
    <n v="39800.339999999997"/>
    <n v="4984.6000000000004"/>
    <n v="0"/>
    <n v="498.46"/>
    <n v="28246.04"/>
    <n v="5396.66"/>
    <e v="#DIV/0!"/>
    <n v="0"/>
    <n v="0"/>
    <n v="1495.38"/>
    <n v="0"/>
    <n v="0"/>
    <n v="1495.38"/>
    <n v="239.26080000000002"/>
    <n v="1734.6408000000001"/>
    <n v="29.907600000000002"/>
    <n v="0"/>
    <n v="29.907600000000002"/>
    <m/>
    <n v="1465.4724000000001"/>
    <s v="Aucun"/>
    <m/>
    <n v="0"/>
    <m/>
    <m/>
    <n v="0"/>
    <m/>
    <n v="1734.6408000000001"/>
    <n v="1734.6408000000001"/>
    <n v="0"/>
    <s v="SFA"/>
    <d v="2023-08-25T00:00:00"/>
    <m/>
    <m/>
    <s v="MARINE CARGO / GIT"/>
    <m/>
    <m/>
    <m/>
  </r>
  <r>
    <x v="2"/>
    <s v="Yes"/>
    <d v="2023-03-02T00:00:00"/>
    <d v="2023-04-28T00:00:00"/>
    <d v="2023-03-02T00:00:00"/>
    <d v="2024-02-29T00:00:00"/>
    <s v="000-205/AIB RDC/2023"/>
    <n v="0"/>
    <s v="SOUSCRIPTION"/>
    <s v="12002-33002-0021-111-00019845-2023"/>
    <s v="Kibali Barrick Gold"/>
    <s v="Mining"/>
    <s v="ANDY"/>
    <s v="Andy"/>
    <s v="MARINE CARGO / GIT"/>
    <s v="MARINE"/>
    <x v="0"/>
    <s v="McGill"/>
    <n v="0"/>
    <n v="103700.62"/>
    <n v="13125"/>
    <n v="-5687.5"/>
    <n v="381.88"/>
    <n v="74375"/>
    <n v="14061.1"/>
    <e v="#DIV/0!"/>
    <n v="0"/>
    <n v="0"/>
    <n v="2231.25"/>
    <n v="0"/>
    <n v="0"/>
    <n v="2231.25"/>
    <n v="357"/>
    <n v="2588.25"/>
    <n v="44.625"/>
    <n v="0"/>
    <n v="44.625"/>
    <m/>
    <n v="2186.625"/>
    <s v="Aucun"/>
    <m/>
    <n v="0"/>
    <m/>
    <m/>
    <n v="0"/>
    <m/>
    <n v="2588.25"/>
    <n v="2588.25"/>
    <n v="0"/>
    <s v="SFA"/>
    <d v="2023-05-30T00:00:00"/>
    <m/>
    <m/>
    <s v="MARINE CARGO / GIT"/>
    <m/>
    <m/>
    <m/>
  </r>
  <r>
    <x v="2"/>
    <s v="Yes"/>
    <d v="2023-04-10T00:00:00"/>
    <d v="2023-03-30T00:00:00"/>
    <d v="2023-03-30T00:00:00"/>
    <d v="2024-02-19T00:00:00"/>
    <s v="000-206/AIB RDC/2023"/>
    <n v="1"/>
    <s v="INCORPORATION"/>
    <s v="33002-0017-104-0005032 / 0002"/>
    <s v="Bolloré Transport &amp; Logistics"/>
    <s v="Transport"/>
    <s v="SYNTYCHE"/>
    <s v="Syntyche"/>
    <s v="COMP MOTOR"/>
    <s v="MOTOR COMP"/>
    <x v="4"/>
    <s v="SUNU"/>
    <n v="0"/>
    <n v="21617.3"/>
    <n v="0"/>
    <n v="0"/>
    <n v="184.51"/>
    <n v="18451.09"/>
    <n v="2981.7"/>
    <e v="#DIV/0!"/>
    <n v="0.15"/>
    <n v="2767.6635000000001"/>
    <n v="0"/>
    <n v="0"/>
    <n v="0"/>
    <n v="2767.6635000000001"/>
    <n v="442.82616000000002"/>
    <n v="3210.4896600000002"/>
    <n v="55.353270000000002"/>
    <n v="0"/>
    <n v="55.353270000000002"/>
    <m/>
    <n v="2712.31023"/>
    <s v="OLEA"/>
    <m/>
    <n v="0"/>
    <m/>
    <m/>
    <n v="0"/>
    <m/>
    <n v="3210.4896600000002"/>
    <n v="3210.4896600000002"/>
    <n v="0"/>
    <s v="SUNU"/>
    <d v="2023-07-10T00:00:00"/>
    <m/>
    <m/>
    <s v="COMP MOTOR"/>
    <m/>
    <m/>
    <m/>
  </r>
  <r>
    <x v="2"/>
    <s v="Yes"/>
    <d v="2023-04-03T00:00:00"/>
    <d v="2023-04-03T00:00:00"/>
    <d v="2023-03-28T00:00:00"/>
    <d v="2023-12-31T00:00:00"/>
    <s v="000-207/AIB RDC/2023"/>
    <n v="1"/>
    <s v="INCORPORATION"/>
    <s v="12001-33002-0001-103-00004929-2022"/>
    <s v="Bolloré Transport &amp; Logistics"/>
    <s v="Transport"/>
    <s v="SYNTYCHE"/>
    <s v="Grâce"/>
    <s v="MOTOR TPL"/>
    <s v="MOTOR TPL"/>
    <x v="1"/>
    <s v="ACTIVA"/>
    <n v="0"/>
    <n v="1311.53"/>
    <n v="0"/>
    <n v="0"/>
    <n v="11.19"/>
    <n v="1119.47"/>
    <n v="180.87"/>
    <e v="#DIV/0!"/>
    <n v="0.1"/>
    <n v="111.947"/>
    <n v="0"/>
    <n v="0"/>
    <n v="0"/>
    <n v="111.947"/>
    <n v="17.911519999999999"/>
    <n v="129.85852"/>
    <n v="2.2389399999999999"/>
    <n v="0"/>
    <n v="2.2389399999999999"/>
    <m/>
    <n v="109.70806"/>
    <s v="OLEA"/>
    <m/>
    <n v="0"/>
    <m/>
    <m/>
    <n v="0"/>
    <m/>
    <n v="129.85852"/>
    <n v="129.85852"/>
    <n v="0"/>
    <s v="ACTIVA"/>
    <d v="2023-07-07T00:00:00"/>
    <m/>
    <m/>
    <s v="MOTOR TPL"/>
    <m/>
    <m/>
    <m/>
  </r>
  <r>
    <x v="2"/>
    <s v="Yes"/>
    <d v="2023-03-22T00:00:00"/>
    <d v="2023-03-22T00:00:00"/>
    <d v="2023-03-20T00:00:00"/>
    <d v="2024-03-22T00:00:00"/>
    <s v="000-208/AIB RDC/2023"/>
    <n v="0"/>
    <s v="SOUSCRIPTION"/>
    <s v="12002-33002-0007-101-00018913-2023"/>
    <s v="Bolloré Transport &amp; Logistics"/>
    <s v="Transport"/>
    <s v="SYNTYCHE"/>
    <s v="Tychique"/>
    <s v="GPA"/>
    <s v="MEDICAL &amp; GPA"/>
    <x v="0"/>
    <s v="SFA"/>
    <n v="0"/>
    <n v="1534"/>
    <n v="0"/>
    <n v="0"/>
    <n v="20"/>
    <n v="1280"/>
    <n v="208"/>
    <e v="#DIV/0!"/>
    <n v="0.1"/>
    <n v="128"/>
    <n v="0"/>
    <n v="0"/>
    <n v="0"/>
    <n v="128"/>
    <n v="20.48"/>
    <n v="148.47999999999999"/>
    <n v="2.56"/>
    <n v="0"/>
    <n v="2.56"/>
    <m/>
    <n v="125.44"/>
    <s v="OLEA"/>
    <m/>
    <n v="0"/>
    <m/>
    <m/>
    <n v="0"/>
    <m/>
    <n v="148.47999999999999"/>
    <n v="148.47999999999999"/>
    <n v="0"/>
    <s v="SFA"/>
    <d v="2023-05-24T00:00:00"/>
    <m/>
    <m/>
    <s v="GPA"/>
    <m/>
    <m/>
    <m/>
  </r>
  <r>
    <x v="2"/>
    <s v="Yes"/>
    <d v="2023-04-11T00:00:00"/>
    <d v="2023-03-13T00:00:00"/>
    <d v="2023-03-13T00:00:00"/>
    <d v="2023-06-12T00:00:00"/>
    <s v="000-209/AIB RDC/2023"/>
    <n v="0"/>
    <s v="SOUSCRIPTION"/>
    <n v="73200023"/>
    <s v="WUHUANG CONSTRUCTION ET COMMERCE RDC SAS ( WHCC) / Bolloré"/>
    <m/>
    <s v="SYNTYCHE"/>
    <s v="Victor"/>
    <s v="MARINE CARGO / GIT"/>
    <s v="MARINE"/>
    <x v="6"/>
    <s v="RAWSUR"/>
    <n v="2322502.15"/>
    <n v="11801.76"/>
    <n v="0"/>
    <n v="0"/>
    <n v="666"/>
    <n v="9335.49"/>
    <n v="1600.24"/>
    <n v="4.0195829312795256E-3"/>
    <n v="0.15"/>
    <n v="1400.3235"/>
    <n v="0"/>
    <n v="0"/>
    <n v="0"/>
    <n v="1400.3235"/>
    <n v="224.05176"/>
    <n v="1624.37526"/>
    <n v="28.00647"/>
    <n v="0"/>
    <n v="28.00647"/>
    <m/>
    <n v="1372.3170299999999"/>
    <s v="BOLLORE"/>
    <n v="0.4"/>
    <n v="548.92681200000004"/>
    <n v="548.92681200000004"/>
    <d v="2023-10-30T00:00:00"/>
    <n v="0"/>
    <m/>
    <n v="1624.37526"/>
    <n v="1624.37526"/>
    <n v="0"/>
    <s v="RAWSUR"/>
    <d v="2023-04-27T00:00:00"/>
    <m/>
    <s v="ONCE OFF"/>
    <s v="MARINE CARGO / GIT"/>
    <m/>
    <m/>
    <m/>
  </r>
  <r>
    <x v="2"/>
    <s v="Yes"/>
    <d v="2023-04-11T00:00:00"/>
    <d v="2023-03-12T00:00:00"/>
    <d v="2023-03-13T00:00:00"/>
    <d v="2023-04-12T00:00:00"/>
    <s v="000-210/AIB RDC/2023"/>
    <n v="0"/>
    <s v="SOUSCRIPTION"/>
    <n v="73200024"/>
    <s v="BROTHER TRANSPORT CONGO SARL / Bolloré"/>
    <m/>
    <s v="SYNTYCHE"/>
    <s v="Victor"/>
    <s v="MARINE CARGO / GIT"/>
    <s v="MARINE"/>
    <x v="6"/>
    <s v="RAWSUR"/>
    <n v="452890.72"/>
    <n v="1952.48"/>
    <n v="0"/>
    <n v="0"/>
    <n v="296"/>
    <n v="1358.64"/>
    <n v="264.72000000000003"/>
    <n v="2.9999289894922115E-3"/>
    <n v="0.15"/>
    <n v="203.79600000000002"/>
    <n v="0"/>
    <n v="0"/>
    <n v="0"/>
    <n v="203.79600000000002"/>
    <n v="32.607360000000007"/>
    <n v="236.40336000000002"/>
    <n v="4.0759200000000009"/>
    <n v="0"/>
    <n v="4.0759200000000009"/>
    <m/>
    <n v="199.72008000000002"/>
    <s v="BOLLORE"/>
    <n v="0.4"/>
    <n v="79.88803200000001"/>
    <n v="79.88803200000001"/>
    <d v="2023-10-30T00:00:00"/>
    <n v="0"/>
    <m/>
    <n v="236.40336000000002"/>
    <n v="236.40336000000002"/>
    <n v="0"/>
    <s v="RAWSUR"/>
    <d v="2023-04-27T00:00:00"/>
    <m/>
    <s v="ONCE OFF"/>
    <s v="MARINE CARGO / GIT"/>
    <m/>
    <m/>
    <m/>
  </r>
  <r>
    <x v="0"/>
    <s v="Yes"/>
    <d v="2023-04-20T00:00:00"/>
    <d v="2023-02-23T00:00:00"/>
    <d v="2023-01-01T00:00:00"/>
    <d v="2023-12-31T00:00:00"/>
    <s v="000-211/AIB RDC/2023"/>
    <n v="0"/>
    <s v="SOUSCRIPTION"/>
    <s v="12001-09005/3002/1450000326"/>
    <s v="Optorg"/>
    <s v="Distribution"/>
    <s v="ANDY"/>
    <s v="Andy"/>
    <s v="GENERAL LIABILITY"/>
    <s v="LIABILITIES"/>
    <x v="1"/>
    <s v="ACTIVA"/>
    <n v="0"/>
    <n v="4985.95"/>
    <n v="0"/>
    <n v="0"/>
    <n v="42.56"/>
    <n v="4255.67"/>
    <n v="687.72"/>
    <e v="#DIV/0!"/>
    <n v="0.15"/>
    <n v="638.35050000000001"/>
    <n v="0"/>
    <n v="0"/>
    <n v="0"/>
    <n v="638.35050000000001"/>
    <n v="102.13608000000001"/>
    <n v="740.48658"/>
    <n v="12.767010000000001"/>
    <n v="0"/>
    <n v="12.767010000000001"/>
    <m/>
    <n v="625.58348999999998"/>
    <s v="OLEA"/>
    <n v="0.35"/>
    <n v="218.95422149999999"/>
    <m/>
    <m/>
    <n v="218.95422149999999"/>
    <m/>
    <n v="740.48658"/>
    <n v="740.48658"/>
    <n v="0"/>
    <s v="ACTIVA"/>
    <d v="2023-04-19T00:00:00"/>
    <m/>
    <m/>
    <s v="GENERAL LIABILITY"/>
    <m/>
    <m/>
    <m/>
  </r>
  <r>
    <x v="2"/>
    <s v="Yes"/>
    <d v="2023-04-21T00:00:00"/>
    <d v="2023-03-21T00:00:00"/>
    <d v="2023-03-21T00:00:00"/>
    <d v="2023-06-20T00:00:00"/>
    <s v="000-212/AIB RDC/2023"/>
    <n v="0"/>
    <s v="SOUSCRIPTION"/>
    <n v="70100015"/>
    <s v="CHUAN TIE ELECTRIC (TIANJIN) GROUP SARL / Bolloré"/>
    <m/>
    <s v="SYNTYCHE"/>
    <s v="Victor"/>
    <s v="MARINE CARGO / GIT"/>
    <s v="MARINE"/>
    <x v="6"/>
    <s v="RAWSUR"/>
    <n v="671056"/>
    <n v="4171.5600000000004"/>
    <n v="0"/>
    <n v="0"/>
    <n v="777"/>
    <n v="2713.22"/>
    <n v="558.44000000000005"/>
    <n v="4.0432095085954078E-3"/>
    <n v="0.15"/>
    <n v="406.98299999999995"/>
    <n v="0"/>
    <n v="0"/>
    <n v="0"/>
    <n v="406.98299999999995"/>
    <n v="65.117279999999994"/>
    <n v="472.10027999999994"/>
    <n v="8.1396599999999992"/>
    <n v="0"/>
    <n v="8.1396599999999992"/>
    <m/>
    <n v="398.84333999999996"/>
    <s v="BOLLORE"/>
    <n v="0.4"/>
    <n v="159.53733599999998"/>
    <n v="159.53733599999998"/>
    <d v="2023-10-30T00:00:00"/>
    <n v="0"/>
    <m/>
    <n v="472.10027999999994"/>
    <n v="472.10027999999994"/>
    <n v="0"/>
    <s v="RAWSUR"/>
    <d v="2023-04-27T00:00:00"/>
    <m/>
    <s v="ONCE OFF"/>
    <s v="MARINE CARGO / GIT"/>
    <m/>
    <m/>
    <m/>
  </r>
  <r>
    <x v="2"/>
    <s v="Yes"/>
    <d v="2023-04-21T00:00:00"/>
    <d v="2023-03-27T00:00:00"/>
    <d v="2023-03-27T00:00:00"/>
    <d v="2023-06-23T00:00:00"/>
    <s v="000-213/AIB RDC/2023"/>
    <n v="0"/>
    <s v="SOUSCRIPTION"/>
    <n v="73200025"/>
    <s v="CHUAN TIE ELECTRIC (TIANJIN) GROUP SARL / Bolloré"/>
    <m/>
    <s v="SYNTYCHE"/>
    <s v="Victor"/>
    <s v="MARINE CARGO / GIT"/>
    <s v="MARINE"/>
    <x v="6"/>
    <s v="RAWSUR"/>
    <n v="442357.36"/>
    <n v="1599.55"/>
    <n v="0"/>
    <n v="0"/>
    <n v="296"/>
    <n v="1059.55"/>
    <n v="216.89"/>
    <n v="2.3952353816380492E-3"/>
    <n v="0.15"/>
    <n v="158.93249999999998"/>
    <n v="0"/>
    <n v="0"/>
    <n v="0"/>
    <n v="158.93249999999998"/>
    <n v="25.429199999999998"/>
    <n v="184.36169999999998"/>
    <n v="3.1786499999999998"/>
    <n v="0"/>
    <n v="3.1786499999999998"/>
    <m/>
    <n v="155.75384999999997"/>
    <s v="BOLLORE"/>
    <n v="0.4"/>
    <n v="62.301539999999989"/>
    <n v="62.301539999999989"/>
    <d v="2023-10-30T00:00:00"/>
    <n v="0"/>
    <m/>
    <n v="184.36169999999998"/>
    <n v="184.36169999999998"/>
    <n v="0"/>
    <s v="RAWSUR"/>
    <d v="2023-04-27T00:00:00"/>
    <m/>
    <s v="ONCE OFF"/>
    <s v="MARINE CARGO / GIT"/>
    <m/>
    <m/>
    <m/>
  </r>
  <r>
    <x v="2"/>
    <s v="Yes"/>
    <d v="2023-05-02T00:00:00"/>
    <d v="2023-03-29T00:00:00"/>
    <d v="2023-03-29T00:00:00"/>
    <d v="2024-03-28T00:00:00"/>
    <s v="000-214/AIB RDC/2023"/>
    <n v="0"/>
    <s v="SOUSCRIPTION"/>
    <s v="33002-0003-121-0006284 / 0001"/>
    <s v="PROTEAM RDC"/>
    <m/>
    <s v="MICHEE"/>
    <s v="Tychique"/>
    <s v="CIT"/>
    <s v="MARINE"/>
    <x v="4"/>
    <s v="SUNU"/>
    <n v="0"/>
    <n v="35901.29"/>
    <n v="0"/>
    <n v="0"/>
    <n v="306.43"/>
    <n v="30642.959999999999"/>
    <n v="4951.8999999999996"/>
    <e v="#DIV/0!"/>
    <n v="0.15"/>
    <n v="4596.4439999999995"/>
    <n v="0"/>
    <n v="0"/>
    <n v="0"/>
    <n v="4596.4439999999995"/>
    <n v="735.43103999999994"/>
    <n v="5331.875039999999"/>
    <n v="91.928879999999992"/>
    <n v="0"/>
    <n v="91.928879999999992"/>
    <m/>
    <n v="4504.5151199999991"/>
    <s v="OLEA"/>
    <m/>
    <n v="0"/>
    <m/>
    <m/>
    <n v="0"/>
    <m/>
    <n v="1332.97"/>
    <n v="5331.875039999999"/>
    <n v="3998.9050399999987"/>
    <s v="SUNU"/>
    <d v="2023-06-22T00:00:00"/>
    <m/>
    <m/>
    <s v="CIT"/>
    <m/>
    <m/>
    <s v="01-11-2023// LIonel confirme que le reste du paiement a été effectué"/>
  </r>
  <r>
    <x v="2"/>
    <s v="Yes"/>
    <d v="2023-05-04T00:00:00"/>
    <d v="2023-03-21T00:00:00"/>
    <d v="2023-03-16T00:00:00"/>
    <d v="2023-03-16T00:00:00"/>
    <s v="000-215/AIB RDC/2023"/>
    <n v="1"/>
    <s v="RISTOURNE"/>
    <s v="00016123"/>
    <s v="MAFRICOM"/>
    <m/>
    <s v="MICHEE"/>
    <s v="Tychique"/>
    <s v="MARINE CARGO / GIT"/>
    <s v="MARINE"/>
    <x v="0"/>
    <s v="SFA"/>
    <n v="0"/>
    <n v="-2832.05"/>
    <n v="0"/>
    <n v="0"/>
    <n v="0"/>
    <n v="-2441.42"/>
    <n v="-390.63"/>
    <e v="#DIV/0!"/>
    <n v="0.15"/>
    <n v="-366.21300000000002"/>
    <n v="0"/>
    <n v="0"/>
    <n v="0"/>
    <n v="-366.21300000000002"/>
    <n v="-58.594080000000005"/>
    <n v="-424.80708000000004"/>
    <n v="-7.3242600000000007"/>
    <n v="0"/>
    <n v="-7.3242600000000007"/>
    <m/>
    <n v="-358.88874000000004"/>
    <m/>
    <m/>
    <n v="0"/>
    <m/>
    <m/>
    <n v="0"/>
    <m/>
    <n v="-424.80708000000004"/>
    <n v="-424.80708000000004"/>
    <n v="0"/>
    <s v="SFA"/>
    <d v="2023-05-24T00:00:00"/>
    <m/>
    <s v="RENEWED"/>
    <s v="MARINE CARGO / GIT"/>
    <m/>
    <m/>
    <m/>
  </r>
  <r>
    <x v="2"/>
    <s v="Yes"/>
    <d v="2023-05-04T00:00:00"/>
    <d v="2023-03-21T00:00:00"/>
    <d v="2023-03-16T00:00:00"/>
    <d v="2023-03-16T00:00:00"/>
    <s v="000-216/AIB RDC/2023"/>
    <n v="1"/>
    <s v="RISTOURNE"/>
    <s v="00016124"/>
    <s v="NUTRI AFRICA"/>
    <m/>
    <s v="MICHEE"/>
    <s v="Tychique"/>
    <s v="MARINE CARGO / GIT"/>
    <s v="MARINE"/>
    <x v="0"/>
    <s v="SFA"/>
    <n v="0"/>
    <n v="-248.62"/>
    <n v="0"/>
    <n v="0"/>
    <n v="0"/>
    <n v="-214.33"/>
    <n v="-34.29"/>
    <e v="#DIV/0!"/>
    <n v="0.15"/>
    <n v="-32.149500000000003"/>
    <n v="0"/>
    <n v="0"/>
    <n v="0"/>
    <n v="-32.149500000000003"/>
    <n v="-5.1439200000000005"/>
    <n v="-37.293420000000005"/>
    <n v="-0.64299000000000006"/>
    <n v="0"/>
    <n v="-0.64299000000000006"/>
    <m/>
    <n v="-31.506510000000002"/>
    <m/>
    <m/>
    <n v="0"/>
    <m/>
    <m/>
    <n v="0"/>
    <m/>
    <n v="-37.293420000000005"/>
    <n v="-37.293420000000005"/>
    <n v="0"/>
    <s v="SFA"/>
    <d v="2023-05-24T00:00:00"/>
    <m/>
    <s v="RENEWED"/>
    <s v="MARINE CARGO / GIT"/>
    <m/>
    <m/>
    <m/>
  </r>
  <r>
    <x v="2"/>
    <s v="Yes"/>
    <d v="2023-05-04T00:00:00"/>
    <d v="2023-03-06T00:00:00"/>
    <d v="2023-03-06T00:00:00"/>
    <d v="2023-06-16T00:00:00"/>
    <s v="000-217/AIB RDC/2023"/>
    <n v="4"/>
    <s v="INCORPORATION"/>
    <s v="12002-33002-0004-104-00016497-2022"/>
    <s v="INDUSTRIAL SERVICES"/>
    <m/>
    <s v="SYNTYCHE"/>
    <s v="Grâce"/>
    <s v="COMP MOTOR"/>
    <s v="MOTOR COMP"/>
    <x v="0"/>
    <s v="SFA"/>
    <n v="41379"/>
    <n v="500.1"/>
    <n v="0"/>
    <n v="0"/>
    <n v="3.8"/>
    <n v="418.32"/>
    <n v="67.540000000000006"/>
    <n v="1.0109475821068657E-2"/>
    <n v="0.15"/>
    <n v="62.747999999999998"/>
    <n v="0"/>
    <n v="0"/>
    <n v="0"/>
    <n v="62.747999999999998"/>
    <n v="10.039680000000001"/>
    <n v="72.787679999999995"/>
    <n v="1.2549600000000001"/>
    <n v="0"/>
    <n v="1.2549600000000001"/>
    <m/>
    <n v="61.493040000000001"/>
    <m/>
    <m/>
    <n v="0"/>
    <m/>
    <m/>
    <n v="0"/>
    <m/>
    <n v="72.787679999999995"/>
    <n v="72.787679999999995"/>
    <n v="0"/>
    <s v="SFA"/>
    <d v="2023-05-24T00:00:00"/>
    <m/>
    <s v="RENEWED"/>
    <s v="COMP MOTOR"/>
    <m/>
    <m/>
    <s v="01-11-2023: Rawsur et Olea Kenya nous ont tous payé."/>
  </r>
  <r>
    <x v="1"/>
    <s v="Yes"/>
    <d v="2023-05-04T00:00:00"/>
    <d v="2023-03-06T00:00:00"/>
    <d v="2023-02-23T00:00:00"/>
    <d v="2023-09-06T00:00:00"/>
    <s v="000-218/AIB RDC/2023"/>
    <n v="3"/>
    <s v="INCORPORATION"/>
    <s v="12002-33002-0004-103-00016990-2022"/>
    <s v="Teichmann Group / Kongo River"/>
    <s v="Mining"/>
    <s v="ANDY"/>
    <s v="Sabrina"/>
    <s v="MOTOR TPL"/>
    <s v="MOTOR TPL"/>
    <x v="0"/>
    <s v="SFA"/>
    <n v="0"/>
    <n v="1173.71"/>
    <n v="0"/>
    <n v="0"/>
    <n v="13"/>
    <n v="979.99"/>
    <n v="158.87"/>
    <e v="#DIV/0!"/>
    <n v="0.1"/>
    <n v="97.999000000000009"/>
    <n v="0"/>
    <n v="0"/>
    <n v="0"/>
    <n v="97.999000000000009"/>
    <n v="15.679840000000002"/>
    <n v="113.67884000000001"/>
    <n v="1.9599800000000003"/>
    <n v="0"/>
    <n v="1.9599800000000003"/>
    <m/>
    <n v="96.039020000000008"/>
    <s v="O'NEILS"/>
    <n v="0.5"/>
    <n v="48.019510000000004"/>
    <n v="48.02"/>
    <d v="2023-10-20T00:00:00"/>
    <n v="-4.8999999999921329E-4"/>
    <m/>
    <n v="113.67884000000001"/>
    <n v="113.67884000000001"/>
    <n v="0"/>
    <s v="SFA"/>
    <d v="2023-05-24T00:00:00"/>
    <m/>
    <m/>
    <s v="MOTOR TPL"/>
    <m/>
    <m/>
    <m/>
  </r>
  <r>
    <x v="2"/>
    <s v="Yes"/>
    <d v="2023-05-04T00:00:00"/>
    <d v="2023-03-28T00:00:00"/>
    <d v="2023-03-24T00:00:00"/>
    <d v="2023-10-09T00:00:00"/>
    <s v="000-219/AIB RDC/2023"/>
    <n v="1"/>
    <s v="INCORPORATION"/>
    <s v="12002-33002-0004-103-00017217-2022"/>
    <s v="Glencore DRC"/>
    <s v="Mining"/>
    <s v="ANDY"/>
    <s v="Andy"/>
    <s v="MOTOR TPL"/>
    <s v="MOTOR TPL"/>
    <x v="0"/>
    <s v="SFA"/>
    <n v="0"/>
    <n v="360.15"/>
    <n v="0"/>
    <n v="0"/>
    <n v="8.42"/>
    <n v="295.10000000000002"/>
    <n v="48.56"/>
    <e v="#DIV/0!"/>
    <n v="0.1"/>
    <n v="29.510000000000005"/>
    <n v="0"/>
    <n v="0"/>
    <n v="0"/>
    <n v="29.510000000000005"/>
    <n v="4.7216000000000014"/>
    <n v="34.231600000000007"/>
    <n v="0.59020000000000017"/>
    <n v="0"/>
    <n v="0.59020000000000017"/>
    <m/>
    <n v="28.919800000000006"/>
    <m/>
    <m/>
    <n v="0"/>
    <m/>
    <m/>
    <n v="0"/>
    <m/>
    <n v="34.231600000000007"/>
    <n v="34.231600000000007"/>
    <n v="0"/>
    <s v="SFA"/>
    <d v="2023-05-24T00:00:00"/>
    <m/>
    <m/>
    <s v="MOTOR TPL"/>
    <m/>
    <m/>
    <m/>
  </r>
  <r>
    <x v="2"/>
    <s v="Yes"/>
    <d v="2023-03-30T00:00:00"/>
    <d v="2023-03-23T00:00:00"/>
    <d v="2023-03-23T00:00:00"/>
    <d v="2024-03-22T00:00:00"/>
    <s v="000-220/AIB RDC/2023"/>
    <n v="1"/>
    <s v="RENOUVELLEMENT"/>
    <s v="33002-0009-113-0001418 / 0001"/>
    <s v="Teichmann Group / Mashamba Foods"/>
    <s v="Distribution"/>
    <s v="ANDY"/>
    <s v="Sabrina"/>
    <s v="GENERAL LIABILITY"/>
    <s v="LIABILITIES"/>
    <x v="4"/>
    <s v="SUNU"/>
    <n v="0"/>
    <n v="1288.76"/>
    <n v="0"/>
    <n v="0"/>
    <n v="11"/>
    <n v="1100"/>
    <n v="177.76"/>
    <e v="#DIV/0!"/>
    <n v="0.1"/>
    <n v="110"/>
    <n v="0"/>
    <n v="0"/>
    <n v="0"/>
    <n v="110"/>
    <n v="17.600000000000001"/>
    <n v="127.6"/>
    <n v="2.2000000000000002"/>
    <n v="0"/>
    <n v="2.2000000000000002"/>
    <m/>
    <n v="107.8"/>
    <s v="O'NEILS"/>
    <n v="0.5"/>
    <n v="53.9"/>
    <n v="53.9"/>
    <d v="2023-10-20T00:00:00"/>
    <n v="0"/>
    <m/>
    <n v="127.6"/>
    <n v="127.6"/>
    <n v="0"/>
    <s v="SUNU"/>
    <d v="2023-07-10T00:00:00"/>
    <m/>
    <m/>
    <s v="GENERAL LIABILITY"/>
    <m/>
    <m/>
    <m/>
  </r>
  <r>
    <x v="1"/>
    <s v="Yes"/>
    <d v="2023-04-04T00:00:00"/>
    <m/>
    <d v="2023-02-01T00:00:00"/>
    <d v="2024-01-31T00:00:00"/>
    <s v="000-221/AIB RDC/2023"/>
    <n v="1"/>
    <s v="INCORPORATION"/>
    <s v="33002-0006-112-0004787 / 0001"/>
    <s v="CRDB BANK"/>
    <s v="Bank"/>
    <s v="ANDY"/>
    <s v="Sabrina"/>
    <s v="FIRE"/>
    <s v="PROPERTIES"/>
    <x v="4"/>
    <s v="SUNU"/>
    <n v="0"/>
    <n v="2269.09"/>
    <n v="0"/>
    <n v="0"/>
    <n v="19.36"/>
    <n v="1936.75"/>
    <n v="311.98"/>
    <e v="#DIV/0!"/>
    <n v="0.1"/>
    <n v="193.67500000000001"/>
    <n v="0"/>
    <n v="0"/>
    <n v="0"/>
    <n v="193.67500000000001"/>
    <n v="30.988000000000003"/>
    <n v="224.66300000000001"/>
    <n v="3.8735000000000004"/>
    <m/>
    <n v="3.8735000000000004"/>
    <m/>
    <n v="189.8015"/>
    <s v="Aucun"/>
    <m/>
    <n v="0"/>
    <m/>
    <m/>
    <n v="0"/>
    <m/>
    <m/>
    <n v="224.66300000000001"/>
    <n v="224.66300000000001"/>
    <s v="SUNU"/>
    <m/>
    <m/>
    <m/>
    <s v="FIRE"/>
    <m/>
    <m/>
    <s v="01-11-2023: la part Rawsur payée, mais c'est Olea qui nous doit maintenant le solde restant qui notre RI Com."/>
  </r>
  <r>
    <x v="2"/>
    <s v="Yes"/>
    <d v="2023-01-02T00:00:00"/>
    <d v="2023-03-10T00:00:00"/>
    <d v="2023-03-10T00:00:00"/>
    <d v="2024-03-08T00:00:00"/>
    <s v="000-222/AIB RDC/2023"/>
    <n v="0"/>
    <s v="SOUSCRIPTION"/>
    <s v="00018655"/>
    <s v="DEZIWA / Bolloré"/>
    <m/>
    <s v="SYNTYCHE"/>
    <s v="Victor"/>
    <s v="MARINE CARGO / GIT"/>
    <s v="MARINE"/>
    <x v="0"/>
    <s v="SFA"/>
    <n v="189518.23"/>
    <n v="354.09"/>
    <n v="0"/>
    <n v="0"/>
    <n v="4.43"/>
    <n v="295.64999999999998"/>
    <n v="48.01"/>
    <n v="1.5600082377299532E-3"/>
    <n v="0.15"/>
    <n v="44.347499999999997"/>
    <n v="0"/>
    <n v="0"/>
    <n v="0"/>
    <n v="44.347499999999997"/>
    <n v="7.0955999999999992"/>
    <n v="51.443099999999994"/>
    <n v="0.88694999999999991"/>
    <n v="0"/>
    <n v="0.88694999999999991"/>
    <m/>
    <n v="43.460549999999998"/>
    <s v="BOLLORE"/>
    <n v="0.4"/>
    <n v="17.384219999999999"/>
    <n v="17.384219999999999"/>
    <d v="2023-10-30T00:00:00"/>
    <n v="0"/>
    <m/>
    <n v="51.443099999999994"/>
    <n v="51.443099999999994"/>
    <n v="0"/>
    <s v="SFA"/>
    <d v="2023-05-24T00:00:00"/>
    <m/>
    <s v="ONCE OFF"/>
    <s v="MARINE CARGO / GIT"/>
    <m/>
    <m/>
    <m/>
  </r>
  <r>
    <x v="2"/>
    <s v="Yes"/>
    <d v="2023-04-07T00:00:00"/>
    <d v="2023-03-20T00:00:00"/>
    <d v="2023-03-20T00:00:00"/>
    <d v="2024-03-19T00:00:00"/>
    <s v="000-223/AIB RDC/2023"/>
    <n v="0"/>
    <s v="SOUSCRIPTION"/>
    <s v="11001-33002-0001-207-00000006-2023 / 219000009"/>
    <s v="Sandvik Mining &amp; Construction Sarl"/>
    <s v="Mining"/>
    <s v="ANDY"/>
    <s v="Sabrina"/>
    <s v="LIFE"/>
    <s v="LIFE"/>
    <x v="3"/>
    <s v="RAWSUR - LIFE"/>
    <n v="0"/>
    <n v="116000"/>
    <n v="0"/>
    <n v="0"/>
    <n v="0"/>
    <n v="114851.49"/>
    <n v="0"/>
    <e v="#DIV/0!"/>
    <n v="0.1"/>
    <n v="11485.149000000001"/>
    <n v="0"/>
    <n v="0"/>
    <n v="0"/>
    <n v="11485.149000000001"/>
    <n v="0"/>
    <n v="11485.149000000001"/>
    <n v="114.85149000000001"/>
    <n v="0"/>
    <n v="114.85149000000001"/>
    <m/>
    <n v="11370.29751"/>
    <s v="Aucun"/>
    <n v="0"/>
    <n v="0"/>
    <m/>
    <m/>
    <n v="0"/>
    <m/>
    <n v="11485.149000000001"/>
    <n v="11485.149000000001"/>
    <n v="0"/>
    <s v="RAWSUR - LIFE"/>
    <d v="2023-06-06T00:00:00"/>
    <m/>
    <m/>
    <s v="LIFE"/>
    <m/>
    <m/>
    <m/>
  </r>
  <r>
    <x v="6"/>
    <s v="Yes"/>
    <d v="2023-04-28T00:00:00"/>
    <d v="2023-04-28T00:00:00"/>
    <d v="2023-04-21T00:00:00"/>
    <d v="2024-04-19T00:00:00"/>
    <s v="000-224/AIB RDC/2023"/>
    <n v="0"/>
    <s v="SOUSCRIPTION"/>
    <s v="12002-33002-0024-113-00019854-2023"/>
    <s v="Sandvik Mining &amp; Construction Sarl"/>
    <s v="Mining"/>
    <s v="ANDY"/>
    <s v="Sabrina"/>
    <s v="PUBLIC LIABILITY"/>
    <s v="LIABILITIES"/>
    <x v="0"/>
    <s v="SFA"/>
    <n v="0"/>
    <n v="57417.38"/>
    <n v="7266.44"/>
    <n v="0"/>
    <n v="215.88"/>
    <n v="41176.47"/>
    <n v="7785.41"/>
    <e v="#DIV/0!"/>
    <n v="0.15"/>
    <n v="6176.4705000000004"/>
    <n v="0"/>
    <n v="0"/>
    <n v="0"/>
    <n v="6176.4705000000004"/>
    <n v="988.2352800000001"/>
    <n v="7164.7057800000002"/>
    <n v="123.52941000000001"/>
    <n v="0"/>
    <n v="123.52941000000001"/>
    <m/>
    <n v="6052.9410900000003"/>
    <s v="Aucun"/>
    <n v="0"/>
    <n v="0"/>
    <m/>
    <m/>
    <n v="0"/>
    <m/>
    <n v="7164.7057800000002"/>
    <n v="7164.7057800000002"/>
    <n v="0"/>
    <s v="SFA"/>
    <d v="2023-05-30T00:00:00"/>
    <m/>
    <m/>
    <s v="PUBLIC LIABILITY"/>
    <m/>
    <m/>
    <m/>
  </r>
  <r>
    <x v="6"/>
    <s v="Yes"/>
    <d v="2023-04-10T00:00:00"/>
    <m/>
    <d v="2023-04-11T00:00:00"/>
    <d v="2023-04-22T00:00:00"/>
    <s v="000-225/AIB RDC/2023"/>
    <n v="18"/>
    <s v="INCORPORATION"/>
    <n v="30130000011"/>
    <s v="Chemaf Sarl"/>
    <s v="Mining"/>
    <s v="ANDY"/>
    <s v="Sabrina"/>
    <s v="MOTOR TPL"/>
    <s v="MOTOR TPL"/>
    <x v="6"/>
    <s v="RAWSUR"/>
    <n v="0"/>
    <n v="54.09"/>
    <n v="0"/>
    <n v="0"/>
    <n v="30"/>
    <n v="15.81"/>
    <n v="7.32"/>
    <e v="#DIV/0!"/>
    <n v="0.1"/>
    <n v="1.5810000000000002"/>
    <n v="0"/>
    <n v="0"/>
    <n v="0"/>
    <n v="1.5810000000000002"/>
    <n v="0.25296000000000002"/>
    <n v="1.8339600000000003"/>
    <n v="3.1620000000000002E-2"/>
    <m/>
    <n v="3.1620000000000002E-2"/>
    <m/>
    <n v="1.5493800000000002"/>
    <s v="Aucun"/>
    <m/>
    <n v="0"/>
    <m/>
    <m/>
    <n v="0"/>
    <m/>
    <m/>
    <n v="1.8339600000000003"/>
    <n v="1.8339600000000003"/>
    <s v="RAWSUR"/>
    <m/>
    <m/>
    <m/>
    <s v="MOTOR TPL"/>
    <m/>
    <m/>
    <m/>
  </r>
  <r>
    <x v="6"/>
    <s v="Yes"/>
    <d v="2023-04-14T00:00:00"/>
    <m/>
    <d v="2023-04-15T00:00:00"/>
    <d v="2023-04-22T00:00:00"/>
    <s v="000-226/AIB RDC/2023"/>
    <n v="19"/>
    <s v="INCORPORATION"/>
    <n v="30130000011"/>
    <s v="Chemaf Sarl"/>
    <s v="Mining"/>
    <s v="ANDY"/>
    <s v="Sabrina"/>
    <s v="MOTOR TPL"/>
    <s v="MOTOR TPL"/>
    <x v="6"/>
    <s v="RAWSUR"/>
    <n v="0"/>
    <n v="62.55"/>
    <n v="0"/>
    <n v="0"/>
    <n v="30"/>
    <n v="23.01"/>
    <n v="8.49"/>
    <e v="#DIV/0!"/>
    <n v="0.1"/>
    <n v="2.3010000000000002"/>
    <n v="0"/>
    <n v="0"/>
    <n v="0"/>
    <n v="2.3010000000000002"/>
    <n v="0.36816000000000004"/>
    <n v="2.6691600000000002"/>
    <n v="4.6020000000000005E-2"/>
    <m/>
    <n v="4.6020000000000005E-2"/>
    <m/>
    <n v="2.2549800000000002"/>
    <s v="Aucun"/>
    <m/>
    <n v="0"/>
    <m/>
    <m/>
    <n v="0"/>
    <m/>
    <m/>
    <n v="2.6691600000000002"/>
    <n v="2.6691600000000002"/>
    <s v="RAWSUR"/>
    <m/>
    <m/>
    <m/>
    <s v="MOTOR TPL"/>
    <m/>
    <m/>
    <m/>
  </r>
  <r>
    <x v="6"/>
    <s v="Yes"/>
    <d v="2023-04-24T00:00:00"/>
    <d v="2023-04-20T00:00:00"/>
    <d v="2023-04-19T00:00:00"/>
    <d v="2023-04-18T00:00:00"/>
    <s v="000-227/AIB RDC/2023"/>
    <n v="0"/>
    <s v="SOUSCRIPTION"/>
    <s v="12002-33002-0004-104-00019635-2022"/>
    <s v="Teichmann Group / Kongo River"/>
    <s v="Mining"/>
    <s v="ANDY"/>
    <s v="Sabrina"/>
    <s v="COMP MOTOR"/>
    <s v="MOTOR COMP"/>
    <x v="0"/>
    <s v="SFA"/>
    <n v="0"/>
    <n v="26056.14"/>
    <n v="0"/>
    <n v="0"/>
    <n v="365.65"/>
    <n v="21715.84"/>
    <n v="3533.03"/>
    <e v="#DIV/0!"/>
    <n v="0.15"/>
    <n v="3257.3759999999997"/>
    <n v="0"/>
    <n v="0"/>
    <n v="0"/>
    <n v="3257.3759999999997"/>
    <n v="521.18016"/>
    <n v="3778.5561599999996"/>
    <n v="65.14752"/>
    <n v="0"/>
    <n v="65.14752"/>
    <m/>
    <n v="3192.2284799999998"/>
    <s v="O'NEILS"/>
    <n v="0.5"/>
    <n v="1596.1142399999999"/>
    <n v="1596.11"/>
    <d v="2023-10-20T00:00:00"/>
    <n v="4.2399999999815918E-3"/>
    <m/>
    <n v="3778.5561599999996"/>
    <n v="3778.5561599999996"/>
    <n v="0"/>
    <s v="SFA"/>
    <d v="2023-05-30T00:00:00"/>
    <m/>
    <m/>
    <s v="COMP MOTOR"/>
    <m/>
    <m/>
    <m/>
  </r>
  <r>
    <x v="2"/>
    <s v="Yes"/>
    <d v="2023-05-04T00:00:00"/>
    <d v="2023-03-22T00:00:00"/>
    <d v="2023-03-15T00:00:00"/>
    <d v="2024-01-19T00:00:00"/>
    <s v="000-228/AIB RDC/2023"/>
    <n v="21"/>
    <s v="INCORPORATION"/>
    <s v="12002-33002-0004-103-00017955-2023"/>
    <s v="GSA"/>
    <m/>
    <s v="SYNTYCHE"/>
    <s v="Grâce"/>
    <s v="MOTOR TPL"/>
    <s v="MOTOR TPL"/>
    <x v="0"/>
    <s v="SFA"/>
    <n v="0"/>
    <n v="3818.66"/>
    <n v="0"/>
    <n v="0"/>
    <n v="87.22"/>
    <n v="3147.24"/>
    <n v="517.51"/>
    <e v="#DIV/0!"/>
    <n v="0.1"/>
    <n v="314.72399999999999"/>
    <n v="0"/>
    <n v="0"/>
    <n v="0"/>
    <n v="314.72399999999999"/>
    <n v="50.355840000000001"/>
    <n v="365.07983999999999"/>
    <n v="6.2944800000000001"/>
    <n v="0"/>
    <n v="6.2944800000000001"/>
    <m/>
    <n v="308.42951999999997"/>
    <m/>
    <m/>
    <n v="0"/>
    <m/>
    <m/>
    <n v="0"/>
    <m/>
    <n v="365.07983999999999"/>
    <n v="365.07983999999999"/>
    <n v="0"/>
    <s v="SFA"/>
    <d v="2023-05-24T00:00:00"/>
    <m/>
    <m/>
    <s v="MOTOR TPL"/>
    <m/>
    <m/>
    <m/>
  </r>
  <r>
    <x v="6"/>
    <s v="Yes"/>
    <d v="2023-04-20T00:00:00"/>
    <d v="2023-04-20T00:00:00"/>
    <d v="2023-04-23T00:00:00"/>
    <d v="2024-04-22T00:00:00"/>
    <s v="000-229/AIB RDC/2023"/>
    <n v="0"/>
    <s v="SOUSCRIPTION"/>
    <s v="12002-33002-0004-103-00019672-2023"/>
    <s v="Chemaf Sarl"/>
    <s v="Mining"/>
    <s v="ANDY"/>
    <s v="Sabrina"/>
    <s v="MOTOR TPL"/>
    <s v="MOTOR TPL"/>
    <x v="0"/>
    <s v="SFA"/>
    <n v="0"/>
    <n v="234535.5"/>
    <n v="0"/>
    <n v="0"/>
    <n v="3871.39"/>
    <n v="194887.52"/>
    <n v="31801.42"/>
    <e v="#DIV/0!"/>
    <n v="0.1"/>
    <n v="19488.752"/>
    <n v="0"/>
    <n v="0"/>
    <n v="0"/>
    <n v="19488.752"/>
    <n v="3118.2003199999999"/>
    <n v="22606.95232"/>
    <n v="389.77503999999999"/>
    <m/>
    <n v="389.77503999999999"/>
    <m/>
    <n v="19098.97696"/>
    <s v="Aucun"/>
    <m/>
    <n v="0"/>
    <m/>
    <m/>
    <n v="0"/>
    <m/>
    <n v="22606.95232"/>
    <n v="22606.95232"/>
    <n v="0"/>
    <s v="SFA"/>
    <d v="2023-06-23T00:00:00"/>
    <m/>
    <m/>
    <s v="MOTOR TPL"/>
    <m/>
    <m/>
    <m/>
  </r>
  <r>
    <x v="6"/>
    <s v="Yes"/>
    <d v="2023-04-21T00:00:00"/>
    <d v="2023-04-21T00:00:00"/>
    <d v="2023-04-22T00:00:00"/>
    <d v="2024-04-21T00:00:00"/>
    <s v="000-230/AIB RDC/2023"/>
    <n v="0"/>
    <s v="SOUSCRIPTION"/>
    <s v="12002-33002-0004-103-00019692-2023"/>
    <s v="Kibangudi Ntanda Jacqueline"/>
    <m/>
    <s v="ANDY"/>
    <s v="Sabrina"/>
    <s v="MOTOR TPL"/>
    <s v="MOTOR TPL"/>
    <x v="0"/>
    <s v="SFA"/>
    <m/>
    <n v="229.93"/>
    <n v="0"/>
    <n v="0"/>
    <n v="4.8499999999999996"/>
    <n v="190"/>
    <n v="31.18"/>
    <e v="#DIV/0!"/>
    <n v="0.125"/>
    <n v="23.75"/>
    <m/>
    <m/>
    <n v="0"/>
    <n v="23.75"/>
    <n v="3.8000000000000003"/>
    <n v="27.55"/>
    <n v="0.47500000000000003"/>
    <m/>
    <n v="0.47500000000000003"/>
    <m/>
    <n v="23.274999999999999"/>
    <s v="Aucun"/>
    <m/>
    <n v="0"/>
    <m/>
    <m/>
    <n v="0"/>
    <m/>
    <n v="27.55"/>
    <n v="27.55"/>
    <n v="0"/>
    <s v="SFA"/>
    <d v="2023-05-30T00:00:00"/>
    <m/>
    <m/>
    <s v="MOTOR TPL"/>
    <m/>
    <m/>
    <m/>
  </r>
  <r>
    <x v="2"/>
    <s v="Yes"/>
    <d v="2023-04-21T00:00:00"/>
    <d v="2023-04-01T00:00:00"/>
    <d v="2023-03-27T00:00:00"/>
    <d v="2023-06-26T00:00:00"/>
    <s v="000-231/AIB RDC/2023"/>
    <n v="0"/>
    <s v="SOUSCRIPTION"/>
    <n v="70100016"/>
    <s v="CHUAN TIE ELECTRIC (TIANJIN) GROUP SARL / Bolloré"/>
    <m/>
    <s v="SYNTYCHE"/>
    <s v="Victor"/>
    <s v="MARINE CARGO / GIT"/>
    <s v="MARINE"/>
    <x v="6"/>
    <s v="RAWSUR"/>
    <n v="189956.96"/>
    <n v="1239.19"/>
    <n v="0"/>
    <n v="0"/>
    <n v="222"/>
    <n v="828.16"/>
    <n v="168.03"/>
    <n v="4.3597244344192494E-3"/>
    <n v="0.15"/>
    <n v="124.22399999999999"/>
    <n v="0"/>
    <n v="0"/>
    <n v="0"/>
    <n v="124.22399999999999"/>
    <n v="19.87584"/>
    <n v="144.09984"/>
    <n v="2.48448"/>
    <n v="0"/>
    <n v="2.48448"/>
    <m/>
    <n v="121.73951999999998"/>
    <s v="BOLLORE"/>
    <n v="0.4"/>
    <n v="48.695808"/>
    <n v="48.695808"/>
    <d v="2023-10-30T00:00:00"/>
    <n v="0"/>
    <m/>
    <n v="144.09984"/>
    <n v="144.09984"/>
    <n v="0"/>
    <s v="RAWSUR"/>
    <d v="2023-04-27T00:00:00"/>
    <m/>
    <s v="ONCE OFF"/>
    <s v="MARINE CARGO / GIT"/>
    <m/>
    <m/>
    <m/>
  </r>
  <r>
    <x v="6"/>
    <s v="Yes"/>
    <d v="2023-04-29T00:00:00"/>
    <d v="2023-04-28T00:00:00"/>
    <d v="2023-04-28T00:00:00"/>
    <d v="2024-04-22T00:00:00"/>
    <s v="000-232/AIB RDC/2023"/>
    <n v="1"/>
    <s v="RISTOURNE"/>
    <s v="12002-33002-0004-103-00019672-2023"/>
    <s v="Chemaf Sarl"/>
    <s v="Mining"/>
    <s v="ANDY"/>
    <s v="Sabrina"/>
    <s v="MOTOR TPL"/>
    <s v="MOTOR TPL"/>
    <x v="0"/>
    <s v="SFA"/>
    <n v="0"/>
    <n v="-8022.56"/>
    <n v="0"/>
    <n v="0"/>
    <m/>
    <n v="-6916"/>
    <n v="-1106.56"/>
    <e v="#DIV/0!"/>
    <n v="0.1"/>
    <n v="-691.6"/>
    <n v="0"/>
    <n v="0"/>
    <n v="0"/>
    <n v="-691.6"/>
    <n v="-110.65600000000001"/>
    <n v="-802.25600000000009"/>
    <n v="-13.832000000000001"/>
    <m/>
    <n v="-13.832000000000001"/>
    <m/>
    <n v="-677.76800000000003"/>
    <s v="Aucun"/>
    <m/>
    <n v="0"/>
    <m/>
    <m/>
    <n v="0"/>
    <m/>
    <m/>
    <n v="-802.25600000000009"/>
    <n v="-802.25600000000009"/>
    <s v="SFA"/>
    <m/>
    <m/>
    <m/>
    <s v="MOTOR TPL"/>
    <m/>
    <m/>
    <m/>
  </r>
  <r>
    <x v="6"/>
    <s v="Yes"/>
    <d v="2023-04-10T00:00:00"/>
    <d v="2024-04-20T00:00:00"/>
    <d v="2023-04-11T00:00:00"/>
    <d v="2024-04-09T00:00:00"/>
    <s v="000-233/AIB RDC/2023"/>
    <n v="0"/>
    <s v="SOUSCRIPTION"/>
    <s v="12005-33002-0003-13001-00005337-2023"/>
    <s v="CENTRE MEDICAL DIAMANT"/>
    <m/>
    <s v="MICHEE"/>
    <s v="Tychique"/>
    <s v="MOTOR TPL"/>
    <s v="MOTOR TPL"/>
    <x v="5"/>
    <s v="MAYFAIR"/>
    <n v="0"/>
    <n v="2317.88"/>
    <m/>
    <m/>
    <n v="120"/>
    <n v="1844.3"/>
    <n v="314.29000000000002"/>
    <e v="#DIV/0!"/>
    <n v="0.1"/>
    <n v="184.43"/>
    <n v="0"/>
    <n v="0"/>
    <n v="0"/>
    <n v="184.43"/>
    <n v="29.508800000000001"/>
    <n v="213.93880000000001"/>
    <n v="3.6886000000000001"/>
    <m/>
    <n v="3.6886000000000001"/>
    <m/>
    <n v="180.7414"/>
    <m/>
    <m/>
    <n v="0"/>
    <m/>
    <m/>
    <n v="0"/>
    <m/>
    <n v="213.93880000000001"/>
    <n v="213.93880000000001"/>
    <n v="0"/>
    <s v="MAYFAIR"/>
    <d v="2023-08-08T00:00:00"/>
    <m/>
    <m/>
    <s v="MOTOR TPL"/>
    <m/>
    <m/>
    <m/>
  </r>
  <r>
    <x v="6"/>
    <s v="Yes"/>
    <d v="2023-04-10T00:00:00"/>
    <d v="2023-04-09T00:00:00"/>
    <d v="2023-04-09T00:00:00"/>
    <d v="2024-04-07T00:00:00"/>
    <s v="000-234/AIB RDC/2023"/>
    <n v="2"/>
    <s v="RENOUVELLEMENT"/>
    <s v="12005-33002-0010-13001-00001333-2022"/>
    <s v="GARDAWOLD DRC SARL"/>
    <m/>
    <s v="MICHEE"/>
    <s v="Tychique"/>
    <s v="MOTOR TPL"/>
    <s v="MOTOR TPL"/>
    <x v="5"/>
    <s v="MAYFAIR"/>
    <n v="0"/>
    <n v="3603.55"/>
    <n v="0"/>
    <n v="0"/>
    <n v="180"/>
    <n v="2873.85"/>
    <n v="488.62"/>
    <e v="#DIV/0!"/>
    <n v="0.1"/>
    <n v="287.38499999999999"/>
    <n v="0"/>
    <n v="0"/>
    <n v="0"/>
    <n v="287.38499999999999"/>
    <n v="45.9816"/>
    <n v="333.36660000000001"/>
    <n v="5.7477"/>
    <m/>
    <n v="5.7477"/>
    <m/>
    <n v="281.63729999999998"/>
    <m/>
    <m/>
    <n v="0"/>
    <m/>
    <m/>
    <n v="0"/>
    <m/>
    <n v="166.68"/>
    <n v="333.36660000000001"/>
    <n v="166.6866"/>
    <s v="MAYFAIR"/>
    <d v="2023-08-08T00:00:00"/>
    <m/>
    <m/>
    <s v="MOTOR TPL"/>
    <m/>
    <m/>
    <s v="01-11-2023//Paiement échélonné/ le reste a été payé cfr Michée "/>
  </r>
  <r>
    <x v="4"/>
    <s v="Yes"/>
    <d v="2023-04-13T00:00:00"/>
    <d v="2023-05-05T00:00:00"/>
    <d v="2023-05-05T00:00:00"/>
    <d v="2024-05-04T00:00:00"/>
    <s v="000-235/AIB RDC/2023"/>
    <n v="0"/>
    <s v="SOUSCRIPTION"/>
    <s v="12001-33002-0007-112-00000577-2022"/>
    <s v="TERMINAL CONTAINER KINSHASA (TCK)"/>
    <m/>
    <s v="MICHEE"/>
    <s v="Tychique"/>
    <s v="FIRE"/>
    <s v="PROPERTIES"/>
    <x v="1"/>
    <s v="ACTIVA"/>
    <n v="2019599"/>
    <n v="7364.41"/>
    <n v="0"/>
    <n v="0"/>
    <n v="62.86"/>
    <n v="6285.68"/>
    <n v="1015.77"/>
    <n v="3.1123406181128039E-3"/>
    <n v="0.1"/>
    <n v="628.5680000000001"/>
    <m/>
    <m/>
    <n v="0"/>
    <n v="628.5680000000001"/>
    <n v="100.57088000000002"/>
    <n v="729.13888000000009"/>
    <n v="12.571360000000002"/>
    <m/>
    <n v="12.571360000000002"/>
    <m/>
    <n v="615.99664000000007"/>
    <m/>
    <m/>
    <n v="0"/>
    <m/>
    <m/>
    <n v="0"/>
    <m/>
    <n v="729.13888000000009"/>
    <n v="729.13888000000009"/>
    <n v="0"/>
    <s v="ACTIVA"/>
    <d v="2023-07-07T00:00:00"/>
    <m/>
    <m/>
    <s v="FIRE"/>
    <m/>
    <m/>
    <m/>
  </r>
  <r>
    <x v="6"/>
    <s v="Yes"/>
    <d v="2023-04-19T00:00:00"/>
    <d v="2023-04-20T00:00:00"/>
    <d v="2023-04-18T00:00:00"/>
    <d v="2023-07-17T00:00:00"/>
    <s v="000-236/AIB RDC/2023"/>
    <n v="0"/>
    <s v="SOUSCRIPTION"/>
    <s v="33002-0011-111-0006995 / 0001"/>
    <s v="SOCIETE ZHENGWEI TECHNIQUE COOPERATION"/>
    <m/>
    <s v="MICHEE"/>
    <s v="Tychique"/>
    <s v="MARINE CARGO / GIT"/>
    <s v="MARINE"/>
    <x v="4"/>
    <s v="SUNU"/>
    <n v="81401"/>
    <n v="220.01"/>
    <n v="0"/>
    <n v="0"/>
    <n v="35"/>
    <n v="154.66"/>
    <n v="30.35"/>
    <n v="1.8999766587634059E-3"/>
    <n v="0.15"/>
    <n v="23.198999999999998"/>
    <n v="0"/>
    <n v="0"/>
    <n v="0"/>
    <n v="23.198999999999998"/>
    <n v="3.7118399999999996"/>
    <n v="26.910839999999997"/>
    <n v="0.46397999999999995"/>
    <m/>
    <n v="0.46397999999999995"/>
    <m/>
    <n v="22.735019999999999"/>
    <m/>
    <m/>
    <n v="0"/>
    <m/>
    <m/>
    <n v="0"/>
    <m/>
    <n v="26.910839999999997"/>
    <n v="26.910839999999997"/>
    <n v="0"/>
    <s v="SUNU"/>
    <d v="2023-05-16T00:00:00"/>
    <m/>
    <s v="ONCE OFF"/>
    <s v="MARINE CARGO / GIT"/>
    <m/>
    <m/>
    <m/>
  </r>
  <r>
    <x v="6"/>
    <s v="Yes"/>
    <d v="2023-04-19T00:00:00"/>
    <d v="2023-01-19T00:00:00"/>
    <d v="2023-04-18T00:00:00"/>
    <d v="2024-04-17T00:00:00"/>
    <s v="000-237/AIB RDC/2023"/>
    <n v="1"/>
    <s v="RENOUVELLEMENT"/>
    <s v="12005-33002-0012-13001-00005457-2023"/>
    <s v="BRAVIO COMERCIO/NADCO TRADING INTERNATIONAL"/>
    <m/>
    <s v="ALICE"/>
    <s v="Michée"/>
    <s v="FIRE"/>
    <s v="PROPERTIES"/>
    <x v="5"/>
    <s v="MAYFAIR"/>
    <n v="5467500"/>
    <n v="3767"/>
    <n v="0"/>
    <n v="0"/>
    <n v="50"/>
    <n v="3142"/>
    <n v="511"/>
    <n v="5.7466849565614999E-4"/>
    <n v="0.15"/>
    <n v="471.29999999999995"/>
    <m/>
    <m/>
    <n v="0"/>
    <n v="471.29999999999995"/>
    <n v="75.408000000000001"/>
    <n v="546.70799999999997"/>
    <n v="9.4260000000000002"/>
    <m/>
    <n v="9.4260000000000002"/>
    <m/>
    <n v="461.87399999999997"/>
    <m/>
    <m/>
    <n v="0"/>
    <m/>
    <m/>
    <n v="0"/>
    <m/>
    <n v="546.70799999999997"/>
    <n v="546.70799999999997"/>
    <n v="0"/>
    <s v="MAYFAIR"/>
    <d v="2023-06-01T00:00:00"/>
    <m/>
    <m/>
    <s v="FIRE"/>
    <m/>
    <m/>
    <m/>
  </r>
  <r>
    <x v="6"/>
    <s v="Yes"/>
    <d v="2023-04-19T00:00:00"/>
    <d v="2023-01-19T00:00:00"/>
    <d v="2023-04-18T00:00:00"/>
    <d v="2024-04-17T00:00:00"/>
    <s v="000-238/AIB RDC/2023"/>
    <n v="1"/>
    <s v="RENOUVELLEMENT"/>
    <s v="12005-33002-0012-13001-00005457-2023"/>
    <s v="GLOBAL TRADING CONGO SARL"/>
    <m/>
    <s v="ALICE"/>
    <s v="Michée"/>
    <s v="FIRE"/>
    <s v="PROPERTIES"/>
    <x v="5"/>
    <s v="MAYFAIR"/>
    <n v="3000000"/>
    <n v="2854"/>
    <n v="0"/>
    <n v="0"/>
    <n v="50"/>
    <n v="2369"/>
    <n v="387"/>
    <n v="7.8966666666666671E-4"/>
    <n v="0.15"/>
    <n v="355.34999999999997"/>
    <m/>
    <m/>
    <n v="0"/>
    <n v="355.34999999999997"/>
    <n v="56.855999999999995"/>
    <n v="412.20599999999996"/>
    <n v="7.1069999999999993"/>
    <m/>
    <n v="7.1069999999999993"/>
    <m/>
    <n v="348.24299999999994"/>
    <m/>
    <m/>
    <n v="0"/>
    <m/>
    <m/>
    <n v="0"/>
    <m/>
    <n v="412.20599999999996"/>
    <n v="412.20599999999996"/>
    <n v="0"/>
    <s v="MAYFAIR"/>
    <d v="2023-06-01T00:00:00"/>
    <m/>
    <m/>
    <s v="FIRE"/>
    <m/>
    <m/>
    <m/>
  </r>
  <r>
    <x v="6"/>
    <s v="Yes"/>
    <d v="2023-04-19T00:00:00"/>
    <d v="2023-01-19T00:00:00"/>
    <d v="2023-04-18T00:00:00"/>
    <d v="2024-04-17T00:00:00"/>
    <s v="000-239/AIB RDC/2023"/>
    <n v="0"/>
    <s v="SOUSCRIPTION"/>
    <s v="12005-33002-0012-13001-00005457-2023"/>
    <s v="LAXMAN CONGO SARL"/>
    <m/>
    <s v="ALICE"/>
    <s v="Michée"/>
    <s v="PROPERTY DAMAGE &amp; BI"/>
    <s v="PROPERTIES"/>
    <x v="5"/>
    <s v="MAYFAIR"/>
    <n v="5000000"/>
    <n v="63363"/>
    <n v="0"/>
    <n v="0"/>
    <n v="100"/>
    <n v="53602"/>
    <n v="8592"/>
    <n v="1.07204E-2"/>
    <n v="0.15"/>
    <n v="8040.2999999999993"/>
    <n v="0"/>
    <n v="0"/>
    <n v="0"/>
    <n v="8040.2999999999993"/>
    <n v="1286.4479999999999"/>
    <n v="9326.7479999999996"/>
    <n v="160.80599999999998"/>
    <m/>
    <n v="160.80599999999998"/>
    <m/>
    <n v="7879.4939999999997"/>
    <m/>
    <m/>
    <n v="0"/>
    <m/>
    <m/>
    <n v="0"/>
    <m/>
    <n v="9326.7479999999996"/>
    <n v="9326.7479999999996"/>
    <n v="0"/>
    <s v="MAYFAIR"/>
    <d v="2023-06-01T00:00:00"/>
    <m/>
    <m/>
    <s v="PROPERTY DAMAGE &amp; BI"/>
    <m/>
    <m/>
    <m/>
  </r>
  <r>
    <x v="6"/>
    <s v="Yes"/>
    <d v="2023-04-19T00:00:00"/>
    <d v="2023-01-19T00:00:00"/>
    <d v="2023-04-18T00:00:00"/>
    <d v="2024-04-17T00:00:00"/>
    <s v="000-240/AIB RDC/2023"/>
    <n v="0"/>
    <s v="SOUSCRIPTION"/>
    <s v="12005-33002-0011-13001-00005458-2023"/>
    <s v="LAXMAN CONGO SARL ( AFRICOS SARL)"/>
    <m/>
    <s v="ALICE"/>
    <s v="Michée"/>
    <s v="MARINE CARGO / GIT"/>
    <s v="MARINE"/>
    <x v="5"/>
    <s v="MAYFAIR"/>
    <n v="3000000"/>
    <n v="70523"/>
    <n v="0"/>
    <n v="0"/>
    <n v="100"/>
    <n v="59666"/>
    <n v="9562"/>
    <n v="1.9888666666666666E-2"/>
    <n v="0.15"/>
    <n v="8949.9"/>
    <n v="0"/>
    <n v="0"/>
    <n v="0"/>
    <n v="8949.9"/>
    <n v="1431.9839999999999"/>
    <n v="10381.884"/>
    <n v="178.99799999999999"/>
    <m/>
    <n v="178.99799999999999"/>
    <m/>
    <n v="8770.902"/>
    <m/>
    <m/>
    <n v="0"/>
    <m/>
    <m/>
    <n v="0"/>
    <m/>
    <n v="10381.884"/>
    <n v="10381.884"/>
    <n v="0"/>
    <s v="MAYFAIR"/>
    <d v="2023-06-01T00:00:00"/>
    <m/>
    <m/>
    <s v="MARINE CARGO / GIT"/>
    <m/>
    <m/>
    <m/>
  </r>
  <r>
    <x v="6"/>
    <s v="Yes"/>
    <d v="2023-04-26T00:00:00"/>
    <d v="2023-04-27T00:00:00"/>
    <d v="2023-04-26T00:00:00"/>
    <d v="2024-04-25T00:00:00"/>
    <s v="000-241/AIB RDC/2023"/>
    <n v="0"/>
    <s v="SOUSCRIPTION"/>
    <s v="11005-33002-0011-13001-00005533-2023"/>
    <s v="EASTCASTLE INFRASTRUCTURE DRC SARLU"/>
    <m/>
    <s v="MICHEE"/>
    <s v="Tychique"/>
    <s v="MARINE CARGO / GIT"/>
    <s v="MARINE"/>
    <x v="5"/>
    <s v="MAYFAIR"/>
    <n v="7685028"/>
    <n v="20532.37"/>
    <n v="0"/>
    <n v="0"/>
    <n v="100"/>
    <n v="17300.310000000001"/>
    <n v="2784.05"/>
    <n v="2.2511707179206117E-3"/>
    <n v="0.15"/>
    <n v="2595.0464999999999"/>
    <n v="0"/>
    <n v="0"/>
    <n v="0"/>
    <n v="2595.0464999999999"/>
    <n v="415.20744000000002"/>
    <n v="3010.2539400000001"/>
    <n v="51.900930000000002"/>
    <m/>
    <n v="51.900930000000002"/>
    <m/>
    <n v="2543.1455700000001"/>
    <s v="MARSH"/>
    <m/>
    <n v="0"/>
    <m/>
    <m/>
    <n v="0"/>
    <m/>
    <n v="3010.2539400000001"/>
    <n v="3010.2539400000001"/>
    <n v="0"/>
    <s v="MAYFAIR"/>
    <d v="2023-06-29T00:00:00"/>
    <m/>
    <m/>
    <s v="MARINE CARGO / GIT"/>
    <m/>
    <m/>
    <m/>
  </r>
  <r>
    <x v="4"/>
    <s v="Yes"/>
    <d v="2023-04-28T00:00:00"/>
    <d v="2023-05-29T00:00:00"/>
    <d v="2023-05-01T00:00:00"/>
    <d v="2024-04-30T00:00:00"/>
    <s v="000-242/AIB RDC/2023"/>
    <n v="0"/>
    <s v="SOUSCRIPTION"/>
    <s v="33002-0017-104-0000037 / 0012"/>
    <s v="HELIOS INFRACO DRC SARL ( HT)"/>
    <m/>
    <s v="MICHEE"/>
    <s v="Tychique"/>
    <s v="COMP MOTOR"/>
    <s v="MOTOR COMP"/>
    <x v="4"/>
    <s v="SUNU"/>
    <n v="1083750"/>
    <n v="55416.94"/>
    <n v="0"/>
    <n v="0"/>
    <n v="473"/>
    <n v="47300.23"/>
    <n v="7643.72"/>
    <n v="4.3644964244521342E-2"/>
    <n v="0.15"/>
    <n v="7095.0345000000007"/>
    <n v="0"/>
    <n v="0"/>
    <n v="0"/>
    <n v="7095.0345000000007"/>
    <n v="1135.2055200000002"/>
    <n v="8230.2400200000011"/>
    <n v="141.90069000000003"/>
    <n v="0"/>
    <n v="141.90069000000003"/>
    <m/>
    <n v="6953.1338100000003"/>
    <s v="LOKTON/OLEA"/>
    <m/>
    <n v="0"/>
    <m/>
    <m/>
    <n v="0"/>
    <m/>
    <n v="8230.2400200000011"/>
    <n v="8230.2400200000011"/>
    <n v="0"/>
    <s v="SUNU"/>
    <d v="2023-07-10T00:00:00"/>
    <m/>
    <m/>
    <s v="COMP MOTOR"/>
    <m/>
    <m/>
    <m/>
  </r>
  <r>
    <x v="4"/>
    <s v="Yes"/>
    <d v="2023-04-28T00:00:00"/>
    <d v="2023-05-01T00:00:00"/>
    <d v="2023-05-01T00:00:00"/>
    <d v="2024-04-30T00:00:00"/>
    <s v="000-243/AIB RDC/2023"/>
    <n v="3"/>
    <s v="RENOUVELLEMENT"/>
    <s v="11001-33002-0001-207-00000018-2022 / 219000001"/>
    <s v="HELIOS INFRACO DRC SARL ( HT)"/>
    <m/>
    <s v="MICHEE"/>
    <s v="Tychique"/>
    <s v="LIFE"/>
    <s v="LIFE"/>
    <x v="3"/>
    <s v="RAWSUR - LIFE"/>
    <n v="18686258"/>
    <n v="100000"/>
    <n v="0"/>
    <n v="0"/>
    <n v="990.1"/>
    <n v="99009.9"/>
    <n v="0"/>
    <n v="5.298540777934244E-3"/>
    <n v="0.1"/>
    <n v="9900.99"/>
    <n v="0"/>
    <n v="0"/>
    <n v="0"/>
    <n v="9900.99"/>
    <n v="0"/>
    <n v="9900.99"/>
    <n v="99.009900000000002"/>
    <n v="0"/>
    <n v="99.009900000000002"/>
    <m/>
    <n v="9801.9801000000007"/>
    <s v="LOKTON/OLEA"/>
    <m/>
    <n v="0"/>
    <m/>
    <m/>
    <n v="0"/>
    <m/>
    <n v="9900.99"/>
    <n v="9900.99"/>
    <n v="0"/>
    <s v="RAWSUR - LIFE"/>
    <d v="2023-07-17T00:00:00"/>
    <m/>
    <m/>
    <s v="LIFE"/>
    <m/>
    <m/>
    <m/>
  </r>
  <r>
    <x v="4"/>
    <s v="Yes"/>
    <d v="2023-04-28T00:00:00"/>
    <d v="2023-05-18T00:00:00"/>
    <d v="2023-05-02T00:00:00"/>
    <d v="2024-05-01T00:00:00"/>
    <s v="000-244/AIB RDC/2023"/>
    <n v="3"/>
    <s v="RENOUVELLEMENT"/>
    <s v="12003-33002-0003-112-00000039-2022 / 45000012"/>
    <s v="HELIOS INFRACO DRC SARL ( HT)"/>
    <m/>
    <s v="MICHEE"/>
    <s v="Tychique"/>
    <s v="FIRE"/>
    <s v="PROPERTIES"/>
    <x v="6"/>
    <s v="RAWSUR"/>
    <n v="26048744.32"/>
    <n v="40718.79"/>
    <n v="0"/>
    <n v="0"/>
    <n v="100"/>
    <n v="34407.440000000002"/>
    <n v="5521.19"/>
    <n v="1.320886702918047E-3"/>
    <n v="0.15"/>
    <n v="5161.116"/>
    <n v="0"/>
    <n v="0"/>
    <n v="0"/>
    <n v="5161.116"/>
    <n v="825.77855999999997"/>
    <n v="5986.8945599999997"/>
    <n v="103.22232"/>
    <n v="0"/>
    <n v="103.22232"/>
    <m/>
    <n v="5057.8936800000001"/>
    <s v="LOKTON/OLEA"/>
    <m/>
    <n v="0"/>
    <m/>
    <m/>
    <n v="0"/>
    <m/>
    <n v="5986.8945599999997"/>
    <n v="5986.8945599999997"/>
    <n v="0"/>
    <s v="RAWSUR"/>
    <d v="2023-06-22T00:00:00"/>
    <m/>
    <m/>
    <s v="FIRE"/>
    <m/>
    <m/>
    <m/>
  </r>
  <r>
    <x v="4"/>
    <s v="Yes"/>
    <d v="2023-03-31T00:00:00"/>
    <d v="2023-05-20T00:00:00"/>
    <d v="2023-05-01T00:00:00"/>
    <d v="2024-04-29T00:00:00"/>
    <s v="000-245/AIB RDC/2023"/>
    <n v="0"/>
    <s v="SOUSCRIPTION"/>
    <s v="00020283_x000a_"/>
    <s v="HELIOS INFRACO DRC SARL ( HT)"/>
    <m/>
    <s v="MICHEE"/>
    <s v="Tychique"/>
    <s v="PUBLIC LIABILITY"/>
    <s v="LIABILITIES"/>
    <x v="0"/>
    <s v="SFA"/>
    <n v="5000000"/>
    <n v="25574.97"/>
    <n v="1937.87"/>
    <n v="0"/>
    <n v="116"/>
    <n v="19262.5"/>
    <n v="3410.62"/>
    <n v="3.8525E-3"/>
    <n v="0.15"/>
    <n v="2889.375"/>
    <n v="0"/>
    <n v="0"/>
    <n v="0"/>
    <n v="2889.375"/>
    <n v="462.3"/>
    <n v="3351.6750000000002"/>
    <n v="57.787500000000001"/>
    <n v="0"/>
    <n v="57.787500000000001"/>
    <m/>
    <n v="2831.5875000000001"/>
    <s v="LOKTON/OLEA"/>
    <m/>
    <n v="0"/>
    <m/>
    <m/>
    <n v="0"/>
    <m/>
    <n v="3351.6750000000002"/>
    <n v="3351.6750000000002"/>
    <n v="0"/>
    <s v="SFA"/>
    <d v="2023-06-23T00:00:00"/>
    <m/>
    <m/>
    <s v="PUBLIC LIABILITY"/>
    <m/>
    <m/>
    <m/>
  </r>
  <r>
    <x v="4"/>
    <s v="Yes"/>
    <d v="2024-04-28T00:00:00"/>
    <d v="2023-05-01T00:00:00"/>
    <d v="2023-05-01T00:00:00"/>
    <d v="2024-04-30T00:00:00"/>
    <s v="000-246/AIB RDC/2023"/>
    <n v="0"/>
    <s v="SOUSCRIPTION"/>
    <n v="73200027"/>
    <s v="HELIOS INFRACO DRC SARL ( HT)"/>
    <m/>
    <s v="MICHEE"/>
    <s v="Tychique"/>
    <s v="MARINE CARGO / GIT"/>
    <s v="MARINE"/>
    <x v="6"/>
    <s v="RAWSUR"/>
    <n v="17284320"/>
    <n v="38869.449999999997"/>
    <n v="0"/>
    <n v="0"/>
    <n v="100"/>
    <n v="32840.21"/>
    <n v="5270"/>
    <n v="1.9000001157118127E-3"/>
    <n v="0.15"/>
    <n v="4926.0315000000001"/>
    <n v="0"/>
    <n v="0"/>
    <n v="0"/>
    <n v="4926.0315000000001"/>
    <n v="788.16503999999998"/>
    <n v="5714.1965399999999"/>
    <n v="98.520629999999997"/>
    <n v="0"/>
    <n v="98.520629999999997"/>
    <m/>
    <n v="4827.5108700000001"/>
    <s v="LOKTON/OLEA"/>
    <m/>
    <n v="0"/>
    <m/>
    <m/>
    <n v="0"/>
    <m/>
    <n v="5714.1965399999999"/>
    <n v="5714.1965399999999"/>
    <n v="0"/>
    <s v="RAWSUR"/>
    <d v="2023-06-22T00:00:00"/>
    <m/>
    <m/>
    <s v="MARINE CARGO / GIT"/>
    <m/>
    <m/>
    <m/>
  </r>
  <r>
    <x v="6"/>
    <s v="Yes"/>
    <d v="2023-03-16T00:00:00"/>
    <d v="2023-04-01T00:00:00"/>
    <d v="2023-04-01T00:00:00"/>
    <d v="2024-03-31T00:00:00"/>
    <s v="000-247/AIB RDC/2023"/>
    <n v="0"/>
    <s v="SOUSCRIPTION"/>
    <n v="10200004"/>
    <s v="AFRYMARA"/>
    <m/>
    <s v="ALICE"/>
    <s v="Apphia"/>
    <s v="MEDICAL"/>
    <s v="MEDICAL &amp; GPA"/>
    <x v="6"/>
    <s v="RAWSUR"/>
    <n v="0"/>
    <n v="5318"/>
    <n v="0"/>
    <n v="0"/>
    <n v="0"/>
    <n v="5213.7299999999996"/>
    <n v="0"/>
    <e v="#DIV/0!"/>
    <n v="0.05"/>
    <n v="260.68649999999997"/>
    <m/>
    <m/>
    <n v="0"/>
    <n v="260.68649999999997"/>
    <n v="0"/>
    <n v="260.68649999999997"/>
    <n v="5.2137299999999991"/>
    <m/>
    <n v="5.2137299999999991"/>
    <m/>
    <n v="255.47276999999997"/>
    <m/>
    <m/>
    <n v="0"/>
    <m/>
    <m/>
    <n v="0"/>
    <m/>
    <n v="260.68649999999997"/>
    <n v="260.68649999999997"/>
    <n v="0"/>
    <s v="RAWSUR"/>
    <d v="2023-05-26T00:00:00"/>
    <m/>
    <m/>
    <s v="MEDICAL"/>
    <m/>
    <m/>
    <m/>
  </r>
  <r>
    <x v="0"/>
    <s v="Yes"/>
    <d v="2023-12-16T00:00:00"/>
    <d v="2023-01-01T00:00:00"/>
    <d v="2023-01-01T00:00:00"/>
    <d v="2023-12-31T00:00:00"/>
    <s v="000-248/AIB RDC/2023"/>
    <n v="0"/>
    <s v="SOUSCRIPTION"/>
    <s v="11001-33002-0001-207-00000012-2022 / 219000003"/>
    <s v="AIRTEL Money"/>
    <m/>
    <s v="ALICE"/>
    <s v="Apphia"/>
    <s v="LIFE"/>
    <s v="LIFE"/>
    <x v="3"/>
    <s v="UAP INSURANCE COMPANY LIMITED"/>
    <n v="0"/>
    <n v="7751.26"/>
    <n v="767.45"/>
    <n v="0"/>
    <n v="0"/>
    <n v="6907.06"/>
    <n v="0"/>
    <e v="#DIV/0!"/>
    <n v="0"/>
    <n v="0"/>
    <n v="177.00000000000031"/>
    <n v="264.68"/>
    <n v="0"/>
    <n v="441.68000000000029"/>
    <n v="0"/>
    <n v="441.68000000000029"/>
    <n v="4.4168000000000029"/>
    <n v="0"/>
    <n v="4.4168000000000029"/>
    <m/>
    <n v="437.26320000000027"/>
    <m/>
    <m/>
    <n v="0"/>
    <m/>
    <m/>
    <n v="0"/>
    <m/>
    <n v="177"/>
    <n v="441.68000000000029"/>
    <n v="264.68000000000029"/>
    <s v="OLEA Kenya"/>
    <d v="2023-06-06T00:00:00"/>
    <m/>
    <m/>
    <s v="LIFE"/>
    <m/>
    <m/>
    <s v="Commision à collecter dans le bordereau de Mai"/>
  </r>
  <r>
    <x v="0"/>
    <s v="Yes"/>
    <d v="2023-12-16T00:00:00"/>
    <d v="2023-01-01T00:00:00"/>
    <d v="2023-01-01T00:00:00"/>
    <d v="2023-12-31T00:00:00"/>
    <s v="000-249/AIB RDC/2023"/>
    <n v="2"/>
    <s v="RENOUVELLEMENT"/>
    <s v="11001-33002-0001-207-00000012-2022 / 219000003"/>
    <s v="AIRTEL DRC"/>
    <m/>
    <s v="ALICE"/>
    <s v="Apphia"/>
    <s v="LIFE"/>
    <s v="LIFE"/>
    <x v="3"/>
    <s v="UAP INSURANCE COMPANY LIMITED"/>
    <n v="0"/>
    <n v="111384.82"/>
    <n v="9023.27"/>
    <n v="0"/>
    <n v="0"/>
    <n v="101258.73"/>
    <n v="0"/>
    <e v="#DIV/0!"/>
    <n v="0.04"/>
    <n v="3847.83"/>
    <n v="2706.9810000000002"/>
    <n v="0"/>
    <n v="0"/>
    <n v="6554.8109999999997"/>
    <n v="0"/>
    <n v="6554.8109999999997"/>
    <n v="65.548109999999994"/>
    <n v="0"/>
    <n v="65.548109999999994"/>
    <m/>
    <n v="6489.26289"/>
    <m/>
    <m/>
    <n v="0"/>
    <m/>
    <m/>
    <n v="0"/>
    <m/>
    <n v="6554.8109999999997"/>
    <n v="6554.8109999999997"/>
    <n v="0"/>
    <s v="OLEA Kenya"/>
    <d v="2023-10-20T00:00:00"/>
    <s v="DN0045/AIB RDC/2023"/>
    <m/>
    <s v="LIFE"/>
    <m/>
    <m/>
    <s v="Commision à collecter dans le bordereau de Mai"/>
  </r>
  <r>
    <x v="6"/>
    <s v="Yes"/>
    <d v="2023-03-28T00:00:00"/>
    <d v="2023-04-17T00:00:00"/>
    <d v="2023-04-12T00:00:00"/>
    <d v="2024-04-11T00:00:00"/>
    <s v="000-250/AIB RDC/2023"/>
    <n v="1"/>
    <s v="RENOUVELLEMENT"/>
    <s v="12002-33002-0002-112-00019552-2023"/>
    <s v="CEGELEC RDC"/>
    <m/>
    <s v="ALICE"/>
    <s v="Apphia"/>
    <s v="FIRE"/>
    <s v="PROPERTIES"/>
    <x v="0"/>
    <s v="SFA"/>
    <n v="0"/>
    <n v="702.09"/>
    <n v="0"/>
    <n v="0"/>
    <n v="20"/>
    <n v="574.99"/>
    <n v="95.2"/>
    <e v="#DIV/0!"/>
    <n v="0.1"/>
    <n v="57.499000000000002"/>
    <n v="0"/>
    <n v="0"/>
    <n v="0"/>
    <n v="57.499000000000002"/>
    <n v="9.19984"/>
    <n v="66.698840000000004"/>
    <n v="1.14998"/>
    <n v="0"/>
    <n v="1.14998"/>
    <m/>
    <n v="56.349020000000003"/>
    <s v="Aucun"/>
    <m/>
    <n v="0"/>
    <m/>
    <m/>
    <n v="0"/>
    <m/>
    <n v="66.698840000000004"/>
    <n v="66.698840000000004"/>
    <n v="0"/>
    <s v="SFA"/>
    <d v="2023-05-30T00:00:00"/>
    <m/>
    <m/>
    <s v="FIRE"/>
    <m/>
    <m/>
    <m/>
  </r>
  <r>
    <x v="6"/>
    <s v="Yes"/>
    <d v="2023-04-10T00:00:00"/>
    <d v="2023-04-27T00:00:00"/>
    <d v="2023-04-26T00:00:00"/>
    <d v="2024-04-25T00:00:00"/>
    <s v="000-251/AIB RDC/2023"/>
    <n v="1"/>
    <s v="RENOUVELLEMENT"/>
    <s v="12002-33002-0002-112-00019810-2023"/>
    <s v="NDAKO YA BANA"/>
    <m/>
    <s v="ALICE"/>
    <s v="Apphia"/>
    <s v="FIRE"/>
    <s v="PROPERTIES"/>
    <x v="0"/>
    <s v="SFA"/>
    <n v="0"/>
    <n v="195.01"/>
    <n v="0"/>
    <n v="0"/>
    <n v="20"/>
    <n v="145.26"/>
    <n v="26.44"/>
    <e v="#DIV/0!"/>
    <n v="0.1"/>
    <n v="14.526"/>
    <m/>
    <m/>
    <n v="0"/>
    <n v="14.526"/>
    <n v="2.32416"/>
    <n v="16.850159999999999"/>
    <n v="0.29052"/>
    <m/>
    <n v="0.29052"/>
    <m/>
    <n v="14.235479999999999"/>
    <m/>
    <m/>
    <n v="0"/>
    <m/>
    <m/>
    <n v="0"/>
    <m/>
    <n v="16.850159999999999"/>
    <n v="16.850159999999999"/>
    <n v="0"/>
    <s v="SFA"/>
    <d v="2023-05-30T00:00:00"/>
    <m/>
    <m/>
    <s v="FIRE"/>
    <m/>
    <m/>
    <m/>
  </r>
  <r>
    <x v="6"/>
    <s v="Yes"/>
    <d v="2023-05-03T00:00:00"/>
    <d v="2023-04-19T00:00:00"/>
    <d v="2023-04-07T00:00:00"/>
    <d v="2024-04-06T00:00:00"/>
    <s v="000-252/AIB RDC/2023"/>
    <n v="0"/>
    <s v="SOUSCRIPTION"/>
    <s v="12002-33002-0002-112-00019606-2023"/>
    <s v="KAMPI YA BOMA"/>
    <m/>
    <s v="SYNTYCHE"/>
    <s v="Syntyche"/>
    <s v="FIRE"/>
    <s v="PROPERTIES"/>
    <x v="0"/>
    <s v="SFA"/>
    <n v="0"/>
    <n v="6562.88"/>
    <n v="0"/>
    <n v="0"/>
    <n v="37.619999999999997"/>
    <n v="5524.14"/>
    <n v="889.88"/>
    <e v="#DIV/0!"/>
    <n v="0.1"/>
    <n v="552.4140000000001"/>
    <m/>
    <m/>
    <n v="0"/>
    <n v="552.4140000000001"/>
    <n v="88.386240000000015"/>
    <n v="640.80024000000014"/>
    <n v="11.048280000000002"/>
    <m/>
    <n v="11.048280000000002"/>
    <m/>
    <n v="541.36572000000012"/>
    <m/>
    <m/>
    <n v="0"/>
    <m/>
    <m/>
    <n v="0"/>
    <m/>
    <n v="640.80024000000014"/>
    <n v="640.80024000000014"/>
    <n v="0"/>
    <s v="SFA"/>
    <d v="2023-05-30T00:00:00"/>
    <m/>
    <m/>
    <s v="FIRE"/>
    <m/>
    <m/>
    <m/>
  </r>
  <r>
    <x v="6"/>
    <s v="Yes"/>
    <d v="2023-05-03T00:00:00"/>
    <d v="2023-04-19T00:00:00"/>
    <d v="2023-04-19T00:00:00"/>
    <d v="2024-04-18T00:00:00"/>
    <s v="000-253/AIB RDC/2023"/>
    <n v="0"/>
    <s v="SOUSCRIPTION"/>
    <s v="12002-33002-0002-112-00019605-2023"/>
    <s v="ALLIED INSURANCE BROKERS ( AIB) RDC SA"/>
    <m/>
    <s v="SYNTYCHE"/>
    <s v="Syntyche"/>
    <s v="FIRE"/>
    <s v="PROPERTIES"/>
    <x v="0"/>
    <s v="SFA"/>
    <n v="0"/>
    <n v="365.83"/>
    <n v="0"/>
    <n v="0"/>
    <n v="20"/>
    <n v="290.02999999999997"/>
    <n v="49.6"/>
    <e v="#DIV/0!"/>
    <n v="0.1"/>
    <n v="29.003"/>
    <m/>
    <m/>
    <n v="0"/>
    <n v="29.003"/>
    <n v="4.6404800000000002"/>
    <n v="33.643479999999997"/>
    <n v="0.58006000000000002"/>
    <m/>
    <n v="0.58006000000000002"/>
    <m/>
    <n v="28.422940000000001"/>
    <m/>
    <m/>
    <n v="0"/>
    <m/>
    <m/>
    <n v="0"/>
    <m/>
    <n v="33.643479999999997"/>
    <n v="33.643479999999997"/>
    <n v="0"/>
    <s v="SFA"/>
    <d v="2023-05-30T00:00:00"/>
    <m/>
    <m/>
    <s v="FIRE"/>
    <m/>
    <m/>
    <m/>
  </r>
  <r>
    <x v="6"/>
    <s v="Yes"/>
    <d v="2023-05-08T00:00:00"/>
    <d v="2023-04-03T00:00:00"/>
    <d v="2023-04-03T00:00:00"/>
    <d v="2023-07-02T00:00:00"/>
    <s v="000-254/AIB RDC/2023"/>
    <n v="0"/>
    <s v="SOUSCRIPTION"/>
    <n v="70100017"/>
    <s v="ANSULTECH FIRE SYSTEMS SARL"/>
    <m/>
    <s v="MICHEE"/>
    <s v="Victor"/>
    <s v="MARINE CARGO / GIT"/>
    <s v="MARINE"/>
    <x v="6"/>
    <s v="RAWSUR"/>
    <m/>
    <n v="1104.54"/>
    <n v="0"/>
    <n v="0"/>
    <n v="37"/>
    <n v="899.05"/>
    <n v="149.77000000000001"/>
    <e v="#DIV/0!"/>
    <n v="0.15"/>
    <n v="134.85749999999999"/>
    <n v="0"/>
    <n v="0"/>
    <n v="0"/>
    <n v="134.85749999999999"/>
    <n v="21.577199999999998"/>
    <n v="156.43469999999999"/>
    <n v="2.6971499999999997"/>
    <n v="0"/>
    <n v="2.6971499999999997"/>
    <m/>
    <n v="132.16034999999999"/>
    <s v="Aucun"/>
    <n v="0"/>
    <n v="0"/>
    <m/>
    <m/>
    <n v="0"/>
    <m/>
    <n v="156.43469999999999"/>
    <n v="156.43469999999999"/>
    <n v="0"/>
    <s v="RAWSUR"/>
    <d v="2023-05-26T00:00:00"/>
    <m/>
    <s v="ONCE OFF"/>
    <m/>
    <m/>
    <m/>
    <m/>
  </r>
  <r>
    <x v="6"/>
    <s v="Yes"/>
    <d v="2023-05-08T00:00:00"/>
    <d v="2023-04-01T00:00:00"/>
    <d v="2023-04-01T00:00:00"/>
    <d v="2023-05-31T00:00:00"/>
    <s v="000-255/AIB RDC/2023"/>
    <n v="0"/>
    <s v="SOUSCRIPTION"/>
    <n v="70100020"/>
    <s v="CHUAN TIE ELECTRIC (TIANJIN) GROUP SARL / Bolloré"/>
    <m/>
    <s v="SYNTYCHE"/>
    <s v="Victor"/>
    <s v="MARINE CARGO / GIT"/>
    <s v="MARINE"/>
    <x v="6"/>
    <s v="RAWSUR"/>
    <n v="1258688.4199999997"/>
    <n v="6335.5"/>
    <n v="0"/>
    <n v="0"/>
    <n v="629"/>
    <n v="4740.07"/>
    <n v="859.05"/>
    <n v="3.765880359811367E-3"/>
    <n v="0.15"/>
    <n v="711.01049999999998"/>
    <n v="0"/>
    <n v="0"/>
    <n v="0"/>
    <n v="711.01049999999998"/>
    <n v="113.76168"/>
    <n v="824.77217999999993"/>
    <n v="14.22021"/>
    <n v="0"/>
    <n v="14.22021"/>
    <m/>
    <n v="696.79029000000003"/>
    <s v="BOLLORE"/>
    <n v="0.4"/>
    <n v="278.716116"/>
    <n v="278.716116"/>
    <d v="2023-10-30T00:00:00"/>
    <n v="0"/>
    <m/>
    <n v="824.77217999999993"/>
    <n v="824.77217999999993"/>
    <n v="0"/>
    <s v="RAWSUR"/>
    <d v="2023-05-26T00:00:00"/>
    <m/>
    <s v="ONCE OFF"/>
    <s v="MARINE CARGO / GIT"/>
    <m/>
    <m/>
    <m/>
  </r>
  <r>
    <x v="6"/>
    <s v="Yes"/>
    <d v="2023-05-08T00:00:00"/>
    <d v="2023-04-17T00:00:00"/>
    <d v="2023-04-05T00:00:00"/>
    <d v="2023-07-04T00:00:00"/>
    <s v="000-256/AIB RDC/2023"/>
    <n v="0"/>
    <s v="SOUSCRIPTION"/>
    <n v="70100019"/>
    <s v="CHUAN TIE ELECTRIC (TIANJIN) GROUP SARL / Bolloré"/>
    <m/>
    <s v="SYNTYCHE"/>
    <s v="Victor"/>
    <s v="MARINE CARGO / GIT"/>
    <s v="MARINE"/>
    <x v="6"/>
    <s v="RAWSUR"/>
    <n v="1066998.77"/>
    <n v="8786.2099999999991"/>
    <n v="0"/>
    <n v="0"/>
    <n v="1850"/>
    <n v="5595.94"/>
    <n v="1191.3499999999999"/>
    <n v="5.2445608723616427E-3"/>
    <n v="0.15"/>
    <n v="839.39099999999996"/>
    <n v="0"/>
    <n v="0"/>
    <n v="0"/>
    <n v="839.39099999999996"/>
    <n v="134.30256"/>
    <n v="973.69355999999993"/>
    <n v="16.78782"/>
    <n v="0"/>
    <n v="16.78782"/>
    <m/>
    <n v="822.60317999999995"/>
    <s v="BOLLORE"/>
    <n v="0.4"/>
    <n v="329.04127199999999"/>
    <n v="329.04127199999999"/>
    <d v="2023-10-30T00:00:00"/>
    <n v="0"/>
    <m/>
    <n v="973.69355999999993"/>
    <n v="973.69355999999993"/>
    <n v="0"/>
    <s v="RAWSUR"/>
    <d v="2023-05-26T00:00:00"/>
    <m/>
    <s v="ONCE OFF"/>
    <s v="MARINE CARGO / GIT"/>
    <m/>
    <m/>
    <m/>
  </r>
  <r>
    <x v="2"/>
    <s v="Yes"/>
    <d v="2023-05-09T00:00:00"/>
    <d v="2023-04-26T00:00:00"/>
    <d v="2023-03-10T00:00:00"/>
    <d v="2024-03-09T00:00:00"/>
    <s v="000-257/AIB RDC/2023"/>
    <n v="1"/>
    <s v="RISTOURNE"/>
    <s v="12005-33002-0003-13001-00004980-2023"/>
    <s v="NUTRI AFRICA"/>
    <m/>
    <s v="MICHEE"/>
    <s v="Tychique"/>
    <s v="MOTOR TPL"/>
    <s v="MOTOR TPL"/>
    <x v="5"/>
    <s v="MAYFAIR"/>
    <n v="0"/>
    <m/>
    <n v="0"/>
    <n v="0"/>
    <n v="0"/>
    <n v="-296.44"/>
    <n v="0"/>
    <e v="#DIV/0!"/>
    <n v="0.1"/>
    <n v="-29.644000000000002"/>
    <n v="0"/>
    <n v="0"/>
    <n v="0"/>
    <n v="-29.644000000000002"/>
    <n v="-4.7430400000000006"/>
    <n v="-34.387039999999999"/>
    <n v="-0.59288000000000007"/>
    <n v="0"/>
    <n v="-0.59288000000000007"/>
    <m/>
    <n v="-29.051120000000001"/>
    <m/>
    <m/>
    <n v="0"/>
    <m/>
    <m/>
    <n v="0"/>
    <m/>
    <m/>
    <n v="-34.387039999999999"/>
    <n v="-34.387039999999999"/>
    <s v="MAYFAIR"/>
    <m/>
    <m/>
    <m/>
    <m/>
    <m/>
    <m/>
    <m/>
  </r>
  <r>
    <x v="6"/>
    <s v="Yes"/>
    <d v="2023-04-26T00:00:00"/>
    <d v="2023-04-26T00:00:00"/>
    <d v="2023-04-26T00:00:00"/>
    <d v="2023-05-25T00:00:00"/>
    <s v="000-258/AIB RDC/2023"/>
    <n v="0"/>
    <s v="SOUSCRIPTION"/>
    <s v="33002-0012-111-0007257 / 0001"/>
    <s v="Concrete &amp; Steel Construction Sarl"/>
    <s v="Construction"/>
    <s v="ANDY"/>
    <s v="Sabrina"/>
    <s v="MARINE CARGO / GIT"/>
    <s v="MARINE"/>
    <x v="4"/>
    <s v="SUNU"/>
    <n v="57458.29"/>
    <n v="400.51"/>
    <n v="0"/>
    <n v="0"/>
    <n v="35"/>
    <n v="310.27"/>
    <n v="55.24"/>
    <n v="5.3999170528743539E-3"/>
    <n v="0.15"/>
    <n v="46.540499999999994"/>
    <n v="0"/>
    <n v="0"/>
    <n v="0"/>
    <n v="46.540499999999994"/>
    <n v="7.4464799999999993"/>
    <n v="53.986979999999996"/>
    <n v="0.93080999999999992"/>
    <m/>
    <n v="0.93080999999999992"/>
    <m/>
    <n v="45.609689999999993"/>
    <m/>
    <m/>
    <n v="0"/>
    <m/>
    <m/>
    <n v="0"/>
    <m/>
    <n v="53.986979999999996"/>
    <n v="53.986979999999996"/>
    <n v="0"/>
    <s v="SUNU"/>
    <d v="2023-05-16T00:00:00"/>
    <m/>
    <m/>
    <m/>
    <m/>
    <m/>
    <m/>
  </r>
  <r>
    <x v="2"/>
    <s v="Yes"/>
    <d v="2023-05-11T00:00:00"/>
    <d v="2023-03-01T00:00:00"/>
    <d v="2023-03-01T00:00:00"/>
    <d v="2024-02-28T00:00:00"/>
    <s v="000-259/AIB RDC/2023"/>
    <n v="1"/>
    <s v="RENOUVELLEMENT"/>
    <s v="33002-0001-101-0001271 / 0003"/>
    <s v="Activa Assurances"/>
    <m/>
    <s v="ANDY"/>
    <s v="Sabrina"/>
    <s v="GPA"/>
    <s v="MEDICAL &amp; GPA"/>
    <x v="4"/>
    <s v="SUNU"/>
    <n v="0"/>
    <n v="8117.98"/>
    <n v="0"/>
    <n v="0"/>
    <n v="69.28"/>
    <n v="6928.98"/>
    <n v="1119.72"/>
    <e v="#DIV/0!"/>
    <n v="0.1"/>
    <n v="692.89800000000002"/>
    <n v="0"/>
    <n v="0"/>
    <n v="0"/>
    <n v="692.89800000000002"/>
    <n v="110.86368"/>
    <n v="803.76168000000007"/>
    <n v="13.85796"/>
    <m/>
    <n v="13.85796"/>
    <m/>
    <n v="679.04003999999998"/>
    <m/>
    <m/>
    <n v="0"/>
    <m/>
    <m/>
    <n v="0"/>
    <m/>
    <n v="803.76168000000007"/>
    <n v="803.76168000000007"/>
    <n v="0"/>
    <s v="SUNU"/>
    <d v="2023-05-16T00:00:00"/>
    <m/>
    <m/>
    <m/>
    <m/>
    <m/>
    <m/>
  </r>
  <r>
    <x v="2"/>
    <s v="Yes"/>
    <d v="2023-05-11T00:00:00"/>
    <d v="2023-03-17T00:00:00"/>
    <d v="2023-03-17T00:00:00"/>
    <d v="2023-04-16T00:00:00"/>
    <s v="000-260/AIB RDC/2023"/>
    <n v="0"/>
    <s v="SOUSCRIPTION"/>
    <s v="12001-33002-0014-111-00000144-2023"/>
    <s v="Europe Jason Ann Gento - EUROJAG SARL"/>
    <m/>
    <s v="SYNTYCHE"/>
    <s v="Grâce"/>
    <s v="MARINE CARGO / GIT"/>
    <s v="MARINE"/>
    <x v="1"/>
    <s v="ACTIVA"/>
    <n v="13804.38"/>
    <n v="180.6"/>
    <n v="0"/>
    <n v="0"/>
    <n v="10"/>
    <n v="150"/>
    <n v="25.6"/>
    <n v="1.086611640653184E-2"/>
    <n v="0.15"/>
    <n v="22.5"/>
    <n v="0"/>
    <n v="0"/>
    <n v="0"/>
    <n v="22.5"/>
    <n v="3.6"/>
    <n v="26.1"/>
    <n v="0.45"/>
    <n v="0"/>
    <n v="0.45"/>
    <m/>
    <n v="22.05"/>
    <m/>
    <m/>
    <n v="0"/>
    <m/>
    <m/>
    <n v="0"/>
    <m/>
    <n v="26.1"/>
    <n v="26.1"/>
    <n v="0"/>
    <s v="ACTIVA"/>
    <d v="2023-06-05T00:00:00"/>
    <m/>
    <s v="ONCE OFF"/>
    <s v="MARINE CARGO / GIT"/>
    <m/>
    <m/>
    <m/>
  </r>
  <r>
    <x v="2"/>
    <s v="Yes"/>
    <d v="2023-03-29T00:00:00"/>
    <d v="2023-03-29T00:00:00"/>
    <d v="2023-04-01T00:00:00"/>
    <d v="2024-03-31T00:00:00"/>
    <s v="000-261/AIB RDC/2023"/>
    <n v="0"/>
    <s v="SOUSCRIPTION"/>
    <s v="POL AIB 001"/>
    <s v="POLYTRA"/>
    <m/>
    <s v="ALICE"/>
    <s v="Apphia"/>
    <s v="MEDICAL"/>
    <s v="MEDICAL &amp; GPA"/>
    <x v="7"/>
    <s v="FACILITY SERVICES"/>
    <m/>
    <n v="15145"/>
    <n v="0"/>
    <n v="0"/>
    <n v="0"/>
    <n v="12900"/>
    <n v="310"/>
    <e v="#DIV/0!"/>
    <n v="0.05"/>
    <n v="645"/>
    <m/>
    <m/>
    <n v="0"/>
    <n v="645"/>
    <n v="103.2"/>
    <n v="748.2"/>
    <n v="12.9"/>
    <m/>
    <n v="12.9"/>
    <m/>
    <n v="632.1"/>
    <m/>
    <m/>
    <n v="0"/>
    <m/>
    <m/>
    <n v="0"/>
    <m/>
    <n v="748.2"/>
    <n v="748.2"/>
    <n v="0"/>
    <s v="FACILITY SERVICES"/>
    <d v="2023-05-23T00:00:00"/>
    <m/>
    <m/>
    <m/>
    <m/>
    <m/>
    <m/>
  </r>
  <r>
    <x v="2"/>
    <s v="Yes"/>
    <d v="2023-01-02T00:00:00"/>
    <d v="2023-03-11T00:00:00"/>
    <d v="2023-03-10T00:00:00"/>
    <d v="2024-03-08T00:00:00"/>
    <s v="000-262/AIB RDC/2023"/>
    <n v="0"/>
    <s v="SOUSCRIPTION"/>
    <s v="12002-33002-0021-111-00018685-2023"/>
    <s v="DEZIWA / Bolloré"/>
    <m/>
    <s v="SYNTYCHE"/>
    <s v="Victor"/>
    <s v="MARINE CARGO / GIT"/>
    <s v="MARINE"/>
    <x v="0"/>
    <s v="SFA"/>
    <n v="569258.97"/>
    <n v="1063.6099999999999"/>
    <n v="0"/>
    <n v="0"/>
    <n v="31.35"/>
    <n v="888.04"/>
    <n v="144.22"/>
    <n v="1.5599929852664421E-3"/>
    <n v="0.15"/>
    <n v="133.20599999999999"/>
    <n v="0"/>
    <n v="0"/>
    <n v="0"/>
    <n v="133.20599999999999"/>
    <n v="21.31296"/>
    <n v="154.51895999999999"/>
    <n v="2.66412"/>
    <n v="0"/>
    <n v="2.66412"/>
    <m/>
    <n v="130.54187999999999"/>
    <s v="BOLLORE"/>
    <n v="0.4"/>
    <n v="52.216752"/>
    <n v="52.216752"/>
    <d v="2023-10-30T00:00:00"/>
    <n v="0"/>
    <m/>
    <n v="154.51895999999999"/>
    <n v="154.51895999999999"/>
    <n v="0"/>
    <s v="SFA"/>
    <d v="2023-05-24T00:00:00"/>
    <m/>
    <s v="ONCE OFF"/>
    <s v="MARINE CARGO / GIT"/>
    <m/>
    <m/>
    <m/>
  </r>
  <r>
    <x v="2"/>
    <s v="Yes"/>
    <d v="2023-02-02T00:00:00"/>
    <d v="2023-03-21T00:00:00"/>
    <d v="2023-03-02T00:00:00"/>
    <d v="2024-02-29T00:00:00"/>
    <s v="000-263/AIB RDC/2023"/>
    <n v="0"/>
    <s v="SOUSCRIPTION"/>
    <s v="12002-33002-0021-111-00018894-2023"/>
    <s v="DEZIWA / Bolloré"/>
    <m/>
    <s v="SYNTYCHE"/>
    <s v="Victor"/>
    <s v="MARINE CARGO / GIT"/>
    <s v="MARINE"/>
    <x v="0"/>
    <s v="SFA"/>
    <n v="401667.83"/>
    <n v="1020.28"/>
    <n v="0"/>
    <n v="0"/>
    <n v="31.31"/>
    <n v="829.02"/>
    <n v="134.94999999999999"/>
    <n v="2.063944229738289E-3"/>
    <n v="0.15"/>
    <n v="124.35299999999999"/>
    <n v="0"/>
    <n v="0"/>
    <n v="0"/>
    <n v="124.35299999999999"/>
    <n v="19.89648"/>
    <n v="144.24948000000001"/>
    <n v="2.48706"/>
    <n v="0"/>
    <n v="2.48706"/>
    <m/>
    <n v="121.86593999999999"/>
    <s v="BOLLORE"/>
    <n v="0.4"/>
    <n v="48.746375999999998"/>
    <n v="48.746375999999998"/>
    <d v="2023-10-30T00:00:00"/>
    <n v="0"/>
    <m/>
    <n v="144.24948000000001"/>
    <n v="144.24948000000001"/>
    <n v="0"/>
    <s v="SFA"/>
    <d v="2023-05-24T00:00:00"/>
    <m/>
    <s v="ONCE OFF"/>
    <s v="MARINE CARGO / GIT"/>
    <m/>
    <m/>
    <m/>
  </r>
  <r>
    <x v="2"/>
    <s v="Yes"/>
    <d v="2023-02-02T00:00:00"/>
    <d v="2023-03-30T00:00:00"/>
    <d v="2023-03-30T00:00:00"/>
    <d v="2024-03-28T00:00:00"/>
    <s v="000-264/AIB RDC/2023"/>
    <n v="0"/>
    <s v="SOUSCRIPTION"/>
    <s v="12002-33002-0021-111-00019220-2023"/>
    <s v="DEZIWA / Bolloré"/>
    <m/>
    <s v="SYNTYCHE"/>
    <s v="Victor"/>
    <s v="MARINE CARGO / GIT"/>
    <s v="MARINE"/>
    <x v="0"/>
    <s v="SFA"/>
    <n v="1960"/>
    <n v="65"/>
    <n v="0"/>
    <n v="0"/>
    <n v="1.91"/>
    <n v="54.28"/>
    <n v="8.81"/>
    <n v="2.7693877551020409E-2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2"/>
    <s v="Yes"/>
    <d v="2023-05-16T00:00:00"/>
    <d v="2023-03-18T00:00:00"/>
    <d v="2023-03-18T00:00:00"/>
    <d v="2024-03-16T00:00:00"/>
    <s v="000-265/AIB RDC/2023"/>
    <n v="0"/>
    <s v="SOUSCRIPTION"/>
    <s v="12002-33002-0022-111-00018852-2023"/>
    <s v="Bolloré Transport &amp; Logistics / Bolloré"/>
    <m/>
    <s v="SYNTYCHE"/>
    <s v="Victor"/>
    <s v="MARINE CARGO / GIT"/>
    <s v="MARINE"/>
    <x v="0"/>
    <s v="SFA"/>
    <n v="28664.05"/>
    <n v="65"/>
    <n v="0"/>
    <n v="0"/>
    <n v="0.81"/>
    <n v="54.28"/>
    <n v="8.81"/>
    <n v="1.89366122372798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2"/>
    <s v="Yes"/>
    <d v="2023-03-16T00:00:00"/>
    <d v="2023-03-15T00:00:00"/>
    <d v="2023-03-11T00:00:00"/>
    <d v="2024-03-09T00:00:00"/>
    <s v="000-266/AIB RDC/2023"/>
    <n v="0"/>
    <s v="SOUSCRIPTION"/>
    <s v="12002-33002-0021-111-00018801-2023"/>
    <s v="TAF LINK SARL / Bolloré"/>
    <m/>
    <s v="SYNTYCHE"/>
    <s v="Victor"/>
    <s v="MARINE CARGO / GIT"/>
    <s v="MARINE"/>
    <x v="0"/>
    <s v="SFA"/>
    <n v="9585"/>
    <n v="90.8"/>
    <n v="0"/>
    <n v="0"/>
    <n v="4.46"/>
    <n v="51.3"/>
    <n v="8.92"/>
    <n v="5.3521126760563377E-3"/>
    <n v="0.15"/>
    <n v="7.6949999999999994"/>
    <n v="0"/>
    <n v="0"/>
    <n v="0"/>
    <n v="7.6949999999999994"/>
    <n v="1.2311999999999999"/>
    <n v="8.9261999999999997"/>
    <n v="0.15389999999999998"/>
    <n v="0"/>
    <n v="0.15389999999999998"/>
    <m/>
    <n v="7.5410999999999992"/>
    <s v="BOLLORE"/>
    <n v="0.4"/>
    <n v="3.0164399999999998"/>
    <n v="3.0164399999999998"/>
    <d v="2023-10-30T00:00:00"/>
    <n v="0"/>
    <m/>
    <n v="8.9261999999999997"/>
    <n v="8.9261999999999997"/>
    <n v="0"/>
    <s v="SFA"/>
    <d v="2023-05-24T00:00:00"/>
    <m/>
    <s v="ONCE OFF"/>
    <s v="MARINE CARGO / GIT"/>
    <m/>
    <m/>
    <m/>
  </r>
  <r>
    <x v="2"/>
    <s v="Yes"/>
    <d v="2023-05-16T00:00:00"/>
    <d v="2023-03-22T00:00:00"/>
    <d v="2023-03-01T00:00:00"/>
    <d v="2024-02-28T00:00:00"/>
    <s v="000-267/AIB RDC/2023"/>
    <n v="0"/>
    <s v="SOUSCRIPTION"/>
    <s v="00018946"/>
    <s v="Chemaf Sarl"/>
    <s v="Mining"/>
    <s v="ANDY"/>
    <s v="Sabrina"/>
    <s v="MARINE CARGO / GIT"/>
    <s v="MARINE"/>
    <x v="0"/>
    <s v="SFA"/>
    <n v="0"/>
    <n v="272605"/>
    <n v="34650"/>
    <n v="0"/>
    <n v="0"/>
    <n v="196350"/>
    <n v="36960"/>
    <e v="#DIV/0!"/>
    <n v="0"/>
    <n v="0"/>
    <n v="10395"/>
    <n v="0"/>
    <n v="0"/>
    <n v="10395"/>
    <n v="1663.2"/>
    <n v="12058.2"/>
    <n v="207.9"/>
    <m/>
    <n v="207.9"/>
    <m/>
    <n v="10187.1"/>
    <s v="Aucun"/>
    <m/>
    <n v="0"/>
    <m/>
    <m/>
    <n v="0"/>
    <m/>
    <n v="12058.2"/>
    <n v="12058.2"/>
    <n v="0"/>
    <s v="SFA"/>
    <d v="2023-05-24T00:00:00"/>
    <m/>
    <m/>
    <m/>
    <m/>
    <m/>
    <m/>
  </r>
  <r>
    <x v="2"/>
    <s v="Yes"/>
    <d v="2023-01-02T00:00:00"/>
    <d v="2023-03-10T00:00:00"/>
    <d v="2023-03-10T00:00:00"/>
    <d v="2024-03-08T00:00:00"/>
    <s v="000-268/AIB RDC/2023"/>
    <n v="0"/>
    <s v="SOUSCRIPTION"/>
    <s v="12002-33002-0021-111-00018657-2023"/>
    <s v="DEZIWA / Bolloré"/>
    <m/>
    <s v="SYNTYCHE"/>
    <s v="Victor"/>
    <s v="MARINE CARGO / GIT"/>
    <s v="MARINE"/>
    <x v="0"/>
    <s v="SFA"/>
    <n v="16858.439999999999"/>
    <n v="65"/>
    <n v="0"/>
    <n v="0"/>
    <n v="1.91"/>
    <n v="54.28"/>
    <n v="8.81"/>
    <n v="3.2197522427935207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2"/>
    <s v="Yes"/>
    <d v="2023-01-02T00:00:00"/>
    <d v="2023-03-10T00:00:00"/>
    <d v="2023-03-10T00:00:00"/>
    <d v="2024-03-08T00:00:00"/>
    <s v="000-269/AIB RDC/2023"/>
    <n v="0"/>
    <s v="SOUSCRIPTION"/>
    <s v="12002-33002-0021-111-00018659-2023"/>
    <s v="DEZIWA / Bolloré"/>
    <m/>
    <s v="SYNTYCHE"/>
    <s v="Victor"/>
    <s v="MARINE CARGO / GIT"/>
    <s v="MARINE"/>
    <x v="0"/>
    <s v="SFA"/>
    <n v="16858.439999999999"/>
    <n v="65"/>
    <n v="0"/>
    <n v="0"/>
    <n v="1.91"/>
    <n v="54.28"/>
    <n v="8.81"/>
    <n v="3.2197522427935207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2"/>
    <s v="Yes"/>
    <d v="2023-01-02T00:00:00"/>
    <d v="2023-03-10T00:00:00"/>
    <d v="2023-03-10T00:00:00"/>
    <d v="2024-03-08T00:00:00"/>
    <s v="000-270/AIB RDC/2023"/>
    <n v="0"/>
    <s v="SOUSCRIPTION"/>
    <s v="12002-33002-0021-111-00018661-2023"/>
    <s v="DEZIWA / Bolloré"/>
    <m/>
    <s v="SYNTYCHE"/>
    <s v="Victor"/>
    <s v="MARINE CARGO / GIT"/>
    <s v="MARINE"/>
    <x v="0"/>
    <s v="SFA"/>
    <n v="33686.44"/>
    <n v="65"/>
    <n v="0"/>
    <n v="0"/>
    <n v="1.91"/>
    <n v="54.28"/>
    <n v="8.81"/>
    <n v="1.6113308500393629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0"/>
    <s v="Yes"/>
    <d v="2023-05-18T00:00:00"/>
    <d v="2023-03-11T00:00:00"/>
    <d v="2023-01-20T00:00:00"/>
    <d v="2024-01-19T00:00:00"/>
    <s v="000-271/AIB RDC/2023"/>
    <n v="0"/>
    <s v="SOUSCRIPTION"/>
    <s v="12002-33002-0021-111-00018688-2023"/>
    <s v="DEZIWA / Bolloré"/>
    <m/>
    <s v="SYNTYCHE"/>
    <s v="Victor"/>
    <s v="MARINE CARGO / GIT"/>
    <s v="MARINE"/>
    <x v="0"/>
    <s v="SFA"/>
    <n v="16858.650000000001"/>
    <n v="65"/>
    <n v="0"/>
    <n v="0"/>
    <n v="1.91"/>
    <n v="54.28"/>
    <n v="8.81"/>
    <n v="3.2197121359064931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0"/>
    <s v="Yes"/>
    <d v="2023-05-18T00:00:00"/>
    <d v="2023-03-11T00:00:00"/>
    <d v="2023-01-20T00:00:00"/>
    <d v="2024-01-19T00:00:00"/>
    <s v="000-272/AIB RDC/2023"/>
    <n v="0"/>
    <s v="SOUSCRIPTION"/>
    <s v="12002-33002-0021-111-00018687-2023"/>
    <s v="DEZIWA / Bolloré"/>
    <m/>
    <s v="SYNTYCHE"/>
    <s v="Victor"/>
    <s v="MARINE CARGO / GIT"/>
    <s v="MARINE"/>
    <x v="0"/>
    <s v="SFA"/>
    <n v="14858.44"/>
    <n v="65"/>
    <n v="0"/>
    <n v="0"/>
    <n v="1.9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m/>
    <m/>
    <n v="3.1916639999999998"/>
    <m/>
    <n v="9.4447200000000002"/>
    <n v="9.4447200000000002"/>
    <n v="0"/>
    <s v="SFA"/>
    <d v="2023-05-24T00:00:00"/>
    <m/>
    <s v="ONCE OFF"/>
    <s v="MARINE CARGO / GIT"/>
    <m/>
    <m/>
    <m/>
  </r>
  <r>
    <x v="2"/>
    <s v="Yes"/>
    <d v="2023-01-02T00:00:00"/>
    <d v="2023-03-10T00:00:00"/>
    <d v="2023-03-10T00:00:00"/>
    <d v="2024-03-08T00:00:00"/>
    <s v="000-273/AIB RDC/2023"/>
    <n v="0"/>
    <s v="SOUSCRIPTION"/>
    <s v="12002-33002-0021-111-00018663-2023"/>
    <s v="DEZIWA / Bolloré"/>
    <m/>
    <s v="SYNTYCHE"/>
    <s v="Victor"/>
    <s v="MARINE CARGO / GIT"/>
    <s v="MARINE"/>
    <x v="0"/>
    <s v="SFA"/>
    <n v="16858.439999999999"/>
    <n v="65"/>
    <n v="0"/>
    <n v="0"/>
    <n v="3.88"/>
    <n v="52.31"/>
    <n v="8.81"/>
    <n v="3.1028968279390029E-3"/>
    <n v="0.15"/>
    <n v="7.8464999999999998"/>
    <n v="0"/>
    <n v="0"/>
    <n v="0"/>
    <n v="7.8464999999999998"/>
    <n v="1.2554399999999999"/>
    <n v="9.101939999999999"/>
    <n v="0.15692999999999999"/>
    <n v="0"/>
    <n v="0.15692999999999999"/>
    <m/>
    <n v="7.6895699999999998"/>
    <s v="BOLLORE"/>
    <n v="0.4"/>
    <n v="3.075828"/>
    <n v="3.075828"/>
    <d v="2023-10-30T00:00:00"/>
    <n v="0"/>
    <m/>
    <n v="9.101939999999999"/>
    <n v="9.101939999999999"/>
    <n v="0"/>
    <s v="SFA"/>
    <d v="2023-05-24T00:00:00"/>
    <m/>
    <s v="ONCE OFF"/>
    <s v="MARINE CARGO / GIT"/>
    <m/>
    <m/>
    <m/>
  </r>
  <r>
    <x v="2"/>
    <s v="Yes"/>
    <d v="2023-01-02T00:00:00"/>
    <d v="2023-03-11T00:00:00"/>
    <d v="2023-03-10T00:00:00"/>
    <d v="2024-03-08T00:00:00"/>
    <s v="000-274/AIB RDC/2023"/>
    <n v="0"/>
    <s v="SOUSCRIPTION"/>
    <s v="12002-33002-0021-111-00018684-2023"/>
    <s v="DEZIWA / Bolloré"/>
    <m/>
    <s v="SYNTYCHE"/>
    <s v="Victor"/>
    <s v="MARINE CARGO / GIT"/>
    <s v="MARINE"/>
    <x v="0"/>
    <s v="SFA"/>
    <n v="16858.439999999999"/>
    <n v="65"/>
    <n v="0"/>
    <n v="0"/>
    <n v="1.91"/>
    <n v="54.28"/>
    <n v="8.81"/>
    <n v="3.2197522427935207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4"/>
    <s v="Yes"/>
    <d v="2023-05-23T00:00:00"/>
    <d v="2023-05-23T00:00:00"/>
    <d v="2023-05-18T00:00:00"/>
    <d v="2023-07-17T00:00:00"/>
    <s v="000-275/AIB RDC/2023"/>
    <n v="0"/>
    <s v="SOUSCRIPTION"/>
    <s v="33002-0006-112-0004489 / 0002"/>
    <s v="ABT ASSOCIATES / Bolloré"/>
    <m/>
    <s v="SYNTYCHE"/>
    <s v="Victor"/>
    <s v="FIRE"/>
    <s v="PROPERTIES"/>
    <x v="4"/>
    <s v="SUNU"/>
    <n v="3885387.84"/>
    <n v="3200.45"/>
    <n v="0"/>
    <n v="0"/>
    <n v="31.68"/>
    <n v="3168.77"/>
    <n v="0"/>
    <n v="8.1556079611347116E-4"/>
    <n v="0.1"/>
    <n v="316.87700000000001"/>
    <n v="0"/>
    <n v="0"/>
    <n v="0"/>
    <n v="316.87700000000001"/>
    <n v="50.700320000000005"/>
    <n v="367.57731999999999"/>
    <n v="6.3375400000000006"/>
    <n v="0"/>
    <n v="6.3375400000000006"/>
    <m/>
    <n v="310.53946000000002"/>
    <s v="BOLLORE"/>
    <n v="0.4"/>
    <n v="124.21578400000001"/>
    <n v="124.21578400000001"/>
    <d v="2023-10-30T00:00:00"/>
    <n v="0"/>
    <m/>
    <n v="367.57731999999999"/>
    <n v="367.57731999999999"/>
    <n v="0"/>
    <s v="SUNU"/>
    <d v="2023-07-10T00:00:00"/>
    <m/>
    <s v="ONCE OFF"/>
    <s v="FIRE"/>
    <m/>
    <m/>
    <m/>
  </r>
  <r>
    <x v="4"/>
    <s v="Yes"/>
    <d v="2023-05-23T00:00:00"/>
    <d v="2023-05-03T00:00:00"/>
    <d v="2023-05-03T00:00:00"/>
    <d v="2023-10-10T00:00:00"/>
    <s v="000-276/AIB RDC/2023"/>
    <n v="1"/>
    <s v="INCORPORATION"/>
    <s v="12002-33002-0022-111-00017584-2022"/>
    <s v="La CARRIERE DE LUALABA SAS"/>
    <m/>
    <s v="ALICE"/>
    <s v="Apphia"/>
    <s v="MARINE CARGO / GIT"/>
    <s v="MARINE"/>
    <x v="0"/>
    <s v="SFA"/>
    <n v="0"/>
    <n v="40544.85"/>
    <n v="0"/>
    <n v="0"/>
    <n v="509.44"/>
    <n v="33829.410000000003"/>
    <n v="5494.22"/>
    <e v="#DIV/0!"/>
    <n v="0.15"/>
    <n v="5074.4115000000002"/>
    <n v="0"/>
    <n v="0"/>
    <n v="0"/>
    <n v="5074.4115000000002"/>
    <n v="811.90584000000001"/>
    <n v="5886.3173400000005"/>
    <n v="101.48823"/>
    <n v="0"/>
    <n v="101.48823"/>
    <m/>
    <n v="4972.9232700000002"/>
    <s v="Aucun"/>
    <m/>
    <n v="0"/>
    <m/>
    <m/>
    <n v="0"/>
    <m/>
    <n v="5886.3173400000005"/>
    <n v="5886.3173400000005"/>
    <n v="0"/>
    <s v="SFA"/>
    <d v="2023-05-30T00:00:00"/>
    <m/>
    <m/>
    <s v="MARINE CARGO / GIT"/>
    <m/>
    <m/>
    <m/>
  </r>
  <r>
    <x v="1"/>
    <s v="Yes"/>
    <d v="2023-05-23T00:00:00"/>
    <d v="2023-03-29T00:00:00"/>
    <d v="2023-02-28T00:00:00"/>
    <d v="2024-02-27T00:00:00"/>
    <s v="000-277/AIB RDC/2023"/>
    <n v="0"/>
    <s v="SOUSCRIPTION"/>
    <s v="12002-33002-0021-111-00019163-2023"/>
    <s v="COLINGO RDC SARL / Bolloré"/>
    <m/>
    <s v="SYNTYCHE"/>
    <s v="Victor"/>
    <s v="MARINE CARGO / GIT"/>
    <s v="MARINE"/>
    <x v="0"/>
    <s v="SFA"/>
    <n v="254231.8"/>
    <n v="475.01"/>
    <n v="0"/>
    <n v="0"/>
    <n v="5.95"/>
    <n v="396.6"/>
    <n v="64.41"/>
    <n v="1.5599936750634658E-3"/>
    <n v="0.15"/>
    <n v="59.49"/>
    <n v="0"/>
    <n v="0"/>
    <n v="0"/>
    <n v="59.49"/>
    <n v="9.5183999999999997"/>
    <n v="69.008399999999995"/>
    <n v="1.1898"/>
    <n v="0"/>
    <n v="1.1898"/>
    <m/>
    <n v="58.300200000000004"/>
    <s v="BOLLORE"/>
    <n v="0.4"/>
    <n v="23.320080000000004"/>
    <n v="23.320080000000004"/>
    <d v="2023-10-30T00:00:00"/>
    <n v="0"/>
    <m/>
    <n v="69.008399999999995"/>
    <n v="69.008399999999995"/>
    <n v="0"/>
    <s v="SFA"/>
    <d v="2023-05-30T00:00:00"/>
    <m/>
    <s v="ONCE OFF"/>
    <s v="MARINE CARGO / GIT"/>
    <m/>
    <m/>
    <m/>
  </r>
  <r>
    <x v="2"/>
    <s v="Yes"/>
    <d v="2023-05-25T00:00:00"/>
    <d v="2023-04-05T00:00:00"/>
    <d v="2023-03-09T00:00:00"/>
    <d v="2024-03-07T00:00:00"/>
    <s v="000-278/AIB RDC/2023"/>
    <n v="0"/>
    <s v="SOUSCRIPTION"/>
    <s v="12002-33002-0021-111-00019317-2023"/>
    <s v="COLINGO RDC SARL / Bolloré"/>
    <m/>
    <s v="SYNTYCHE"/>
    <s v="Victor"/>
    <s v="MARINE CARGO / GIT"/>
    <s v="MARINE"/>
    <x v="0"/>
    <s v="SFA"/>
    <n v="137595.59"/>
    <n v="335.86"/>
    <n v="0"/>
    <n v="0"/>
    <n v="5.86"/>
    <n v="257.58"/>
    <n v="42.15"/>
    <n v="1.8720076711760893E-3"/>
    <n v="0.15"/>
    <n v="38.636999999999993"/>
    <n v="0"/>
    <n v="0"/>
    <n v="0"/>
    <n v="38.636999999999993"/>
    <n v="6.181919999999999"/>
    <n v="44.818919999999991"/>
    <n v="0.77273999999999987"/>
    <n v="0"/>
    <n v="0.77273999999999987"/>
    <m/>
    <n v="37.864259999999994"/>
    <s v="BOLLORE"/>
    <n v="0.4"/>
    <n v="15.145703999999999"/>
    <n v="15.145703999999999"/>
    <d v="2023-10-30T00:00:00"/>
    <n v="0"/>
    <m/>
    <n v="44.818919999999991"/>
    <n v="44.818919999999991"/>
    <n v="0"/>
    <s v="SFA"/>
    <d v="2023-05-30T00:00:00"/>
    <m/>
    <s v="ONCE OFF"/>
    <s v="MARINE CARGO / GIT"/>
    <m/>
    <m/>
    <m/>
  </r>
  <r>
    <x v="6"/>
    <s v="Yes"/>
    <d v="2023-05-25T00:00:00"/>
    <d v="2023-04-18T00:00:00"/>
    <d v="2023-04-18T00:00:00"/>
    <d v="2024-04-16T00:00:00"/>
    <s v="000-279/AIB RDC/2023"/>
    <n v="0"/>
    <s v="SOUSCRIPTION"/>
    <s v="12002-33002-0021-111-00019599-2023"/>
    <s v="MAKALA COAL COMPANY"/>
    <m/>
    <s v="SYNTYCHE"/>
    <s v="Victor"/>
    <s v="MARINE CARGO / GIT"/>
    <s v="MARINE"/>
    <x v="0"/>
    <s v="SFA"/>
    <n v="0"/>
    <n v="9608.9599999999991"/>
    <n v="0"/>
    <n v="0"/>
    <n v="122"/>
    <n v="8000"/>
    <n v="1299.52"/>
    <e v="#DIV/0!"/>
    <n v="0.15"/>
    <n v="1200"/>
    <n v="0"/>
    <n v="0"/>
    <n v="0"/>
    <n v="1200"/>
    <n v="192"/>
    <n v="1392"/>
    <n v="24"/>
    <n v="0"/>
    <n v="24"/>
    <m/>
    <n v="1176"/>
    <m/>
    <n v="0"/>
    <n v="0"/>
    <m/>
    <m/>
    <n v="0"/>
    <m/>
    <n v="1392"/>
    <n v="1392"/>
    <n v="0"/>
    <s v="SFA"/>
    <d v="2023-05-30T00:00:00"/>
    <m/>
    <m/>
    <s v="MARINE CARGO / GIT"/>
    <m/>
    <m/>
    <m/>
  </r>
  <r>
    <x v="6"/>
    <s v="Yes"/>
    <d v="2023-05-25T00:00:00"/>
    <d v="2023-04-26T00:00:00"/>
    <d v="2023-04-04T00:00:00"/>
    <d v="2024-04-02T00:00:00"/>
    <s v="000-280/AIB RDC/2023"/>
    <n v="0"/>
    <s v="SOUSCRIPTION"/>
    <s v="12002-33002-0021-111-00019762-2023"/>
    <s v="Airtel Congo RDC S.A / Bolloré"/>
    <m/>
    <s v="SYNTYCHE"/>
    <s v="Victor"/>
    <s v="MARINE CARGO / GIT"/>
    <s v="MARINE"/>
    <x v="0"/>
    <s v="SFA"/>
    <n v="1630087.5"/>
    <n v="3073.03"/>
    <n v="0"/>
    <n v="0"/>
    <n v="40.14"/>
    <n v="2542.94"/>
    <n v="413.29"/>
    <n v="1.5600021471240042E-3"/>
    <n v="0.15"/>
    <n v="381.44099999999997"/>
    <n v="0"/>
    <n v="0"/>
    <n v="0"/>
    <n v="381.44099999999997"/>
    <n v="61.030559999999994"/>
    <n v="442.47155999999995"/>
    <n v="7.6288199999999993"/>
    <m/>
    <n v="7.6288199999999993"/>
    <m/>
    <n v="373.81217999999996"/>
    <s v="BOLLORE"/>
    <n v="0.4"/>
    <n v="149.52487199999999"/>
    <n v="149.52487199999999"/>
    <d v="2023-10-30T00:00:00"/>
    <n v="0"/>
    <m/>
    <n v="442.47155999999995"/>
    <n v="442.47155999999995"/>
    <n v="0"/>
    <s v="SFA"/>
    <d v="2023-05-30T00:00:00"/>
    <m/>
    <s v="ONCE OFF"/>
    <s v="MARINE CARGO / GIT"/>
    <m/>
    <m/>
    <m/>
  </r>
  <r>
    <x v="6"/>
    <s v="Yes"/>
    <d v="2023-05-25T00:00:00"/>
    <d v="2023-04-28T00:00:00"/>
    <d v="2023-04-28T00:00:00"/>
    <d v="2024-04-26T00:00:00"/>
    <s v="000-281/AIB RDC/2023"/>
    <n v="0"/>
    <s v="SOUSCRIPTION"/>
    <s v="12002-33002-0021-111-00019829-2023"/>
    <s v="Bolloré Transport &amp; Logistics / Bolloré"/>
    <m/>
    <s v="SYNTYCHE"/>
    <s v="Victor"/>
    <s v="MARINE CARGO / GIT"/>
    <s v="MARINE"/>
    <x v="0"/>
    <s v="SFA"/>
    <n v="3837.48"/>
    <n v="45.33"/>
    <n v="0"/>
    <n v="0"/>
    <n v="2.23"/>
    <n v="15"/>
    <n v="2.76"/>
    <n v="3.9088151599487161E-3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n v="0.88200000000000012"/>
    <d v="2023-10-30T00:00:00"/>
    <n v="0"/>
    <m/>
    <n v="2.61"/>
    <n v="2.61"/>
    <n v="0"/>
    <s v="SFA"/>
    <d v="2023-05-30T00:00:00"/>
    <m/>
    <s v="ONCE OFF"/>
    <s v="MARINE CARGO / GIT"/>
    <m/>
    <m/>
    <m/>
  </r>
  <r>
    <x v="2"/>
    <s v="Yes"/>
    <d v="2023-05-25T00:00:00"/>
    <d v="2023-04-03T00:00:00"/>
    <d v="2023-03-29T00:00:00"/>
    <d v="2024-03-27T00:00:00"/>
    <s v="000-282/AIB RDC/2023"/>
    <n v="0"/>
    <s v="SOUSCRIPTION"/>
    <s v="12002-33002-0021-111-00019310-2023"/>
    <s v="WUHUANG CONSTRUCTION ET COMMERCE RDC SAS ( WHCC) / Bolloré"/>
    <m/>
    <s v="SYNTYCHE"/>
    <s v="Victor"/>
    <s v="MARINE CARGO / GIT"/>
    <s v="MARINE"/>
    <x v="0"/>
    <s v="SFA"/>
    <n v="2096577"/>
    <n v="4966.41"/>
    <n v="0"/>
    <n v="0"/>
    <n v="99.32"/>
    <n v="4088.32"/>
    <n v="670.02"/>
    <n v="1.9499975436151403E-3"/>
    <n v="0.15"/>
    <n v="613.24800000000005"/>
    <n v="0"/>
    <n v="0"/>
    <n v="0"/>
    <n v="613.24800000000005"/>
    <n v="98.119680000000017"/>
    <n v="711.36768000000006"/>
    <n v="12.264960000000002"/>
    <n v="0"/>
    <n v="12.264960000000002"/>
    <m/>
    <n v="600.98304000000007"/>
    <s v="BOLLORE"/>
    <n v="0.4"/>
    <n v="240.39321600000005"/>
    <n v="240.39321600000005"/>
    <d v="2023-10-30T00:00:00"/>
    <n v="0"/>
    <m/>
    <n v="711.36768000000006"/>
    <n v="711.36768000000006"/>
    <n v="0"/>
    <s v="SFA"/>
    <d v="2023-05-30T00:00:00"/>
    <m/>
    <s v="ONCE OFF"/>
    <s v="MARINE CARGO / GIT"/>
    <m/>
    <m/>
    <m/>
  </r>
  <r>
    <x v="6"/>
    <s v="Yes"/>
    <d v="2023-05-25T00:00:00"/>
    <d v="2023-04-28T00:00:00"/>
    <d v="2023-04-28T00:00:00"/>
    <d v="2024-04-26T00:00:00"/>
    <s v="000-283/AIB RDC/2023"/>
    <n v="0"/>
    <s v="SOUSCRIPTION"/>
    <s v="12002-33002-0021-111-00019851-2023"/>
    <s v="WUHUANG CONSTRUCTION ET COMMERCE RDC SAS ( WHCC) / Bolloré"/>
    <m/>
    <s v="SYNTYCHE"/>
    <s v="Victor"/>
    <s v="MARINE CARGO / GIT"/>
    <s v="MARINE"/>
    <x v="0"/>
    <s v="SFA"/>
    <n v="112740"/>
    <n v="238"/>
    <n v="0"/>
    <n v="0"/>
    <n v="4.6399999999999997"/>
    <n v="175.87"/>
    <n v="28.88"/>
    <n v="1.5599609721483059E-3"/>
    <n v="0.15"/>
    <n v="26.380500000000001"/>
    <n v="0"/>
    <n v="0"/>
    <n v="0"/>
    <n v="26.380500000000001"/>
    <n v="4.2208800000000002"/>
    <n v="30.601380000000002"/>
    <n v="0.52761000000000002"/>
    <n v="0"/>
    <n v="0.52761000000000002"/>
    <m/>
    <n v="25.852890000000002"/>
    <s v="BOLLORE"/>
    <n v="0.4"/>
    <n v="10.341156000000002"/>
    <n v="10.341156000000002"/>
    <d v="2023-10-30T00:00:00"/>
    <n v="0"/>
    <m/>
    <n v="30.601380000000002"/>
    <n v="30.601380000000002"/>
    <n v="0"/>
    <s v="SFA"/>
    <d v="2023-05-30T00:00:00"/>
    <m/>
    <s v="ONCE OFF"/>
    <s v="MARINE CARGO / GIT"/>
    <m/>
    <m/>
    <m/>
  </r>
  <r>
    <x v="6"/>
    <s v="Yes"/>
    <d v="2023-05-25T00:00:00"/>
    <d v="2023-05-10T00:00:00"/>
    <d v="2023-04-07T00:00:00"/>
    <d v="2024-04-05T00:00:00"/>
    <s v="000-284/AIB RDC/2023"/>
    <n v="0"/>
    <s v="SOUSCRIPTION"/>
    <s v="12002-33002-0021-111-00020123-2023"/>
    <s v="WUHUANG CONSTRUCTION ET COMMERCE RDC SAS ( WHCC) / Bolloré"/>
    <m/>
    <s v="SYNTYCHE"/>
    <s v="Victor"/>
    <s v="MARINE CARGO / GIT"/>
    <s v="MARINE"/>
    <x v="0"/>
    <s v="SFA"/>
    <n v="184013.47"/>
    <n v="371.18"/>
    <n v="0"/>
    <n v="0"/>
    <n v="11.37"/>
    <n v="287.06"/>
    <n v="47.75"/>
    <n v="1.5599944938813448E-3"/>
    <n v="0.15"/>
    <n v="43.058999999999997"/>
    <n v="0"/>
    <n v="0"/>
    <n v="0"/>
    <n v="43.058999999999997"/>
    <n v="6.8894399999999996"/>
    <n v="49.948439999999998"/>
    <n v="0.86117999999999995"/>
    <n v="0"/>
    <n v="0.86117999999999995"/>
    <m/>
    <n v="42.19782"/>
    <s v="BOLLORE"/>
    <n v="0.4"/>
    <n v="16.879128000000001"/>
    <n v="16.879128000000001"/>
    <d v="2023-10-30T00:00:00"/>
    <n v="0"/>
    <m/>
    <n v="49.948439999999998"/>
    <n v="49.948439999999998"/>
    <n v="0"/>
    <s v="SFA"/>
    <d v="2023-06-23T00:00:00"/>
    <m/>
    <s v="ONCE OFF"/>
    <s v="MARINE CARGO / GIT"/>
    <m/>
    <m/>
    <m/>
  </r>
  <r>
    <x v="2"/>
    <s v="Yes"/>
    <d v="2023-05-25T00:00:00"/>
    <d v="2023-04-07T00:00:00"/>
    <d v="2023-03-07T00:00:00"/>
    <d v="2024-03-05T00:00:00"/>
    <s v="000-285/AIB RDC/2023"/>
    <n v="0"/>
    <s v="SOUSCRIPTION"/>
    <s v="12002-33002-0021-111-00019341-2023"/>
    <s v="WUHUANG CONSTRUCTION ET COMMERCE RDC SAS ( WHCC) / Bolloré"/>
    <m/>
    <s v="SYNTYCHE"/>
    <s v="Victor"/>
    <s v="MARINE CARGO / GIT"/>
    <s v="MARINE"/>
    <x v="0"/>
    <s v="SFA"/>
    <n v="307455.15999999997"/>
    <n v="380.87"/>
    <n v="0"/>
    <n v="0"/>
    <n v="6.43"/>
    <n v="295.16000000000003"/>
    <n v="48.25"/>
    <n v="9.6000990843672965E-4"/>
    <n v="0.15"/>
    <n v="44.274000000000001"/>
    <n v="0"/>
    <n v="0"/>
    <n v="0"/>
    <n v="44.274000000000001"/>
    <n v="7.0838400000000004"/>
    <n v="51.357840000000003"/>
    <n v="0.88548000000000004"/>
    <n v="0"/>
    <n v="0.88548000000000004"/>
    <m/>
    <n v="43.38852"/>
    <s v="BOLLORE"/>
    <n v="0.4"/>
    <n v="17.355408000000001"/>
    <n v="17.355408000000001"/>
    <d v="2023-10-30T00:00:00"/>
    <n v="0"/>
    <m/>
    <n v="51.357840000000003"/>
    <n v="51.357840000000003"/>
    <n v="0"/>
    <s v="SFA"/>
    <d v="2023-05-30T00:00:00"/>
    <m/>
    <s v="ONCE OFF"/>
    <s v="MARINE CARGO / GIT"/>
    <m/>
    <m/>
    <m/>
  </r>
  <r>
    <x v="1"/>
    <s v="Yes"/>
    <d v="2023-05-25T00:00:00"/>
    <d v="2023-04-05T00:00:00"/>
    <d v="2023-02-16T00:00:00"/>
    <d v="2024-02-15T00:00:00"/>
    <s v="000-286/AIB RDC/2023"/>
    <n v="0"/>
    <s v="SOUSCRIPTION"/>
    <s v="12002-33002-0021-111-00019334-2023"/>
    <s v="WUHUANG CONSTRUCTION ET COMMERCE RDC SAS ( WHCC) / Bolloré"/>
    <m/>
    <s v="SYNTYCHE"/>
    <s v="Victor"/>
    <s v="MARINE CARGO / GIT"/>
    <s v="MARINE"/>
    <x v="0"/>
    <s v="SFA"/>
    <n v="53387.62"/>
    <n v="65"/>
    <n v="0"/>
    <n v="0"/>
    <n v="0.81"/>
    <n v="54.28"/>
    <n v="8.81"/>
    <n v="1.0167151111062827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30T00:00:00"/>
    <m/>
    <s v="ONCE OFF"/>
    <s v="MARINE CARGO / GIT"/>
    <m/>
    <m/>
    <m/>
  </r>
  <r>
    <x v="2"/>
    <s v="Yes"/>
    <d v="2023-05-25T00:00:00"/>
    <d v="2023-04-26T00:00:00"/>
    <d v="2023-03-30T00:00:00"/>
    <d v="2024-03-28T00:00:00"/>
    <s v="000-287/AIB RDC/2023"/>
    <n v="0"/>
    <s v="SOUSCRIPTION"/>
    <s v="12002-33002-0021-111-00019782-2023"/>
    <s v="SACIM SARL / Bolloré"/>
    <m/>
    <s v="SYNTYCHE"/>
    <s v="Victor"/>
    <s v="MARINE CARGO / GIT"/>
    <s v="MARINE"/>
    <x v="0"/>
    <s v="SFA"/>
    <n v="44830.11"/>
    <n v="106.56"/>
    <n v="0"/>
    <n v="0"/>
    <n v="2.99"/>
    <n v="66.13"/>
    <n v="11.06"/>
    <n v="1.4751246427903032E-3"/>
    <n v="0.15"/>
    <n v="9.9194999999999993"/>
    <n v="0"/>
    <n v="0"/>
    <n v="0"/>
    <n v="9.9194999999999993"/>
    <n v="1.5871199999999999"/>
    <n v="11.50662"/>
    <n v="0.19838999999999998"/>
    <n v="0"/>
    <n v="0.19838999999999998"/>
    <m/>
    <n v="9.7211099999999995"/>
    <s v="BOLLORE"/>
    <n v="0.4"/>
    <n v="3.8884439999999998"/>
    <n v="3.8884439999999998"/>
    <d v="2023-10-30T00:00:00"/>
    <n v="0"/>
    <m/>
    <n v="11.50662"/>
    <n v="11.50662"/>
    <n v="0"/>
    <s v="SFA"/>
    <d v="2023-05-30T00:00:00"/>
    <m/>
    <s v="ONCE OFF"/>
    <s v="MARINE CARGO / GIT"/>
    <m/>
    <m/>
    <m/>
  </r>
  <r>
    <x v="6"/>
    <s v="Yes"/>
    <d v="2023-05-25T00:00:00"/>
    <d v="2023-04-26T00:00:00"/>
    <d v="2023-04-04T00:00:00"/>
    <d v="2024-04-02T00:00:00"/>
    <s v="000-288/AIB RDC/2023"/>
    <n v="0"/>
    <s v="SOUSCRIPTION"/>
    <s v="12002-33002-0021-111-00019793-2023"/>
    <s v="PANACO / Bolloré"/>
    <m/>
    <s v="SYNTYCHE"/>
    <s v="Victor"/>
    <s v="MARINE CARGO / GIT"/>
    <s v="MARINE"/>
    <x v="0"/>
    <s v="SFA"/>
    <n v="1082783.56"/>
    <n v="2315.36"/>
    <n v="0"/>
    <n v="0"/>
    <n v="30.65"/>
    <n v="1910.33"/>
    <n v="310.56"/>
    <n v="1.7642768791206987E-3"/>
    <n v="0.15"/>
    <n v="286.54949999999997"/>
    <n v="0"/>
    <n v="0"/>
    <n v="0"/>
    <n v="286.54949999999997"/>
    <n v="45.847919999999995"/>
    <n v="332.39741999999995"/>
    <n v="5.7309899999999994"/>
    <n v="0"/>
    <n v="5.7309899999999994"/>
    <m/>
    <n v="280.81850999999995"/>
    <s v="BOLLORE"/>
    <n v="0.4"/>
    <n v="112.32740399999999"/>
    <n v="112.32740399999999"/>
    <d v="2023-10-30T00:00:00"/>
    <n v="0"/>
    <m/>
    <n v="332.39741999999995"/>
    <n v="332.39741999999995"/>
    <n v="0"/>
    <s v="SFA"/>
    <d v="2023-05-30T00:00:00"/>
    <m/>
    <s v="ONCE OFF"/>
    <s v="MARINE CARGO / GIT"/>
    <m/>
    <m/>
    <m/>
  </r>
  <r>
    <x v="2"/>
    <s v="Yes"/>
    <d v="2023-05-25T00:00:00"/>
    <d v="2023-04-26T00:00:00"/>
    <d v="2023-03-29T00:00:00"/>
    <d v="2024-03-27T00:00:00"/>
    <s v="000-289/AIB RDC/2023"/>
    <n v="0"/>
    <s v="SOUSCRIPTION"/>
    <s v="12002-33002-0021-111-00019764-2023"/>
    <s v="PANACO / Bolloré"/>
    <m/>
    <s v="SYNTYCHE"/>
    <s v="Victor"/>
    <s v="MARINE CARGO / GIT"/>
    <s v="MARINE"/>
    <x v="0"/>
    <s v="SFA"/>
    <n v="151623.78"/>
    <n v="354.23"/>
    <n v="0"/>
    <n v="0"/>
    <n v="6.09"/>
    <n v="272.92"/>
    <n v="44.64"/>
    <n v="1.7999815068586208E-3"/>
    <n v="0.15"/>
    <n v="40.938000000000002"/>
    <n v="0"/>
    <n v="0"/>
    <n v="0"/>
    <n v="40.938000000000002"/>
    <n v="6.5500800000000003"/>
    <n v="47.488080000000004"/>
    <n v="0.81876000000000004"/>
    <n v="0"/>
    <n v="0.81876000000000004"/>
    <m/>
    <n v="40.119240000000005"/>
    <s v="BOLLORE"/>
    <n v="0.4"/>
    <n v="16.047696000000002"/>
    <n v="16.047696000000002"/>
    <d v="2023-10-30T00:00:00"/>
    <n v="0"/>
    <m/>
    <n v="47.488080000000004"/>
    <n v="47.488080000000004"/>
    <n v="0"/>
    <s v="SFA"/>
    <d v="2023-05-30T00:00:00"/>
    <m/>
    <s v="ONCE OFF"/>
    <s v="MARINE CARGO / GIT"/>
    <m/>
    <m/>
    <m/>
  </r>
  <r>
    <x v="6"/>
    <s v="Yes"/>
    <d v="2023-05-25T00:00:00"/>
    <d v="2023-04-19T00:00:00"/>
    <d v="2023-04-10T00:00:00"/>
    <d v="2024-04-08T00:00:00"/>
    <s v="000-290/AIB RDC/2023"/>
    <n v="0"/>
    <s v="SOUSCRIPTION"/>
    <s v="12002-33002-0021-111-00019608-2023"/>
    <s v="PANACO / Bolloré"/>
    <m/>
    <s v="SYNTYCHE"/>
    <s v="Victor"/>
    <s v="MARINE CARGO / GIT"/>
    <s v="MARINE"/>
    <x v="0"/>
    <s v="SFA"/>
    <n v="81765.009999999995"/>
    <n v="238.9"/>
    <n v="0"/>
    <n v="0"/>
    <n v="4.6500000000000004"/>
    <n v="176.62"/>
    <n v="29"/>
    <n v="2.1600926851228909E-3"/>
    <n v="0.15"/>
    <n v="26.492999999999999"/>
    <n v="0"/>
    <n v="0"/>
    <n v="0"/>
    <n v="26.492999999999999"/>
    <n v="4.23888"/>
    <n v="30.731879999999997"/>
    <n v="0.52986"/>
    <n v="0"/>
    <n v="0.52986"/>
    <m/>
    <n v="25.963139999999999"/>
    <s v="BOLLORE"/>
    <n v="0.4"/>
    <n v="10.385256"/>
    <n v="10.385256"/>
    <d v="2023-10-30T00:00:00"/>
    <n v="0"/>
    <m/>
    <n v="30.731879999999997"/>
    <n v="30.731879999999997"/>
    <n v="0"/>
    <s v="SFA"/>
    <d v="2023-05-30T00:00:00"/>
    <m/>
    <s v="ONCE OFF"/>
    <s v="MARINE CARGO / GIT"/>
    <m/>
    <m/>
    <m/>
  </r>
  <r>
    <x v="6"/>
    <s v="Yes"/>
    <d v="2023-05-25T00:00:00"/>
    <d v="2023-04-18T00:00:00"/>
    <d v="2023-04-18T00:00:00"/>
    <d v="2024-04-16T00:00:00"/>
    <s v="000-291/AIB RDC/2023"/>
    <n v="0"/>
    <s v="SOUSCRIPTION"/>
    <s v="12002-33002-0021-111-00019585-2023"/>
    <s v="PANACO / Bolloré"/>
    <m/>
    <s v="SYNTYCHE"/>
    <s v="Victor"/>
    <s v="MARINE CARGO / GIT"/>
    <s v="MARINE"/>
    <x v="0"/>
    <s v="SFA"/>
    <n v="62818.75"/>
    <n v="189.89"/>
    <n v="0"/>
    <n v="0"/>
    <n v="4.04"/>
    <n v="135.69999999999999"/>
    <n v="22.36"/>
    <n v="2.160183066361556E-3"/>
    <n v="0.15"/>
    <n v="20.354999999999997"/>
    <n v="0"/>
    <n v="0"/>
    <n v="0"/>
    <n v="20.354999999999997"/>
    <n v="3.2567999999999997"/>
    <n v="23.611799999999995"/>
    <n v="0.40709999999999996"/>
    <n v="0"/>
    <n v="0.40709999999999996"/>
    <m/>
    <n v="19.947899999999997"/>
    <s v="BOLLORE"/>
    <n v="0.4"/>
    <n v="7.9791599999999994"/>
    <n v="7.9791599999999994"/>
    <d v="2023-10-30T00:00:00"/>
    <n v="0"/>
    <m/>
    <n v="23.611799999999995"/>
    <n v="23.611799999999995"/>
    <n v="0"/>
    <s v="SFA"/>
    <d v="2023-05-30T00:00:00"/>
    <m/>
    <s v="ONCE OFF"/>
    <s v="MARINE CARGO / GIT"/>
    <m/>
    <m/>
    <m/>
  </r>
  <r>
    <x v="2"/>
    <s v="Yes"/>
    <d v="2023-05-25T00:00:00"/>
    <d v="2023-04-06T00:00:00"/>
    <d v="2023-03-17T00:00:00"/>
    <d v="2024-03-15T00:00:00"/>
    <s v="000-292/AIB RDC/2023"/>
    <n v="0"/>
    <s v="SOUSCRIPTION"/>
    <s v="12002-33002-0021-111-00019336-2023"/>
    <s v="PANACO / Bolloré"/>
    <m/>
    <s v="SYNTYCHE"/>
    <s v="Victor"/>
    <s v="MARINE CARGO / GIT"/>
    <s v="MARINE"/>
    <x v="0"/>
    <s v="SFA"/>
    <n v="18008.96"/>
    <n v="48.07"/>
    <n v="0"/>
    <n v="0"/>
    <n v="2.2599999999999998"/>
    <n v="17.29"/>
    <n v="3.13"/>
    <n v="9.6007765023632685E-4"/>
    <n v="0.15"/>
    <n v="2.5934999999999997"/>
    <n v="0"/>
    <n v="0"/>
    <n v="0"/>
    <n v="2.5934999999999997"/>
    <n v="0.41495999999999994"/>
    <n v="3.0084599999999995"/>
    <n v="5.1869999999999993E-2"/>
    <n v="0"/>
    <n v="5.1869999999999993E-2"/>
    <m/>
    <n v="2.5416299999999996"/>
    <s v="BOLLORE"/>
    <n v="0.4"/>
    <n v="1.0166519999999999"/>
    <n v="1.0166519999999999"/>
    <d v="2023-10-30T00:00:00"/>
    <n v="0"/>
    <m/>
    <n v="3.0084599999999995"/>
    <n v="3.0084599999999995"/>
    <n v="0"/>
    <s v="SFA"/>
    <d v="2023-05-30T00:00:00"/>
    <m/>
    <s v="ONCE OFF"/>
    <s v="MARINE CARGO / GIT"/>
    <m/>
    <m/>
    <m/>
  </r>
  <r>
    <x v="2"/>
    <s v="Yes"/>
    <d v="2023-05-25T00:00:00"/>
    <d v="2023-04-06T00:00:00"/>
    <d v="2023-03-17T00:00:00"/>
    <d v="2024-03-15T00:00:00"/>
    <s v="000-293/AIB RDC/2023"/>
    <n v="0"/>
    <s v="SOUSCRIPTION"/>
    <s v="12002-33002-0021-111-00019338-2023"/>
    <s v="PANACO / Bolloré"/>
    <m/>
    <s v="SYNTYCHE"/>
    <s v="Victor"/>
    <s v="MARINE CARGO / GIT"/>
    <s v="MARINE"/>
    <x v="0"/>
    <s v="SFA"/>
    <n v="17279.41"/>
    <n v="47.23"/>
    <n v="0"/>
    <n v="0"/>
    <n v="2.25"/>
    <n v="16.59"/>
    <n v="3.01"/>
    <n v="9.6010222571256778E-4"/>
    <n v="0.15"/>
    <n v="2.4884999999999997"/>
    <n v="0"/>
    <n v="0"/>
    <n v="0"/>
    <n v="2.4884999999999997"/>
    <n v="0.39815999999999996"/>
    <n v="2.8866599999999996"/>
    <n v="4.9769999999999995E-2"/>
    <n v="0"/>
    <n v="4.9769999999999995E-2"/>
    <m/>
    <n v="2.4387299999999996"/>
    <s v="BOLLORE"/>
    <n v="0.4"/>
    <n v="0.97549199999999991"/>
    <n v="0.97549199999999991"/>
    <d v="2023-10-30T00:00:00"/>
    <n v="0"/>
    <m/>
    <n v="2.8866599999999996"/>
    <n v="2.8866599999999996"/>
    <n v="0"/>
    <s v="SFA"/>
    <d v="2023-05-30T00:00:00"/>
    <m/>
    <s v="ONCE OFF"/>
    <s v="MARINE CARGO / GIT"/>
    <m/>
    <m/>
    <m/>
  </r>
  <r>
    <x v="2"/>
    <s v="Yes"/>
    <d v="2023-05-25T00:00:00"/>
    <d v="2023-04-06T00:00:00"/>
    <d v="2023-03-17T00:00:00"/>
    <d v="2024-03-15T00:00:00"/>
    <s v="000-294/AIB RDC/2023"/>
    <n v="0"/>
    <s v="SOUSCRIPTION"/>
    <s v="12002-33002-0021-111-00019335-2023"/>
    <s v="PANACO / Bolloré"/>
    <m/>
    <s v="SYNTYCHE"/>
    <s v="Victor"/>
    <s v="MARINE CARGO / GIT"/>
    <s v="MARINE"/>
    <x v="0"/>
    <s v="SFA"/>
    <n v="15332.32"/>
    <n v="45.33"/>
    <n v="0"/>
    <n v="0"/>
    <n v="2.23"/>
    <n v="15"/>
    <n v="2.76"/>
    <n v="9.7832552412159416E-4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n v="0.88200000000000012"/>
    <d v="2023-10-30T00:00:00"/>
    <n v="0"/>
    <m/>
    <n v="2.61"/>
    <n v="2.61"/>
    <n v="0"/>
    <s v="SFA"/>
    <d v="2023-05-30T00:00:00"/>
    <m/>
    <s v="ONCE OFF"/>
    <s v="MARINE CARGO / GIT"/>
    <m/>
    <m/>
    <m/>
  </r>
  <r>
    <x v="6"/>
    <s v="Yes"/>
    <d v="2023-05-25T00:00:00"/>
    <d v="2023-04-17T00:00:00"/>
    <d v="2023-04-07T00:00:00"/>
    <d v="2024-01-19T00:00:00"/>
    <s v="000-295/AIB RDC/2023"/>
    <n v="22"/>
    <s v="INCORPORATION"/>
    <s v="12002-33002-0004-103-00017955-2023"/>
    <s v="GSA"/>
    <m/>
    <s v="SYNTYCHE"/>
    <s v="Syntyche"/>
    <s v="MOTOR TPL"/>
    <s v="MOTOR TPL"/>
    <x v="0"/>
    <s v="SFA"/>
    <n v="0"/>
    <n v="191.98"/>
    <n v="0"/>
    <n v="0"/>
    <n v="6.34"/>
    <n v="156.36000000000001"/>
    <n v="26.03"/>
    <e v="#DIV/0!"/>
    <n v="0.1"/>
    <n v="15.636000000000003"/>
    <n v="0"/>
    <n v="0"/>
    <n v="0"/>
    <n v="15.636000000000003"/>
    <n v="2.5017600000000004"/>
    <n v="18.137760000000004"/>
    <n v="0.31272000000000005"/>
    <n v="0"/>
    <n v="0.31272000000000005"/>
    <m/>
    <n v="15.323280000000002"/>
    <m/>
    <m/>
    <n v="0"/>
    <m/>
    <m/>
    <n v="0"/>
    <m/>
    <n v="18.137760000000004"/>
    <n v="18.137760000000004"/>
    <n v="0"/>
    <s v="SFA"/>
    <d v="2023-05-30T00:00:00"/>
    <m/>
    <m/>
    <m/>
    <m/>
    <m/>
    <m/>
  </r>
  <r>
    <x v="2"/>
    <s v="Yes"/>
    <d v="2023-05-25T00:00:00"/>
    <d v="2023-04-26T00:00:00"/>
    <d v="2023-03-25T00:00:00"/>
    <d v="2024-03-23T00:00:00"/>
    <s v="000-296/AIB RDC/2023"/>
    <n v="0"/>
    <s v="SOUSCRIPTION"/>
    <s v="12002-33002-0021-111-00019761-2023"/>
    <s v="ORICA / Bolloré"/>
    <m/>
    <s v="SYNTYCHE"/>
    <s v="Victor"/>
    <s v="MARINE CARGO / GIT"/>
    <s v="MARINE"/>
    <x v="0"/>
    <s v="SFA"/>
    <n v="38380"/>
    <n v="77.38"/>
    <n v="0"/>
    <n v="0"/>
    <n v="3.16"/>
    <n v="77.38"/>
    <n v="12.89"/>
    <n v="2.0161542470036476E-3"/>
    <n v="0.15"/>
    <n v="11.606999999999999"/>
    <n v="0"/>
    <n v="0"/>
    <n v="0"/>
    <n v="11.606999999999999"/>
    <n v="1.8571199999999999"/>
    <n v="13.464119999999999"/>
    <n v="0.23213999999999999"/>
    <n v="0"/>
    <n v="0.23213999999999999"/>
    <m/>
    <n v="11.37486"/>
    <s v="BOLLORE"/>
    <n v="0.4"/>
    <n v="4.549944"/>
    <n v="4.549944"/>
    <d v="2023-10-30T00:00:00"/>
    <n v="0"/>
    <m/>
    <n v="13.464119999999999"/>
    <n v="13.464119999999999"/>
    <n v="0"/>
    <s v="SFA"/>
    <d v="2023-05-30T00:00:00"/>
    <m/>
    <s v="ONCE OFF"/>
    <s v="MARINE CARGO / GIT"/>
    <m/>
    <m/>
    <m/>
  </r>
  <r>
    <x v="2"/>
    <s v="Yes"/>
    <d v="2023-05-25T00:00:00"/>
    <d v="2023-03-31T00:00:00"/>
    <d v="2023-03-22T00:00:00"/>
    <d v="2024-03-20T00:00:00"/>
    <s v="000-297/AIB RDC/2023"/>
    <n v="0"/>
    <s v="SOUSCRIPTION"/>
    <s v="12002-33002-0021-111-00019244-2023"/>
    <s v="ORICA / Bolloré"/>
    <m/>
    <s v="SYNTYCHE"/>
    <s v="Victor"/>
    <s v="MARINE CARGO / GIT"/>
    <s v="MARINE"/>
    <x v="0"/>
    <s v="SFA"/>
    <n v="20189.400000000001"/>
    <n v="81.040000000000006"/>
    <n v="0"/>
    <n v="0"/>
    <n v="2.67"/>
    <n v="44.82"/>
    <n v="7.6"/>
    <n v="2.2199768195191533E-3"/>
    <n v="0.15"/>
    <n v="6.7229999999999999"/>
    <n v="0"/>
    <n v="0"/>
    <n v="0"/>
    <n v="6.7229999999999999"/>
    <n v="1.07568"/>
    <n v="7.7986800000000001"/>
    <n v="0.13446"/>
    <n v="0"/>
    <n v="0.13446"/>
    <m/>
    <n v="6.5885400000000001"/>
    <s v="BOLLORE"/>
    <n v="0.4"/>
    <n v="2.6354160000000002"/>
    <n v="2.6354160000000002"/>
    <d v="2023-10-30T00:00:00"/>
    <n v="0"/>
    <m/>
    <n v="7.7986800000000001"/>
    <n v="7.7986800000000001"/>
    <n v="0"/>
    <s v="SFA"/>
    <d v="2023-05-24T00:00:00"/>
    <m/>
    <s v="ONCE OFF"/>
    <s v="MARINE CARGO / GIT"/>
    <m/>
    <m/>
    <m/>
  </r>
  <r>
    <x v="2"/>
    <s v="Yes"/>
    <d v="2023-05-25T00:00:00"/>
    <d v="2023-03-31T00:00:00"/>
    <d v="2023-03-22T00:00:00"/>
    <d v="2024-03-20T00:00:00"/>
    <s v="000-298/AIB RDC/2023"/>
    <n v="0"/>
    <s v="SOUSCRIPTION"/>
    <s v="12002-33002-0021-111-00019245-2023"/>
    <s v="ORICA / Bolloré"/>
    <m/>
    <s v="SYNTYCHE"/>
    <s v="Victor"/>
    <s v="MARINE CARGO / GIT"/>
    <s v="MARINE"/>
    <x v="0"/>
    <s v="SFA"/>
    <n v="30800"/>
    <n v="109.27"/>
    <n v="0"/>
    <n v="0"/>
    <n v="3.03"/>
    <n v="68.38"/>
    <n v="11.43"/>
    <n v="2.22012987012987E-3"/>
    <n v="0.15"/>
    <n v="10.257"/>
    <n v="0"/>
    <n v="0"/>
    <n v="0"/>
    <n v="10.257"/>
    <n v="1.6411199999999999"/>
    <n v="11.898119999999999"/>
    <n v="0.20513999999999999"/>
    <n v="0"/>
    <n v="0.20513999999999999"/>
    <m/>
    <n v="10.05186"/>
    <s v="BOLLORE"/>
    <n v="0.4"/>
    <n v="4.0207439999999997"/>
    <n v="4.0207439999999997"/>
    <d v="2023-10-30T00:00:00"/>
    <n v="0"/>
    <m/>
    <n v="11.898119999999999"/>
    <n v="11.898119999999999"/>
    <n v="0"/>
    <s v="SFA"/>
    <d v="2023-05-24T00:00:00"/>
    <m/>
    <s v="ONCE OFF"/>
    <s v="MARINE CARGO / GIT"/>
    <m/>
    <m/>
    <m/>
  </r>
  <r>
    <x v="2"/>
    <s v="Yes"/>
    <d v="2023-05-25T00:00:00"/>
    <d v="2023-03-31T00:00:00"/>
    <d v="2023-03-22T00:00:00"/>
    <d v="2024-03-20T00:00:00"/>
    <s v="000-299/AIB RDC/2023"/>
    <n v="0"/>
    <s v="SOUSCRIPTION"/>
    <s v="12002-33002-0021-111-00019243-2023"/>
    <s v="ORICA / Bolloré"/>
    <m/>
    <s v="SYNTYCHE"/>
    <s v="Victor"/>
    <s v="MARINE CARGO / GIT"/>
    <s v="MARINE"/>
    <x v="0"/>
    <s v="SFA"/>
    <n v="45024.800000000003"/>
    <n v="147.08000000000001"/>
    <n v="0"/>
    <n v="0"/>
    <n v="3.5"/>
    <n v="99.96"/>
    <n v="16.55"/>
    <n v="2.2201098061512764E-3"/>
    <n v="0.15"/>
    <n v="14.993999999999998"/>
    <n v="0"/>
    <n v="0"/>
    <n v="0"/>
    <n v="14.993999999999998"/>
    <n v="2.3990399999999998"/>
    <n v="17.393039999999999"/>
    <n v="0.29987999999999998"/>
    <n v="0"/>
    <n v="0.29987999999999998"/>
    <m/>
    <n v="14.694119999999998"/>
    <s v="BOLLORE"/>
    <n v="0.4"/>
    <n v="5.8776479999999998"/>
    <n v="5.8776479999999998"/>
    <d v="2023-10-30T00:00:00"/>
    <n v="0"/>
    <m/>
    <n v="17.393039999999999"/>
    <n v="17.393039999999999"/>
    <n v="0"/>
    <s v="SFA"/>
    <d v="2023-05-24T00:00:00"/>
    <m/>
    <s v="ONCE OFF"/>
    <s v="MARINE CARGO / GIT"/>
    <m/>
    <m/>
    <m/>
  </r>
  <r>
    <x v="4"/>
    <s v="Yes"/>
    <d v="2023-05-25T00:00:00"/>
    <d v="2023-05-13T00:00:00"/>
    <d v="2023-05-02T00:00:00"/>
    <d v="2024-04-30T00:00:00"/>
    <s v="000-300/AIB RDC/2023"/>
    <n v="0"/>
    <s v="SOUSCRIPTION"/>
    <s v="12002-33002-0021-111-00020190-2023"/>
    <s v="ORICA / Bolloré"/>
    <m/>
    <s v="SYNTYCHE"/>
    <s v="Victor"/>
    <s v="MARINE CARGO / GIT"/>
    <s v="MARINE"/>
    <x v="0"/>
    <s v="SFA"/>
    <n v="26502.400000000001"/>
    <n v="83.6"/>
    <n v="0"/>
    <n v="0"/>
    <n v="6"/>
    <n v="44.52"/>
    <n v="8.08"/>
    <n v="1.679847862835064E-3"/>
    <n v="0.15"/>
    <n v="6.6779999999999999"/>
    <n v="0"/>
    <n v="0"/>
    <n v="0"/>
    <n v="6.6779999999999999"/>
    <n v="1.0684800000000001"/>
    <n v="7.74648"/>
    <n v="0.13356000000000001"/>
    <n v="0"/>
    <n v="0.13356000000000001"/>
    <m/>
    <n v="6.5444399999999998"/>
    <s v="BOLLORE"/>
    <n v="0.4"/>
    <n v="2.6177760000000001"/>
    <n v="2.6177760000000001"/>
    <d v="2023-10-30T00:00:00"/>
    <n v="0"/>
    <m/>
    <n v="7.74648"/>
    <n v="7.74648"/>
    <n v="0"/>
    <s v="SFA"/>
    <d v="2023-06-23T00:00:00"/>
    <m/>
    <s v="ONCE OFF"/>
    <s v="MARINE CARGO / GIT"/>
    <m/>
    <m/>
    <m/>
  </r>
  <r>
    <x v="4"/>
    <s v="Yes"/>
    <d v="2023-05-25T00:00:00"/>
    <d v="2023-05-25T00:00:00"/>
    <d v="2023-05-02T00:00:00"/>
    <d v="2024-04-30T00:00:00"/>
    <s v="000-301/AIB RDC/2023"/>
    <n v="0"/>
    <s v="SOUSCRIPTION"/>
    <s v="12002-33002-0021-111-00020380-2023"/>
    <s v="ORICA / Bolloré"/>
    <m/>
    <s v="SYNTYCHE"/>
    <s v="Victor"/>
    <s v="MARINE CARGO / GIT"/>
    <s v="MARINE"/>
    <x v="0"/>
    <s v="SFA"/>
    <n v="25856.6"/>
    <n v="82.35"/>
    <n v="0"/>
    <n v="0"/>
    <n v="6"/>
    <n v="43.44"/>
    <n v="7.91"/>
    <n v="1.6800352714587377E-3"/>
    <n v="0.15"/>
    <n v="6.5159999999999991"/>
    <n v="0"/>
    <n v="0"/>
    <n v="0"/>
    <n v="6.5159999999999991"/>
    <n v="1.0425599999999999"/>
    <n v="7.5585599999999991"/>
    <n v="0.13031999999999999"/>
    <n v="0"/>
    <n v="0.13031999999999999"/>
    <m/>
    <n v="6.3856799999999989"/>
    <s v="BOLLORE"/>
    <n v="0.4"/>
    <n v="2.5542719999999997"/>
    <n v="2.5542719999999997"/>
    <d v="2023-10-30T00:00:00"/>
    <n v="0"/>
    <m/>
    <n v="7.5585599999999991"/>
    <n v="7.5585599999999991"/>
    <n v="0"/>
    <s v="SFA"/>
    <d v="2023-06-23T00:00:00"/>
    <m/>
    <s v="ONCE OFF"/>
    <s v="MARINE CARGO / GIT"/>
    <m/>
    <m/>
    <m/>
  </r>
  <r>
    <x v="4"/>
    <s v="Yes"/>
    <d v="2023-05-25T00:00:00"/>
    <d v="2023-05-25T00:00:00"/>
    <d v="2023-05-02T00:00:00"/>
    <d v="2024-04-30T00:00:00"/>
    <s v="000-302/AIB RDC/2023"/>
    <n v="0"/>
    <s v="SOUSCRIPTION"/>
    <s v="12002-33002-0021-111-00020392-2023"/>
    <s v="ORICA / Bolloré"/>
    <m/>
    <s v="SYNTYCHE"/>
    <s v="Victor"/>
    <s v="MARINE CARGO / GIT"/>
    <s v="MARINE"/>
    <x v="0"/>
    <s v="SFA"/>
    <n v="27287.4"/>
    <n v="85.13"/>
    <n v="0"/>
    <n v="0"/>
    <n v="6"/>
    <n v="45.84"/>
    <n v="8.2899999999999991"/>
    <n v="1.6798962158358804E-3"/>
    <n v="0.15"/>
    <n v="6.8760000000000003"/>
    <n v="0"/>
    <n v="0"/>
    <n v="0"/>
    <n v="6.8760000000000003"/>
    <n v="1.10016"/>
    <n v="7.9761600000000001"/>
    <n v="0.13752"/>
    <n v="0"/>
    <n v="0.13752"/>
    <m/>
    <n v="6.73848"/>
    <s v="BOLLORE"/>
    <n v="0.4"/>
    <n v="2.695392"/>
    <n v="2.695392"/>
    <d v="2023-10-30T00:00:00"/>
    <n v="0"/>
    <m/>
    <n v="7.9761600000000001"/>
    <n v="7.9761600000000001"/>
    <n v="0"/>
    <s v="SFA"/>
    <d v="2023-06-23T00:00:00"/>
    <m/>
    <s v="ONCE OFF"/>
    <s v="MARINE CARGO / GIT"/>
    <m/>
    <m/>
    <m/>
  </r>
  <r>
    <x v="4"/>
    <s v="Yes"/>
    <d v="2023-05-25T00:00:00"/>
    <d v="2023-05-25T00:00:00"/>
    <d v="2023-05-02T00:00:00"/>
    <d v="2024-04-30T00:00:00"/>
    <s v="000-303/AIB RDC/2023"/>
    <n v="0"/>
    <s v="SOUSCRIPTION"/>
    <s v="12002-33002-0021-111-00020394-2023"/>
    <s v="ORICA / Bolloré"/>
    <m/>
    <s v="SYNTYCHE"/>
    <s v="Victor"/>
    <s v="MARINE CARGO / GIT"/>
    <s v="MARINE"/>
    <x v="0"/>
    <s v="SFA"/>
    <n v="28721"/>
    <n v="87.93"/>
    <n v="0"/>
    <n v="0"/>
    <n v="6"/>
    <n v="48.25"/>
    <n v="8.68"/>
    <n v="1.6799554333066398E-3"/>
    <n v="0.15"/>
    <n v="7.2374999999999998"/>
    <n v="0"/>
    <n v="0"/>
    <n v="0"/>
    <n v="7.2374999999999998"/>
    <n v="1.1579999999999999"/>
    <n v="8.3955000000000002"/>
    <n v="0.14474999999999999"/>
    <n v="0"/>
    <n v="0.14474999999999999"/>
    <m/>
    <n v="7.0927499999999997"/>
    <s v="BOLLORE"/>
    <n v="0.4"/>
    <n v="2.8371"/>
    <n v="2.8371"/>
    <d v="2023-10-30T00:00:00"/>
    <n v="0"/>
    <m/>
    <n v="8.3955000000000002"/>
    <n v="8.3955000000000002"/>
    <n v="0"/>
    <s v="SFA"/>
    <d v="2023-06-23T00:00:00"/>
    <m/>
    <s v="ONCE OFF"/>
    <s v="MARINE CARGO / GIT"/>
    <m/>
    <m/>
    <m/>
  </r>
  <r>
    <x v="2"/>
    <s v="Yes"/>
    <d v="2023-05-26T00:00:00"/>
    <d v="2023-03-27T00:00:00"/>
    <d v="2023-03-27T00:00:00"/>
    <d v="2024-03-25T00:00:00"/>
    <s v="000-304/AIB RDC/2023"/>
    <n v="0"/>
    <s v="SOUSCRIPTION"/>
    <s v="12002-33002-0021-111-00019064-2023"/>
    <s v="ORICA / Bolloré"/>
    <m/>
    <s v="SYNTYCHE"/>
    <s v="Victor"/>
    <s v="MARINE CARGO / GIT"/>
    <s v="MARINE"/>
    <x v="0"/>
    <s v="SFA"/>
    <n v="39501"/>
    <n v="106.85"/>
    <n v="0"/>
    <n v="0"/>
    <n v="3"/>
    <n v="66.36"/>
    <n v="11.1"/>
    <n v="1.6799574694311536E-3"/>
    <n v="0.15"/>
    <n v="9.9539999999999988"/>
    <n v="0"/>
    <n v="0"/>
    <n v="0"/>
    <n v="9.9539999999999988"/>
    <n v="1.5926399999999998"/>
    <n v="11.546639999999998"/>
    <n v="0.19907999999999998"/>
    <n v="0"/>
    <n v="0.19907999999999998"/>
    <m/>
    <n v="9.7549199999999985"/>
    <s v="BOLLORE"/>
    <n v="0.4"/>
    <n v="3.9019679999999997"/>
    <n v="3.9019679999999997"/>
    <d v="2023-10-30T00:00:00"/>
    <n v="0"/>
    <m/>
    <n v="11.546639999999998"/>
    <n v="11.546639999999998"/>
    <n v="0"/>
    <s v="SFA"/>
    <d v="2023-05-24T00:00:00"/>
    <m/>
    <s v="ONCE OFF"/>
    <s v="MARINE CARGO / GIT"/>
    <m/>
    <m/>
    <m/>
  </r>
  <r>
    <x v="2"/>
    <s v="Yes"/>
    <d v="2023-05-26T00:00:00"/>
    <d v="2023-03-27T00:00:00"/>
    <d v="2023-03-27T00:00:00"/>
    <d v="2024-03-25T00:00:00"/>
    <s v="000-305/AIB RDC/2023"/>
    <n v="0"/>
    <s v="SOUSCRIPTION"/>
    <s v="12002-33002-0021-111-00019063-2023"/>
    <s v="ORICA / Bolloré"/>
    <m/>
    <s v="SYNTYCHE"/>
    <s v="Victor"/>
    <s v="MARINE CARGO / GIT"/>
    <s v="MARINE"/>
    <x v="0"/>
    <s v="SFA"/>
    <n v="48240"/>
    <n v="124.43"/>
    <n v="0"/>
    <n v="0"/>
    <n v="3.22"/>
    <n v="81.040000000000006"/>
    <n v="13.48"/>
    <n v="1.6799336650082919E-3"/>
    <n v="0.15"/>
    <n v="12.156000000000001"/>
    <n v="0"/>
    <n v="0"/>
    <n v="0"/>
    <n v="12.156000000000001"/>
    <n v="1.9449600000000002"/>
    <n v="14.100960000000001"/>
    <n v="0.24312000000000003"/>
    <n v="0"/>
    <n v="0.24312000000000003"/>
    <m/>
    <n v="11.912880000000001"/>
    <s v="BOLLORE"/>
    <n v="0.4"/>
    <n v="4.7651520000000005"/>
    <n v="4.7651520000000005"/>
    <d v="2023-10-30T00:00:00"/>
    <n v="0"/>
    <m/>
    <n v="14.100960000000001"/>
    <n v="14.100960000000001"/>
    <n v="0"/>
    <s v="SFA"/>
    <d v="2023-05-24T00:00:00"/>
    <m/>
    <s v="ONCE OFF"/>
    <s v="MARINE CARGO / GIT"/>
    <m/>
    <m/>
    <m/>
  </r>
  <r>
    <x v="2"/>
    <s v="Yes"/>
    <d v="2023-05-26T00:00:00"/>
    <d v="2023-03-27T00:00:00"/>
    <d v="2023-03-27T00:00:00"/>
    <d v="2024-03-25T00:00:00"/>
    <s v="000-306/AIB RDC/2023"/>
    <n v="0"/>
    <s v="SOUSCRIPTION"/>
    <s v="12002-33002-0021-111-00019062-2023"/>
    <s v="ORICA / Bolloré"/>
    <m/>
    <s v="SYNTYCHE"/>
    <s v="Victor"/>
    <s v="MARINE CARGO / GIT"/>
    <s v="MARINE"/>
    <x v="0"/>
    <s v="SFA"/>
    <n v="97298.5"/>
    <n v="223.14"/>
    <n v="0"/>
    <n v="0"/>
    <n v="4.45"/>
    <n v="163.46"/>
    <n v="26.87"/>
    <n v="1.6799847890769128E-3"/>
    <n v="0.15"/>
    <n v="24.519000000000002"/>
    <n v="0"/>
    <n v="0"/>
    <n v="0"/>
    <n v="24.519000000000002"/>
    <n v="3.9230400000000003"/>
    <n v="28.442040000000002"/>
    <n v="0.49038000000000004"/>
    <n v="0"/>
    <n v="0.49038000000000004"/>
    <m/>
    <n v="24.028620000000004"/>
    <s v="BOLLORE"/>
    <n v="0.4"/>
    <n v="9.6114480000000029"/>
    <n v="9.6114480000000029"/>
    <d v="2023-10-30T00:00:00"/>
    <n v="0"/>
    <m/>
    <n v="28.442040000000002"/>
    <n v="28.442040000000002"/>
    <n v="0"/>
    <s v="SFA"/>
    <d v="2023-05-24T00:00:00"/>
    <m/>
    <s v="ONCE OFF"/>
    <s v="MARINE CARGO / GIT"/>
    <m/>
    <m/>
    <m/>
  </r>
  <r>
    <x v="6"/>
    <s v="Yes"/>
    <d v="2023-06-15T00:00:00"/>
    <d v="2023-05-24T00:00:00"/>
    <d v="2023-04-01T00:00:00"/>
    <d v="2024-03-30T00:00:00"/>
    <s v="000-307/AIB RDC/2023"/>
    <n v="0"/>
    <s v="SOUSCRIPTION"/>
    <s v="12005-33002-0010-13002-00001063-2022"/>
    <s v="Ivanhoe Mines Exploration"/>
    <s v="Mining"/>
    <s v="ANDY"/>
    <s v="Sabrina"/>
    <s v="COMP MOTOR"/>
    <s v="MOTOR COMP"/>
    <x v="5"/>
    <s v="MAYFAIR"/>
    <n v="0"/>
    <n v="33322.71"/>
    <n v="0"/>
    <n v="0"/>
    <n v="160"/>
    <n v="28079.59"/>
    <n v="4518.33"/>
    <e v="#DIV/0!"/>
    <n v="0.15"/>
    <n v="4211.9385000000002"/>
    <n v="0"/>
    <n v="0"/>
    <n v="0"/>
    <n v="4211.9385000000002"/>
    <n v="673.91016000000002"/>
    <n v="4885.8486600000006"/>
    <n v="84.238770000000002"/>
    <n v="0"/>
    <n v="84.238770000000002"/>
    <m/>
    <n v="4127.6997300000003"/>
    <s v="Aucun"/>
    <n v="0.5"/>
    <n v="2063.8498650000001"/>
    <m/>
    <m/>
    <n v="2063.8498650000001"/>
    <m/>
    <n v="4885.8486600000006"/>
    <n v="4885.8486600000006"/>
    <n v="0"/>
    <s v="MAYFAIR"/>
    <d v="2023-06-29T00:00:00"/>
    <m/>
    <m/>
    <s v="COMP MOTOR"/>
    <m/>
    <m/>
    <m/>
  </r>
  <r>
    <x v="6"/>
    <s v="Yes"/>
    <d v="2023-06-16T00:00:00"/>
    <d v="2023-04-27T00:00:00"/>
    <d v="2023-04-20T00:00:00"/>
    <d v="2023-06-30T00:00:00"/>
    <s v="000-308/AIB RDC/2023"/>
    <n v="2"/>
    <s v="PROROGATION"/>
    <s v="12002-33002-0004-104-00016200-2022"/>
    <s v="Teichmann Group / T3 Projects"/>
    <s v="Construction"/>
    <s v="ANDY"/>
    <s v="Sabrina"/>
    <s v="COMP MOTOR"/>
    <s v="MOTOR COMP"/>
    <x v="0"/>
    <s v="SFA"/>
    <n v="0"/>
    <n v="3060.67"/>
    <n v="0"/>
    <n v="0"/>
    <n v="59.93"/>
    <n v="2532.17"/>
    <n v="414.73"/>
    <e v="#DIV/0!"/>
    <n v="0.15"/>
    <n v="379.82549999999998"/>
    <n v="0"/>
    <n v="0"/>
    <n v="0"/>
    <n v="379.82549999999998"/>
    <n v="60.772079999999995"/>
    <n v="440.59757999999999"/>
    <n v="7.5965099999999994"/>
    <n v="0"/>
    <n v="7.5965099999999994"/>
    <m/>
    <n v="372.22898999999995"/>
    <s v="O'NEILS"/>
    <n v="0.5"/>
    <n v="186.11449499999998"/>
    <n v="186.11449499999998"/>
    <d v="2023-10-20T00:00:00"/>
    <n v="0"/>
    <m/>
    <n v="440.59757999999999"/>
    <n v="440.59757999999999"/>
    <n v="0"/>
    <s v="SFA"/>
    <d v="2023-06-23T00:00:00"/>
    <m/>
    <m/>
    <s v="COMP MOTOR"/>
    <m/>
    <m/>
    <m/>
  </r>
  <r>
    <x v="2"/>
    <s v="Yes"/>
    <d v="2023-05-26T00:00:00"/>
    <d v="2023-03-31T00:00:00"/>
    <d v="2023-03-31T00:00:00"/>
    <d v="2024-03-29T00:00:00"/>
    <s v="000-309/AIB RDC/2023"/>
    <n v="0"/>
    <s v="SOUSCRIPTION"/>
    <s v="12002-33002-0021-111-00019269-2023"/>
    <s v="ORICA / Bolloré"/>
    <m/>
    <s v="SYNTYCHE"/>
    <s v="Victor"/>
    <s v="MARINE CARGO / GIT"/>
    <s v="MARINE"/>
    <x v="0"/>
    <s v="SFA"/>
    <n v="29768.2"/>
    <n v="87.26"/>
    <n v="0"/>
    <n v="0"/>
    <n v="2.75"/>
    <n v="50.01"/>
    <n v="8.44"/>
    <n v="1.6799806504928076E-3"/>
    <n v="0.15"/>
    <n v="7.5014999999999992"/>
    <n v="0"/>
    <n v="0"/>
    <n v="0"/>
    <n v="7.5014999999999992"/>
    <n v="1.20024"/>
    <n v="8.7017399999999991"/>
    <n v="0.15003"/>
    <n v="0"/>
    <n v="0.15003"/>
    <m/>
    <n v="7.3514699999999991"/>
    <s v="BOLLORE"/>
    <n v="0.4"/>
    <n v="2.940588"/>
    <n v="2.940588"/>
    <d v="2023-10-30T00:00:00"/>
    <n v="0"/>
    <m/>
    <n v="8.7017399999999991"/>
    <n v="8.7017399999999991"/>
    <n v="0"/>
    <s v="SFA"/>
    <d v="2023-05-24T00:00:00"/>
    <m/>
    <s v="ONCE OFF"/>
    <s v="MARINE CARGO / GIT"/>
    <m/>
    <m/>
    <m/>
  </r>
  <r>
    <x v="2"/>
    <s v="Yes"/>
    <d v="2023-05-26T00:00:00"/>
    <d v="2023-03-31T00:00:00"/>
    <d v="2023-03-27T00:00:00"/>
    <d v="2024-03-25T00:00:00"/>
    <s v="000-310/AIB RDC/2023"/>
    <n v="0"/>
    <s v="SOUSCRIPTION"/>
    <s v="12002-33002-0021-111-00019272-2023"/>
    <s v="ORICA / Bolloré"/>
    <m/>
    <s v="SYNTYCHE"/>
    <s v="Victor"/>
    <s v="MARINE CARGO / GIT"/>
    <s v="MARINE"/>
    <x v="0"/>
    <s v="SFA"/>
    <n v="11146.5"/>
    <n v="48.18"/>
    <n v="0"/>
    <n v="0"/>
    <n v="2.2599999999999998"/>
    <n v="17.39"/>
    <n v="3.14"/>
    <n v="1.5601309828197193E-3"/>
    <n v="0.15"/>
    <n v="2.6084999999999998"/>
    <n v="0"/>
    <n v="0"/>
    <n v="0"/>
    <n v="2.6084999999999998"/>
    <n v="0.41735999999999995"/>
    <n v="3.0258599999999998"/>
    <n v="5.2169999999999994E-2"/>
    <n v="0"/>
    <n v="5.2169999999999994E-2"/>
    <m/>
    <n v="2.55633"/>
    <s v="BOLLORE"/>
    <n v="0.4"/>
    <n v="1.022532"/>
    <n v="1.022532"/>
    <d v="2023-10-30T00:00:00"/>
    <n v="0"/>
    <m/>
    <n v="3.0258599999999998"/>
    <n v="3.0258599999999998"/>
    <n v="0"/>
    <s v="SFA"/>
    <d v="2023-05-24T00:00:00"/>
    <m/>
    <s v="ONCE OFF"/>
    <s v="MARINE CARGO / GIT"/>
    <m/>
    <m/>
    <m/>
  </r>
  <r>
    <x v="2"/>
    <s v="Yes"/>
    <d v="2023-05-26T00:00:00"/>
    <d v="2023-03-31T00:00:00"/>
    <d v="2023-03-27T00:00:00"/>
    <d v="2024-03-25T00:00:00"/>
    <s v="000-311/AIB RDC/2023"/>
    <n v="0"/>
    <s v="SOUSCRIPTION"/>
    <s v="12002-33002-0021-111-00019271-2023"/>
    <s v="ORICA / Bolloré"/>
    <m/>
    <s v="SYNTYCHE"/>
    <s v="Victor"/>
    <s v="MARINE CARGO / GIT"/>
    <s v="MARINE"/>
    <x v="0"/>
    <s v="SFA"/>
    <n v="20651.400000000001"/>
    <n v="68.900000000000006"/>
    <n v="0"/>
    <n v="0"/>
    <n v="2.52"/>
    <n v="34.69"/>
    <n v="5.95"/>
    <n v="1.6797892636818809E-3"/>
    <n v="0.15"/>
    <n v="5.2034999999999991"/>
    <n v="0"/>
    <n v="0"/>
    <n v="0"/>
    <n v="5.2034999999999991"/>
    <n v="0.83255999999999986"/>
    <n v="6.0360599999999991"/>
    <n v="0.10406999999999998"/>
    <n v="0"/>
    <n v="0.10406999999999998"/>
    <m/>
    <n v="5.099429999999999"/>
    <s v="BOLLORE"/>
    <n v="0.4"/>
    <n v="2.0397719999999997"/>
    <n v="2.0397719999999997"/>
    <d v="2023-10-30T00:00:00"/>
    <n v="0"/>
    <m/>
    <n v="6.0360599999999991"/>
    <n v="6.0360599999999991"/>
    <n v="0"/>
    <s v="SFA"/>
    <d v="2023-05-24T00:00:00"/>
    <m/>
    <s v="ONCE OFF"/>
    <s v="MARINE CARGO / GIT"/>
    <m/>
    <m/>
    <m/>
  </r>
  <r>
    <x v="2"/>
    <s v="Yes"/>
    <d v="2023-05-26T00:00:00"/>
    <d v="2023-03-29T00:00:00"/>
    <d v="2023-03-29T00:00:00"/>
    <d v="2024-03-28T00:00:00"/>
    <s v="000-312/AIB RDC/2023"/>
    <n v="0"/>
    <s v="SOUSCRIPTION"/>
    <s v="33002-0001-103-00003206-2023"/>
    <s v="PARAGON"/>
    <m/>
    <s v="ANDY"/>
    <s v="Andy"/>
    <s v="MOTOR TPL"/>
    <s v="MOTOR TPL"/>
    <x v="1"/>
    <s v="ACTIVA"/>
    <n v="0"/>
    <n v="259.83999999999997"/>
    <n v="0"/>
    <n v="0"/>
    <n v="10"/>
    <n v="214"/>
    <n v="35.840000000000003"/>
    <e v="#DIV/0!"/>
    <n v="0.125"/>
    <n v="26.75"/>
    <n v="0"/>
    <n v="0"/>
    <n v="0"/>
    <n v="26.75"/>
    <n v="4.28"/>
    <n v="31.03"/>
    <n v="0.53500000000000003"/>
    <n v="0"/>
    <n v="0.53500000000000003"/>
    <m/>
    <n v="26.215"/>
    <m/>
    <m/>
    <n v="0"/>
    <m/>
    <m/>
    <n v="0"/>
    <m/>
    <n v="31.03"/>
    <n v="31.03"/>
    <n v="0"/>
    <s v="ACTIVA"/>
    <d v="2023-06-05T00:00:00"/>
    <m/>
    <m/>
    <s v="MOTOR TPL"/>
    <m/>
    <m/>
    <m/>
  </r>
  <r>
    <x v="4"/>
    <s v="Yes"/>
    <d v="2023-05-30T00:00:00"/>
    <d v="2023-05-29T00:00:00"/>
    <d v="2023-05-25T00:00:00"/>
    <d v="2024-05-23T00:00:00"/>
    <s v="000-313/AIB RDC/2023"/>
    <n v="0"/>
    <s v="SOUSCRIPTION"/>
    <s v="12002-33002-0021-111-00020430-2023"/>
    <s v="ORICA / Bolloré"/>
    <m/>
    <s v="SYNTYCHE"/>
    <s v="Victor"/>
    <s v="MARINE CARGO / GIT"/>
    <s v="MARINE"/>
    <x v="0"/>
    <s v="SFA"/>
    <n v="29244.6"/>
    <n v="101.86"/>
    <n v="0"/>
    <n v="0"/>
    <n v="7.3"/>
    <n v="58.96"/>
    <n v="10.6"/>
    <n v="2.0160986985631535E-3"/>
    <n v="0.15"/>
    <n v="8.8439999999999994"/>
    <n v="0"/>
    <n v="0"/>
    <n v="0"/>
    <n v="8.8439999999999994"/>
    <n v="1.4150399999999999"/>
    <n v="10.259039999999999"/>
    <n v="0.17687999999999998"/>
    <n v="0"/>
    <n v="0.17687999999999998"/>
    <m/>
    <n v="8.6671199999999988"/>
    <s v="BOLLORE"/>
    <n v="0.4"/>
    <n v="3.4668479999999997"/>
    <n v="3.4668479999999997"/>
    <d v="2023-10-30T00:00:00"/>
    <n v="0"/>
    <m/>
    <n v="10.259039999999999"/>
    <n v="10.259039999999999"/>
    <n v="0"/>
    <s v="SFA"/>
    <d v="2023-06-23T00:00:00"/>
    <m/>
    <s v="ONCE OFF"/>
    <s v="MARINE CARGO / GIT"/>
    <m/>
    <m/>
    <m/>
  </r>
  <r>
    <x v="4"/>
    <s v="Yes"/>
    <d v="2023-05-30T00:00:00"/>
    <d v="2023-05-29T00:00:00"/>
    <d v="2023-05-25T00:00:00"/>
    <d v="2024-05-23T00:00:00"/>
    <s v="000-314/AIB RDC/2023"/>
    <n v="0"/>
    <s v="SOUSCRIPTION"/>
    <s v="12002-33002-0021-111-00020431-2023"/>
    <s v="ORICA / Bolloré"/>
    <m/>
    <s v="SYNTYCHE"/>
    <s v="Victor"/>
    <s v="MARINE CARGO / GIT"/>
    <s v="MARINE"/>
    <x v="0"/>
    <s v="SFA"/>
    <n v="26878"/>
    <n v="85.53"/>
    <n v="0"/>
    <n v="0"/>
    <n v="7.02"/>
    <n v="45.16"/>
    <n v="8.35"/>
    <n v="1.6801845375399953E-3"/>
    <n v="0.15"/>
    <n v="6.7739999999999991"/>
    <n v="0"/>
    <n v="0"/>
    <n v="0"/>
    <n v="6.7739999999999991"/>
    <n v="1.0838399999999999"/>
    <n v="7.8578399999999995"/>
    <n v="0.13547999999999999"/>
    <n v="0"/>
    <n v="0.13547999999999999"/>
    <m/>
    <n v="6.6385199999999989"/>
    <s v="BOLLORE"/>
    <n v="0.4"/>
    <n v="2.6554079999999995"/>
    <n v="2.6554079999999995"/>
    <d v="2023-10-30T00:00:00"/>
    <n v="0"/>
    <m/>
    <n v="7.8578399999999995"/>
    <n v="7.8578399999999995"/>
    <n v="0"/>
    <s v="SFA"/>
    <d v="2023-06-23T00:00:00"/>
    <m/>
    <s v="ONCE OFF"/>
    <s v="MARINE CARGO / GIT"/>
    <m/>
    <m/>
    <m/>
  </r>
  <r>
    <x v="4"/>
    <s v="Yes"/>
    <d v="2023-05-30T00:00:00"/>
    <d v="2023-05-29T00:00:00"/>
    <d v="2023-05-25T00:00:00"/>
    <d v="2024-05-23T00:00:00"/>
    <s v="000-315/AIB RDC/2023"/>
    <n v="0"/>
    <s v="SOUSCRIPTION"/>
    <s v="12002-33002-0021-111-00020432-2023"/>
    <s v="ORICA / Bolloré"/>
    <m/>
    <s v="SYNTYCHE"/>
    <s v="Victor"/>
    <s v="MARINE CARGO / GIT"/>
    <s v="MARINE"/>
    <x v="0"/>
    <s v="SFA"/>
    <n v="20574.400000000001"/>
    <n v="72.989999999999995"/>
    <n v="0"/>
    <n v="0"/>
    <n v="6.81"/>
    <n v="34.56"/>
    <n v="6.62"/>
    <n v="1.6797573683801229E-3"/>
    <n v="0.15"/>
    <n v="5.1840000000000002"/>
    <n v="0"/>
    <n v="0"/>
    <n v="0"/>
    <n v="5.1840000000000002"/>
    <n v="0.82944000000000007"/>
    <n v="6.0134400000000001"/>
    <n v="0.10368000000000001"/>
    <n v="0"/>
    <n v="0.10368000000000001"/>
    <m/>
    <n v="5.0803200000000004"/>
    <s v="BOLLORE"/>
    <n v="0.4"/>
    <n v="2.0321280000000002"/>
    <n v="2.0321280000000002"/>
    <d v="2023-10-30T00:00:00"/>
    <n v="0"/>
    <m/>
    <n v="6.0134400000000001"/>
    <n v="6.0134400000000001"/>
    <n v="0"/>
    <s v="SFA"/>
    <d v="2023-06-23T00:00:00"/>
    <m/>
    <s v="ONCE OFF"/>
    <s v="MARINE CARGO / GIT"/>
    <m/>
    <m/>
    <m/>
  </r>
  <r>
    <x v="4"/>
    <s v="Yes"/>
    <d v="2023-05-30T00:00:00"/>
    <d v="2023-05-29T00:00:00"/>
    <d v="2023-05-25T00:00:00"/>
    <d v="2024-05-23T00:00:00"/>
    <s v="000-316/AIB RDC/2023"/>
    <n v="0"/>
    <s v="SOUSCRIPTION"/>
    <s v="12002-33002-0021-111-00020433-2023"/>
    <s v="ORICA / Bolloré"/>
    <m/>
    <s v="SYNTYCHE"/>
    <s v="Victor"/>
    <s v="MARINE CARGO / GIT"/>
    <s v="MARINE"/>
    <x v="0"/>
    <s v="SFA"/>
    <n v="33814.800000000003"/>
    <n v="99.32"/>
    <n v="0"/>
    <n v="0"/>
    <n v="7.26"/>
    <n v="56.81"/>
    <n v="10.25"/>
    <n v="1.680033594757325E-3"/>
    <n v="0.15"/>
    <n v="8.5214999999999996"/>
    <n v="0"/>
    <n v="0"/>
    <n v="0"/>
    <n v="8.5214999999999996"/>
    <n v="1.36344"/>
    <n v="9.8849400000000003"/>
    <n v="0.17043"/>
    <n v="0"/>
    <n v="0.17043"/>
    <m/>
    <n v="8.35107"/>
    <s v="BOLLORE"/>
    <n v="0.4"/>
    <n v="3.3404280000000002"/>
    <n v="3.3404280000000002"/>
    <d v="2023-10-30T00:00:00"/>
    <n v="0"/>
    <m/>
    <n v="9.8849400000000003"/>
    <n v="9.8849400000000003"/>
    <n v="0"/>
    <s v="SFA"/>
    <d v="2023-06-23T00:00:00"/>
    <m/>
    <s v="ONCE OFF"/>
    <s v="MARINE CARGO / GIT"/>
    <m/>
    <m/>
    <m/>
  </r>
  <r>
    <x v="4"/>
    <s v="Yes"/>
    <d v="2023-05-30T00:00:00"/>
    <d v="2023-05-29T00:00:00"/>
    <d v="2023-05-25T00:00:00"/>
    <d v="2024-05-23T00:00:00"/>
    <s v="000-317/AIB RDC/2023"/>
    <n v="0"/>
    <s v="SOUSCRIPTION"/>
    <s v="12002-33002-0021-111-00020435-2023"/>
    <s v="ORICA / Bolloré"/>
    <m/>
    <s v="SYNTYCHE"/>
    <s v="Victor"/>
    <s v="MARINE CARGO / GIT"/>
    <s v="MARINE"/>
    <x v="0"/>
    <s v="SFA"/>
    <n v="12775"/>
    <n v="60.4"/>
    <n v="0"/>
    <n v="0"/>
    <n v="6.6"/>
    <n v="23.92"/>
    <n v="4.88"/>
    <n v="1.8724070450097849E-3"/>
    <n v="0.15"/>
    <n v="3.5880000000000001"/>
    <n v="0"/>
    <n v="0"/>
    <n v="0"/>
    <n v="3.5880000000000001"/>
    <n v="0.57408000000000003"/>
    <n v="4.1620800000000004"/>
    <n v="7.1760000000000004E-2"/>
    <n v="0"/>
    <n v="7.1760000000000004E-2"/>
    <m/>
    <n v="3.5162400000000003"/>
    <s v="BOLLORE"/>
    <n v="0.4"/>
    <n v="1.4064960000000002"/>
    <n v="1.4064960000000002"/>
    <d v="2023-10-30T00:00:00"/>
    <n v="0"/>
    <m/>
    <n v="4.1620800000000004"/>
    <n v="4.1620800000000004"/>
    <n v="0"/>
    <s v="SFA"/>
    <d v="2023-06-23T00:00:00"/>
    <m/>
    <s v="ONCE OFF"/>
    <s v="MARINE CARGO / GIT"/>
    <m/>
    <m/>
    <m/>
  </r>
  <r>
    <x v="4"/>
    <s v="Yes"/>
    <d v="2023-05-30T00:00:00"/>
    <d v="2023-05-29T00:00:00"/>
    <d v="2023-05-23T00:00:00"/>
    <d v="2024-05-21T00:00:00"/>
    <s v="000-318/AIB RDC/2023"/>
    <n v="0"/>
    <s v="SOUSCRIPTION"/>
    <s v="12002-33002-0021-111-00020436-2023"/>
    <s v="BS FREIGHT &amp; LOGISTICS SARL / Bolloré"/>
    <m/>
    <s v="SYNTYCHE"/>
    <s v="Victor"/>
    <s v="MARINE CARGO / GIT"/>
    <s v="MARINE"/>
    <x v="0"/>
    <s v="SFA"/>
    <n v="375275.94"/>
    <n v="1342.88"/>
    <n v="0"/>
    <n v="0"/>
    <n v="28.28"/>
    <n v="1107.82"/>
    <n v="181.78"/>
    <n v="2.9520144563491067E-3"/>
    <n v="0.15"/>
    <n v="166.17299999999997"/>
    <n v="0"/>
    <n v="0"/>
    <n v="0"/>
    <n v="166.17299999999997"/>
    <n v="26.587679999999995"/>
    <n v="192.76067999999998"/>
    <n v="3.3234599999999994"/>
    <n v="0"/>
    <n v="3.3234599999999994"/>
    <m/>
    <n v="162.84953999999996"/>
    <s v="BOLLORE"/>
    <n v="0.4"/>
    <n v="65.139815999999982"/>
    <n v="65.139815999999982"/>
    <d v="2023-10-30T00:00:00"/>
    <n v="0"/>
    <m/>
    <n v="192.76067999999998"/>
    <n v="192.76067999999998"/>
    <n v="0"/>
    <s v="SFA"/>
    <d v="2023-06-23T00:00:00"/>
    <m/>
    <s v="ONCE OFF"/>
    <s v="MARINE CARGO / GIT"/>
    <m/>
    <m/>
    <m/>
  </r>
  <r>
    <x v="4"/>
    <s v="Yes"/>
    <d v="2023-05-30T00:00:00"/>
    <d v="2023-05-29T00:00:00"/>
    <d v="2023-05-25T00:00:00"/>
    <d v="2024-05-23T00:00:00"/>
    <s v="000-319/AIB RDC/2023"/>
    <n v="0"/>
    <s v="SOUSCRIPTION"/>
    <s v="12002-33002-0021-111-00020416-2023"/>
    <s v="ORICA / Bolloré"/>
    <m/>
    <s v="SYNTYCHE"/>
    <s v="Victor"/>
    <s v="MARINE CARGO / GIT"/>
    <s v="MARINE"/>
    <x v="0"/>
    <s v="SFA"/>
    <n v="168652"/>
    <n v="493.61"/>
    <n v="0"/>
    <n v="0"/>
    <n v="11.8"/>
    <n v="284"/>
    <n v="47.81"/>
    <n v="1.6839408960462965E-3"/>
    <n v="0.15"/>
    <n v="42.6"/>
    <n v="0"/>
    <n v="0"/>
    <n v="0"/>
    <n v="42.6"/>
    <n v="6.8160000000000007"/>
    <n v="49.416000000000004"/>
    <n v="0.85200000000000009"/>
    <n v="0"/>
    <n v="0.85200000000000009"/>
    <m/>
    <n v="41.748000000000005"/>
    <s v="BOLLORE"/>
    <n v="0.4"/>
    <n v="16.699200000000001"/>
    <n v="16.699200000000001"/>
    <d v="2023-10-30T00:00:00"/>
    <n v="0"/>
    <m/>
    <n v="49.416000000000004"/>
    <n v="49.416000000000004"/>
    <n v="0"/>
    <s v="SFA"/>
    <d v="2023-06-23T00:00:00"/>
    <m/>
    <s v="ONCE OFF"/>
    <s v="MARINE CARGO / GIT"/>
    <m/>
    <m/>
    <m/>
  </r>
  <r>
    <x v="4"/>
    <s v="Yes"/>
    <d v="2023-05-30T00:00:00"/>
    <d v="2023-05-30T00:00:00"/>
    <d v="2023-05-20T00:00:00"/>
    <d v="2024-05-18T00:00:00"/>
    <s v="000-320/AIB RDC/2023"/>
    <n v="0"/>
    <s v="SOUSCRIPTION"/>
    <s v="12002-33002-0021-111-00020460-2023"/>
    <s v="SACIM SARL / Bolloré"/>
    <m/>
    <s v="SYNTYCHE"/>
    <s v="Victor"/>
    <s v="MARINE CARGO / GIT"/>
    <s v="MARINE"/>
    <x v="0"/>
    <s v="SFA"/>
    <n v="30725.4"/>
    <n v="103.81"/>
    <n v="0"/>
    <n v="0"/>
    <n v="6"/>
    <n v="61.94"/>
    <n v="10.87"/>
    <n v="2.0159216804337778E-3"/>
    <n v="0.15"/>
    <n v="9.2909999999999986"/>
    <n v="0"/>
    <n v="0"/>
    <n v="0"/>
    <n v="9.2909999999999986"/>
    <n v="1.4865599999999999"/>
    <n v="10.777559999999998"/>
    <n v="0.18581999999999999"/>
    <n v="0"/>
    <n v="0.18581999999999999"/>
    <m/>
    <n v="9.1051799999999989"/>
    <s v="BOLLORE"/>
    <n v="0.4"/>
    <n v="3.6420719999999998"/>
    <n v="3.6420719999999998"/>
    <d v="2023-10-30T00:00:00"/>
    <n v="0"/>
    <m/>
    <n v="10.777559999999998"/>
    <n v="10.777559999999998"/>
    <n v="0"/>
    <s v="SFA"/>
    <d v="2023-06-23T00:00:00"/>
    <m/>
    <s v="ONCE OFF"/>
    <s v="MARINE CARGO / GIT"/>
    <m/>
    <m/>
    <m/>
  </r>
  <r>
    <x v="6"/>
    <s v="Yes"/>
    <d v="2023-05-30T00:00:00"/>
    <d v="2023-05-30T00:00:00"/>
    <d v="2023-04-26T00:00:00"/>
    <d v="2024-04-24T00:00:00"/>
    <s v="000-321/AIB RDC/2023"/>
    <n v="0"/>
    <s v="SOUSCRIPTION"/>
    <s v="12002-33002-0021-111-00020458-2023"/>
    <s v="ORICA / Bolloré"/>
    <m/>
    <s v="SYNTYCHE"/>
    <s v="Victor"/>
    <s v="MARINE CARGO / GIT"/>
    <s v="MARINE"/>
    <x v="0"/>
    <s v="SFA"/>
    <n v="21575.94"/>
    <n v="67.040000000000006"/>
    <n v="0"/>
    <n v="0"/>
    <n v="2.58"/>
    <n v="33.659999999999997"/>
    <n v="5.8"/>
    <n v="1.5600710791743024E-3"/>
    <n v="0.15"/>
    <n v="5.0489999999999995"/>
    <n v="0"/>
    <n v="0"/>
    <n v="0"/>
    <n v="5.0489999999999995"/>
    <n v="0.80783999999999989"/>
    <n v="5.8568399999999992"/>
    <n v="0.10097999999999999"/>
    <n v="0"/>
    <n v="0.10097999999999999"/>
    <m/>
    <n v="4.9480199999999996"/>
    <s v="BOLLORE"/>
    <n v="0.4"/>
    <n v="1.9792079999999999"/>
    <n v="1.9792079999999999"/>
    <d v="2023-10-30T00:00:00"/>
    <n v="0"/>
    <m/>
    <n v="5.8568399999999992"/>
    <n v="5.8568399999999992"/>
    <n v="0"/>
    <s v="SFA"/>
    <d v="2023-06-23T00:00:00"/>
    <m/>
    <s v="ONCE OFF"/>
    <s v="MARINE CARGO / GIT"/>
    <m/>
    <m/>
    <m/>
  </r>
  <r>
    <x v="4"/>
    <s v="Yes"/>
    <d v="2023-05-30T00:00:00"/>
    <d v="2023-05-30T00:00:00"/>
    <d v="2023-05-20T00:00:00"/>
    <d v="2024-05-18T00:00:00"/>
    <s v="000-322/AIB RDC/2023"/>
    <n v="0"/>
    <s v="SOUSCRIPTION"/>
    <s v="12002-33002-0021-111-00020460-2023"/>
    <s v="ORICA / Bolloré"/>
    <m/>
    <s v="SYNTYCHE"/>
    <s v="Victor"/>
    <s v="MARINE CARGO / GIT"/>
    <s v="MARINE"/>
    <x v="0"/>
    <s v="SFA"/>
    <n v="30725.4"/>
    <n v="103.81"/>
    <n v="0"/>
    <n v="0"/>
    <n v="6"/>
    <n v="61.94"/>
    <n v="10.87"/>
    <n v="2.0159216804337778E-3"/>
    <n v="0.15"/>
    <n v="9.2909999999999986"/>
    <n v="0"/>
    <n v="0"/>
    <n v="0"/>
    <n v="9.2909999999999986"/>
    <n v="1.4865599999999999"/>
    <n v="10.777559999999998"/>
    <n v="0.18581999999999999"/>
    <n v="0"/>
    <n v="0.18581999999999999"/>
    <m/>
    <n v="9.1051799999999989"/>
    <s v="BOLLORE"/>
    <n v="0.4"/>
    <n v="3.6420719999999998"/>
    <n v="3.6420719999999998"/>
    <d v="2023-10-30T00:00:00"/>
    <n v="0"/>
    <m/>
    <n v="10.777559999999998"/>
    <n v="10.777559999999998"/>
    <n v="0"/>
    <s v="SFA"/>
    <d v="2023-06-23T00:00:00"/>
    <m/>
    <s v="ONCE OFF"/>
    <s v="MARINE CARGO / GIT"/>
    <m/>
    <m/>
    <m/>
  </r>
  <r>
    <x v="4"/>
    <s v="Yes"/>
    <d v="2023-05-30T00:00:00"/>
    <d v="2023-05-30T00:00:00"/>
    <d v="2023-05-05T00:00:00"/>
    <d v="2024-05-03T00:00:00"/>
    <s v="000-323/AIB RDC/2023"/>
    <n v="0"/>
    <s v="SOUSCRIPTION"/>
    <s v="12002-33002-0021-111-00020467-2023"/>
    <s v="SACIM SARL / Bolloré"/>
    <m/>
    <s v="SYNTYCHE"/>
    <s v="Victor"/>
    <s v="MARINE CARGO / GIT"/>
    <s v="MARINE"/>
    <x v="0"/>
    <s v="SFA"/>
    <n v="318516.51"/>
    <n v="1046.8699999999999"/>
    <n v="0"/>
    <n v="0"/>
    <n v="20.93"/>
    <n v="859.99"/>
    <n v="140.94999999999999"/>
    <n v="2.6999856302582243E-3"/>
    <n v="0.15"/>
    <n v="128.99850000000001"/>
    <n v="0"/>
    <n v="0"/>
    <n v="0"/>
    <n v="128.99850000000001"/>
    <n v="20.639760000000003"/>
    <n v="149.63826"/>
    <n v="2.5799700000000003"/>
    <n v="0"/>
    <n v="2.5799700000000003"/>
    <m/>
    <n v="126.41853"/>
    <s v="BOLLORE"/>
    <n v="0.4"/>
    <n v="50.567412000000004"/>
    <n v="50.567412000000004"/>
    <d v="2023-10-30T00:00:00"/>
    <n v="0"/>
    <m/>
    <n v="149.63826"/>
    <n v="149.63826"/>
    <n v="0"/>
    <s v="SFA"/>
    <d v="2023-06-23T00:00:00"/>
    <m/>
    <s v="ONCE OFF"/>
    <s v="MARINE CARGO / GIT"/>
    <m/>
    <m/>
    <m/>
  </r>
  <r>
    <x v="4"/>
    <s v="Yes"/>
    <d v="2023-05-30T00:00:00"/>
    <d v="2023-05-19T00:00:00"/>
    <d v="2023-05-16T00:00:00"/>
    <d v="2024-05-14T00:00:00"/>
    <s v="000-324/AIB RDC/2023"/>
    <n v="0"/>
    <s v="SOUSCRIPTION"/>
    <s v="12002-33002-0021-111-00020278-2023"/>
    <s v="ORICA / Bolloré"/>
    <m/>
    <s v="SYNTYCHE"/>
    <s v="Victor"/>
    <s v="MARINE CARGO / GIT"/>
    <s v="MARINE"/>
    <x v="0"/>
    <s v="SFA"/>
    <n v="291.8"/>
    <n v="49.85"/>
    <n v="0"/>
    <n v="0"/>
    <n v="6.42"/>
    <n v="15"/>
    <n v="3.43"/>
    <n v="5.140507196710075E-2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n v="0.88200000000000012"/>
    <d v="2023-10-30T00:00:00"/>
    <n v="0"/>
    <m/>
    <n v="2.61"/>
    <n v="2.61"/>
    <n v="0"/>
    <s v="SFA"/>
    <d v="2023-06-23T00:00:00"/>
    <m/>
    <s v="ONCE OFF"/>
    <s v="MARINE CARGO / GIT"/>
    <m/>
    <m/>
    <m/>
  </r>
  <r>
    <x v="2"/>
    <s v="Yes"/>
    <d v="2023-05-31T00:00:00"/>
    <d v="2023-03-16T00:00:00"/>
    <d v="2023-03-09T00:00:00"/>
    <d v="2024-03-07T00:00:00"/>
    <s v="000-325/AIB RDC/2023"/>
    <n v="0"/>
    <s v="SOUSCRIPTION"/>
    <s v="12002-33002-0021-111-00018806-2023"/>
    <s v="ORICA / Bolloré"/>
    <m/>
    <s v="SYNTYCHE"/>
    <s v="Victor"/>
    <s v="MARINE CARGO / GIT"/>
    <s v="MARINE"/>
    <x v="0"/>
    <s v="SFA"/>
    <n v="26219.599999999999"/>
    <n v="90.66"/>
    <n v="0"/>
    <n v="0"/>
    <n v="2.79"/>
    <n v="52.86"/>
    <n v="8.9"/>
    <n v="2.0160490625333719E-3"/>
    <n v="0.15"/>
    <n v="7.9289999999999994"/>
    <n v="0"/>
    <n v="0"/>
    <n v="0"/>
    <n v="7.9289999999999994"/>
    <n v="1.26864"/>
    <n v="9.1976399999999998"/>
    <n v="0.15858"/>
    <n v="0"/>
    <n v="0.15858"/>
    <m/>
    <n v="7.7704199999999997"/>
    <s v="BOLLORE"/>
    <n v="0.4"/>
    <n v="3.108168"/>
    <n v="3.108168"/>
    <d v="2023-10-30T00:00:00"/>
    <n v="0"/>
    <m/>
    <n v="9.1976399999999998"/>
    <n v="9.1976399999999998"/>
    <n v="0"/>
    <s v="SFA"/>
    <d v="2023-05-24T00:00:00"/>
    <m/>
    <s v="ONCE OFF"/>
    <s v="MARINE CARGO / GIT"/>
    <m/>
    <m/>
    <m/>
  </r>
  <r>
    <x v="2"/>
    <s v="Yes"/>
    <d v="2023-05-25T00:00:00"/>
    <d v="2023-04-06T00:00:00"/>
    <d v="2023-03-17T00:00:00"/>
    <d v="2024-03-15T00:00:00"/>
    <s v="000-326/AIB RDC/2023"/>
    <n v="0"/>
    <s v="SOUSCRIPTION"/>
    <s v="12002-33002-0021-111-00019339-2023"/>
    <s v="PANACO / Bolloré"/>
    <m/>
    <s v="SYNTYCHE"/>
    <s v="Victor"/>
    <s v="MARINE CARGO / GIT"/>
    <s v="MARINE"/>
    <x v="0"/>
    <s v="SFA"/>
    <n v="40942.99"/>
    <n v="74.430000000000007"/>
    <n v="0"/>
    <n v="0"/>
    <n v="2.59"/>
    <n v="39.299999999999997"/>
    <n v="6.7"/>
    <n v="9.5987127466753161E-4"/>
    <n v="0.15"/>
    <n v="5.8949999999999996"/>
    <n v="0"/>
    <n v="0"/>
    <n v="0"/>
    <n v="5.8949999999999996"/>
    <n v="0.94319999999999993"/>
    <n v="6.8381999999999996"/>
    <n v="0.11789999999999999"/>
    <n v="0"/>
    <n v="0.11789999999999999"/>
    <m/>
    <n v="5.7770999999999999"/>
    <s v="BOLLORE"/>
    <n v="0.4"/>
    <n v="2.3108400000000002"/>
    <n v="2.3108400000000002"/>
    <d v="2023-10-30T00:00:00"/>
    <n v="0"/>
    <m/>
    <n v="6.8381999999999996"/>
    <n v="6.8381999999999996"/>
    <n v="0"/>
    <s v="SFA"/>
    <d v="2023-05-30T00:00:00"/>
    <m/>
    <s v="ONCE OFF"/>
    <s v="MARINE CARGO / GIT"/>
    <m/>
    <m/>
    <m/>
  </r>
  <r>
    <x v="2"/>
    <s v="Yes"/>
    <d v="2023-05-25T00:00:00"/>
    <d v="2023-04-06T00:00:00"/>
    <d v="2023-03-17T00:00:00"/>
    <d v="2024-03-15T00:00:00"/>
    <s v="000-327/AIB RDC/2023"/>
    <n v="0"/>
    <s v="SOUSCRIPTION"/>
    <s v="12002-33002-0021-111-00019337-2023"/>
    <s v="PANACO / Bolloré"/>
    <m/>
    <s v="SYNTYCHE"/>
    <s v="Victor"/>
    <s v="MARINE CARGO / GIT"/>
    <s v="MARINE"/>
    <x v="0"/>
    <s v="SFA"/>
    <n v="5623.25"/>
    <n v="45.33"/>
    <n v="0"/>
    <n v="0"/>
    <n v="2.23"/>
    <n v="15"/>
    <n v="2.76"/>
    <n v="2.6674965544836171E-3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n v="0.88200000000000012"/>
    <d v="2023-10-30T00:00:00"/>
    <n v="0"/>
    <m/>
    <n v="2.61"/>
    <n v="2.61"/>
    <n v="0"/>
    <s v="SFA"/>
    <d v="2023-05-30T00:00:00"/>
    <m/>
    <s v="ONCE OFF"/>
    <s v="MARINE CARGO / GIT"/>
    <m/>
    <m/>
    <m/>
  </r>
  <r>
    <x v="2"/>
    <s v="Yes"/>
    <d v="2023-06-02T00:00:00"/>
    <d v="2023-03-17T00:00:00"/>
    <d v="2023-03-09T00:00:00"/>
    <d v="2024-03-07T00:00:00"/>
    <s v="000-328/AIB RDC/2023"/>
    <n v="0"/>
    <s v="SOUSCRIPTION"/>
    <s v="00018833"/>
    <s v="CHUAN TIE ELECTRIC (TIANJIN) GROUP SARL / Bolloré"/>
    <m/>
    <s v="SYNTYCHE"/>
    <s v="Victor"/>
    <s v="MARINE CARGO / GIT"/>
    <s v="MARINE"/>
    <x v="0"/>
    <s v="SFA"/>
    <n v="0"/>
    <n v="818.77"/>
    <n v="0"/>
    <n v="0"/>
    <n v="14.28"/>
    <n v="818.77"/>
    <n v="133.29"/>
    <e v="#DIV/0!"/>
    <n v="0.15"/>
    <n v="122.81549999999999"/>
    <n v="0"/>
    <n v="0"/>
    <n v="0"/>
    <n v="122.81549999999999"/>
    <n v="19.650479999999998"/>
    <n v="142.46597999999997"/>
    <n v="2.4563099999999998"/>
    <n v="0"/>
    <n v="2.4563099999999998"/>
    <m/>
    <n v="120.35918999999998"/>
    <s v="BOLLORE"/>
    <n v="0.4"/>
    <n v="48.143675999999999"/>
    <n v="48.143675999999999"/>
    <d v="2023-10-30T00:00:00"/>
    <n v="0"/>
    <m/>
    <n v="142.46597999999997"/>
    <n v="142.46597999999997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29/AIB RDC/2023"/>
    <n v="0"/>
    <s v="SOUSCRIPTION"/>
    <s v="00018920"/>
    <s v="CHUAN TIE ELECTRIC (TIANJIN) GROUP SARL / Bolloré"/>
    <m/>
    <s v="SYNTYCHE"/>
    <s v="Victor"/>
    <s v="MARINE CARGO / GIT"/>
    <s v="MARINE"/>
    <x v="0"/>
    <s v="SFA"/>
    <n v="0"/>
    <n v="89.3"/>
    <n v="0"/>
    <n v="0"/>
    <n v="3.34"/>
    <n v="89.3"/>
    <n v="14.82"/>
    <e v="#DIV/0!"/>
    <n v="0.15"/>
    <n v="13.395"/>
    <n v="0"/>
    <n v="0"/>
    <n v="0"/>
    <n v="13.395"/>
    <n v="2.1431999999999998"/>
    <n v="15.5382"/>
    <n v="0.26789999999999997"/>
    <n v="0"/>
    <n v="0.26789999999999997"/>
    <m/>
    <n v="13.1271"/>
    <s v="BOLLORE"/>
    <n v="0.4"/>
    <n v="5.2508400000000002"/>
    <n v="5.2508400000000002"/>
    <d v="2023-10-30T00:00:00"/>
    <n v="0"/>
    <m/>
    <n v="15.5382"/>
    <n v="15.5382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30/AIB RDC/2023"/>
    <n v="0"/>
    <s v="SOUSCRIPTION"/>
    <s v="00018921"/>
    <s v="CHUAN TIE ELECTRIC (TIANJIN) GROUP SARL / Bolloré"/>
    <m/>
    <s v="SYNTYCHE"/>
    <s v="Victor"/>
    <s v="MARINE CARGO / GIT"/>
    <s v="MARINE"/>
    <x v="0"/>
    <s v="SFA"/>
    <n v="0"/>
    <n v="59.53"/>
    <n v="0"/>
    <n v="0"/>
    <n v="2.89"/>
    <n v="59.53"/>
    <n v="9.99"/>
    <e v="#DIV/0!"/>
    <n v="0.15"/>
    <n v="8.9294999999999991"/>
    <n v="0"/>
    <n v="0"/>
    <n v="0"/>
    <n v="8.9294999999999991"/>
    <n v="1.42872"/>
    <n v="10.358219999999999"/>
    <n v="0.17859"/>
    <n v="0"/>
    <n v="0.17859"/>
    <m/>
    <n v="8.7509099999999993"/>
    <s v="BOLLORE"/>
    <n v="0.4"/>
    <n v="3.5003639999999998"/>
    <n v="3.5003639999999998"/>
    <d v="2023-10-30T00:00:00"/>
    <n v="0"/>
    <m/>
    <n v="10.358219999999999"/>
    <n v="10.358219999999999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31/AIB RDC/2023"/>
    <n v="0"/>
    <s v="SOUSCRIPTION"/>
    <s v="00018923"/>
    <s v="CHUAN TIE ELECTRIC (TIANJIN) GROUP SARL / Bolloré"/>
    <m/>
    <s v="SYNTYCHE"/>
    <s v="Victor"/>
    <s v="MARINE CARGO / GIT"/>
    <s v="MARINE"/>
    <x v="0"/>
    <s v="SFA"/>
    <n v="0"/>
    <n v="59.53"/>
    <n v="0"/>
    <n v="0"/>
    <n v="2.89"/>
    <n v="59.53"/>
    <n v="9.99"/>
    <e v="#DIV/0!"/>
    <n v="0.15"/>
    <n v="8.9294999999999991"/>
    <n v="0"/>
    <n v="0"/>
    <n v="0"/>
    <n v="8.9294999999999991"/>
    <n v="1.42872"/>
    <n v="10.358219999999999"/>
    <n v="0.17859"/>
    <n v="0"/>
    <n v="0.17859"/>
    <m/>
    <n v="8.7509099999999993"/>
    <s v="BOLLORE"/>
    <n v="0.4"/>
    <n v="3.5003639999999998"/>
    <n v="3.5003639999999998"/>
    <d v="2023-10-30T00:00:00"/>
    <n v="0"/>
    <m/>
    <n v="10.358219999999999"/>
    <n v="10.358219999999999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32/AIB RDC/2023"/>
    <n v="0"/>
    <s v="SOUSCRIPTION"/>
    <s v="00018926"/>
    <s v="CHUAN TIE ELECTRIC (TIANJIN) GROUP SARL / Bolloré"/>
    <m/>
    <s v="SYNTYCHE"/>
    <s v="Victor"/>
    <s v="MARINE CARGO / GIT"/>
    <s v="MARINE"/>
    <x v="0"/>
    <s v="SFA"/>
    <n v="0"/>
    <n v="59.08"/>
    <n v="0"/>
    <n v="0"/>
    <n v="2.89"/>
    <n v="59.08"/>
    <n v="9.92"/>
    <e v="#DIV/0!"/>
    <n v="0.15"/>
    <n v="8.8620000000000001"/>
    <n v="0"/>
    <n v="0"/>
    <n v="0"/>
    <n v="8.8620000000000001"/>
    <n v="1.4179200000000001"/>
    <n v="10.279920000000001"/>
    <n v="0.17724000000000001"/>
    <n v="0"/>
    <n v="0.17724000000000001"/>
    <m/>
    <n v="8.6847600000000007"/>
    <s v="BOLLORE"/>
    <n v="0.4"/>
    <n v="3.4739040000000005"/>
    <n v="3.4739040000000005"/>
    <d v="2023-10-30T00:00:00"/>
    <n v="0"/>
    <m/>
    <n v="10.279920000000001"/>
    <n v="10.279920000000001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33/AIB RDC/2023"/>
    <n v="0"/>
    <s v="SOUSCRIPTION"/>
    <s v="00018928"/>
    <s v="CHUAN TIE ELECTRIC (TIANJIN) GROUP SARL / Bolloré"/>
    <m/>
    <s v="SYNTYCHE"/>
    <s v="Victor"/>
    <s v="MARINE CARGO / GIT"/>
    <s v="MARINE"/>
    <x v="0"/>
    <s v="SFA"/>
    <n v="0"/>
    <n v="59.53"/>
    <n v="0"/>
    <n v="0"/>
    <n v="2.89"/>
    <n v="59.53"/>
    <n v="9.99"/>
    <e v="#DIV/0!"/>
    <n v="0.15"/>
    <n v="8.9294999999999991"/>
    <n v="0"/>
    <n v="0"/>
    <n v="0"/>
    <n v="8.9294999999999991"/>
    <n v="1.42872"/>
    <n v="10.358219999999999"/>
    <n v="0.17859"/>
    <n v="0"/>
    <n v="0.17859"/>
    <m/>
    <n v="8.7509099999999993"/>
    <s v="BOLLORE"/>
    <n v="0.4"/>
    <n v="3.5003639999999998"/>
    <n v="3.5003639999999998"/>
    <d v="2023-10-30T00:00:00"/>
    <n v="0"/>
    <m/>
    <n v="10.358219999999999"/>
    <n v="10.358219999999999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34/AIB RDC/2023"/>
    <n v="0"/>
    <s v="SOUSCRIPTION"/>
    <s v="00018930"/>
    <s v="CHUAN TIE ELECTRIC (TIANJIN) GROUP SARL / Bolloré"/>
    <m/>
    <s v="SYNTYCHE"/>
    <s v="Victor"/>
    <s v="MARINE CARGO / GIT"/>
    <s v="MARINE"/>
    <x v="0"/>
    <s v="SFA"/>
    <n v="0"/>
    <n v="59.53"/>
    <n v="0"/>
    <n v="0"/>
    <n v="2.89"/>
    <n v="59.53"/>
    <n v="9.99"/>
    <e v="#DIV/0!"/>
    <n v="0.15"/>
    <n v="8.9294999999999991"/>
    <n v="0"/>
    <n v="0"/>
    <n v="0"/>
    <n v="8.9294999999999991"/>
    <n v="1.42872"/>
    <n v="10.358219999999999"/>
    <n v="0.17859"/>
    <n v="0"/>
    <n v="0.17859"/>
    <m/>
    <n v="8.7509099999999993"/>
    <s v="BOLLORE"/>
    <n v="0.4"/>
    <n v="3.5003639999999998"/>
    <n v="3.5003639999999998"/>
    <d v="2023-10-30T00:00:00"/>
    <n v="0"/>
    <m/>
    <n v="10.358219999999999"/>
    <n v="10.358219999999999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35/AIB RDC/2023"/>
    <n v="0"/>
    <s v="SOUSCRIPTION"/>
    <s v="00018932"/>
    <s v="CHUAN TIE ELECTRIC (TIANJIN) GROUP SARL / Bolloré"/>
    <m/>
    <s v="SYNTYCHE"/>
    <s v="Victor"/>
    <s v="MARINE CARGO / GIT"/>
    <s v="MARINE"/>
    <x v="0"/>
    <s v="SFA"/>
    <n v="0"/>
    <n v="48.22"/>
    <n v="0"/>
    <n v="0"/>
    <n v="2.72"/>
    <n v="48.22"/>
    <n v="8.15"/>
    <e v="#DIV/0!"/>
    <n v="0.15"/>
    <n v="7.2329999999999997"/>
    <n v="0"/>
    <n v="0"/>
    <n v="0"/>
    <n v="7.2329999999999997"/>
    <n v="1.1572799999999999"/>
    <n v="8.3902799999999989"/>
    <n v="0.14465999999999998"/>
    <n v="0"/>
    <n v="0.14465999999999998"/>
    <m/>
    <n v="7.0883399999999996"/>
    <s v="BOLLORE"/>
    <n v="0.4"/>
    <n v="2.8353359999999999"/>
    <n v="2.8353359999999999"/>
    <d v="2023-10-30T00:00:00"/>
    <n v="0"/>
    <m/>
    <n v="8.3902799999999989"/>
    <n v="8.3902799999999989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36/AIB RDC/2023"/>
    <n v="0"/>
    <s v="SOUSCRIPTION"/>
    <s v="00018934"/>
    <s v="CHUAN TIE ELECTRIC (TIANJIN) GROUP SARL / Bolloré"/>
    <m/>
    <s v="SYNTYCHE"/>
    <s v="Victor"/>
    <s v="MARINE CARGO / GIT"/>
    <s v="MARINE"/>
    <x v="0"/>
    <s v="SFA"/>
    <n v="0"/>
    <n v="48.22"/>
    <n v="0"/>
    <n v="0"/>
    <n v="2.72"/>
    <n v="48.22"/>
    <n v="8.15"/>
    <e v="#DIV/0!"/>
    <n v="0.15"/>
    <n v="7.2329999999999997"/>
    <n v="0"/>
    <n v="0"/>
    <n v="0"/>
    <n v="7.2329999999999997"/>
    <n v="1.1572799999999999"/>
    <n v="8.3902799999999989"/>
    <n v="0.14465999999999998"/>
    <n v="0"/>
    <n v="0.14465999999999998"/>
    <m/>
    <n v="7.0883399999999996"/>
    <s v="BOLLORE"/>
    <n v="0.4"/>
    <n v="2.8353359999999999"/>
    <n v="2.8353359999999999"/>
    <d v="2023-10-30T00:00:00"/>
    <n v="0"/>
    <m/>
    <n v="8.3902799999999989"/>
    <n v="8.3902799999999989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37/AIB RDC/2023"/>
    <n v="0"/>
    <s v="SOUSCRIPTION"/>
    <s v="00018935"/>
    <s v="CHUAN TIE ELECTRIC (TIANJIN) GROUP SARL / Bolloré"/>
    <m/>
    <s v="SYNTYCHE"/>
    <s v="Victor"/>
    <s v="MARINE CARGO / GIT"/>
    <s v="MARINE"/>
    <x v="0"/>
    <s v="SFA"/>
    <n v="0"/>
    <n v="59.08"/>
    <n v="0"/>
    <n v="0"/>
    <n v="2.89"/>
    <n v="59.08"/>
    <n v="9.92"/>
    <e v="#DIV/0!"/>
    <n v="0.15"/>
    <n v="8.8620000000000001"/>
    <n v="0"/>
    <n v="0"/>
    <n v="0"/>
    <n v="8.8620000000000001"/>
    <n v="1.4179200000000001"/>
    <n v="10.279920000000001"/>
    <n v="0.17724000000000001"/>
    <n v="0"/>
    <n v="0.17724000000000001"/>
    <m/>
    <n v="8.6847600000000007"/>
    <s v="BOLLORE"/>
    <n v="0.4"/>
    <n v="3.4739040000000005"/>
    <n v="3.4739040000000005"/>
    <d v="2023-10-30T00:00:00"/>
    <n v="0"/>
    <m/>
    <n v="10.279920000000001"/>
    <n v="10.279920000000001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38/AIB RDC/2023"/>
    <n v="0"/>
    <s v="SOUSCRIPTION"/>
    <s v="00018936"/>
    <s v="CHUAN TIE ELECTRIC (TIANJIN) GROUP SARL / Bolloré"/>
    <m/>
    <s v="SYNTYCHE"/>
    <s v="Victor"/>
    <s v="MARINE CARGO / GIT"/>
    <s v="MARINE"/>
    <x v="0"/>
    <s v="SFA"/>
    <n v="0"/>
    <n v="59.08"/>
    <n v="0"/>
    <n v="0"/>
    <n v="2.89"/>
    <n v="59.08"/>
    <n v="9.92"/>
    <e v="#DIV/0!"/>
    <n v="0.15"/>
    <n v="8.8620000000000001"/>
    <n v="0"/>
    <n v="0"/>
    <n v="0"/>
    <n v="8.8620000000000001"/>
    <n v="1.4179200000000001"/>
    <n v="10.279920000000001"/>
    <n v="0.17724000000000001"/>
    <n v="0"/>
    <n v="0.17724000000000001"/>
    <m/>
    <n v="8.6847600000000007"/>
    <s v="BOLLORE"/>
    <n v="0.4"/>
    <n v="3.4739040000000005"/>
    <n v="3.4739040000000005"/>
    <d v="2023-10-30T00:00:00"/>
    <n v="0"/>
    <m/>
    <n v="10.279920000000001"/>
    <n v="10.279920000000001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39/AIB RDC/2023"/>
    <n v="0"/>
    <s v="SOUSCRIPTION"/>
    <s v="00018937"/>
    <s v="CHUAN TIE ELECTRIC (TIANJIN) GROUP SARL / Bolloré"/>
    <m/>
    <s v="SYNTYCHE"/>
    <s v="Victor"/>
    <s v="MARINE CARGO / GIT"/>
    <s v="MARINE"/>
    <x v="0"/>
    <s v="SFA"/>
    <n v="0"/>
    <n v="48.22"/>
    <n v="0"/>
    <n v="0"/>
    <n v="2.72"/>
    <n v="48.22"/>
    <n v="8.15"/>
    <e v="#DIV/0!"/>
    <n v="0.15"/>
    <n v="7.2329999999999997"/>
    <n v="0"/>
    <n v="0"/>
    <n v="0"/>
    <n v="7.2329999999999997"/>
    <n v="1.1572799999999999"/>
    <n v="8.3902799999999989"/>
    <n v="0.14465999999999998"/>
    <n v="0"/>
    <n v="0.14465999999999998"/>
    <m/>
    <n v="7.0883399999999996"/>
    <s v="BOLLORE"/>
    <n v="0.4"/>
    <n v="2.8353359999999999"/>
    <n v="2.8353359999999999"/>
    <d v="2023-10-30T00:00:00"/>
    <n v="0"/>
    <m/>
    <n v="8.3902799999999989"/>
    <n v="8.3902799999999989"/>
    <n v="0"/>
    <s v="SFA"/>
    <d v="2023-05-24T00:00:00"/>
    <m/>
    <s v="ONCE OFF"/>
    <s v="MARINE CARGO / GIT"/>
    <m/>
    <m/>
    <m/>
  </r>
  <r>
    <x v="2"/>
    <s v="Yes"/>
    <d v="2023-06-02T00:00:00"/>
    <d v="2023-03-22T00:00:00"/>
    <d v="2023-03-08T00:00:00"/>
    <d v="2024-03-06T00:00:00"/>
    <s v="000-340/AIB RDC/2023"/>
    <n v="0"/>
    <s v="SOUSCRIPTION"/>
    <s v="00018938"/>
    <s v="CHUAN TIE ELECTRIC (TIANJIN) GROUP SARL / Bolloré"/>
    <m/>
    <s v="SYNTYCHE"/>
    <s v="Victor"/>
    <s v="MARINE CARGO / GIT"/>
    <s v="MARINE"/>
    <x v="0"/>
    <s v="SFA"/>
    <n v="0"/>
    <n v="46.75"/>
    <n v="0"/>
    <n v="0"/>
    <n v="2.7"/>
    <n v="46.75"/>
    <n v="7.91"/>
    <e v="#DIV/0!"/>
    <n v="0.15"/>
    <n v="7.0125000000000002"/>
    <n v="0"/>
    <n v="0"/>
    <n v="0"/>
    <n v="7.0125000000000002"/>
    <n v="1.1220000000000001"/>
    <n v="8.134500000000001"/>
    <n v="0.14025000000000001"/>
    <n v="0"/>
    <n v="0.14025000000000001"/>
    <m/>
    <n v="6.8722500000000002"/>
    <s v="BOLLORE"/>
    <n v="0.4"/>
    <n v="2.7489000000000003"/>
    <n v="2.7489000000000003"/>
    <d v="2023-10-30T00:00:00"/>
    <n v="0"/>
    <m/>
    <n v="8.134500000000001"/>
    <n v="8.134500000000001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08T00:00:00"/>
    <d v="2024-03-06T00:00:00"/>
    <s v="000-341/AIB RDC/2023"/>
    <n v="0"/>
    <s v="SOUSCRIPTION"/>
    <s v="00018992"/>
    <s v="CHUAN TIE ELECTRIC (TIANJIN) GROUP SARL / Bolloré"/>
    <m/>
    <s v="SYNTYCHE"/>
    <s v="Victor"/>
    <s v="MARINE CARGO / GIT"/>
    <s v="MARINE"/>
    <x v="0"/>
    <s v="SFA"/>
    <n v="0"/>
    <n v="71.44"/>
    <n v="0"/>
    <n v="0"/>
    <n v="3.07"/>
    <n v="71.44"/>
    <n v="11.92"/>
    <e v="#DIV/0!"/>
    <n v="0.15"/>
    <n v="10.715999999999999"/>
    <n v="0"/>
    <n v="0"/>
    <n v="0"/>
    <n v="10.715999999999999"/>
    <n v="1.7145599999999999"/>
    <n v="12.43056"/>
    <n v="0.21431999999999998"/>
    <n v="0"/>
    <n v="0.21431999999999998"/>
    <m/>
    <n v="10.501679999999999"/>
    <s v="BOLLORE"/>
    <n v="0.4"/>
    <n v="4.200672"/>
    <n v="4.200672"/>
    <d v="2023-10-30T00:00:00"/>
    <n v="0"/>
    <m/>
    <n v="12.43056"/>
    <n v="12.43056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08T00:00:00"/>
    <d v="2024-03-06T00:00:00"/>
    <s v="000-342/AIB RDC/2023"/>
    <n v="0"/>
    <s v="SOUSCRIPTION"/>
    <s v="00018994"/>
    <s v="CHUAN TIE ELECTRIC (TIANJIN) GROUP SARL / Bolloré"/>
    <m/>
    <s v="SYNTYCHE"/>
    <s v="Victor"/>
    <s v="MARINE CARGO / GIT"/>
    <s v="MARINE"/>
    <x v="0"/>
    <s v="SFA"/>
    <n v="0"/>
    <n v="57.86"/>
    <n v="0"/>
    <n v="0"/>
    <n v="2.87"/>
    <n v="57.86"/>
    <n v="9.7200000000000006"/>
    <e v="#DIV/0!"/>
    <n v="0.15"/>
    <n v="8.6790000000000003"/>
    <n v="0"/>
    <n v="0"/>
    <n v="0"/>
    <n v="8.6790000000000003"/>
    <n v="1.3886400000000001"/>
    <n v="10.067640000000001"/>
    <n v="0.17358000000000001"/>
    <n v="0"/>
    <n v="0.17358000000000001"/>
    <m/>
    <n v="8.5054200000000009"/>
    <s v="BOLLORE"/>
    <n v="0.4"/>
    <n v="3.4021680000000005"/>
    <n v="3.4021680000000005"/>
    <d v="2023-10-30T00:00:00"/>
    <n v="0"/>
    <m/>
    <n v="10.067640000000001"/>
    <n v="10.067640000000001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08T00:00:00"/>
    <d v="2024-03-06T00:00:00"/>
    <s v="000-343/AIB RDC/2023"/>
    <n v="0"/>
    <s v="SOUSCRIPTION"/>
    <s v="00018996"/>
    <s v="CHUAN TIE ELECTRIC (TIANJIN) GROUP SARL / Bolloré"/>
    <m/>
    <s v="SYNTYCHE"/>
    <s v="Victor"/>
    <s v="MARINE CARGO / GIT"/>
    <s v="MARINE"/>
    <x v="0"/>
    <s v="SFA"/>
    <n v="0"/>
    <n v="56.1"/>
    <n v="0"/>
    <n v="0"/>
    <n v="2.84"/>
    <n v="56.1"/>
    <n v="9.43"/>
    <e v="#DIV/0!"/>
    <n v="0.15"/>
    <n v="8.4149999999999991"/>
    <n v="0"/>
    <n v="0"/>
    <n v="0"/>
    <n v="8.4149999999999991"/>
    <n v="1.3463999999999998"/>
    <n v="9.7613999999999983"/>
    <n v="0.16829999999999998"/>
    <n v="0"/>
    <n v="0.16829999999999998"/>
    <m/>
    <n v="8.2466999999999988"/>
    <s v="BOLLORE"/>
    <n v="0.4"/>
    <n v="3.2986799999999996"/>
    <n v="3.2986799999999996"/>
    <d v="2023-10-30T00:00:00"/>
    <n v="0"/>
    <m/>
    <n v="9.7613999999999983"/>
    <n v="9.7613999999999983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08T00:00:00"/>
    <d v="2024-03-06T00:00:00"/>
    <s v="000-344/AIB RDC/2023"/>
    <n v="0"/>
    <s v="SOUSCRIPTION"/>
    <s v="00019015"/>
    <s v="CHUAN TIE ELECTRIC (TIANJIN) GROUP SARL / Bolloré"/>
    <m/>
    <s v="SYNTYCHE"/>
    <s v="Victor"/>
    <s v="MARINE CARGO / GIT"/>
    <s v="MARINE"/>
    <x v="0"/>
    <s v="SFA"/>
    <n v="0"/>
    <n v="71.44"/>
    <n v="0"/>
    <n v="0"/>
    <n v="3.07"/>
    <n v="71.44"/>
    <n v="11.92"/>
    <e v="#DIV/0!"/>
    <n v="0.15"/>
    <n v="10.715999999999999"/>
    <n v="0"/>
    <n v="0"/>
    <n v="0"/>
    <n v="10.715999999999999"/>
    <n v="1.7145599999999999"/>
    <n v="12.43056"/>
    <n v="0.21431999999999998"/>
    <n v="0"/>
    <n v="0.21431999999999998"/>
    <m/>
    <n v="10.501679999999999"/>
    <s v="BOLLORE"/>
    <n v="0.4"/>
    <n v="4.200672"/>
    <n v="4.200672"/>
    <d v="2023-10-30T00:00:00"/>
    <n v="0"/>
    <m/>
    <n v="12.43056"/>
    <n v="12.43056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08T00:00:00"/>
    <d v="2024-03-06T00:00:00"/>
    <s v="000-345/AIB RDC/2023"/>
    <n v="0"/>
    <s v="SOUSCRIPTION"/>
    <s v="00019016"/>
    <s v="CHUAN TIE ELECTRIC (TIANJIN) GROUP SARL / Bolloré"/>
    <m/>
    <s v="SYNTYCHE"/>
    <s v="Victor"/>
    <s v="MARINE CARGO / GIT"/>
    <s v="MARINE"/>
    <x v="0"/>
    <s v="SFA"/>
    <n v="0"/>
    <n v="71.44"/>
    <n v="0"/>
    <n v="0"/>
    <n v="3.07"/>
    <n v="71.44"/>
    <n v="11.92"/>
    <e v="#DIV/0!"/>
    <n v="0.15"/>
    <n v="10.715999999999999"/>
    <n v="0"/>
    <n v="0"/>
    <n v="0"/>
    <n v="10.715999999999999"/>
    <n v="1.7145599999999999"/>
    <n v="12.43056"/>
    <n v="0.21431999999999998"/>
    <n v="0"/>
    <n v="0.21431999999999998"/>
    <m/>
    <n v="10.501679999999999"/>
    <s v="BOLLORE"/>
    <n v="0.4"/>
    <n v="4.200672"/>
    <n v="4.200672"/>
    <d v="2023-10-30T00:00:00"/>
    <n v="0"/>
    <m/>
    <n v="12.43056"/>
    <n v="12.43056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08T00:00:00"/>
    <d v="2024-03-06T00:00:00"/>
    <s v="000-346/AIB RDC/2023"/>
    <n v="0"/>
    <s v="SOUSCRIPTION"/>
    <s v="00019018"/>
    <s v="CHUAN TIE ELECTRIC (TIANJIN) GROUP SARL / Bolloré"/>
    <m/>
    <s v="SYNTYCHE"/>
    <s v="Victor"/>
    <s v="MARINE CARGO / GIT"/>
    <s v="MARINE"/>
    <x v="0"/>
    <s v="SFA"/>
    <n v="0"/>
    <n v="57.86"/>
    <n v="0"/>
    <n v="0"/>
    <n v="2.87"/>
    <n v="57.86"/>
    <n v="9.7200000000000006"/>
    <e v="#DIV/0!"/>
    <n v="0.15"/>
    <n v="8.6790000000000003"/>
    <n v="0"/>
    <n v="0"/>
    <n v="0"/>
    <n v="8.6790000000000003"/>
    <n v="1.3886400000000001"/>
    <n v="10.067640000000001"/>
    <n v="0.17358000000000001"/>
    <n v="0"/>
    <n v="0.17358000000000001"/>
    <m/>
    <n v="8.5054200000000009"/>
    <s v="BOLLORE"/>
    <n v="0.4"/>
    <n v="3.4021680000000005"/>
    <n v="3.4021680000000005"/>
    <d v="2023-10-30T00:00:00"/>
    <n v="0"/>
    <m/>
    <n v="10.067640000000001"/>
    <n v="10.067640000000001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08T00:00:00"/>
    <d v="2024-03-06T00:00:00"/>
    <s v="000-347/AIB RDC/2023"/>
    <n v="0"/>
    <s v="SOUSCRIPTION"/>
    <s v="00019019"/>
    <s v="CHUAN TIE ELECTRIC (TIANJIN) GROUP SARL / Bolloré"/>
    <m/>
    <s v="SYNTYCHE"/>
    <s v="Victor"/>
    <s v="MARINE CARGO / GIT"/>
    <s v="MARINE"/>
    <x v="0"/>
    <s v="SFA"/>
    <n v="0"/>
    <n v="55.99"/>
    <n v="0"/>
    <n v="0"/>
    <n v="2.84"/>
    <n v="55.99"/>
    <n v="9.41"/>
    <e v="#DIV/0!"/>
    <n v="0.15"/>
    <n v="8.3985000000000003"/>
    <n v="0"/>
    <n v="0"/>
    <n v="0"/>
    <n v="8.3985000000000003"/>
    <n v="1.3437600000000001"/>
    <n v="9.7422599999999999"/>
    <n v="0.16797000000000001"/>
    <n v="0"/>
    <n v="0.16797000000000001"/>
    <m/>
    <n v="8.2305299999999999"/>
    <s v="BOLLORE"/>
    <n v="0.4"/>
    <n v="3.2922120000000001"/>
    <n v="3.2922120000000001"/>
    <d v="2023-10-30T00:00:00"/>
    <n v="0"/>
    <m/>
    <n v="9.7422599999999999"/>
    <n v="9.7422599999999999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08T00:00:00"/>
    <d v="2024-03-06T00:00:00"/>
    <s v="000-348/AIB RDC/2023"/>
    <n v="0"/>
    <s v="SOUSCRIPTION"/>
    <s v="00019020"/>
    <s v="CHUAN TIE ELECTRIC (TIANJIN) GROUP SARL / Bolloré"/>
    <m/>
    <s v="SYNTYCHE"/>
    <s v="Victor"/>
    <s v="MARINE CARGO / GIT"/>
    <s v="MARINE"/>
    <x v="0"/>
    <s v="SFA"/>
    <n v="0"/>
    <n v="70.900000000000006"/>
    <n v="0"/>
    <n v="0"/>
    <n v="3.06"/>
    <n v="70.900000000000006"/>
    <n v="11.83"/>
    <e v="#DIV/0!"/>
    <n v="0.15"/>
    <n v="10.635"/>
    <n v="0"/>
    <n v="0"/>
    <n v="0"/>
    <n v="10.635"/>
    <n v="1.7016"/>
    <n v="12.336600000000001"/>
    <n v="0.2127"/>
    <n v="0"/>
    <n v="0.2127"/>
    <m/>
    <n v="10.4223"/>
    <s v="BOLLORE"/>
    <n v="0.4"/>
    <n v="4.16892"/>
    <n v="4.16892"/>
    <d v="2023-10-30T00:00:00"/>
    <n v="0"/>
    <m/>
    <n v="12.336600000000001"/>
    <n v="12.336600000000001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08T00:00:00"/>
    <d v="2024-03-06T00:00:00"/>
    <s v="000-349/AIB RDC/2023"/>
    <n v="0"/>
    <s v="SOUSCRIPTION"/>
    <s v="00019023"/>
    <s v="CHUAN TIE ELECTRIC (TIANJIN) GROUP SARL / Bolloré"/>
    <m/>
    <s v="SYNTYCHE"/>
    <s v="Victor"/>
    <s v="MARINE CARGO / GIT"/>
    <s v="MARINE"/>
    <x v="0"/>
    <s v="SFA"/>
    <n v="0"/>
    <n v="57.86"/>
    <n v="0"/>
    <n v="0"/>
    <n v="2.87"/>
    <n v="57.86"/>
    <n v="9.7200000000000006"/>
    <e v="#DIV/0!"/>
    <n v="0.15"/>
    <n v="8.6790000000000003"/>
    <n v="0"/>
    <n v="0"/>
    <n v="0"/>
    <n v="8.6790000000000003"/>
    <n v="1.3886400000000001"/>
    <n v="10.067640000000001"/>
    <n v="0.17358000000000001"/>
    <n v="0"/>
    <n v="0.17358000000000001"/>
    <m/>
    <n v="8.5054200000000009"/>
    <s v="BOLLORE"/>
    <n v="0.4"/>
    <n v="3.4021680000000005"/>
    <n v="3.4021680000000005"/>
    <d v="2023-10-30T00:00:00"/>
    <n v="0"/>
    <m/>
    <n v="10.067640000000001"/>
    <n v="10.067640000000001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08T00:00:00"/>
    <d v="2024-03-06T00:00:00"/>
    <s v="000-350/AIB RDC/2023"/>
    <n v="0"/>
    <s v="SOUSCRIPTION"/>
    <s v="00019025"/>
    <s v="CHUAN TIE ELECTRIC (TIANJIN) GROUP SARL / Bolloré"/>
    <m/>
    <s v="SYNTYCHE"/>
    <s v="Victor"/>
    <s v="MARINE CARGO / GIT"/>
    <s v="MARINE"/>
    <x v="0"/>
    <s v="SFA"/>
    <n v="0"/>
    <n v="57.86"/>
    <n v="0"/>
    <n v="0"/>
    <n v="2.87"/>
    <n v="57.86"/>
    <n v="9.7200000000000006"/>
    <e v="#DIV/0!"/>
    <n v="0.15"/>
    <n v="8.6790000000000003"/>
    <n v="0"/>
    <n v="0"/>
    <n v="0"/>
    <n v="8.6790000000000003"/>
    <n v="1.3886400000000001"/>
    <n v="10.067640000000001"/>
    <n v="0.17358000000000001"/>
    <n v="0"/>
    <n v="0.17358000000000001"/>
    <m/>
    <n v="8.5054200000000009"/>
    <s v="BOLLORE"/>
    <n v="0.4"/>
    <n v="3.4021680000000005"/>
    <n v="3.4021680000000005"/>
    <d v="2023-10-30T00:00:00"/>
    <n v="0"/>
    <m/>
    <n v="10.067640000000001"/>
    <n v="10.067640000000001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08T00:00:00"/>
    <d v="2024-03-06T00:00:00"/>
    <s v="000-351/AIB RDC/2023"/>
    <n v="0"/>
    <s v="SOUSCRIPTION"/>
    <s v="00019026"/>
    <s v="CHUAN TIE ELECTRIC (TIANJIN) GROUP SARL / Bolloré"/>
    <m/>
    <s v="SYNTYCHE"/>
    <s v="Victor"/>
    <s v="MARINE CARGO / GIT"/>
    <s v="MARINE"/>
    <x v="0"/>
    <s v="SFA"/>
    <n v="0"/>
    <n v="70.900000000000006"/>
    <n v="0"/>
    <n v="0"/>
    <n v="3.06"/>
    <n v="70.900000000000006"/>
    <n v="11.83"/>
    <e v="#DIV/0!"/>
    <n v="0.15"/>
    <n v="10.635"/>
    <n v="0"/>
    <n v="0"/>
    <n v="0"/>
    <n v="10.635"/>
    <n v="1.7016"/>
    <n v="12.336600000000001"/>
    <n v="0.2127"/>
    <n v="0"/>
    <n v="0.2127"/>
    <m/>
    <n v="10.4223"/>
    <s v="BOLLORE"/>
    <n v="0.4"/>
    <n v="4.16892"/>
    <n v="4.16892"/>
    <d v="2023-10-30T00:00:00"/>
    <n v="0"/>
    <m/>
    <n v="12.336600000000001"/>
    <n v="12.336600000000001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20T00:00:00"/>
    <d v="2024-03-18T00:00:00"/>
    <s v="000-352/AIB RDC/2023"/>
    <n v="0"/>
    <s v="SOUSCRIPTION"/>
    <s v="00019011"/>
    <s v="TAF LINK SARL / Bolloré"/>
    <m/>
    <s v="SYNTYCHE"/>
    <s v="Victor"/>
    <s v="MARINE CARGO / GIT"/>
    <s v="MARINE"/>
    <x v="0"/>
    <s v="SFA"/>
    <n v="0"/>
    <n v="182.55"/>
    <n v="0"/>
    <n v="0"/>
    <n v="3.94"/>
    <n v="129.58000000000001"/>
    <n v="21.36"/>
    <e v="#DIV/0!"/>
    <n v="0.15"/>
    <n v="19.437000000000001"/>
    <n v="0"/>
    <n v="0"/>
    <n v="0"/>
    <n v="19.437000000000001"/>
    <n v="3.1099200000000002"/>
    <n v="22.54692"/>
    <n v="0.38874000000000003"/>
    <n v="0"/>
    <n v="0.38874000000000003"/>
    <m/>
    <n v="19.048260000000003"/>
    <s v="BOLLORE"/>
    <n v="0.4"/>
    <n v="7.6193040000000014"/>
    <n v="7.6193040000000014"/>
    <d v="2023-10-30T00:00:00"/>
    <n v="0"/>
    <m/>
    <n v="22.54692"/>
    <n v="22.54692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20T00:00:00"/>
    <d v="2024-03-18T00:00:00"/>
    <s v="000-353/AIB RDC/2023"/>
    <n v="0"/>
    <s v="SOUSCRIPTION"/>
    <s v="00019012"/>
    <s v="TAF LINK SARL / Bolloré"/>
    <m/>
    <s v="SYNTYCHE"/>
    <s v="Victor"/>
    <s v="MARINE CARGO / GIT"/>
    <s v="MARINE"/>
    <x v="0"/>
    <s v="SFA"/>
    <n v="0"/>
    <n v="151.61000000000001"/>
    <n v="0"/>
    <n v="0"/>
    <n v="3.56"/>
    <n v="103.73"/>
    <n v="17.170000000000002"/>
    <e v="#DIV/0!"/>
    <n v="0.15"/>
    <n v="15.5595"/>
    <n v="0"/>
    <n v="0"/>
    <n v="0"/>
    <n v="15.5595"/>
    <n v="2.4895200000000002"/>
    <n v="18.049019999999999"/>
    <n v="0.31119000000000002"/>
    <n v="0"/>
    <n v="0.31119000000000002"/>
    <m/>
    <n v="15.24831"/>
    <s v="BOLLORE"/>
    <n v="0.4"/>
    <n v="6.0993240000000002"/>
    <n v="6.0993240000000002"/>
    <d v="2023-10-30T00:00:00"/>
    <n v="0"/>
    <m/>
    <n v="18.049019999999999"/>
    <n v="18.049019999999999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20T00:00:00"/>
    <d v="2024-03-18T00:00:00"/>
    <s v="000-354/AIB RDC/2023"/>
    <n v="0"/>
    <s v="SOUSCRIPTION"/>
    <s v="00019014"/>
    <s v="TAF LINK SARL / Bolloré"/>
    <m/>
    <s v="SYNTYCHE"/>
    <s v="Victor"/>
    <s v="MARINE CARGO / GIT"/>
    <s v="MARINE"/>
    <x v="0"/>
    <s v="SFA"/>
    <n v="0"/>
    <n v="101.87"/>
    <n v="0"/>
    <n v="0"/>
    <n v="2.93"/>
    <n v="62.22"/>
    <n v="10.42"/>
    <e v="#DIV/0!"/>
    <n v="0.15"/>
    <n v="9.3330000000000002"/>
    <n v="0"/>
    <n v="0"/>
    <n v="0"/>
    <n v="9.3330000000000002"/>
    <n v="1.4932800000000002"/>
    <n v="10.826280000000001"/>
    <n v="0.18666000000000002"/>
    <n v="0"/>
    <n v="0.18666000000000002"/>
    <m/>
    <n v="9.1463400000000004"/>
    <s v="BOLLORE"/>
    <n v="0.4"/>
    <n v="3.6585360000000002"/>
    <n v="3.6585360000000002"/>
    <d v="2023-10-30T00:00:00"/>
    <n v="0"/>
    <m/>
    <n v="10.826280000000001"/>
    <n v="10.826280000000001"/>
    <n v="0"/>
    <s v="SFA"/>
    <d v="2023-05-24T00:00:00"/>
    <m/>
    <s v="ONCE OFF"/>
    <s v="MARINE CARGO / GIT"/>
    <m/>
    <m/>
    <m/>
  </r>
  <r>
    <x v="2"/>
    <s v="Yes"/>
    <d v="2023-06-02T00:00:00"/>
    <d v="2023-03-24T00:00:00"/>
    <d v="2023-03-20T00:00:00"/>
    <d v="2024-03-18T00:00:00"/>
    <s v="000-355/AIB RDC/2023"/>
    <n v="0"/>
    <s v="SOUSCRIPTION"/>
    <s v="00019017"/>
    <s v="TAF LINK SARL / Bolloré"/>
    <m/>
    <s v="SYNTYCHE"/>
    <s v="Victor"/>
    <s v="MARINE CARGO / GIT"/>
    <s v="MARINE"/>
    <x v="0"/>
    <s v="SFA"/>
    <n v="0"/>
    <n v="106.11"/>
    <n v="0"/>
    <n v="0"/>
    <n v="2.99"/>
    <n v="65.75"/>
    <n v="11"/>
    <e v="#DIV/0!"/>
    <n v="0.15"/>
    <n v="9.8624999999999989"/>
    <n v="0"/>
    <n v="0"/>
    <n v="0"/>
    <n v="9.8624999999999989"/>
    <n v="1.5779999999999998"/>
    <n v="11.440499999999998"/>
    <n v="0.19724999999999998"/>
    <n v="0"/>
    <n v="0.19724999999999998"/>
    <m/>
    <n v="9.6652499999999986"/>
    <s v="BOLLORE"/>
    <n v="0.4"/>
    <n v="3.8660999999999994"/>
    <n v="3.8660999999999994"/>
    <d v="2023-10-30T00:00:00"/>
    <n v="0"/>
    <m/>
    <n v="11.440499999999998"/>
    <n v="11.440499999999998"/>
    <n v="0"/>
    <s v="SFA"/>
    <d v="2023-05-24T00:00:00"/>
    <m/>
    <s v="ONCE OFF"/>
    <s v="MARINE CARGO / GIT"/>
    <m/>
    <m/>
    <m/>
  </r>
  <r>
    <x v="2"/>
    <s v="Yes"/>
    <d v="2023-06-02T00:00:00"/>
    <d v="2023-03-25T00:00:00"/>
    <d v="2023-03-25T00:00:00"/>
    <d v="2024-03-23T00:00:00"/>
    <s v="000-356/AIB RDC/2023"/>
    <n v="0"/>
    <s v="SOUSCRIPTION"/>
    <s v="00019047"/>
    <s v="TAF LINK SARL / Bolloré"/>
    <m/>
    <s v="SYNTYCHE"/>
    <s v="Victor"/>
    <s v="MARINE CARGO / GIT"/>
    <s v="MARINE"/>
    <x v="0"/>
    <s v="SFA"/>
    <n v="0"/>
    <n v="48.53"/>
    <n v="0"/>
    <n v="0"/>
    <n v="2.27"/>
    <n v="17.670000000000002"/>
    <n v="3.19"/>
    <e v="#DIV/0!"/>
    <n v="0.15"/>
    <n v="2.6505000000000001"/>
    <n v="0"/>
    <n v="0"/>
    <n v="0"/>
    <n v="2.6505000000000001"/>
    <n v="0.42408000000000001"/>
    <n v="3.0745800000000001"/>
    <n v="5.3010000000000002E-2"/>
    <n v="0"/>
    <n v="5.3010000000000002E-2"/>
    <m/>
    <n v="2.5974900000000001"/>
    <s v="BOLLORE"/>
    <n v="0.4"/>
    <n v="1.038996"/>
    <n v="1.038996"/>
    <d v="2023-10-30T00:00:00"/>
    <n v="0"/>
    <m/>
    <n v="3.0745800000000001"/>
    <n v="3.0745800000000001"/>
    <n v="0"/>
    <s v="SFA"/>
    <d v="2023-05-24T00:00:00"/>
    <m/>
    <s v="ONCE OFF"/>
    <s v="MARINE CARGO / GIT"/>
    <m/>
    <m/>
    <m/>
  </r>
  <r>
    <x v="2"/>
    <s v="Yes"/>
    <d v="2023-06-02T00:00:00"/>
    <d v="2023-03-25T00:00:00"/>
    <d v="2023-03-21T00:00:00"/>
    <d v="2024-03-19T00:00:00"/>
    <s v="000-357/AIB RDC/2023"/>
    <n v="0"/>
    <s v="SOUSCRIPTION"/>
    <s v="00019048"/>
    <s v="TAF LINK SARL / Bolloré"/>
    <m/>
    <s v="SYNTYCHE"/>
    <s v="Victor"/>
    <s v="MARINE CARGO / GIT"/>
    <s v="MARINE"/>
    <x v="0"/>
    <s v="SFA"/>
    <n v="0"/>
    <n v="45.33"/>
    <n v="0"/>
    <n v="0"/>
    <n v="2.23"/>
    <n v="15"/>
    <n v="2.76"/>
    <e v="#DIV/0!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n v="0.88200000000000012"/>
    <d v="2023-10-30T00:00:00"/>
    <n v="0"/>
    <m/>
    <n v="2.61"/>
    <n v="2.61"/>
    <n v="0"/>
    <s v="SFA"/>
    <d v="2023-05-24T00:00:00"/>
    <m/>
    <s v="ONCE OFF"/>
    <s v="MARINE CARGO / GIT"/>
    <m/>
    <m/>
    <m/>
  </r>
  <r>
    <x v="2"/>
    <s v="Yes"/>
    <d v="2023-06-02T00:00:00"/>
    <d v="2023-03-25T00:00:00"/>
    <d v="2023-03-21T00:00:00"/>
    <d v="2024-03-19T00:00:00"/>
    <s v="000-358/AIB RDC/2023"/>
    <n v="0"/>
    <s v="SOUSCRIPTION"/>
    <s v="00019049"/>
    <s v="TAF LINK SARL / Bolloré"/>
    <m/>
    <s v="SYNTYCHE"/>
    <s v="Victor"/>
    <s v="MARINE CARGO / GIT"/>
    <s v="MARINE"/>
    <x v="0"/>
    <s v="SFA"/>
    <n v="0"/>
    <n v="54.66"/>
    <n v="0"/>
    <n v="0"/>
    <n v="2.34"/>
    <n v="22.8"/>
    <n v="4.0199999999999996"/>
    <e v="#DIV/0!"/>
    <n v="0.15"/>
    <n v="3.42"/>
    <n v="0"/>
    <n v="0"/>
    <n v="0"/>
    <n v="3.42"/>
    <n v="0.54720000000000002"/>
    <n v="3.9672000000000001"/>
    <n v="6.8400000000000002E-2"/>
    <n v="0"/>
    <n v="6.8400000000000002E-2"/>
    <m/>
    <n v="3.3515999999999999"/>
    <s v="BOLLORE"/>
    <n v="0.4"/>
    <n v="1.3406400000000001"/>
    <n v="1.3406400000000001"/>
    <d v="2023-10-30T00:00:00"/>
    <n v="0"/>
    <m/>
    <n v="3.9672000000000001"/>
    <n v="3.9672000000000001"/>
    <n v="0"/>
    <s v="SFA"/>
    <d v="2023-05-24T00:00:00"/>
    <m/>
    <s v="ONCE OFF"/>
    <s v="MARINE CARGO / GIT"/>
    <m/>
    <m/>
    <m/>
  </r>
  <r>
    <x v="2"/>
    <s v="Yes"/>
    <d v="2023-06-02T00:00:00"/>
    <d v="2023-03-25T00:00:00"/>
    <d v="2023-03-20T00:00:00"/>
    <d v="2024-03-18T00:00:00"/>
    <s v="000-359/AIB RDC/2023"/>
    <n v="0"/>
    <s v="SOUSCRIPTION"/>
    <s v="00019050"/>
    <s v="TAF LINK SARL / Bolloré"/>
    <m/>
    <s v="SYNTYCHE"/>
    <s v="Victor"/>
    <s v="MARINE CARGO / GIT"/>
    <s v="MARINE"/>
    <x v="0"/>
    <s v="SFA"/>
    <n v="0"/>
    <n v="109.67"/>
    <n v="0"/>
    <n v="0"/>
    <n v="3.03"/>
    <n v="68.72"/>
    <n v="11.48"/>
    <e v="#DIV/0!"/>
    <n v="0.15"/>
    <n v="10.308"/>
    <n v="0"/>
    <n v="0"/>
    <n v="0"/>
    <n v="10.308"/>
    <n v="1.6492800000000001"/>
    <n v="11.957280000000001"/>
    <n v="0.20616000000000001"/>
    <n v="0"/>
    <n v="0.20616000000000001"/>
    <m/>
    <n v="10.101839999999999"/>
    <s v="BOLLORE"/>
    <n v="0.4"/>
    <n v="4.0407359999999999"/>
    <n v="4.0407359999999999"/>
    <d v="2023-10-30T00:00:00"/>
    <n v="0"/>
    <m/>
    <n v="11.957280000000001"/>
    <n v="11.957280000000001"/>
    <n v="0"/>
    <s v="SFA"/>
    <d v="2023-05-24T00:00:00"/>
    <m/>
    <s v="ONCE OFF"/>
    <s v="MARINE CARGO / GIT"/>
    <m/>
    <m/>
    <m/>
  </r>
  <r>
    <x v="2"/>
    <s v="Yes"/>
    <d v="2023-06-02T00:00:00"/>
    <d v="2023-03-27T00:00:00"/>
    <d v="2023-03-09T00:00:00"/>
    <d v="2024-03-07T00:00:00"/>
    <s v="000-360/AIB RDC/2023"/>
    <n v="0"/>
    <s v="SOUSCRIPTION"/>
    <s v="12002-33002-0021-111-00019065-2023"/>
    <s v="PANACO / Bolloré"/>
    <m/>
    <s v="SYNTYCHE"/>
    <s v="Victor"/>
    <s v="MARINE CARGO / GIT"/>
    <s v="MARINE"/>
    <x v="0"/>
    <s v="SFA"/>
    <n v="132277.48000000001"/>
    <n v="323.93"/>
    <n v="0"/>
    <n v="0"/>
    <n v="5.71"/>
    <n v="247.62"/>
    <n v="40.53"/>
    <n v="1.8719739747083176E-3"/>
    <n v="0.15"/>
    <n v="37.143000000000001"/>
    <n v="0"/>
    <n v="0"/>
    <n v="0"/>
    <n v="37.143000000000001"/>
    <n v="5.9428800000000006"/>
    <n v="43.085880000000003"/>
    <n v="0.74286000000000008"/>
    <n v="0"/>
    <n v="0.74286000000000008"/>
    <m/>
    <n v="36.40014"/>
    <s v="BOLLORE"/>
    <n v="0.4"/>
    <n v="14.560056000000001"/>
    <n v="14.560056000000001"/>
    <d v="2023-10-30T00:00:00"/>
    <n v="0"/>
    <m/>
    <n v="43.085880000000003"/>
    <n v="43.085880000000003"/>
    <n v="0"/>
    <s v="SFA"/>
    <d v="2023-05-24T00:00:00"/>
    <m/>
    <s v="ONCE OFF"/>
    <s v="MARINE CARGO / GIT"/>
    <m/>
    <m/>
    <m/>
  </r>
  <r>
    <x v="2"/>
    <s v="Yes"/>
    <d v="2023-06-02T00:00:00"/>
    <d v="2023-03-27T00:00:00"/>
    <d v="2023-03-09T00:00:00"/>
    <d v="2024-03-07T00:00:00"/>
    <s v="000-361/AIB RDC/2023"/>
    <n v="0"/>
    <s v="SOUSCRIPTION"/>
    <s v="12002-33002-0021-111-00019066-2023"/>
    <s v="PANACO / Bolloré"/>
    <m/>
    <s v="SYNTYCHE"/>
    <s v="Victor"/>
    <s v="MARINE CARGO / GIT"/>
    <s v="MARINE"/>
    <x v="0"/>
    <s v="SFA"/>
    <n v="150279.20000000001"/>
    <n v="364.31"/>
    <n v="0"/>
    <n v="0"/>
    <n v="6.22"/>
    <n v="281.33"/>
    <n v="46.01"/>
    <n v="1.8720488264510322E-3"/>
    <n v="0.15"/>
    <n v="42.199499999999993"/>
    <n v="0"/>
    <n v="0"/>
    <n v="0"/>
    <n v="42.199499999999993"/>
    <n v="6.7519199999999993"/>
    <n v="48.951419999999992"/>
    <n v="0.84398999999999991"/>
    <n v="0"/>
    <n v="0.84398999999999991"/>
    <m/>
    <n v="41.355509999999995"/>
    <s v="BOLLORE"/>
    <n v="0.4"/>
    <n v="16.542203999999998"/>
    <n v="16.542203999999998"/>
    <d v="2023-10-30T00:00:00"/>
    <n v="0"/>
    <m/>
    <n v="48.951419999999992"/>
    <n v="48.951419999999992"/>
    <n v="0"/>
    <s v="SFA"/>
    <d v="2023-05-24T00:00:00"/>
    <m/>
    <s v="ONCE OFF"/>
    <s v="MARINE CARGO / GIT"/>
    <m/>
    <m/>
    <m/>
  </r>
  <r>
    <x v="2"/>
    <s v="Yes"/>
    <d v="2023-06-02T00:00:00"/>
    <d v="2023-03-27T00:00:00"/>
    <d v="2023-03-09T00:00:00"/>
    <d v="2024-03-07T00:00:00"/>
    <s v="000-362/AIB RDC/2023"/>
    <n v="0"/>
    <s v="SOUSCRIPTION"/>
    <s v="12002-33002-0021-111-00019067-2023"/>
    <s v="PANACO / Bolloré"/>
    <m/>
    <s v="SYNTYCHE"/>
    <s v="Victor"/>
    <s v="MARINE CARGO / GIT"/>
    <s v="MARINE"/>
    <x v="0"/>
    <s v="SFA"/>
    <n v="57267.32"/>
    <n v="134.36000000000001"/>
    <n v="0"/>
    <n v="0"/>
    <n v="3.34"/>
    <n v="89.34"/>
    <n v="14.83"/>
    <n v="1.560052050628526E-3"/>
    <n v="0.15"/>
    <n v="13.401"/>
    <n v="0"/>
    <n v="0"/>
    <n v="0"/>
    <n v="13.401"/>
    <n v="2.1441599999999998"/>
    <n v="15.545159999999999"/>
    <n v="0.26801999999999998"/>
    <n v="0"/>
    <n v="0.26801999999999998"/>
    <m/>
    <n v="13.13298"/>
    <s v="BOLLORE"/>
    <n v="0.4"/>
    <n v="5.2531920000000003"/>
    <n v="5.2531920000000003"/>
    <d v="2023-10-30T00:00:00"/>
    <n v="0"/>
    <m/>
    <n v="15.545159999999999"/>
    <n v="15.545159999999999"/>
    <n v="0"/>
    <s v="SFA"/>
    <d v="2023-05-24T00:00:00"/>
    <m/>
    <s v="ONCE OFF"/>
    <s v="MARINE CARGO / GIT"/>
    <m/>
    <m/>
    <m/>
  </r>
  <r>
    <x v="2"/>
    <s v="Yes"/>
    <d v="2023-06-02T00:00:00"/>
    <d v="2023-03-28T00:00:00"/>
    <d v="2023-03-28T00:00:00"/>
    <d v="2024-03-26T00:00:00"/>
    <s v="000-363/AIB RDC/2023"/>
    <n v="0"/>
    <s v="SOUSCRIPTION"/>
    <s v="12002-33002-0021-111-00019090-2023"/>
    <s v="PANACO / Bolloré"/>
    <m/>
    <s v="SYNTYCHE"/>
    <s v="Victor"/>
    <s v="MARINE CARGO / GIT"/>
    <s v="MARINE"/>
    <x v="0"/>
    <s v="SFA"/>
    <n v="851432.47"/>
    <n v="1936.36"/>
    <n v="0"/>
    <n v="0"/>
    <n v="25.91"/>
    <n v="1593.88"/>
    <n v="259.17"/>
    <n v="1.8719981397937527E-3"/>
    <n v="0.15"/>
    <n v="239.08199999999999"/>
    <n v="0"/>
    <n v="0"/>
    <n v="0"/>
    <n v="239.08199999999999"/>
    <n v="38.253120000000003"/>
    <n v="277.33512000000002"/>
    <n v="4.7816400000000003"/>
    <n v="0"/>
    <n v="4.7816400000000003"/>
    <m/>
    <n v="234.30035999999998"/>
    <s v="BOLLORE"/>
    <n v="0.4"/>
    <n v="93.720144000000005"/>
    <n v="93.720144000000005"/>
    <d v="2023-10-30T00:00:00"/>
    <n v="0"/>
    <m/>
    <n v="277.33512000000002"/>
    <n v="277.33512000000002"/>
    <n v="0"/>
    <s v="SFA"/>
    <d v="2023-05-24T00:00:00"/>
    <m/>
    <s v="ONCE OFF"/>
    <s v="MARINE CARGO / GIT"/>
    <m/>
    <m/>
    <m/>
  </r>
  <r>
    <x v="2"/>
    <s v="Yes"/>
    <d v="2023-06-02T00:00:00"/>
    <d v="2023-03-16T00:00:00"/>
    <d v="2023-03-16T00:00:00"/>
    <d v="2024-03-14T00:00:00"/>
    <s v="000-364/AIB RDC/2023"/>
    <n v="0"/>
    <s v="SOUSCRIPTION"/>
    <s v="12002-33002-0021-111-00018824-2023"/>
    <s v="DEZIWA / Bolloré"/>
    <m/>
    <s v="SYNTYCHE"/>
    <s v="Victor"/>
    <s v="MARINE CARGO / GIT"/>
    <s v="MARINE"/>
    <x v="0"/>
    <s v="SFA"/>
    <n v="0"/>
    <n v="369.44"/>
    <n v="0"/>
    <n v="0"/>
    <n v="7.9"/>
    <n v="284"/>
    <n v="46.7"/>
    <e v="#DIV/0!"/>
    <n v="0.15"/>
    <n v="42.6"/>
    <n v="0"/>
    <n v="0"/>
    <n v="0"/>
    <n v="42.6"/>
    <n v="6.8160000000000007"/>
    <n v="49.416000000000004"/>
    <n v="0.85200000000000009"/>
    <n v="0"/>
    <n v="0.85200000000000009"/>
    <m/>
    <n v="41.748000000000005"/>
    <s v="BOLLORE"/>
    <n v="0.4"/>
    <n v="16.699200000000001"/>
    <n v="16.699200000000001"/>
    <d v="2023-10-30T00:00:00"/>
    <n v="0"/>
    <m/>
    <n v="49.416000000000004"/>
    <n v="49.416000000000004"/>
    <n v="0"/>
    <s v="SFA"/>
    <d v="2023-05-24T00:00:00"/>
    <m/>
    <s v="ONCE OFF"/>
    <s v="MARINE CARGO / GIT"/>
    <m/>
    <m/>
    <m/>
  </r>
  <r>
    <x v="2"/>
    <s v="Yes"/>
    <d v="2023-06-02T00:00:00"/>
    <d v="2023-03-20T00:00:00"/>
    <d v="2023-03-07T00:00:00"/>
    <d v="2024-03-05T00:00:00"/>
    <s v="000-365/AIB RDC/2023"/>
    <n v="0"/>
    <s v="SOUSCRIPTION"/>
    <s v="12002-33002-0021-111-00018874-2023"/>
    <s v="ORICA / Bolloré"/>
    <m/>
    <s v="SYNTYCHE"/>
    <s v="Victor"/>
    <s v="MARINE CARGO / GIT"/>
    <s v="MARINE"/>
    <x v="0"/>
    <s v="SFA"/>
    <n v="27068"/>
    <n v="92.36"/>
    <n v="0"/>
    <n v="0"/>
    <n v="2.81"/>
    <n v="54.28"/>
    <n v="9.1300000000000008"/>
    <n v="2.0053199349785726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2"/>
    <s v="Yes"/>
    <d v="2023-06-02T00:00:00"/>
    <d v="2023-03-20T00:00:00"/>
    <d v="2023-03-07T00:00:00"/>
    <d v="2024-03-05T00:00:00"/>
    <s v="000-366/AIB RDC/2023"/>
    <n v="0"/>
    <s v="SOUSCRIPTION"/>
    <s v="12002-33002-0021-111-00018876-2023"/>
    <s v="ORICA / Bolloré"/>
    <m/>
    <s v="SYNTYCHE"/>
    <s v="Victor"/>
    <s v="MARINE CARGO / GIT"/>
    <s v="MARINE"/>
    <x v="0"/>
    <s v="SFA"/>
    <n v="35249"/>
    <n v="98.29"/>
    <n v="0"/>
    <n v="0"/>
    <n v="2.89"/>
    <n v="59.22"/>
    <n v="9.94"/>
    <n v="1.6800476609265512E-3"/>
    <n v="0.15"/>
    <n v="8.8829999999999991"/>
    <n v="0"/>
    <n v="0"/>
    <n v="0"/>
    <n v="8.8829999999999991"/>
    <n v="1.4212799999999999"/>
    <n v="10.304279999999999"/>
    <n v="0.17765999999999998"/>
    <n v="0"/>
    <n v="0.17765999999999998"/>
    <m/>
    <n v="8.7053399999999996"/>
    <s v="BOLLORE"/>
    <n v="0.4"/>
    <n v="3.4821360000000001"/>
    <n v="3.4821360000000001"/>
    <d v="2023-10-30T00:00:00"/>
    <n v="0"/>
    <m/>
    <n v="10.304279999999999"/>
    <n v="10.304279999999999"/>
    <n v="0"/>
    <s v="SFA"/>
    <d v="2023-05-24T00:00:00"/>
    <m/>
    <s v="ONCE OFF"/>
    <s v="MARINE CARGO / GIT"/>
    <m/>
    <m/>
    <m/>
  </r>
  <r>
    <x v="2"/>
    <s v="Yes"/>
    <d v="2023-06-02T00:00:00"/>
    <d v="2023-03-20T00:00:00"/>
    <d v="2023-03-07T00:00:00"/>
    <d v="2024-03-05T00:00:00"/>
    <s v="000-367/AIB RDC/2023"/>
    <n v="0"/>
    <s v="SOUSCRIPTION"/>
    <s v="12002-33002-0021-111-00018878-2023"/>
    <s v="ORICA / Bolloré"/>
    <m/>
    <s v="SYNTYCHE"/>
    <s v="Victor"/>
    <s v="MARINE CARGO / GIT"/>
    <s v="MARINE"/>
    <x v="0"/>
    <s v="SFA"/>
    <n v="43810.6"/>
    <n v="115.5"/>
    <n v="0"/>
    <n v="0"/>
    <n v="3.1"/>
    <n v="73.599999999999994"/>
    <n v="12.27"/>
    <n v="1.6799587314485535E-3"/>
    <n v="0.15"/>
    <n v="11.04"/>
    <n v="0"/>
    <n v="0"/>
    <n v="0"/>
    <n v="11.04"/>
    <n v="1.7664"/>
    <n v="12.8064"/>
    <n v="0.2208"/>
    <n v="0"/>
    <n v="0.2208"/>
    <m/>
    <n v="10.819199999999999"/>
    <s v="BOLLORE"/>
    <n v="0.4"/>
    <n v="4.32768"/>
    <n v="4.32768"/>
    <d v="2023-10-30T00:00:00"/>
    <n v="0"/>
    <m/>
    <n v="12.8064"/>
    <n v="12.8064"/>
    <n v="0"/>
    <s v="SFA"/>
    <d v="2023-05-24T00:00:00"/>
    <m/>
    <s v="ONCE OFF"/>
    <s v="MARINE CARGO / GIT"/>
    <m/>
    <m/>
    <m/>
  </r>
  <r>
    <x v="2"/>
    <s v="Yes"/>
    <d v="2023-06-02T00:00:00"/>
    <d v="2023-03-30T00:00:00"/>
    <d v="2023-03-17T00:00:00"/>
    <d v="2024-03-15T00:00:00"/>
    <s v="000-368/AIB RDC/2023"/>
    <n v="0"/>
    <s v="SOUSCRIPTION"/>
    <s v="12002-33002-0021-111-00019203-2023"/>
    <s v="MAKALA COAL COMPANY / Bolloré"/>
    <m/>
    <s v="SYNTYCHE"/>
    <s v="Victor"/>
    <s v="MARINE CARGO / GIT"/>
    <s v="MARINE"/>
    <x v="0"/>
    <s v="SFA"/>
    <n v="11977.56"/>
    <n v="46.3"/>
    <n v="0"/>
    <n v="0"/>
    <n v="2.2400000000000002"/>
    <n v="15.81"/>
    <n v="2.89"/>
    <n v="1.3199683407972911E-3"/>
    <n v="0.15"/>
    <n v="2.3715000000000002"/>
    <n v="0"/>
    <n v="0"/>
    <n v="0"/>
    <n v="2.3715000000000002"/>
    <n v="0.37944000000000006"/>
    <n v="2.7509400000000004"/>
    <n v="4.7430000000000007E-2"/>
    <n v="0"/>
    <n v="4.7430000000000007E-2"/>
    <m/>
    <n v="2.3240700000000003"/>
    <s v="BOLLORE"/>
    <n v="0.4"/>
    <n v="0.92962800000000012"/>
    <n v="0.92962800000000012"/>
    <d v="2023-10-30T00:00:00"/>
    <n v="0"/>
    <m/>
    <n v="2.7509400000000004"/>
    <n v="2.7509400000000004"/>
    <n v="0"/>
    <s v="SFA"/>
    <d v="2023-05-24T00:00:00"/>
    <m/>
    <s v="ONCE OFF"/>
    <s v="MARINE CARGO / GIT"/>
    <m/>
    <m/>
    <m/>
  </r>
  <r>
    <x v="2"/>
    <s v="Yes"/>
    <d v="2023-06-05T00:00:00"/>
    <d v="2023-03-21T00:00:00"/>
    <d v="2023-03-16T00:00:00"/>
    <d v="2024-03-14T00:00:00"/>
    <s v="000-369/AIB RDC/2023"/>
    <n v="0"/>
    <s v="SOUSCRIPTION"/>
    <s v="12002-33002-0021-111-00018892-2023"/>
    <s v="WUHUANG CONSTRUCTION ET COMMERCE RDC SAS ( WHCC) / Bolloré"/>
    <m/>
    <s v="SYNTYCHE"/>
    <s v="Victor"/>
    <s v="MARINE CARGO / GIT"/>
    <s v="MARINE"/>
    <x v="0"/>
    <s v="SFA"/>
    <n v="129161.66"/>
    <n v="399.03"/>
    <n v="0"/>
    <n v="0"/>
    <n v="6.65"/>
    <n v="310.32"/>
    <n v="50.72"/>
    <n v="2.4025705460892959E-3"/>
    <n v="0.15"/>
    <n v="46.547999999999995"/>
    <n v="0"/>
    <n v="0"/>
    <n v="0"/>
    <n v="46.547999999999995"/>
    <n v="7.4476799999999992"/>
    <n v="53.995679999999993"/>
    <n v="0.9309599999999999"/>
    <n v="0"/>
    <n v="0.9309599999999999"/>
    <m/>
    <n v="45.617039999999996"/>
    <s v="BOLLORE"/>
    <n v="0.4"/>
    <n v="18.246815999999999"/>
    <n v="18.246815999999999"/>
    <d v="2023-10-30T00:00:00"/>
    <n v="0"/>
    <m/>
    <n v="53.995679999999993"/>
    <n v="53.995679999999993"/>
    <n v="0"/>
    <s v="SFA"/>
    <d v="2023-05-24T00:00:00"/>
    <m/>
    <s v="ONCE OFF"/>
    <s v="MARINE CARGO / GIT"/>
    <m/>
    <m/>
    <m/>
  </r>
  <r>
    <x v="2"/>
    <s v="Yes"/>
    <d v="2023-06-05T00:00:00"/>
    <d v="2023-03-27T00:00:00"/>
    <d v="2023-03-27T00:00:00"/>
    <d v="2024-03-25T00:00:00"/>
    <s v="000-370/AIB RDC/2023"/>
    <n v="0"/>
    <s v="SOUSCRIPTION"/>
    <s v="12002-33002-0021-111-00019076-2023"/>
    <s v="WUHUANG CONSTRUCTION ET COMMERCE RDC SAS ( WHCC) / Bolloré"/>
    <m/>
    <s v="SYNTYCHE"/>
    <s v="Victor"/>
    <s v="MARINE CARGO / GIT"/>
    <s v="MARINE"/>
    <x v="0"/>
    <s v="SFA"/>
    <n v="0"/>
    <n v="546.36"/>
    <n v="0"/>
    <n v="0"/>
    <n v="8.5"/>
    <n v="433.33"/>
    <n v="70.69"/>
    <e v="#DIV/0!"/>
    <n v="0.15"/>
    <n v="64.999499999999998"/>
    <n v="0"/>
    <n v="0"/>
    <n v="0"/>
    <n v="64.999499999999998"/>
    <n v="10.39992"/>
    <n v="75.399419999999992"/>
    <n v="1.29999"/>
    <n v="0"/>
    <n v="1.29999"/>
    <m/>
    <n v="63.699509999999997"/>
    <s v="BOLLORE"/>
    <n v="0.4"/>
    <n v="25.479804000000001"/>
    <n v="25.479804000000001"/>
    <d v="2023-10-30T00:00:00"/>
    <n v="0"/>
    <m/>
    <n v="75.399419999999992"/>
    <n v="75.399419999999992"/>
    <n v="0"/>
    <s v="SFA"/>
    <d v="2023-05-24T00:00:00"/>
    <m/>
    <s v="ONCE OFF"/>
    <s v="MARINE CARGO / GIT"/>
    <m/>
    <m/>
    <m/>
  </r>
  <r>
    <x v="2"/>
    <s v="Yes"/>
    <d v="2023-06-05T00:00:00"/>
    <d v="2023-03-27T00:00:00"/>
    <d v="2023-03-27T00:00:00"/>
    <d v="2024-03-25T00:00:00"/>
    <s v="000-371/AIB RDC/2023"/>
    <n v="0"/>
    <s v="SOUSCRIPTION"/>
    <s v="12002-33002-0021-111-00019077-2023"/>
    <s v="WUHUANG CONSTRUCTION ET COMMERCE RDC SAS ( WHCC) / Bolloré"/>
    <m/>
    <s v="SYNTYCHE"/>
    <s v="Victor"/>
    <s v="MARINE CARGO / GIT"/>
    <s v="MARINE"/>
    <x v="0"/>
    <s v="SFA"/>
    <n v="0"/>
    <n v="102.46"/>
    <n v="0"/>
    <n v="0"/>
    <n v="2.94"/>
    <n v="62.71"/>
    <n v="10.5"/>
    <e v="#DIV/0!"/>
    <n v="0.15"/>
    <n v="9.4064999999999994"/>
    <n v="0"/>
    <n v="0"/>
    <n v="0"/>
    <n v="9.4064999999999994"/>
    <n v="1.5050399999999999"/>
    <n v="10.911539999999999"/>
    <n v="0.18812999999999999"/>
    <n v="0"/>
    <n v="0.18812999999999999"/>
    <m/>
    <n v="9.2183700000000002"/>
    <s v="BOLLORE"/>
    <n v="0.4"/>
    <n v="3.6873480000000001"/>
    <n v="3.6873480000000001"/>
    <d v="2023-10-30T00:00:00"/>
    <n v="0"/>
    <m/>
    <n v="10.911539999999999"/>
    <n v="10.911539999999999"/>
    <n v="0"/>
    <s v="SFA"/>
    <d v="2023-05-24T00:00:00"/>
    <m/>
    <s v="ONCE OFF"/>
    <s v="MARINE CARGO / GIT"/>
    <m/>
    <m/>
    <m/>
  </r>
  <r>
    <x v="2"/>
    <s v="Yes"/>
    <d v="2023-06-05T00:00:00"/>
    <d v="2023-03-27T00:00:00"/>
    <d v="2023-03-27T00:00:00"/>
    <d v="2024-03-25T00:00:00"/>
    <s v="000-372/AIB RDC/2023"/>
    <n v="0"/>
    <s v="SOUSCRIPTION"/>
    <s v="12002-33002-0021-111-00019078-2023"/>
    <s v="WUHUANG CONSTRUCTION ET COMMERCE RDC SAS ( WHCC) / Bolloré"/>
    <m/>
    <s v="SYNTYCHE"/>
    <s v="Victor"/>
    <s v="MARINE CARGO / GIT"/>
    <s v="MARINE"/>
    <x v="0"/>
    <s v="SFA"/>
    <n v="0"/>
    <n v="171.03"/>
    <n v="0"/>
    <n v="0"/>
    <n v="3.8"/>
    <n v="119.95"/>
    <n v="19.8"/>
    <e v="#DIV/0!"/>
    <n v="0.15"/>
    <n v="17.9925"/>
    <n v="0"/>
    <n v="0"/>
    <n v="0"/>
    <n v="17.9925"/>
    <n v="2.8788"/>
    <n v="20.871299999999998"/>
    <n v="0.35985"/>
    <n v="0"/>
    <n v="0.35985"/>
    <m/>
    <n v="17.632649999999998"/>
    <s v="BOLLORE"/>
    <n v="0.4"/>
    <n v="7.0530599999999994"/>
    <n v="7.0530599999999994"/>
    <d v="2023-10-30T00:00:00"/>
    <n v="0"/>
    <m/>
    <n v="20.871299999999998"/>
    <n v="20.871299999999998"/>
    <n v="0"/>
    <s v="SFA"/>
    <d v="2023-05-24T00:00:00"/>
    <m/>
    <s v="ONCE OFF"/>
    <s v="MARINE CARGO / GIT"/>
    <m/>
    <m/>
    <m/>
  </r>
  <r>
    <x v="2"/>
    <s v="Yes"/>
    <d v="2023-06-05T00:00:00"/>
    <d v="2023-03-27T00:00:00"/>
    <d v="2023-03-27T00:00:00"/>
    <d v="2024-03-25T00:00:00"/>
    <s v="000-373/AIB RDC/2023"/>
    <n v="0"/>
    <s v="SOUSCRIPTION"/>
    <s v="12002-33002-0021-111-00019079-2023"/>
    <s v="WUHUANG CONSTRUCTION ET COMMERCE RDC SAS ( WHCC) / Bolloré"/>
    <m/>
    <s v="SYNTYCHE"/>
    <s v="Victor"/>
    <s v="MARINE CARGO / GIT"/>
    <s v="MARINE"/>
    <x v="0"/>
    <s v="SFA"/>
    <n v="0"/>
    <n v="294.77999999999997"/>
    <n v="0"/>
    <n v="0"/>
    <n v="5.35"/>
    <n v="223.28"/>
    <n v="36.58"/>
    <e v="#DIV/0!"/>
    <n v="0.15"/>
    <n v="33.491999999999997"/>
    <n v="0"/>
    <n v="0"/>
    <n v="0"/>
    <n v="33.491999999999997"/>
    <n v="5.3587199999999999"/>
    <n v="38.850719999999995"/>
    <n v="0.66983999999999999"/>
    <n v="0"/>
    <n v="0.66983999999999999"/>
    <m/>
    <n v="32.822159999999997"/>
    <s v="BOLLORE"/>
    <n v="0.4"/>
    <n v="13.128864"/>
    <n v="13.128864"/>
    <d v="2023-10-30T00:00:00"/>
    <n v="0"/>
    <m/>
    <n v="38.850719999999995"/>
    <n v="38.850719999999995"/>
    <n v="0"/>
    <s v="SFA"/>
    <d v="2023-05-24T00:00:00"/>
    <m/>
    <s v="ONCE OFF"/>
    <s v="MARINE CARGO / GIT"/>
    <m/>
    <m/>
    <m/>
  </r>
  <r>
    <x v="2"/>
    <s v="Yes"/>
    <d v="2023-06-05T00:00:00"/>
    <d v="2023-03-27T00:00:00"/>
    <d v="2023-03-27T00:00:00"/>
    <d v="2024-03-25T00:00:00"/>
    <s v="000-374/AIB RDC/2023"/>
    <n v="0"/>
    <s v="SOUSCRIPTION"/>
    <s v="12002-33002-0021-111-00019080-2023"/>
    <s v="WUHUANG CONSTRUCTION ET COMMERCE RDC SAS ( WHCC) / Bolloré"/>
    <m/>
    <s v="SYNTYCHE"/>
    <s v="Victor"/>
    <s v="MARINE CARGO / GIT"/>
    <s v="MARINE"/>
    <x v="0"/>
    <s v="SFA"/>
    <n v="0"/>
    <n v="146.93"/>
    <n v="0"/>
    <n v="0"/>
    <n v="3.5"/>
    <n v="99.83"/>
    <n v="16.53"/>
    <e v="#DIV/0!"/>
    <n v="0.15"/>
    <n v="14.974499999999999"/>
    <n v="0"/>
    <n v="0"/>
    <n v="0"/>
    <n v="14.974499999999999"/>
    <n v="2.3959199999999998"/>
    <n v="17.370419999999999"/>
    <n v="0.29948999999999998"/>
    <n v="0"/>
    <n v="0.29948999999999998"/>
    <m/>
    <n v="14.675009999999999"/>
    <s v="BOLLORE"/>
    <n v="0.4"/>
    <n v="5.8700039999999998"/>
    <n v="5.8700039999999998"/>
    <d v="2023-10-30T00:00:00"/>
    <n v="0"/>
    <m/>
    <n v="17.370419999999999"/>
    <n v="17.370419999999999"/>
    <n v="0"/>
    <s v="SFA"/>
    <d v="2023-05-24T00:00:00"/>
    <m/>
    <s v="ONCE OFF"/>
    <s v="MARINE CARGO / GIT"/>
    <m/>
    <m/>
    <m/>
  </r>
  <r>
    <x v="2"/>
    <s v="Yes"/>
    <d v="2023-06-05T00:00:00"/>
    <d v="2023-03-27T00:00:00"/>
    <d v="2023-03-27T00:00:00"/>
    <d v="2024-03-25T00:00:00"/>
    <s v="000-375/AIB RDC/2023"/>
    <n v="0"/>
    <s v="SOUSCRIPTION"/>
    <s v="12002-33002-0021-111-00019081-2023"/>
    <s v="WUHUANG CONSTRUCTION ET COMMERCE RDC SAS ( WHCC) / Bolloré"/>
    <m/>
    <s v="SYNTYCHE"/>
    <s v="Victor"/>
    <s v="MARINE CARGO / GIT"/>
    <s v="MARINE"/>
    <x v="0"/>
    <s v="SFA"/>
    <n v="0"/>
    <n v="61.46"/>
    <n v="0"/>
    <n v="0"/>
    <n v="2.4300000000000002"/>
    <n v="28.47"/>
    <n v="4.9400000000000004"/>
    <e v="#DIV/0!"/>
    <n v="0.15"/>
    <n v="4.2704999999999993"/>
    <n v="0"/>
    <n v="0"/>
    <n v="0"/>
    <n v="4.2704999999999993"/>
    <n v="0.68327999999999989"/>
    <n v="4.9537799999999992"/>
    <n v="8.5409999999999986E-2"/>
    <n v="0"/>
    <n v="8.5409999999999986E-2"/>
    <m/>
    <n v="4.1850899999999989"/>
    <s v="BOLLORE"/>
    <n v="0.4"/>
    <n v="1.6740359999999996"/>
    <n v="1.6740359999999996"/>
    <d v="2023-10-30T00:00:00"/>
    <n v="0"/>
    <m/>
    <n v="4.9537799999999992"/>
    <n v="4.9537799999999992"/>
    <n v="0"/>
    <s v="SFA"/>
    <d v="2023-05-24T00:00:00"/>
    <m/>
    <s v="ONCE OFF"/>
    <s v="MARINE CARGO / GIT"/>
    <m/>
    <m/>
    <m/>
  </r>
  <r>
    <x v="2"/>
    <s v="Yes"/>
    <d v="2023-06-05T00:00:00"/>
    <d v="2023-03-20T00:00:00"/>
    <d v="2023-03-07T00:00:00"/>
    <d v="2024-03-05T00:00:00"/>
    <s v="000-376/AIB RDC/2023"/>
    <n v="0"/>
    <s v="SOUSCRIPTION"/>
    <s v="12002-33002-0021-111-00018880-2023"/>
    <s v="ORICA / Bolloré"/>
    <m/>
    <s v="SYNTYCHE"/>
    <s v="Victor"/>
    <s v="MARINE CARGO / GIT"/>
    <s v="MARINE"/>
    <x v="0"/>
    <s v="SFA"/>
    <n v="0"/>
    <n v="105.81"/>
    <n v="0"/>
    <n v="0"/>
    <n v="2.98"/>
    <n v="65.5"/>
    <n v="10.96"/>
    <e v="#DIV/0!"/>
    <n v="0.15"/>
    <n v="9.8249999999999993"/>
    <n v="0"/>
    <n v="0"/>
    <n v="0"/>
    <n v="9.8249999999999993"/>
    <n v="1.5719999999999998"/>
    <n v="11.396999999999998"/>
    <n v="0.19649999999999998"/>
    <n v="0"/>
    <n v="0.19649999999999998"/>
    <m/>
    <n v="9.6284999999999989"/>
    <s v="BOLLORE"/>
    <n v="0.4"/>
    <n v="3.8513999999999999"/>
    <n v="3.8513999999999999"/>
    <d v="2023-10-30T00:00:00"/>
    <n v="0"/>
    <m/>
    <n v="11.396999999999998"/>
    <n v="11.396999999999998"/>
    <n v="0"/>
    <s v="SFA"/>
    <d v="2023-05-24T00:00:00"/>
    <m/>
    <s v="ONCE OFF"/>
    <s v="MARINE CARGO / GIT"/>
    <m/>
    <m/>
    <m/>
  </r>
  <r>
    <x v="2"/>
    <s v="Yes"/>
    <d v="2023-06-05T00:00:00"/>
    <d v="2023-03-20T00:00:00"/>
    <d v="2023-03-07T00:00:00"/>
    <d v="2024-03-05T00:00:00"/>
    <s v="000-377/AIB RDC/2023"/>
    <n v="0"/>
    <s v="SOUSCRIPTION"/>
    <s v="12002-33002-0021-111-00018881-2023"/>
    <s v="ORICA / Bolloré"/>
    <m/>
    <s v="SYNTYCHE"/>
    <s v="Victor"/>
    <s v="MARINE CARGO / GIT"/>
    <s v="MARINE"/>
    <x v="0"/>
    <s v="SFA"/>
    <n v="0"/>
    <n v="92.39"/>
    <n v="0"/>
    <n v="0"/>
    <n v="2.81"/>
    <n v="54.3"/>
    <n v="9.14"/>
    <e v="#DIV/0!"/>
    <n v="0.15"/>
    <n v="8.1449999999999996"/>
    <n v="0"/>
    <n v="0"/>
    <n v="0"/>
    <n v="8.1449999999999996"/>
    <n v="1.3031999999999999"/>
    <n v="9.4481999999999999"/>
    <n v="0.16289999999999999"/>
    <n v="0"/>
    <n v="0.16289999999999999"/>
    <m/>
    <n v="7.9821"/>
    <s v="BOLLORE"/>
    <n v="0.4"/>
    <n v="3.1928400000000003"/>
    <n v="3.1928400000000003"/>
    <d v="2023-10-30T00:00:00"/>
    <n v="0"/>
    <m/>
    <n v="9.4481999999999999"/>
    <n v="9.4481999999999999"/>
    <n v="0"/>
    <s v="SFA"/>
    <d v="2023-05-24T00:00:00"/>
    <m/>
    <s v="ONCE OFF"/>
    <s v="MARINE CARGO / GIT"/>
    <m/>
    <m/>
    <m/>
  </r>
  <r>
    <x v="2"/>
    <s v="Yes"/>
    <d v="2023-06-05T00:00:00"/>
    <d v="2023-03-20T00:00:00"/>
    <d v="2023-03-07T00:00:00"/>
    <d v="2024-03-05T00:00:00"/>
    <s v="000-378/AIB RDC/2023"/>
    <n v="0"/>
    <s v="SOUSCRIPTION"/>
    <s v="12002-33002-0021-111-00018883-2023"/>
    <s v="ORICA / Bolloré"/>
    <m/>
    <s v="SYNTYCHE"/>
    <s v="Victor"/>
    <s v="MARINE CARGO / GIT"/>
    <s v="MARINE"/>
    <x v="0"/>
    <s v="SFA"/>
    <n v="0"/>
    <n v="92.36"/>
    <n v="0"/>
    <n v="0"/>
    <n v="2.81"/>
    <n v="54.28"/>
    <n v="9.1300000000000008"/>
    <e v="#DIV/0!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2"/>
    <s v="Yes"/>
    <d v="2023-06-05T00:00:00"/>
    <d v="2023-03-20T00:00:00"/>
    <d v="2023-03-07T00:00:00"/>
    <d v="2024-03-05T00:00:00"/>
    <s v="000-379/AIB RDC/2023"/>
    <n v="0"/>
    <s v="SOUSCRIPTION"/>
    <s v="12002-33002-0021-111-00018884-2023"/>
    <s v="ORICA / Bolloré"/>
    <m/>
    <s v="SYNTYCHE"/>
    <s v="Victor"/>
    <s v="MARINE CARGO / GIT"/>
    <s v="MARINE"/>
    <x v="0"/>
    <s v="SFA"/>
    <n v="0"/>
    <n v="92.36"/>
    <n v="0"/>
    <n v="0"/>
    <n v="2.81"/>
    <n v="54.28"/>
    <n v="9.1300000000000008"/>
    <e v="#DIV/0!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2"/>
    <s v="Yes"/>
    <d v="2023-06-05T00:00:00"/>
    <d v="2023-03-20T00:00:00"/>
    <d v="2023-03-07T00:00:00"/>
    <d v="2024-03-05T00:00:00"/>
    <s v="000-380/AIB RDC/2023"/>
    <n v="0"/>
    <s v="SOUSCRIPTION"/>
    <s v="12002-33002-0021-111-00018886-2023"/>
    <s v="ORICA / Bolloré"/>
    <m/>
    <s v="SYNTYCHE"/>
    <s v="Victor"/>
    <s v="MARINE CARGO / GIT"/>
    <s v="MARINE"/>
    <x v="0"/>
    <s v="SFA"/>
    <n v="0"/>
    <n v="92.36"/>
    <n v="0"/>
    <n v="0"/>
    <n v="2.81"/>
    <n v="54.28"/>
    <n v="9.1300000000000008"/>
    <e v="#DIV/0!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2"/>
    <s v="Yes"/>
    <d v="2023-06-05T00:00:00"/>
    <d v="2023-03-20T00:00:00"/>
    <d v="2023-03-07T00:00:00"/>
    <d v="2024-03-05T00:00:00"/>
    <s v="000-381/AIB RDC/2023"/>
    <n v="0"/>
    <s v="SOUSCRIPTION"/>
    <s v="12002-33002-0021-111-00018887-2023"/>
    <s v="ORICA / Bolloré"/>
    <m/>
    <s v="SYNTYCHE"/>
    <s v="Victor"/>
    <s v="MARINE CARGO / GIT"/>
    <s v="MARINE"/>
    <x v="0"/>
    <s v="SFA"/>
    <n v="0"/>
    <n v="230.51"/>
    <n v="0"/>
    <n v="0"/>
    <n v="4.54"/>
    <n v="169.62"/>
    <n v="27.87"/>
    <e v="#DIV/0!"/>
    <n v="0.15"/>
    <n v="25.443000000000001"/>
    <n v="0"/>
    <n v="0"/>
    <n v="0"/>
    <n v="25.443000000000001"/>
    <n v="4.0708800000000007"/>
    <n v="29.51388"/>
    <n v="0.50886000000000009"/>
    <n v="0"/>
    <n v="0.50886000000000009"/>
    <m/>
    <n v="24.934140000000003"/>
    <s v="BOLLORE"/>
    <n v="0.4"/>
    <n v="9.9736560000000019"/>
    <n v="9.9736560000000019"/>
    <d v="2023-10-30T00:00:00"/>
    <n v="0"/>
    <m/>
    <n v="29.51388"/>
    <n v="29.51388"/>
    <n v="0"/>
    <s v="SFA"/>
    <d v="2023-05-24T00:00:00"/>
    <m/>
    <s v="ONCE OFF"/>
    <s v="MARINE CARGO / GIT"/>
    <m/>
    <m/>
    <m/>
  </r>
  <r>
    <x v="2"/>
    <s v="Yes"/>
    <d v="2023-06-05T00:00:00"/>
    <d v="2023-03-20T00:00:00"/>
    <d v="2023-03-07T00:00:00"/>
    <d v="2024-03-05T00:00:00"/>
    <s v="000-382/AIB RDC/2023"/>
    <n v="0"/>
    <s v="SOUSCRIPTION"/>
    <s v="12002-33002-0021-111-00018888-2023"/>
    <s v="ORICA / Bolloré"/>
    <m/>
    <s v="SYNTYCHE"/>
    <s v="Victor"/>
    <s v="MARINE CARGO / GIT"/>
    <s v="MARINE"/>
    <x v="0"/>
    <s v="SFA"/>
    <n v="0"/>
    <n v="105.03"/>
    <n v="0"/>
    <n v="0"/>
    <n v="2.97"/>
    <n v="64.849999999999994"/>
    <n v="10.85"/>
    <e v="#DIV/0!"/>
    <n v="0.15"/>
    <n v="9.7274999999999991"/>
    <n v="0"/>
    <n v="0"/>
    <n v="0"/>
    <n v="9.7274999999999991"/>
    <n v="1.5564"/>
    <n v="11.283899999999999"/>
    <n v="0.19455"/>
    <n v="0"/>
    <n v="0.19455"/>
    <m/>
    <n v="9.5329499999999996"/>
    <s v="BOLLORE"/>
    <n v="0.4"/>
    <n v="3.81318"/>
    <n v="3.81318"/>
    <d v="2023-10-30T00:00:00"/>
    <n v="0"/>
    <m/>
    <n v="11.283899999999999"/>
    <n v="11.283899999999999"/>
    <n v="0"/>
    <s v="SFA"/>
    <d v="2023-05-24T00:00:00"/>
    <m/>
    <s v="ONCE OFF"/>
    <s v="MARINE CARGO / GIT"/>
    <m/>
    <m/>
    <m/>
  </r>
  <r>
    <x v="6"/>
    <s v="Yes"/>
    <d v="2023-06-06T00:00:00"/>
    <d v="2023-04-19T00:00:00"/>
    <d v="2023-04-20T00:00:00"/>
    <d v="2023-05-17T00:00:00"/>
    <s v="000-383/AIB RDC/2023"/>
    <n v="1"/>
    <s v="INCORPORATION"/>
    <s v="12002-33002-0010-108-00016563-2022"/>
    <s v="TRANS AIR CARGO"/>
    <m/>
    <s v="SYNTYCHE"/>
    <s v="Syntyche"/>
    <s v="AVIATION HULL ALL RISK"/>
    <s v="AVIATION"/>
    <x v="0"/>
    <s v="SFA"/>
    <n v="0"/>
    <n v="11861.95"/>
    <n v="1500"/>
    <n v="0"/>
    <n v="52.5"/>
    <n v="8500"/>
    <n v="1608.4"/>
    <e v="#DIV/0!"/>
    <n v="0"/>
    <n v="0"/>
    <n v="450"/>
    <n v="732.76"/>
    <n v="0"/>
    <n v="1182.76"/>
    <n v="189.24160000000001"/>
    <n v="1372.0016000000001"/>
    <n v="23.655200000000001"/>
    <n v="0"/>
    <n v="23.655200000000001"/>
    <m/>
    <n v="1159.1048000000001"/>
    <m/>
    <m/>
    <n v="0"/>
    <m/>
    <m/>
    <n v="0"/>
    <m/>
    <n v="1372.0016000000001"/>
    <n v="1372.0016000000001"/>
    <n v="0"/>
    <s v="SFA"/>
    <d v="2023-05-30T00:00:00"/>
    <m/>
    <s v="ONCE OFF"/>
    <s v="AVIATION HULL ALL RISK"/>
    <m/>
    <m/>
    <m/>
  </r>
  <r>
    <x v="4"/>
    <s v="Yes"/>
    <d v="2023-05-26T00:00:00"/>
    <d v="2023-05-26T00:00:00"/>
    <d v="2023-05-26T00:00:00"/>
    <d v="2023-10-13T00:00:00"/>
    <s v="000-384/AIB RDC/2023"/>
    <n v="1"/>
    <s v="RISTOURNE"/>
    <s v="12002-33002-0004-103-00017248-2022"/>
    <s v="ALLIED INSURANCE BROKERS ( AIB) RDC SA"/>
    <m/>
    <s v="ALICE"/>
    <s v="Apphia"/>
    <s v="MOTOR TPL"/>
    <s v="MOTOR TPL"/>
    <x v="0"/>
    <s v="SFA"/>
    <n v="0"/>
    <n v="-96.33"/>
    <m/>
    <m/>
    <m/>
    <n v="-83.05"/>
    <m/>
    <e v="#DIV/0!"/>
    <n v="0.1"/>
    <n v="-8.3049999999999997"/>
    <n v="0"/>
    <n v="0"/>
    <n v="0"/>
    <n v="-8.3049999999999997"/>
    <n v="-1.3288"/>
    <n v="-9.633799999999999"/>
    <n v="-0.1661"/>
    <m/>
    <n v="-0.1661"/>
    <m/>
    <n v="-8.1388999999999996"/>
    <m/>
    <m/>
    <n v="0"/>
    <m/>
    <m/>
    <n v="0"/>
    <m/>
    <m/>
    <n v="-9.633799999999999"/>
    <n v="-9.633799999999999"/>
    <s v="SFA"/>
    <m/>
    <m/>
    <m/>
    <s v="MOTOR TPL"/>
    <m/>
    <m/>
    <s v="Commission à collecter dans le bordereau de Mai"/>
  </r>
  <r>
    <x v="4"/>
    <s v="Yes"/>
    <d v="2023-05-26T00:00:00"/>
    <d v="2023-05-26T00:00:00"/>
    <d v="2023-05-26T00:00:00"/>
    <d v="2023-10-13T00:00:00"/>
    <s v="000-385/AIB RDC/2023"/>
    <n v="2"/>
    <s v="INCORPORATION"/>
    <s v="12002-33002-0004-103-00017248-2022"/>
    <s v="ALLIED INSURANCE BROKERS ( AIB) RDC SA"/>
    <m/>
    <s v="ALICE"/>
    <s v="Apphia"/>
    <s v="MOTOR TPL"/>
    <s v="MOTOR TPL"/>
    <x v="0"/>
    <s v="SFA"/>
    <n v="0"/>
    <n v="102.6"/>
    <m/>
    <m/>
    <n v="4.9400000000000004"/>
    <n v="83.05"/>
    <n v="14.07"/>
    <e v="#DIV/0!"/>
    <n v="0.1"/>
    <n v="8.3049999999999997"/>
    <n v="0"/>
    <n v="0"/>
    <n v="0"/>
    <n v="8.3049999999999997"/>
    <n v="1.3288"/>
    <n v="9.633799999999999"/>
    <n v="0.1661"/>
    <m/>
    <n v="0.1661"/>
    <m/>
    <n v="8.1388999999999996"/>
    <m/>
    <m/>
    <n v="0"/>
    <m/>
    <m/>
    <n v="0"/>
    <m/>
    <m/>
    <n v="9.633799999999999"/>
    <n v="9.633799999999999"/>
    <s v="SFA"/>
    <m/>
    <m/>
    <m/>
    <s v="MOTOR TPL"/>
    <m/>
    <m/>
    <s v="Commission à collecter dans le bordereau de Mai"/>
  </r>
  <r>
    <x v="4"/>
    <s v="Yes"/>
    <d v="2023-05-05T00:00:00"/>
    <d v="2023-05-25T00:00:00"/>
    <d v="2023-05-01T00:00:00"/>
    <d v="2024-04-30T00:00:00"/>
    <s v="000-386/AIB RDC/2023"/>
    <n v="0"/>
    <s v="SOUSCRIPTION"/>
    <s v="12002-33002-0026-102-00020383-2023"/>
    <s v="Concrete &amp; Steel Construction Sarl"/>
    <s v="Construction"/>
    <s v="ALICE"/>
    <s v="Apphia"/>
    <s v="MEDICAL"/>
    <s v="MEDICAL &amp; GPA"/>
    <x v="0"/>
    <s v="SFA"/>
    <n v="0"/>
    <n v="11604"/>
    <n v="0"/>
    <n v="0"/>
    <n v="227.53"/>
    <n v="11376.47"/>
    <n v="0"/>
    <e v="#DIV/0!"/>
    <n v="0.1"/>
    <n v="1137.6469999999999"/>
    <n v="0"/>
    <n v="0"/>
    <n v="0"/>
    <n v="1137.6469999999999"/>
    <n v="182.02351999999999"/>
    <n v="1319.6705199999999"/>
    <n v="22.752939999999999"/>
    <m/>
    <n v="22.752939999999999"/>
    <m/>
    <n v="1114.8940599999999"/>
    <m/>
    <m/>
    <n v="0"/>
    <m/>
    <m/>
    <n v="0"/>
    <m/>
    <n v="1319.67"/>
    <n v="1319.67"/>
    <n v="0"/>
    <s v="SFA"/>
    <d v="2023-06-27T00:00:00"/>
    <m/>
    <m/>
    <s v="MEDICAL"/>
    <m/>
    <m/>
    <m/>
  </r>
  <r>
    <x v="4"/>
    <s v="Yes"/>
    <d v="2023-05-15T00:00:00"/>
    <d v="2023-05-01T00:00:00"/>
    <d v="2023-05-01T00:00:00"/>
    <d v="2024-04-30T00:00:00"/>
    <s v="000-387/AIB RDC/2023"/>
    <n v="0"/>
    <s v="SOUSCRIPTION"/>
    <n v="10200005"/>
    <s v="HELIOS INFRACO DRC SARL ( HT)"/>
    <m/>
    <s v="ALICE"/>
    <s v="Apphia"/>
    <s v="MEDICAL"/>
    <s v="MEDICAL &amp; GPA"/>
    <x v="6"/>
    <s v="RAWSUR"/>
    <n v="0"/>
    <n v="365395.95"/>
    <n v="0"/>
    <n v="0"/>
    <m/>
    <n v="358231.32"/>
    <n v="0"/>
    <e v="#DIV/0!"/>
    <n v="0.1"/>
    <n v="35823.132000000005"/>
    <n v="0"/>
    <n v="0"/>
    <n v="0"/>
    <n v="35823.132000000005"/>
    <n v="0"/>
    <n v="35823.132000000005"/>
    <n v="716.46264000000008"/>
    <n v="0"/>
    <n v="716.46264000000008"/>
    <m/>
    <n v="35106.669360000007"/>
    <s v="LOKTON/OLEA"/>
    <m/>
    <n v="0"/>
    <m/>
    <m/>
    <n v="0"/>
    <m/>
    <n v="35823.131999999998"/>
    <n v="35823.131999999998"/>
    <n v="0"/>
    <s v="RAWSUR"/>
    <d v="2023-07-24T00:00:00"/>
    <m/>
    <m/>
    <s v="MEDICAL"/>
    <m/>
    <m/>
    <m/>
  </r>
  <r>
    <x v="4"/>
    <s v="Yes"/>
    <d v="2023-05-25T00:00:00"/>
    <d v="2023-05-31T00:00:00"/>
    <d v="2023-05-29T00:00:00"/>
    <d v="2024-05-28T00:00:00"/>
    <s v="000-388/AIB RDC/2023"/>
    <n v="0"/>
    <s v="SOUSCRIPTION"/>
    <s v="33002-0017-104-0008154 / 0002"/>
    <s v="GROUP VIVENDI AFRICA RDC ( GVA RDC)"/>
    <m/>
    <s v="ALICE"/>
    <s v="Apphia"/>
    <s v="COMP MOTOR"/>
    <s v="MOTOR COMP"/>
    <x v="4"/>
    <s v="SUNU"/>
    <n v="0"/>
    <n v="21432.21"/>
    <n v="0"/>
    <n v="0"/>
    <n v="1679.64"/>
    <n v="16796.400000000001"/>
    <n v="2956.15"/>
    <e v="#DIV/0!"/>
    <n v="0.15"/>
    <n v="2519.46"/>
    <n v="0"/>
    <n v="0"/>
    <n v="0"/>
    <n v="2519.46"/>
    <n v="403.11360000000002"/>
    <n v="2922.5736000000002"/>
    <n v="50.389200000000002"/>
    <n v="0"/>
    <n v="50.389200000000002"/>
    <m/>
    <n v="2469.0708"/>
    <m/>
    <m/>
    <n v="0"/>
    <m/>
    <m/>
    <n v="0"/>
    <m/>
    <n v="2922.5736000000002"/>
    <n v="2922.5736000000002"/>
    <n v="0"/>
    <s v="SUNU"/>
    <d v="2023-07-10T00:00:00"/>
    <m/>
    <m/>
    <s v="COMP MOTOR"/>
    <m/>
    <m/>
    <m/>
  </r>
  <r>
    <x v="0"/>
    <s v="Yes"/>
    <d v="2023-01-05T00:00:00"/>
    <m/>
    <d v="2023-01-01T00:00:00"/>
    <d v="2023-12-31T00:00:00"/>
    <s v="000-389/AIB RDC/2023"/>
    <n v="4"/>
    <s v="INCORPORATION"/>
    <s v="11001-33002-0001-207-00000030-2022 / 301-219000007"/>
    <s v="MAERSK CONGO RDC SA"/>
    <m/>
    <s v="ALICE"/>
    <s v="Apphia"/>
    <s v="LIFE"/>
    <s v="LIFE"/>
    <x v="3"/>
    <s v="RAWSUR - LIFE"/>
    <n v="0"/>
    <n v="210"/>
    <n v="0"/>
    <n v="0"/>
    <n v="1"/>
    <n v="206.92"/>
    <n v="0"/>
    <e v="#DIV/0!"/>
    <n v="0.1"/>
    <n v="20.692"/>
    <n v="0"/>
    <n v="0"/>
    <n v="0"/>
    <n v="20.692"/>
    <n v="0"/>
    <n v="20.692"/>
    <n v="0.20691999999999999"/>
    <n v="0"/>
    <n v="0.20691999999999999"/>
    <m/>
    <n v="20.48508"/>
    <s v="MERCER"/>
    <n v="0.7"/>
    <n v="14.339555999999998"/>
    <m/>
    <m/>
    <n v="14.339555999999998"/>
    <m/>
    <n v="20.692"/>
    <n v="20.692"/>
    <n v="0"/>
    <s v="RAWSUR - LIFE"/>
    <d v="2023-07-17T00:00:00"/>
    <m/>
    <m/>
    <s v="LIFE"/>
    <m/>
    <m/>
    <m/>
  </r>
  <r>
    <x v="0"/>
    <s v="Yes"/>
    <d v="2023-01-19T00:00:00"/>
    <m/>
    <d v="2023-01-01T00:00:00"/>
    <d v="2023-12-31T00:00:00"/>
    <s v="000-390/AIB RDC/2023"/>
    <n v="5"/>
    <s v="INCORPORATION"/>
    <s v="11001-33002-0001-207-00000030-2022 / 301-219000007"/>
    <s v="MAERSK CONGO RDC SA"/>
    <m/>
    <s v="ALICE"/>
    <s v="Apphia"/>
    <s v="LIFE"/>
    <s v="LIFE"/>
    <x v="3"/>
    <s v="RAWSUR - LIFE"/>
    <n v="0"/>
    <n v="180"/>
    <n v="0"/>
    <n v="0"/>
    <n v="1"/>
    <n v="177.22"/>
    <n v="0"/>
    <e v="#DIV/0!"/>
    <n v="0.1"/>
    <n v="17.722000000000001"/>
    <n v="0"/>
    <n v="0"/>
    <n v="0"/>
    <n v="17.722000000000001"/>
    <n v="0"/>
    <n v="17.722000000000001"/>
    <n v="0.17722000000000002"/>
    <n v="0"/>
    <n v="0.17722000000000002"/>
    <m/>
    <n v="17.544780000000003"/>
    <s v="MERCER"/>
    <n v="0.7"/>
    <n v="12.281346000000001"/>
    <m/>
    <m/>
    <n v="12.281346000000001"/>
    <m/>
    <n v="17.722000000000001"/>
    <n v="17.722000000000001"/>
    <n v="0"/>
    <s v="RAWSUR - LIFE"/>
    <d v="2023-07-17T00:00:00"/>
    <m/>
    <m/>
    <s v="LIFE"/>
    <m/>
    <m/>
    <m/>
  </r>
  <r>
    <x v="0"/>
    <s v="Yes"/>
    <d v="2022-12-20T00:00:00"/>
    <m/>
    <d v="2023-01-01T00:00:00"/>
    <d v="2023-12-31T00:00:00"/>
    <s v="000-391/AIB RDC/2023"/>
    <n v="6"/>
    <s v="INCORPORATION"/>
    <s v="11001-33002-0001-207-00000030-2022 / 301-219000007"/>
    <s v="MAERSK CONGO RDC SA"/>
    <m/>
    <s v="ALICE"/>
    <s v="Apphia"/>
    <s v="LIFE"/>
    <s v="LIFE"/>
    <x v="3"/>
    <s v="RAWSUR - LIFE"/>
    <n v="0"/>
    <n v="120"/>
    <n v="0"/>
    <n v="0"/>
    <n v="1"/>
    <n v="117.81"/>
    <n v="0"/>
    <e v="#DIV/0!"/>
    <n v="0.1"/>
    <n v="11.781000000000001"/>
    <n v="0"/>
    <n v="0"/>
    <n v="0"/>
    <n v="11.781000000000001"/>
    <n v="0"/>
    <n v="11.781000000000001"/>
    <n v="0.11781000000000001"/>
    <n v="0"/>
    <n v="0.11781000000000001"/>
    <m/>
    <n v="11.66319"/>
    <s v="MERCER"/>
    <n v="0.7"/>
    <n v="8.1642329999999994"/>
    <m/>
    <m/>
    <n v="8.1642329999999994"/>
    <m/>
    <n v="11.781000000000001"/>
    <n v="11.781000000000001"/>
    <n v="0"/>
    <s v="RAWSUR - LIFE"/>
    <d v="2023-07-17T00:00:00"/>
    <m/>
    <m/>
    <s v="LIFE"/>
    <m/>
    <m/>
    <m/>
  </r>
  <r>
    <x v="0"/>
    <s v="Yes"/>
    <d v="2023-04-10T00:00:00"/>
    <m/>
    <d v="2023-01-01T00:00:00"/>
    <d v="2023-12-31T00:00:00"/>
    <s v="000-392/AIB RDC/2023"/>
    <n v="7"/>
    <s v="INCORPORATION"/>
    <s v="11001-33002-0001-207-00000030-2022 / 301-219000007"/>
    <s v="MAERSK CONGO RDC SA"/>
    <m/>
    <s v="ALICE"/>
    <s v="Apphia"/>
    <s v="LIFE"/>
    <s v="LIFE"/>
    <x v="3"/>
    <s v="RAWSUR - LIFE"/>
    <n v="0"/>
    <n v="480"/>
    <n v="0"/>
    <n v="0"/>
    <n v="2"/>
    <n v="473.24"/>
    <n v="0"/>
    <e v="#DIV/0!"/>
    <n v="0.1"/>
    <n v="47.324000000000005"/>
    <n v="0"/>
    <n v="0"/>
    <n v="0"/>
    <n v="47.324000000000005"/>
    <n v="0"/>
    <n v="47.324000000000005"/>
    <n v="0.47324000000000005"/>
    <n v="0"/>
    <n v="0.47324000000000005"/>
    <m/>
    <n v="46.850760000000008"/>
    <s v="MERCER"/>
    <n v="0.7"/>
    <n v="32.795532000000001"/>
    <m/>
    <m/>
    <n v="32.795532000000001"/>
    <m/>
    <n v="47.324000000000005"/>
    <n v="47.324000000000005"/>
    <n v="0"/>
    <s v="RAWSUR - LIFE"/>
    <d v="2023-07-17T00:00:00"/>
    <m/>
    <m/>
    <s v="LIFE"/>
    <m/>
    <m/>
    <m/>
  </r>
  <r>
    <x v="0"/>
    <s v="Yes"/>
    <d v="2023-01-19T00:00:00"/>
    <m/>
    <d v="2023-01-02T00:00:00"/>
    <d v="2023-12-31T00:00:00"/>
    <s v="000-393/AIB RDC/2023"/>
    <n v="8"/>
    <s v="INCORPORATION"/>
    <s v="11001-33002-0001-207-00000030-2022 / 301-219000007"/>
    <s v="MAERSK CONGO RDC SA"/>
    <m/>
    <s v="ALICE"/>
    <s v="Apphia"/>
    <s v="LIFE"/>
    <s v="LIFE"/>
    <x v="3"/>
    <s v="RAWSUR - LIFE"/>
    <n v="0"/>
    <n v="750"/>
    <n v="0"/>
    <n v="0"/>
    <n v="2"/>
    <n v="740.58"/>
    <n v="0"/>
    <e v="#DIV/0!"/>
    <n v="0.1"/>
    <n v="74.058000000000007"/>
    <n v="0"/>
    <n v="0"/>
    <n v="0"/>
    <n v="74.058000000000007"/>
    <n v="0"/>
    <n v="74.058000000000007"/>
    <n v="0.74058000000000013"/>
    <n v="0"/>
    <n v="0.74058000000000013"/>
    <m/>
    <n v="73.317420000000013"/>
    <s v="MERCER"/>
    <n v="0.7"/>
    <n v="51.322194000000003"/>
    <m/>
    <m/>
    <n v="51.322194000000003"/>
    <m/>
    <n v="74.058000000000007"/>
    <n v="74.058000000000007"/>
    <n v="0"/>
    <s v="RAWSUR - LIFE"/>
    <d v="2023-07-17T00:00:00"/>
    <m/>
    <m/>
    <s v="LIFE"/>
    <m/>
    <m/>
    <m/>
  </r>
  <r>
    <x v="2"/>
    <s v="Yes"/>
    <d v="2023-03-16T00:00:00"/>
    <m/>
    <d v="2023-03-01T00:00:00"/>
    <d v="2023-12-31T00:00:00"/>
    <s v="000-394/AIB RDC/2023"/>
    <n v="9"/>
    <s v="INCORPORATION"/>
    <s v="11001-33002-0001-207-00000030-2022 / 301-219000007"/>
    <s v="MAERSK CONGO RDC SA"/>
    <m/>
    <s v="ALICE"/>
    <s v="Apphia"/>
    <s v="LIFE"/>
    <s v="LIFE"/>
    <x v="3"/>
    <s v="RAWSUR - LIFE"/>
    <n v="0"/>
    <n v="200"/>
    <n v="0"/>
    <n v="0"/>
    <n v="2"/>
    <n v="196.02"/>
    <n v="0"/>
    <e v="#DIV/0!"/>
    <n v="0.1"/>
    <n v="19.602000000000004"/>
    <n v="0"/>
    <n v="0"/>
    <n v="0"/>
    <n v="19.602000000000004"/>
    <n v="0"/>
    <n v="19.602000000000004"/>
    <n v="0.19602000000000006"/>
    <n v="0"/>
    <n v="0.19602000000000006"/>
    <m/>
    <n v="19.405980000000003"/>
    <s v="MERCER"/>
    <n v="0.7"/>
    <n v="13.584186000000001"/>
    <m/>
    <m/>
    <n v="13.584186000000001"/>
    <m/>
    <n v="19.602000000000004"/>
    <n v="19.602000000000004"/>
    <n v="0"/>
    <s v="RAWSUR - LIFE"/>
    <d v="2023-07-17T00:00:00"/>
    <m/>
    <m/>
    <s v="LIFE"/>
    <m/>
    <m/>
    <m/>
  </r>
  <r>
    <x v="2"/>
    <s v="Yes"/>
    <d v="2023-03-22T00:00:00"/>
    <m/>
    <d v="2023-03-01T00:00:00"/>
    <d v="2023-12-31T00:00:00"/>
    <s v="000-395/AIB RDC/2023"/>
    <n v="10"/>
    <s v="INCORPORATION"/>
    <s v="11001-33002-0001-207-00000030-2022 / 301-219000007"/>
    <s v="MAERSK CONGO RDC SA"/>
    <m/>
    <s v="ALICE"/>
    <s v="Apphia"/>
    <s v="LIFE"/>
    <s v="LIFE"/>
    <x v="3"/>
    <s v="RAWSUR - LIFE"/>
    <n v="0"/>
    <n v="330"/>
    <n v="0"/>
    <n v="0"/>
    <n v="2"/>
    <n v="324.73"/>
    <n v="0"/>
    <e v="#DIV/0!"/>
    <n v="0.1"/>
    <n v="32.473000000000006"/>
    <n v="0"/>
    <n v="0"/>
    <n v="0"/>
    <n v="32.473000000000006"/>
    <n v="0"/>
    <n v="32.473000000000006"/>
    <n v="0.32473000000000007"/>
    <n v="0"/>
    <n v="0.32473000000000007"/>
    <m/>
    <n v="32.148270000000004"/>
    <m/>
    <m/>
    <n v="0"/>
    <m/>
    <m/>
    <n v="0"/>
    <m/>
    <n v="32.473000000000006"/>
    <n v="32.473000000000006"/>
    <n v="0"/>
    <s v="RAWSUR - LIFE"/>
    <d v="2023-07-17T00:00:00"/>
    <m/>
    <m/>
    <s v="LIFE"/>
    <m/>
    <m/>
    <m/>
  </r>
  <r>
    <x v="4"/>
    <s v="Yes"/>
    <d v="2023-06-14T00:00:00"/>
    <d v="2023-05-09T00:00:00"/>
    <d v="2023-05-09T00:00:00"/>
    <d v="2023-08-07T00:00:00"/>
    <s v="000-396/AIB RDC/2023"/>
    <n v="0"/>
    <s v="SOUSCRIPTION"/>
    <n v="70100024"/>
    <s v="CHUAN TIE ELECTRIC (TIANJIN) GROUP SARL / Bolloré"/>
    <m/>
    <s v="SYNTYCHE"/>
    <s v="Victor"/>
    <s v="MARINE CARGO / GIT"/>
    <s v="MARINE"/>
    <x v="6"/>
    <s v="RAWSUR"/>
    <n v="264448"/>
    <n v="1557.65"/>
    <n v="0"/>
    <n v="0"/>
    <n v="333"/>
    <n v="987.04"/>
    <n v="211.21"/>
    <n v="3.7324540174249756E-3"/>
    <n v="0.15"/>
    <n v="148.05599999999998"/>
    <n v="0"/>
    <n v="0"/>
    <n v="0"/>
    <n v="148.05599999999998"/>
    <n v="23.688959999999998"/>
    <n v="171.74495999999999"/>
    <n v="2.9611199999999998"/>
    <n v="0"/>
    <n v="2.9611199999999998"/>
    <m/>
    <n v="145.09487999999999"/>
    <s v="BOLLORE"/>
    <n v="0.4"/>
    <n v="58.037951999999997"/>
    <n v="58.037951999999997"/>
    <d v="2023-10-30T00:00:00"/>
    <n v="0"/>
    <m/>
    <n v="171.74495999999999"/>
    <n v="171.74495999999999"/>
    <n v="0"/>
    <s v="RAWSUR"/>
    <d v="2023-06-22T00:00:00"/>
    <m/>
    <s v="ONCE OFF"/>
    <s v="MARINE CARGO / GIT"/>
    <m/>
    <m/>
    <m/>
  </r>
  <r>
    <x v="4"/>
    <s v="Yes"/>
    <d v="2023-05-23T00:00:00"/>
    <d v="2023-05-23T00:00:00"/>
    <d v="2023-05-23T00:00:00"/>
    <d v="2023-07-07T00:00:00"/>
    <s v="000-397/AIB RDC/2023"/>
    <n v="0"/>
    <s v="SOUSCRIPTION"/>
    <s v="12001-33002-0014-111-00006161-2023"/>
    <s v="HELIOS INFRACO DRC SARL ( HT)"/>
    <m/>
    <s v="SYNTYCHE"/>
    <s v="Axel"/>
    <s v="MARINE CARGO / GIT"/>
    <s v="MARINE"/>
    <x v="1"/>
    <s v="ACTIVA"/>
    <n v="357135"/>
    <n v="1866.05"/>
    <n v="0"/>
    <n v="0"/>
    <n v="15.71"/>
    <n v="1571.39"/>
    <n v="253.94"/>
    <n v="4.3999887997535946E-3"/>
    <n v="0.15"/>
    <n v="235.70850000000002"/>
    <n v="0"/>
    <n v="0"/>
    <n v="0"/>
    <n v="235.70850000000002"/>
    <n v="37.713360000000002"/>
    <n v="273.42186000000004"/>
    <n v="4.7141700000000002"/>
    <n v="0"/>
    <n v="4.7141700000000002"/>
    <m/>
    <n v="230.99433000000002"/>
    <m/>
    <m/>
    <n v="0"/>
    <m/>
    <m/>
    <n v="0"/>
    <m/>
    <n v="273.42186000000004"/>
    <n v="273.42186000000004"/>
    <n v="0"/>
    <s v="ACTIVA"/>
    <d v="2023-07-07T00:00:00"/>
    <m/>
    <s v="ONCE OFF"/>
    <s v="MARINE CARGO / GIT"/>
    <m/>
    <m/>
    <m/>
  </r>
  <r>
    <x v="4"/>
    <s v="Yes"/>
    <d v="2023-05-19T00:00:00"/>
    <d v="2023-05-19T00:00:00"/>
    <d v="2023-05-19T00:00:00"/>
    <d v="2023-06-18T00:00:00"/>
    <s v="000-398/AIB RDC/2023"/>
    <n v="0"/>
    <s v="SOUSCRIPTION"/>
    <s v="12001-33002-0014-111-00005944-2023"/>
    <s v="HELIOS INFRACO DRC SARL ( HT)"/>
    <m/>
    <s v="SYNTYCHE"/>
    <s v="Axel"/>
    <s v="MARINE CARGO / GIT"/>
    <s v="MARINE"/>
    <x v="1"/>
    <s v="ACTIVA"/>
    <n v="124622.46"/>
    <n v="672.67"/>
    <n v="0"/>
    <n v="0"/>
    <n v="10"/>
    <n v="548.34"/>
    <n v="89.33"/>
    <n v="4.4000094365012534E-3"/>
    <n v="0.15"/>
    <n v="82.251000000000005"/>
    <n v="0"/>
    <n v="0"/>
    <n v="0"/>
    <n v="82.251000000000005"/>
    <n v="13.160160000000001"/>
    <n v="95.41116000000001"/>
    <n v="1.6450200000000001"/>
    <n v="0"/>
    <n v="1.6450200000000001"/>
    <m/>
    <n v="80.605980000000002"/>
    <m/>
    <m/>
    <n v="0"/>
    <m/>
    <m/>
    <n v="0"/>
    <m/>
    <n v="95.41116000000001"/>
    <n v="95.41116000000001"/>
    <n v="0"/>
    <s v="ACTIVA"/>
    <d v="2023-07-07T00:00:00"/>
    <m/>
    <s v="ONCE OFF"/>
    <s v="MARINE CARGO / GIT"/>
    <m/>
    <m/>
    <m/>
  </r>
  <r>
    <x v="4"/>
    <s v="Yes"/>
    <d v="2023-05-22T00:00:00"/>
    <d v="2023-05-22T00:00:00"/>
    <d v="2023-05-22T00:00:00"/>
    <d v="2023-06-21T00:00:00"/>
    <s v="000-399/AIB RDC/2023"/>
    <n v="0"/>
    <s v="SOUSCRIPTION"/>
    <s v="12001-33002-0014-111-00006110-2023"/>
    <s v="AFRICA GLOBAL LOGISTICS"/>
    <m/>
    <s v="SYNTYCHE"/>
    <s v="Axel"/>
    <s v="MARINE CARGO / GIT"/>
    <s v="MARINE"/>
    <x v="1"/>
    <s v="ACTIVA"/>
    <n v="23195"/>
    <n v="147.59"/>
    <n v="0"/>
    <n v="0"/>
    <n v="10"/>
    <n v="95.68"/>
    <n v="16.91"/>
    <n v="4.1250269454623841E-3"/>
    <n v="0.15"/>
    <n v="14.352"/>
    <n v="0"/>
    <n v="0"/>
    <n v="0"/>
    <n v="14.352"/>
    <n v="2.2963200000000001"/>
    <n v="16.648320000000002"/>
    <n v="0.28704000000000002"/>
    <m/>
    <n v="0.28704000000000002"/>
    <m/>
    <n v="14.064960000000001"/>
    <m/>
    <m/>
    <n v="0"/>
    <m/>
    <m/>
    <n v="0"/>
    <m/>
    <n v="16.648320000000002"/>
    <n v="16.648320000000002"/>
    <n v="0"/>
    <s v="ACTIVA"/>
    <d v="2023-07-07T00:00:00"/>
    <m/>
    <s v="ONCE OFF"/>
    <s v="MARINE CARGO / GIT"/>
    <m/>
    <m/>
    <m/>
  </r>
  <r>
    <x v="4"/>
    <s v="Yes"/>
    <d v="2023-05-22T00:00:00"/>
    <d v="2023-05-22T00:00:00"/>
    <d v="2023-05-22T00:00:00"/>
    <d v="2023-06-21T00:00:00"/>
    <s v="000-400/AIB RDC/2023"/>
    <n v="0"/>
    <s v="SOUSCRIPTION"/>
    <s v="12001-33003-0014-111-00006062-2023"/>
    <s v="HELIOS INFRACO DRC SARL ( HT)"/>
    <m/>
    <s v="SYNTYCHE"/>
    <s v="Axel"/>
    <s v="MARINE CARGO / GIT"/>
    <s v="MARINE"/>
    <x v="1"/>
    <s v="ACTIVA"/>
    <n v="52054.15"/>
    <n v="176.99"/>
    <n v="0"/>
    <n v="0"/>
    <n v="10"/>
    <n v="121.03"/>
    <n v="20.96"/>
    <n v="2.3250787881465744E-3"/>
    <n v="0.15"/>
    <n v="18.154499999999999"/>
    <n v="0"/>
    <n v="0"/>
    <n v="0"/>
    <n v="18.154499999999999"/>
    <n v="2.9047199999999997"/>
    <n v="21.05922"/>
    <n v="0.36308999999999997"/>
    <n v="0"/>
    <n v="0.36308999999999997"/>
    <m/>
    <n v="17.791409999999999"/>
    <m/>
    <m/>
    <n v="0"/>
    <m/>
    <m/>
    <n v="0"/>
    <m/>
    <n v="21.05922"/>
    <n v="21.05922"/>
    <n v="0"/>
    <s v="ACTIVA"/>
    <d v="2023-07-07T00:00:00"/>
    <m/>
    <s v="ONCE OFF"/>
    <s v="MARINE CARGO / GIT"/>
    <m/>
    <m/>
    <m/>
  </r>
  <r>
    <x v="4"/>
    <s v="Yes"/>
    <d v="2023-05-23T00:00:00"/>
    <d v="2023-05-23T00:00:00"/>
    <d v="2023-05-23T00:00:00"/>
    <d v="2023-06-22T00:00:00"/>
    <s v="000-401/AIB RDC/2023"/>
    <n v="0"/>
    <s v="SOUSCRIPTION"/>
    <s v="12001-33002-0014-111-00006143-2023"/>
    <s v="HELIOS INFRACO DRC SARL ( HT)"/>
    <m/>
    <s v="SYNTYCHE"/>
    <s v="Axel"/>
    <s v="MARINE CARGO / GIT"/>
    <s v="MARINE"/>
    <x v="1"/>
    <s v="ACTIVA"/>
    <n v="682190"/>
    <n v="735.94"/>
    <n v="0"/>
    <n v="0"/>
    <n v="10"/>
    <n v="602.88"/>
    <n v="98.08"/>
    <n v="8.8374206599334498E-4"/>
    <n v="0.15"/>
    <n v="90.432000000000002"/>
    <n v="0"/>
    <n v="0"/>
    <n v="0"/>
    <n v="90.432000000000002"/>
    <n v="14.46912"/>
    <n v="104.90112000000001"/>
    <n v="1.80864"/>
    <n v="0"/>
    <n v="1.80864"/>
    <m/>
    <n v="88.623360000000005"/>
    <m/>
    <m/>
    <n v="0"/>
    <m/>
    <m/>
    <n v="0"/>
    <m/>
    <n v="104.90112000000001"/>
    <n v="104.90112000000001"/>
    <n v="0"/>
    <s v="ACTIVA"/>
    <d v="2023-07-07T00:00:00"/>
    <m/>
    <s v="ONCE OFF"/>
    <s v="MARINE CARGO / GIT"/>
    <m/>
    <m/>
    <m/>
  </r>
  <r>
    <x v="4"/>
    <s v="Yes"/>
    <d v="2023-06-07T00:00:00"/>
    <d v="2023-05-31T00:00:00"/>
    <d v="2023-05-31T00:00:00"/>
    <d v="2023-06-16T00:00:00"/>
    <s v="000-402/AIB RDC/2023"/>
    <n v="5"/>
    <s v="INCORPORATION"/>
    <s v="12002-33002-0004-104-00016497-2022"/>
    <s v="INDUSTRIAL SERVICES"/>
    <m/>
    <s v="SYNTYCHE"/>
    <s v="Syntyche"/>
    <s v="COMP MOTOR"/>
    <s v="MOTOR COMP"/>
    <x v="0"/>
    <s v="SFA"/>
    <n v="15190"/>
    <n v="100"/>
    <n v="0"/>
    <n v="0"/>
    <n v="4.87"/>
    <n v="81.34"/>
    <n v="13.79"/>
    <n v="5.3548387096774199E-3"/>
    <n v="0.15"/>
    <n v="12.201000000000001"/>
    <n v="0"/>
    <n v="0"/>
    <n v="0"/>
    <n v="12.201000000000001"/>
    <n v="1.9521600000000001"/>
    <n v="14.15316"/>
    <n v="0.24402000000000001"/>
    <m/>
    <n v="0.24402000000000001"/>
    <m/>
    <n v="11.95698"/>
    <m/>
    <m/>
    <n v="0"/>
    <m/>
    <m/>
    <n v="0"/>
    <m/>
    <n v="14.15316"/>
    <n v="14.15316"/>
    <n v="0"/>
    <s v="SFA"/>
    <d v="2023-07-28T00:00:00"/>
    <m/>
    <s v="RENEWED"/>
    <s v="COMP MOTOR"/>
    <m/>
    <m/>
    <m/>
  </r>
  <r>
    <x v="1"/>
    <s v="No"/>
    <d v="2023-03-02T00:00:00"/>
    <d v="2023-03-30T00:00:00"/>
    <d v="2023-02-20T00:00:00"/>
    <d v="2024-02-19T00:00:00"/>
    <s v="000-403/AIB RDC/2023"/>
    <n v="1"/>
    <s v="RENOUVELLEMENT"/>
    <s v="12005-33002-0009-13001-00000269-2022"/>
    <s v="CONGO ŒUFS"/>
    <m/>
    <s v="MICHEE"/>
    <s v="Tychique"/>
    <s v="PVT"/>
    <s v="POLITICAL VIOLENCE"/>
    <x v="5"/>
    <s v="MAYFAIR"/>
    <n v="7380069.1799999997"/>
    <n v="10921.25"/>
    <n v="0"/>
    <n v="0"/>
    <n v="20"/>
    <n v="9235.2900000000009"/>
    <n v="1480.85"/>
    <n v="1.2513825785031463E-3"/>
    <n v="0.15"/>
    <n v="1385.2935"/>
    <n v="0"/>
    <n v="0"/>
    <n v="0"/>
    <n v="1385.2935"/>
    <n v="221.64696000000001"/>
    <n v="1606.94046"/>
    <n v="27.705870000000001"/>
    <n v="0"/>
    <n v="27.705870000000001"/>
    <m/>
    <n v="1357.58763"/>
    <m/>
    <m/>
    <n v="0"/>
    <m/>
    <m/>
    <n v="0"/>
    <m/>
    <m/>
    <n v="1606.94046"/>
    <n v="1606.94046"/>
    <s v="MAYFAIR"/>
    <m/>
    <m/>
    <m/>
    <s v="PVT"/>
    <m/>
    <m/>
    <s v="01-11-2023/ confirmation que c'est déjà payée"/>
  </r>
  <r>
    <x v="1"/>
    <s v="Yes"/>
    <d v="2023-03-02T00:00:00"/>
    <d v="2023-05-05T00:00:00"/>
    <d v="2023-02-20T00:00:00"/>
    <d v="2024-02-19T00:00:00"/>
    <s v="000-404/AIB RDC/2023"/>
    <n v="2"/>
    <s v="RENOUVELLEMENT"/>
    <s v="12005-33002-0014-13001-00000271-2022"/>
    <s v="CONGO ŒUFS"/>
    <m/>
    <s v="MICHEE"/>
    <s v="Tychique"/>
    <s v="PUBLIC LIABILITY"/>
    <s v="LIABILITIES"/>
    <x v="5"/>
    <s v="MAYFAIR"/>
    <n v="500000"/>
    <n v="2800.07"/>
    <n v="0"/>
    <n v="0"/>
    <n v="20"/>
    <n v="2352.94"/>
    <n v="379.67"/>
    <n v="4.70588E-3"/>
    <n v="0.15"/>
    <n v="352.94099999999997"/>
    <n v="0"/>
    <n v="0"/>
    <n v="0"/>
    <n v="352.94099999999997"/>
    <n v="56.470559999999999"/>
    <n v="409.41155999999995"/>
    <n v="7.0588199999999999"/>
    <n v="0"/>
    <n v="7.0588199999999999"/>
    <m/>
    <n v="345.88217999999995"/>
    <m/>
    <m/>
    <n v="0"/>
    <m/>
    <m/>
    <n v="0"/>
    <m/>
    <n v="409.41155999999995"/>
    <n v="409.41155999999995"/>
    <n v="0"/>
    <s v="MAYFAIR"/>
    <d v="2023-06-29T00:00:00"/>
    <m/>
    <m/>
    <s v="PUBLIC LIABILITY"/>
    <m/>
    <m/>
    <m/>
  </r>
  <r>
    <x v="4"/>
    <s v="Yes"/>
    <d v="2023-03-14T00:00:00"/>
    <d v="2023-05-15T00:00:00"/>
    <d v="2023-05-05T00:00:00"/>
    <d v="2024-05-04T00:00:00"/>
    <s v="000-405/AIB RDC/2023"/>
    <n v="0"/>
    <s v="SOUSCRIPTION"/>
    <s v="12001-33002-0001-103-00005217-2023"/>
    <s v="AMBASSADE DE LA BELGIQUE"/>
    <m/>
    <s v="MICHEE"/>
    <s v="Tychique"/>
    <s v="MOTOR TPL"/>
    <s v="MOTOR TPL"/>
    <x v="1"/>
    <s v="ACTIVA"/>
    <n v="0"/>
    <n v="4146.79"/>
    <n v="0"/>
    <n v="0"/>
    <n v="40.74"/>
    <n v="4074.05"/>
    <n v="0"/>
    <e v="#DIV/0!"/>
    <n v="0.1"/>
    <n v="407.40500000000003"/>
    <n v="0"/>
    <n v="0"/>
    <n v="0"/>
    <n v="407.40500000000003"/>
    <n v="65.18480000000001"/>
    <n v="472.58980000000003"/>
    <n v="8.1481000000000012"/>
    <m/>
    <n v="8.1481000000000012"/>
    <m/>
    <n v="399.25690000000003"/>
    <m/>
    <m/>
    <n v="0"/>
    <m/>
    <m/>
    <n v="0"/>
    <m/>
    <n v="472.58980000000003"/>
    <n v="472.58980000000003"/>
    <n v="0"/>
    <s v="ACTIVA"/>
    <d v="2023-07-07T00:00:00"/>
    <m/>
    <m/>
    <s v="MOTOR TPL"/>
    <m/>
    <m/>
    <m/>
  </r>
  <r>
    <x v="4"/>
    <s v="Yes"/>
    <d v="2023-05-04T00:00:00"/>
    <d v="2023-05-10T00:00:00"/>
    <d v="2023-05-11T00:00:00"/>
    <d v="2023-06-09T00:00:00"/>
    <s v="000-406/AIB RDC/2023"/>
    <n v="0"/>
    <s v="SOUSCRIPTION"/>
    <s v="12002-33002-0004-104-00020129-2023"/>
    <s v="KATANGA LOGISTICS"/>
    <m/>
    <s v="MICHEE"/>
    <s v="Tychique"/>
    <s v="COMP MOTOR"/>
    <s v="MOTOR COMP"/>
    <x v="0"/>
    <s v="SFA"/>
    <n v="525000"/>
    <n v="5993.25"/>
    <n v="0"/>
    <n v="0"/>
    <n v="195.4"/>
    <n v="4971.2"/>
    <n v="826.65"/>
    <n v="9.46895238095238E-3"/>
    <n v="0.15"/>
    <n v="745.68"/>
    <n v="0"/>
    <n v="0"/>
    <n v="0"/>
    <n v="745.68"/>
    <n v="119.30879999999999"/>
    <n v="864.98879999999997"/>
    <n v="14.913599999999999"/>
    <n v="0"/>
    <n v="14.913599999999999"/>
    <m/>
    <n v="730.76639999999998"/>
    <m/>
    <m/>
    <n v="0"/>
    <m/>
    <m/>
    <n v="0"/>
    <m/>
    <n v="864.98879999999997"/>
    <n v="864.98879999999997"/>
    <n v="0"/>
    <s v="SFA"/>
    <d v="2023-06-23T00:00:00"/>
    <m/>
    <s v="ONCE OFF"/>
    <s v="COMP MOTOR"/>
    <m/>
    <m/>
    <m/>
  </r>
  <r>
    <x v="4"/>
    <s v="Yes"/>
    <d v="2023-05-03T00:00:00"/>
    <d v="2023-05-11T00:00:00"/>
    <d v="2023-05-12T00:00:00"/>
    <d v="2023-10-17T00:00:00"/>
    <s v="000-407/AIB RDC/2023"/>
    <n v="4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319.55"/>
    <n v="0"/>
    <n v="0"/>
    <n v="11.32"/>
    <n v="264.16000000000003"/>
    <n v="44.07"/>
    <e v="#DIV/0!"/>
    <n v="0.1"/>
    <n v="26.416000000000004"/>
    <n v="0"/>
    <n v="0"/>
    <n v="0"/>
    <n v="26.416000000000004"/>
    <n v="4.226560000000001"/>
    <n v="30.642560000000003"/>
    <n v="0.52832000000000012"/>
    <n v="0"/>
    <n v="0.52832000000000012"/>
    <m/>
    <n v="25.887680000000003"/>
    <m/>
    <m/>
    <n v="0"/>
    <m/>
    <m/>
    <n v="0"/>
    <m/>
    <n v="30.642560000000003"/>
    <n v="30.642560000000003"/>
    <n v="0"/>
    <s v="SFA"/>
    <d v="2023-06-23T00:00:00"/>
    <m/>
    <m/>
    <s v="MOTOR TPL"/>
    <m/>
    <m/>
    <m/>
  </r>
  <r>
    <x v="4"/>
    <s v="Yes"/>
    <d v="2023-05-19T00:00:00"/>
    <d v="2023-05-04T00:00:00"/>
    <d v="2023-05-04T00:00:00"/>
    <d v="2024-03-09T00:00:00"/>
    <s v="000-408/AIB RDC/2023"/>
    <n v="2"/>
    <s v="INCORPORATION"/>
    <s v="12005-33002-0003-13001-00004979-2023"/>
    <s v="MAFRICOM"/>
    <m/>
    <s v="MICHEE"/>
    <s v="Tychique"/>
    <s v="MOTOR TPL"/>
    <s v="MOTOR TPL"/>
    <x v="5"/>
    <s v="MAYFAIR"/>
    <n v="0"/>
    <n v="448.16"/>
    <n v="0"/>
    <n v="0"/>
    <n v="10"/>
    <n v="370"/>
    <n v="60.8"/>
    <e v="#DIV/0!"/>
    <n v="0.1"/>
    <n v="37"/>
    <n v="0"/>
    <n v="0"/>
    <n v="0"/>
    <n v="37"/>
    <n v="5.92"/>
    <n v="42.92"/>
    <n v="0.74"/>
    <m/>
    <n v="0.74"/>
    <m/>
    <n v="36.26"/>
    <m/>
    <m/>
    <n v="0"/>
    <m/>
    <m/>
    <n v="0"/>
    <m/>
    <n v="42.92"/>
    <n v="42.92"/>
    <n v="0"/>
    <s v="MAYFAIR"/>
    <d v="2023-06-29T00:00:00"/>
    <m/>
    <m/>
    <s v="MOTOR TPL"/>
    <m/>
    <m/>
    <m/>
  </r>
  <r>
    <x v="4"/>
    <s v="Yes"/>
    <d v="2023-04-27T00:00:00"/>
    <d v="2023-05-10T00:00:00"/>
    <d v="2023-05-08T00:00:00"/>
    <d v="2024-05-07T00:00:00"/>
    <s v="000-409/AIB RDC/2023"/>
    <n v="0"/>
    <s v="SOUSCRIPTION"/>
    <s v="12002-33002-0002-112-00020096-2023"/>
    <s v="DUXBERRY SARL"/>
    <m/>
    <s v="MICHEE"/>
    <s v="Tychique"/>
    <s v="FIRE"/>
    <s v="PROPERTIES"/>
    <x v="0"/>
    <s v="SFA"/>
    <n v="525000"/>
    <n v="1131.5999999999999"/>
    <n v="0"/>
    <n v="0"/>
    <n v="39.18"/>
    <n v="938.98"/>
    <n v="153.44"/>
    <n v="1.7885333333333333E-3"/>
    <n v="0.1"/>
    <n v="93.89800000000001"/>
    <n v="0"/>
    <n v="0"/>
    <n v="0"/>
    <n v="93.89800000000001"/>
    <n v="15.023680000000002"/>
    <n v="108.92168000000001"/>
    <n v="1.8779600000000003"/>
    <n v="0"/>
    <n v="1.8779600000000003"/>
    <m/>
    <n v="92.020040000000009"/>
    <m/>
    <m/>
    <n v="0"/>
    <m/>
    <m/>
    <n v="0"/>
    <m/>
    <n v="108.92168000000001"/>
    <n v="108.92168000000001"/>
    <n v="0"/>
    <s v="SFA"/>
    <d v="2023-06-23T00:00:00"/>
    <m/>
    <m/>
    <s v="FIRE"/>
    <m/>
    <m/>
    <m/>
  </r>
  <r>
    <x v="4"/>
    <s v="Yes"/>
    <d v="2023-05-12T00:00:00"/>
    <d v="2023-05-12T00:00:00"/>
    <d v="2023-05-12T00:00:00"/>
    <d v="2023-05-25T00:00:00"/>
    <s v="000-410/AIB RDC/2023"/>
    <n v="0"/>
    <s v="SOUSCRIPTION"/>
    <s v="12002-33002-0004-104-00020188-2023"/>
    <s v="T K XPORT LLC"/>
    <m/>
    <s v="MICHEE"/>
    <s v="Tychique"/>
    <s v="COMP MOTOR"/>
    <s v="MOTOR COMP"/>
    <x v="0"/>
    <s v="SFA"/>
    <n v="99000"/>
    <n v="1159.77"/>
    <n v="0"/>
    <n v="0"/>
    <n v="39.840000000000003"/>
    <n v="959.97"/>
    <n v="159.96"/>
    <n v="9.6966666666666677E-3"/>
    <n v="0.15"/>
    <n v="143.99549999999999"/>
    <n v="0"/>
    <n v="0"/>
    <n v="0"/>
    <n v="143.99549999999999"/>
    <n v="23.039279999999998"/>
    <n v="167.03477999999998"/>
    <n v="2.8799099999999997"/>
    <m/>
    <n v="2.8799099999999997"/>
    <m/>
    <n v="141.11559"/>
    <m/>
    <m/>
    <n v="0"/>
    <m/>
    <m/>
    <n v="0"/>
    <m/>
    <n v="167.03477999999998"/>
    <n v="167.03477999999998"/>
    <n v="0"/>
    <s v="SFA"/>
    <d v="2023-06-23T00:00:00"/>
    <m/>
    <m/>
    <s v="COMP MOTOR"/>
    <m/>
    <m/>
    <m/>
  </r>
  <r>
    <x v="4"/>
    <s v="Yes"/>
    <d v="2023-05-12T00:00:00"/>
    <d v="2023-05-01T00:00:00"/>
    <d v="2023-05-01T00:00:00"/>
    <d v="2024-04-30T00:00:00"/>
    <s v="000-411/AIB RDC/2023"/>
    <n v="0"/>
    <s v="SOUSCRIPTION"/>
    <s v="12001-33002-0007-121-00010651-2023_x000a_"/>
    <s v="HELIOS INFRACO DRC SARL ( HT)"/>
    <m/>
    <s v="MICHEE"/>
    <s v="Tychique"/>
    <s v="PROPERTY DAMAGE &amp; BI"/>
    <s v="PROPERTIES"/>
    <x v="1"/>
    <s v="ACTIVA"/>
    <n v="35000000"/>
    <n v="329519.5"/>
    <n v="0"/>
    <n v="0"/>
    <n v="2812.5"/>
    <n v="281250"/>
    <n v="45450"/>
    <n v="8.0357142857142849E-3"/>
    <n v="0.15"/>
    <n v="42187.5"/>
    <n v="0"/>
    <n v="0"/>
    <n v="0"/>
    <n v="42187.5"/>
    <n v="6750"/>
    <n v="48937.5"/>
    <n v="843.75"/>
    <n v="0"/>
    <n v="843.75"/>
    <m/>
    <n v="41343.75"/>
    <s v="LOKTON/OLEA"/>
    <m/>
    <n v="0"/>
    <m/>
    <m/>
    <n v="0"/>
    <m/>
    <n v="48937.5"/>
    <n v="48937.5"/>
    <n v="0"/>
    <s v="ACTIVA"/>
    <d v="2023-09-01T00:00:00"/>
    <m/>
    <m/>
    <s v="PROPERTY DAMAGE &amp; BI"/>
    <m/>
    <m/>
    <m/>
  </r>
  <r>
    <x v="4"/>
    <s v="No"/>
    <d v="2023-03-15T00:00:00"/>
    <m/>
    <m/>
    <m/>
    <s v="000-412/AIB RDC/2023"/>
    <n v="0"/>
    <s v="SOUSCRIPTION"/>
    <m/>
    <s v="GARAGE MARIO FERRAZ"/>
    <m/>
    <s v="MICHEE"/>
    <s v="Tychique"/>
    <s v="FIRE"/>
    <s v="PROPERTIES"/>
    <x v="0"/>
    <s v="SFA"/>
    <n v="1920000"/>
    <n v="4996.57"/>
    <n v="0"/>
    <n v="0"/>
    <n v="115.71"/>
    <n v="4203.3599999999997"/>
    <n v="677.5"/>
    <n v="2.1892499999999998E-3"/>
    <n v="0.15"/>
    <n v="630.50399999999991"/>
    <n v="0"/>
    <n v="0"/>
    <n v="0"/>
    <n v="630.50399999999991"/>
    <n v="100.88063999999999"/>
    <n v="731.38463999999988"/>
    <n v="12.610079999999998"/>
    <n v="0"/>
    <n v="12.610079999999998"/>
    <m/>
    <n v="617.89391999999987"/>
    <m/>
    <m/>
    <n v="0"/>
    <m/>
    <m/>
    <n v="0"/>
    <m/>
    <m/>
    <n v="731.38463999999988"/>
    <n v="731.38463999999988"/>
    <s v="SFA"/>
    <m/>
    <m/>
    <m/>
    <s v="FIRE"/>
    <m/>
    <m/>
    <m/>
  </r>
  <r>
    <x v="4"/>
    <s v="No"/>
    <d v="2023-03-15T00:00:00"/>
    <m/>
    <m/>
    <m/>
    <s v="000-413/AIB RDC/2023"/>
    <n v="0"/>
    <s v="SOUSCRIPTION"/>
    <m/>
    <s v="GARAGE MARIO FERRAZ"/>
    <m/>
    <s v="MICHEE"/>
    <s v="Tychique"/>
    <s v="GENERAL LIABILITY"/>
    <s v="LIABILITIES"/>
    <x v="0"/>
    <s v="SFA"/>
    <n v="1000000"/>
    <n v="3510.21"/>
    <n v="0"/>
    <n v="0"/>
    <n v="84.25"/>
    <n v="2950"/>
    <n v="475.96"/>
    <n v="2.9499999999999999E-3"/>
    <n v="0.15"/>
    <n v="442.5"/>
    <n v="0"/>
    <n v="0"/>
    <n v="0"/>
    <n v="442.5"/>
    <n v="70.8"/>
    <n v="513.29999999999995"/>
    <n v="8.85"/>
    <n v="0"/>
    <n v="8.85"/>
    <m/>
    <n v="433.65"/>
    <m/>
    <m/>
    <n v="0"/>
    <m/>
    <m/>
    <n v="0"/>
    <m/>
    <m/>
    <n v="513.29999999999995"/>
    <n v="513.29999999999995"/>
    <s v="SFA"/>
    <m/>
    <m/>
    <m/>
    <s v="GENERAL LIABILITY"/>
    <m/>
    <m/>
    <m/>
  </r>
  <r>
    <x v="4"/>
    <s v="Yes"/>
    <d v="2023-05-19T00:00:00"/>
    <d v="2023-05-20T00:00:00"/>
    <d v="2023-05-20T00:00:00"/>
    <d v="2023-10-17T00:00:00"/>
    <s v="000-414/AIB RDC/2023"/>
    <n v="5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1346.43"/>
    <n v="0"/>
    <n v="0"/>
    <n v="53.11"/>
    <n v="1107.6099999999999"/>
    <n v="185.71"/>
    <e v="#DIV/0!"/>
    <n v="0.1"/>
    <n v="110.761"/>
    <n v="0"/>
    <n v="0"/>
    <n v="0"/>
    <n v="110.761"/>
    <n v="17.72176"/>
    <n v="128.48275999999998"/>
    <n v="2.21522"/>
    <n v="0"/>
    <n v="2.21522"/>
    <m/>
    <n v="108.54577999999999"/>
    <m/>
    <m/>
    <n v="0"/>
    <m/>
    <m/>
    <n v="0"/>
    <m/>
    <n v="128.48275999999998"/>
    <n v="128.48275999999998"/>
    <n v="0"/>
    <s v="SFA"/>
    <d v="2023-06-23T00:00:00"/>
    <m/>
    <m/>
    <s v="MOTOR TPL"/>
    <m/>
    <m/>
    <m/>
  </r>
  <r>
    <x v="3"/>
    <s v="Yes"/>
    <d v="2023-05-23T00:00:00"/>
    <d v="2023-05-30T00:00:00"/>
    <d v="2023-06-09T00:00:00"/>
    <d v="2024-06-08T00:00:00"/>
    <s v="000-415/AIB RDC/2023"/>
    <n v="1"/>
    <s v="RENOUVELLEMENT"/>
    <s v="12005-33002-0010-13001-00002502-2022"/>
    <s v="VAN ERPS ANTHONY"/>
    <m/>
    <s v="MICHEE"/>
    <s v="Tychique"/>
    <s v="COMP MOTOR"/>
    <s v="MOTOR COMP"/>
    <x v="5"/>
    <s v="MAYFAIR"/>
    <n v="35000"/>
    <n v="1751.12"/>
    <n v="0"/>
    <n v="0"/>
    <n v="10"/>
    <n v="1474"/>
    <n v="237.44"/>
    <n v="4.2114285714285715E-2"/>
    <n v="0.15"/>
    <n v="221.1"/>
    <n v="0"/>
    <n v="0"/>
    <n v="0"/>
    <n v="221.1"/>
    <n v="35.375999999999998"/>
    <n v="256.476"/>
    <n v="4.4219999999999997"/>
    <n v="0"/>
    <n v="4.4219999999999997"/>
    <m/>
    <n v="216.678"/>
    <m/>
    <m/>
    <n v="0"/>
    <m/>
    <m/>
    <n v="0"/>
    <m/>
    <n v="256.476"/>
    <n v="256.476"/>
    <n v="0"/>
    <s v="MAYFAIR"/>
    <d v="2023-06-29T00:00:00"/>
    <m/>
    <m/>
    <s v="COMP MOTOR"/>
    <m/>
    <m/>
    <m/>
  </r>
  <r>
    <x v="4"/>
    <s v="Yes"/>
    <d v="2023-05-25T00:00:00"/>
    <d v="2023-06-19T00:00:00"/>
    <d v="2023-05-31T00:00:00"/>
    <d v="2024-05-30T00:00:00"/>
    <s v="000-416/AIB RDC/2023"/>
    <n v="0"/>
    <s v="SOUSCRIPTION"/>
    <s v="33002-0009-113-0008327"/>
    <s v="KIVU TRAVEL SARL"/>
    <m/>
    <s v="MICHEE"/>
    <s v="Tychique"/>
    <s v="GENERAL LIABILITY"/>
    <s v="LIABILITIES"/>
    <x v="4"/>
    <s v="KLAPTON"/>
    <n v="997526"/>
    <n v="2810.93"/>
    <n v="359.88"/>
    <n v="0"/>
    <n v="23.99"/>
    <n v="2039.34"/>
    <n v="387.72"/>
    <n v="2.044397840256795E-3"/>
    <n v="0"/>
    <n v="0"/>
    <n v="107.964"/>
    <n v="344.83"/>
    <n v="0"/>
    <n v="452.79399999999998"/>
    <n v="72.447040000000001"/>
    <n v="525.24104"/>
    <n v="9.0558800000000002"/>
    <n v="0"/>
    <n v="9.0558800000000002"/>
    <m/>
    <n v="443.73811999999998"/>
    <s v="OLEA"/>
    <n v="0.35"/>
    <n v="155.30834199999998"/>
    <m/>
    <m/>
    <n v="155.30834199999998"/>
    <m/>
    <n v="525.24104"/>
    <n v="525.24104"/>
    <n v="0"/>
    <s v="SUNU"/>
    <d v="2023-08-28T00:00:00"/>
    <m/>
    <m/>
    <s v="GENERAL LIABILITY"/>
    <m/>
    <m/>
    <s v="Commision à collecter dans le bordereau de Mai"/>
  </r>
  <r>
    <x v="4"/>
    <s v="Yes"/>
    <d v="2023-05-24T00:00:00"/>
    <d v="2023-06-22T00:00:00"/>
    <d v="2023-05-15T00:00:00"/>
    <d v="2024-04-30T00:00:00"/>
    <s v="000-417/AIB RDC/2023"/>
    <n v="0"/>
    <s v="SOUSCRIPTION"/>
    <s v="12005-33002-0014-13001-00005835-2023"/>
    <s v="EASTCASTLE INFRASTRUCTURE DRC SARLU"/>
    <m/>
    <s v="MICHEE"/>
    <s v="Tychique"/>
    <s v="TRC"/>
    <s v="CONSTRUCTIONS"/>
    <x v="5"/>
    <s v="MAYFAIR"/>
    <n v="0"/>
    <n v="13095.35"/>
    <n v="0"/>
    <n v="0"/>
    <n v="100"/>
    <n v="10997.75"/>
    <n v="1775.64"/>
    <e v="#DIV/0!"/>
    <n v="0.15"/>
    <n v="1649.6624999999999"/>
    <n v="0"/>
    <n v="0"/>
    <n v="0"/>
    <n v="1649.6624999999999"/>
    <n v="263.94599999999997"/>
    <n v="1913.6084999999998"/>
    <n v="32.993249999999996"/>
    <n v="0"/>
    <n v="32.993249999999996"/>
    <m/>
    <n v="1616.6692499999999"/>
    <s v="MARSH"/>
    <m/>
    <n v="0"/>
    <m/>
    <m/>
    <n v="0"/>
    <m/>
    <n v="1913.6084999999998"/>
    <n v="1913.6084999999998"/>
    <n v="0"/>
    <s v="MAYFAIR"/>
    <d v="2023-08-08T00:00:00"/>
    <m/>
    <m/>
    <s v="TRC"/>
    <m/>
    <m/>
    <m/>
  </r>
  <r>
    <x v="4"/>
    <s v="Yes"/>
    <d v="2023-05-24T00:00:00"/>
    <d v="2023-06-22T00:00:00"/>
    <d v="2023-05-15T00:00:00"/>
    <d v="2024-04-30T00:00:00"/>
    <s v="000-418/AIB RDC/2023"/>
    <n v="0"/>
    <s v="SOUSCRIPTION"/>
    <s v="12005-33002-0014-13001-00005836-2023"/>
    <s v="EASTCASTLE INFRASTRUCTURE DRC SARLU"/>
    <m/>
    <s v="MICHEE"/>
    <s v="Tychique"/>
    <s v="TRC"/>
    <s v="CONSTRUCTIONS"/>
    <x v="5"/>
    <s v="MAYFAIR"/>
    <n v="0"/>
    <n v="26030.43"/>
    <n v="0"/>
    <n v="0"/>
    <n v="100"/>
    <n v="21959.72"/>
    <n v="3529.56"/>
    <e v="#DIV/0!"/>
    <n v="0.15"/>
    <n v="3293.9580000000001"/>
    <n v="0"/>
    <n v="0"/>
    <n v="0"/>
    <n v="3293.9580000000001"/>
    <n v="527.03327999999999"/>
    <n v="3820.9912800000002"/>
    <n v="65.879159999999999"/>
    <n v="0"/>
    <n v="65.879159999999999"/>
    <m/>
    <n v="3228.0788400000001"/>
    <s v="MARSH"/>
    <m/>
    <n v="0"/>
    <m/>
    <m/>
    <n v="0"/>
    <m/>
    <n v="3820.9912800000002"/>
    <n v="3820.9912800000002"/>
    <n v="0"/>
    <s v="MAYFAIR"/>
    <d v="2023-08-08T00:00:00"/>
    <m/>
    <m/>
    <s v="TRC"/>
    <m/>
    <m/>
    <m/>
  </r>
  <r>
    <x v="4"/>
    <s v="Yes"/>
    <d v="2023-05-29T00:00:00"/>
    <d v="2023-05-29T00:00:00"/>
    <d v="2023-05-29T00:00:00"/>
    <d v="2023-08-27T00:00:00"/>
    <s v="000-419/AIB RDC/2023"/>
    <n v="0"/>
    <s v="SOUSCRIPTION"/>
    <s v="12002-33002-0021-111-00020418-2023"/>
    <s v="STE. FONDEG CATERING CONGO"/>
    <m/>
    <s v="MICHEE"/>
    <s v="Tychique"/>
    <s v="MARINE CARGO / GIT"/>
    <s v="MARINE"/>
    <x v="0"/>
    <s v="SFA"/>
    <n v="6358.81"/>
    <n v="49.85"/>
    <n v="0"/>
    <n v="0"/>
    <n v="6.42"/>
    <n v="15"/>
    <n v="3.43"/>
    <n v="2.3589319385230881E-3"/>
    <n v="0.15"/>
    <n v="2.25"/>
    <n v="0"/>
    <n v="0"/>
    <n v="0"/>
    <n v="2.25"/>
    <n v="0.36"/>
    <n v="2.61"/>
    <n v="4.4999999999999998E-2"/>
    <n v="0"/>
    <n v="4.4999999999999998E-2"/>
    <m/>
    <n v="2.2050000000000001"/>
    <m/>
    <m/>
    <n v="0"/>
    <m/>
    <m/>
    <n v="0"/>
    <m/>
    <n v="2.61"/>
    <n v="2.61"/>
    <n v="0"/>
    <s v="SFA"/>
    <d v="2023-07-28T00:00:00"/>
    <m/>
    <m/>
    <s v="MARINE CARGO / GIT"/>
    <m/>
    <m/>
    <m/>
  </r>
  <r>
    <x v="3"/>
    <s v="Yes"/>
    <d v="2023-03-10T00:00:00"/>
    <d v="2023-05-12T00:00:00"/>
    <d v="2023-06-01T00:00:00"/>
    <d v="2024-05-31T00:00:00"/>
    <s v="000-420/AIB RDC/2023"/>
    <n v="0"/>
    <s v="SOUSCRIPTION"/>
    <s v="12002-33002-0021-111-00020167-2023"/>
    <s v="IVANHOE / Kamoa Copper SA"/>
    <s v="Mining"/>
    <s v="ANDY"/>
    <s v="Andy"/>
    <s v="MARINE CARGO / GIT"/>
    <s v="MARINE"/>
    <x v="0"/>
    <s v="SFA"/>
    <n v="50000000"/>
    <n v="83266.05"/>
    <n v="0"/>
    <n v="0"/>
    <n v="2454.11"/>
    <n v="69521.63"/>
    <n v="11290.31"/>
    <n v="1.3904326E-3"/>
    <n v="0.15"/>
    <n v="10428.244500000001"/>
    <n v="0"/>
    <n v="0"/>
    <n v="0"/>
    <n v="10428.244500000001"/>
    <n v="1668.5191200000002"/>
    <n v="12096.763620000002"/>
    <n v="208.56489000000002"/>
    <n v="0"/>
    <n v="208.56489000000002"/>
    <m/>
    <n v="10219.679610000001"/>
    <s v="Aucun"/>
    <m/>
    <n v="0"/>
    <m/>
    <m/>
    <n v="0"/>
    <m/>
    <n v="12096.763620000002"/>
    <n v="12096.763620000002"/>
    <n v="0"/>
    <s v="SFA"/>
    <d v="2023-06-23T00:00:00"/>
    <m/>
    <m/>
    <s v="MARINE CARGO / GIT"/>
    <m/>
    <m/>
    <m/>
  </r>
  <r>
    <x v="4"/>
    <s v="Yes"/>
    <d v="2023-05-11T00:00:00"/>
    <d v="2023-05-18T00:00:00"/>
    <d v="2023-05-18T00:00:00"/>
    <d v="2023-09-06T00:00:00"/>
    <s v="000-421/AIB RDC/2023"/>
    <n v="2"/>
    <s v="INCORPORATION"/>
    <s v="00016944"/>
    <s v="Sandvik Mining &amp; Construction Sarl"/>
    <s v="Mining"/>
    <s v="ANDY"/>
    <s v="Andy"/>
    <s v="COMP MOTOR"/>
    <s v="MOTOR COMP"/>
    <x v="0"/>
    <s v="SFA"/>
    <n v="183300"/>
    <n v="2904.61"/>
    <n v="0"/>
    <n v="0"/>
    <n v="91.14"/>
    <n v="2412.84"/>
    <n v="400.63"/>
    <n v="1.3163338788870705E-2"/>
    <n v="0.15"/>
    <n v="361.92599999999999"/>
    <n v="0"/>
    <n v="0"/>
    <n v="0"/>
    <n v="361.92599999999999"/>
    <n v="57.908160000000002"/>
    <n v="419.83416"/>
    <n v="7.2385200000000003"/>
    <n v="0"/>
    <n v="7.2385200000000003"/>
    <m/>
    <n v="354.68747999999999"/>
    <s v="AFINBRO"/>
    <n v="0.5"/>
    <n v="177.34374"/>
    <n v="177.34"/>
    <d v="2023-10-23T00:00:00"/>
    <n v="3.7399999999934153E-3"/>
    <m/>
    <n v="419.83416"/>
    <n v="419.83416"/>
    <n v="0"/>
    <s v="SFA"/>
    <d v="2023-06-23T00:00:00"/>
    <m/>
    <m/>
    <s v="COMP MOTOR"/>
    <m/>
    <m/>
    <m/>
  </r>
  <r>
    <x v="0"/>
    <s v="No"/>
    <d v="2023-02-02T00:00:00"/>
    <s v="TBA"/>
    <s v="TBA"/>
    <s v="TBA"/>
    <s v="000-422/AIB RDC/2023"/>
    <n v="0"/>
    <s v="SOUSCRIPTION"/>
    <s v="PR005456"/>
    <s v="DEZIWA / Bolloré"/>
    <m/>
    <s v="SYNTYCHE"/>
    <s v="Victor"/>
    <s v="MARINE CARGO / GIT"/>
    <s v="MARINE"/>
    <x v="0"/>
    <s v="SFA"/>
    <n v="14858.44"/>
    <n v="65"/>
    <n v="0"/>
    <n v="0"/>
    <n v="0.81"/>
    <n v="54.28"/>
    <n v="8.81"/>
    <n v="3.6531425910122464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m/>
    <n v="9.4447200000000002"/>
    <n v="9.4447200000000002"/>
    <s v="SFA"/>
    <m/>
    <m/>
    <s v="ONCE OFF"/>
    <s v="MARINE CARGO / GIT"/>
    <m/>
    <m/>
    <s v="en attentete de paiement Bollore"/>
  </r>
  <r>
    <x v="0"/>
    <s v="Yes"/>
    <d v="2022-12-27T00:00:00"/>
    <d v="2023-08-04T00:00:00"/>
    <d v="2023-01-01T00:00:00"/>
    <d v="2023-12-31T00:00:00"/>
    <s v="000-423/AIB RDC/2023"/>
    <n v="0"/>
    <s v="SOUSCRIPTION"/>
    <s v="12002-33002-0002-112-00021506-2023"/>
    <s v="Canal Plus RDC  SARLU"/>
    <s v="Audiovision"/>
    <s v="ANDY"/>
    <s v="Andy"/>
    <s v="FIRE"/>
    <s v="PROPERTIES"/>
    <x v="0"/>
    <s v="SFA"/>
    <n v="21508509.5"/>
    <n v="29289.73"/>
    <n v="0"/>
    <n v="0"/>
    <n v="133.44"/>
    <n v="24688.36"/>
    <n v="3971.49"/>
    <n v="1.1478415089618368E-3"/>
    <n v="0.1"/>
    <n v="2468.8360000000002"/>
    <n v="0"/>
    <n v="0"/>
    <n v="0"/>
    <n v="2468.8360000000002"/>
    <n v="395.01376000000005"/>
    <n v="2863.8497600000001"/>
    <n v="49.376720000000006"/>
    <m/>
    <n v="49.376720000000006"/>
    <m/>
    <n v="2419.45928"/>
    <s v="OLEA"/>
    <n v="0.35"/>
    <n v="846.81074799999999"/>
    <m/>
    <m/>
    <n v="846.81074799999999"/>
    <m/>
    <n v="2863.8497600000001"/>
    <n v="2863.8497600000001"/>
    <n v="0"/>
    <s v="SFA"/>
    <d v="2023-09-28T00:00:00"/>
    <s v="ND0092/AIB RDC/2023"/>
    <m/>
    <s v="FIRE"/>
    <m/>
    <m/>
    <s v="En attente du paiement de la prime"/>
  </r>
  <r>
    <x v="2"/>
    <s v="Yes"/>
    <d v="2023-06-02T00:00:00"/>
    <d v="2023-03-20T00:00:00"/>
    <d v="2023-03-07T00:00:00"/>
    <d v="2024-03-05T00:00:00"/>
    <s v="000-424/AIB RDC/2023"/>
    <n v="0"/>
    <s v="SOUSCRIPTION"/>
    <s v="12002-33002-0021-111-00018875-2023"/>
    <s v="ORICA / Bolloré"/>
    <m/>
    <s v="SYNTYCHE"/>
    <s v="Victor"/>
    <s v="MARINE CARGO / GIT"/>
    <s v="MARINE"/>
    <x v="0"/>
    <s v="SFA"/>
    <n v="27069"/>
    <n v="92.36"/>
    <n v="0"/>
    <n v="0"/>
    <n v="2.81"/>
    <n v="54.28"/>
    <n v="9.1300000000000008"/>
    <n v="2.0052458531899958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4"/>
    <s v="Yes"/>
    <d v="2023-05-10T00:00:00"/>
    <d v="2023-05-11T00:00:00"/>
    <d v="2023-05-11T00:00:00"/>
    <d v="2023-07-10T00:00:00"/>
    <s v="000-425/AIB RDC/2023"/>
    <n v="0"/>
    <s v="SOUSCRIPTION"/>
    <s v="33002-0012-111-0008260 / 0001"/>
    <s v="Concrete &amp; Steel Construction Sarl"/>
    <s v="Construction"/>
    <s v="ANDY"/>
    <s v="Andy"/>
    <s v="MARINE CARGO / GIT"/>
    <s v="MARINE"/>
    <x v="4"/>
    <s v="SUNU"/>
    <n v="46927"/>
    <n v="305.54000000000002"/>
    <n v="0"/>
    <n v="0"/>
    <n v="10"/>
    <n v="253.4"/>
    <n v="42.14"/>
    <n v="5.3998764037760782E-3"/>
    <n v="0.15"/>
    <n v="38.01"/>
    <n v="0"/>
    <n v="0"/>
    <n v="0"/>
    <n v="38.01"/>
    <n v="6.0815999999999999"/>
    <n v="44.0916"/>
    <n v="0.76019999999999999"/>
    <m/>
    <n v="0.76019999999999999"/>
    <m/>
    <n v="37.2498"/>
    <s v="Aucun"/>
    <m/>
    <n v="0"/>
    <m/>
    <m/>
    <n v="0"/>
    <m/>
    <n v="44.0916"/>
    <n v="44.0916"/>
    <n v="0"/>
    <s v="SUNU"/>
    <d v="2023-07-10T00:00:00"/>
    <m/>
    <m/>
    <s v="MARINE CARGO / GIT"/>
    <m/>
    <m/>
    <m/>
  </r>
  <r>
    <x v="4"/>
    <s v="Yes"/>
    <d v="2023-05-10T00:00:00"/>
    <d v="2023-05-11T00:00:00"/>
    <d v="2023-05-11T00:00:00"/>
    <d v="2023-07-10T00:00:00"/>
    <s v="000-426/AIB RDC/2023"/>
    <n v="0"/>
    <s v="SOUSCRIPTION"/>
    <s v="33002-0012-111-0008343 / 0001"/>
    <s v="Concrete &amp; Steel Construction Sarl"/>
    <s v="Construction"/>
    <s v="ANDY"/>
    <s v="Andy"/>
    <s v="MARINE CARGO / GIT"/>
    <s v="MARINE"/>
    <x v="4"/>
    <s v="SUNU"/>
    <n v="37247"/>
    <n v="244.76"/>
    <n v="0"/>
    <n v="0"/>
    <n v="10"/>
    <n v="201"/>
    <n v="33.76"/>
    <n v="5.3964077643837089E-3"/>
    <n v="0.15"/>
    <n v="30.15"/>
    <n v="0"/>
    <n v="0"/>
    <n v="0"/>
    <n v="30.15"/>
    <n v="4.8239999999999998"/>
    <n v="34.973999999999997"/>
    <n v="0.60299999999999998"/>
    <m/>
    <n v="0.60299999999999998"/>
    <m/>
    <n v="29.546999999999997"/>
    <s v="Aucun"/>
    <m/>
    <n v="0"/>
    <m/>
    <m/>
    <n v="0"/>
    <m/>
    <n v="34.973999999999997"/>
    <n v="34.973999999999997"/>
    <n v="0"/>
    <s v="SUNU"/>
    <d v="2023-07-10T00:00:00"/>
    <m/>
    <m/>
    <s v="MARINE CARGO / GIT"/>
    <m/>
    <m/>
    <m/>
  </r>
  <r>
    <x v="4"/>
    <s v="Yes"/>
    <d v="2023-05-24T00:00:00"/>
    <d v="2023-05-26T00:00:00"/>
    <d v="2023-05-25T00:00:00"/>
    <d v="2023-05-24T00:00:00"/>
    <s v="000-427/AIB RDC/2023"/>
    <n v="0"/>
    <s v="SOUSCRIPTION"/>
    <s v="33002-0017-103-0008097 / 0001"/>
    <s v="Yahuwa Baitoa Pala Catherine"/>
    <m/>
    <s v="ANDY"/>
    <s v="Sabrina"/>
    <s v="MOTOR TPL"/>
    <s v="MOTOR TPL"/>
    <x v="4"/>
    <s v="SUNU"/>
    <n v="0"/>
    <n v="247.08"/>
    <n v="0"/>
    <n v="0"/>
    <n v="10"/>
    <n v="203"/>
    <n v="34.08"/>
    <e v="#DIV/0!"/>
    <n v="0.125"/>
    <n v="25.375"/>
    <m/>
    <m/>
    <n v="0"/>
    <n v="25.375"/>
    <n v="4.0600000000000005"/>
    <n v="29.435000000000002"/>
    <n v="0.50750000000000006"/>
    <m/>
    <n v="0.50750000000000006"/>
    <m/>
    <n v="24.8675"/>
    <s v="Aucun"/>
    <m/>
    <n v="0"/>
    <m/>
    <m/>
    <n v="0"/>
    <m/>
    <n v="29.435000000000002"/>
    <n v="29.435000000000002"/>
    <n v="0"/>
    <s v="SUNU"/>
    <d v="2023-07-10T00:00:00"/>
    <m/>
    <m/>
    <s v="MOTOR TPL"/>
    <m/>
    <m/>
    <m/>
  </r>
  <r>
    <x v="3"/>
    <s v="Yes"/>
    <d v="2023-05-26T00:00:00"/>
    <d v="2023-05-25T00:00:00"/>
    <d v="2023-06-30T00:00:00"/>
    <d v="2023-07-29T00:00:00"/>
    <s v="000-428/AIB RDC/2023"/>
    <n v="0"/>
    <s v="SOUSCRIPTION"/>
    <s v="33002-0004-119-0008069 / 0001"/>
    <s v="Famille NDONDA"/>
    <m/>
    <s v="ANDY"/>
    <s v="Sabrina"/>
    <s v="TRAVEL"/>
    <s v="MEDICAL &amp; GPA"/>
    <x v="4"/>
    <s v="SUNU"/>
    <n v="0"/>
    <n v="112.14"/>
    <n v="0"/>
    <n v="0"/>
    <n v="0.56999999999999995"/>
    <n v="96.1"/>
    <n v="15.467199999999998"/>
    <e v="#DIV/0!"/>
    <n v="0.2"/>
    <n v="19.22"/>
    <n v="0"/>
    <n v="0"/>
    <n v="0"/>
    <n v="19.22"/>
    <n v="3.0751999999999997"/>
    <n v="22.295199999999998"/>
    <n v="0.38439999999999996"/>
    <m/>
    <n v="0.38439999999999996"/>
    <m/>
    <n v="18.835599999999999"/>
    <s v="Aucun"/>
    <m/>
    <n v="0"/>
    <m/>
    <m/>
    <n v="0"/>
    <m/>
    <n v="22.295199999999998"/>
    <n v="22.295199999999998"/>
    <n v="0"/>
    <s v="SUNU"/>
    <d v="2023-07-10T00:00:00"/>
    <m/>
    <m/>
    <s v="TRAVEL"/>
    <m/>
    <m/>
    <m/>
  </r>
  <r>
    <x v="4"/>
    <s v="Yes"/>
    <d v="2023-06-12T00:00:00"/>
    <d v="2023-06-10T00:00:00"/>
    <d v="2023-05-30T00:00:00"/>
    <d v="2024-05-28T00:00:00"/>
    <s v="000-429/AIB RDC/2023"/>
    <n v="0"/>
    <s v="SOUSCRIPTION"/>
    <s v="12002-33002-0021-111-00020650-2023"/>
    <s v="ORICA / Bolloré"/>
    <m/>
    <s v="SYNTYCHE"/>
    <s v="Victor"/>
    <s v="MARINE CARGO / GIT"/>
    <s v="MARINE"/>
    <x v="0"/>
    <s v="SFA"/>
    <n v="37046.800000000003"/>
    <n v="100.48"/>
    <n v="0"/>
    <n v="0"/>
    <n v="7.28"/>
    <n v="57.79"/>
    <n v="10.41"/>
    <n v="1.5599188054028956E-3"/>
    <n v="0.15"/>
    <n v="8.6684999999999999"/>
    <n v="0"/>
    <n v="0"/>
    <n v="0"/>
    <n v="8.6684999999999999"/>
    <n v="1.38696"/>
    <n v="10.05546"/>
    <n v="0.17337"/>
    <n v="0"/>
    <n v="0.17337"/>
    <m/>
    <n v="8.4951299999999996"/>
    <s v="BOLLORE"/>
    <n v="0.4"/>
    <n v="3.3980519999999999"/>
    <n v="3.3980519999999999"/>
    <d v="2023-10-30T00:00:00"/>
    <n v="0"/>
    <m/>
    <n v="10.05546"/>
    <n v="10.05546"/>
    <n v="0"/>
    <s v="SFA"/>
    <d v="2023-07-28T00:00:00"/>
    <m/>
    <s v="ONCE OFF"/>
    <s v="MARINE CARGO / GIT"/>
    <m/>
    <m/>
    <m/>
  </r>
  <r>
    <x v="4"/>
    <s v="Yes"/>
    <d v="2023-06-12T00:00:00"/>
    <d v="2023-06-10T00:00:00"/>
    <d v="2023-05-30T00:00:00"/>
    <d v="2024-05-28T00:00:00"/>
    <s v="000-430/AIB RDC/2023"/>
    <n v="0"/>
    <s v="SOUSCRIPTION"/>
    <s v="12002-33002-0021-111-00020649-2023"/>
    <s v="ORICA / Bolloré"/>
    <m/>
    <s v="SYNTYCHE"/>
    <s v="Victor"/>
    <s v="MARINE CARGO / GIT"/>
    <s v="MARINE"/>
    <x v="0"/>
    <s v="SFA"/>
    <n v="37370"/>
    <n v="101.08"/>
    <n v="0"/>
    <n v="0"/>
    <n v="7.29"/>
    <n v="58.3"/>
    <n v="10.49"/>
    <n v="1.5600749264115599E-3"/>
    <n v="0.15"/>
    <n v="8.7449999999999992"/>
    <n v="0"/>
    <n v="0"/>
    <n v="0"/>
    <n v="8.7449999999999992"/>
    <n v="1.3992"/>
    <n v="10.1442"/>
    <n v="0.1749"/>
    <n v="0"/>
    <n v="0.1749"/>
    <m/>
    <n v="8.5701000000000001"/>
    <s v="BOLLORE"/>
    <n v="0.4"/>
    <n v="3.4280400000000002"/>
    <n v="3.4280400000000002"/>
    <d v="2023-10-30T00:00:00"/>
    <n v="0"/>
    <m/>
    <n v="10.1442"/>
    <n v="10.1442"/>
    <n v="0"/>
    <s v="SFA"/>
    <d v="2023-07-28T00:00:00"/>
    <m/>
    <s v="ONCE OFF"/>
    <s v="MARINE CARGO / GIT"/>
    <m/>
    <m/>
    <m/>
  </r>
  <r>
    <x v="6"/>
    <s v="Yes"/>
    <d v="2023-04-28T00:00:00"/>
    <d v="2023-04-28T00:00:00"/>
    <d v="2023-04-28T00:00:00"/>
    <d v="2024-04-22T00:00:00"/>
    <s v="000-431/AIB RDC/2023"/>
    <n v="2"/>
    <s v="INCORPORATION"/>
    <s v="12002-33002-0004-103-00019672-2023"/>
    <s v="Chemaf Sarl"/>
    <s v="Mining"/>
    <s v="ANDY"/>
    <s v="Sabrina"/>
    <s v="MOTOR TPL"/>
    <s v="MOTOR TPL"/>
    <x v="0"/>
    <s v="SFA"/>
    <n v="0"/>
    <n v="1338.46"/>
    <n v="0"/>
    <n v="0"/>
    <n v="49.92"/>
    <n v="1132.3499999999999"/>
    <n v="189.16"/>
    <e v="#DIV/0!"/>
    <n v="0.1"/>
    <n v="113.235"/>
    <n v="0"/>
    <n v="0"/>
    <n v="0"/>
    <n v="113.235"/>
    <n v="18.117599999999999"/>
    <n v="131.3526"/>
    <n v="2.2646999999999999"/>
    <m/>
    <n v="2.2646999999999999"/>
    <m/>
    <n v="110.97029999999999"/>
    <s v="Aucun"/>
    <m/>
    <n v="0"/>
    <m/>
    <m/>
    <n v="0"/>
    <m/>
    <n v="131.3526"/>
    <n v="131.3526"/>
    <n v="0"/>
    <s v="SFA"/>
    <d v="2023-07-28T00:00:00"/>
    <m/>
    <m/>
    <s v="MOTOR TPL"/>
    <m/>
    <m/>
    <m/>
  </r>
  <r>
    <x v="4"/>
    <s v="Yes"/>
    <d v="2023-05-16T00:00:00"/>
    <d v="2023-05-22T00:00:00"/>
    <d v="2023-05-22T00:00:00"/>
    <d v="2024-04-22T00:00:00"/>
    <s v="000-432/AIB RDC/2023"/>
    <n v="3"/>
    <s v="INCORPORATION"/>
    <s v="12002-33002-0004-103-00019672-2023"/>
    <s v="Chemaf Sarl"/>
    <s v="Mining"/>
    <s v="ANDY"/>
    <s v="Sabrina"/>
    <s v="MOTOR TPL"/>
    <s v="MOTOR TPL"/>
    <x v="0"/>
    <s v="SFA"/>
    <n v="0"/>
    <n v="91236.38"/>
    <n v="0"/>
    <n v="0"/>
    <n v="3034.5"/>
    <n v="75617.55"/>
    <n v="12584.33"/>
    <e v="#DIV/0!"/>
    <n v="0.1"/>
    <n v="7561.755000000001"/>
    <n v="0"/>
    <n v="0"/>
    <n v="0"/>
    <n v="7561.755000000001"/>
    <n v="1209.8808000000001"/>
    <n v="8771.6358000000018"/>
    <n v="151.23510000000002"/>
    <m/>
    <n v="151.23510000000002"/>
    <m/>
    <n v="7410.5199000000011"/>
    <s v="Aucun"/>
    <m/>
    <n v="0"/>
    <m/>
    <m/>
    <n v="0"/>
    <m/>
    <n v="8771.6358000000018"/>
    <n v="8771.6358000000018"/>
    <n v="0"/>
    <s v="SFA"/>
    <d v="2023-07-28T00:00:00"/>
    <m/>
    <m/>
    <s v="MOTOR TPL"/>
    <m/>
    <m/>
    <m/>
  </r>
  <r>
    <x v="4"/>
    <s v="Yes"/>
    <d v="2023-05-18T00:00:00"/>
    <d v="2023-05-22T00:00:00"/>
    <d v="2023-05-22T00:00:00"/>
    <d v="2024-04-22T00:00:00"/>
    <s v="000-433/AIB RDC/2023"/>
    <n v="4"/>
    <s v="INCORPORATION"/>
    <s v="12002-33002-0004-103-00019672-2023"/>
    <s v="Chemaf Sarl"/>
    <s v="Mining"/>
    <s v="ANDY"/>
    <s v="Sabrina"/>
    <s v="COMP MOTOR"/>
    <s v="MOTOR TPL"/>
    <x v="0"/>
    <s v="SFA"/>
    <n v="0"/>
    <n v="506.49"/>
    <n v="0"/>
    <n v="0"/>
    <n v="16.809999999999999"/>
    <n v="419.82"/>
    <n v="69.86"/>
    <e v="#DIV/0!"/>
    <n v="0.1"/>
    <n v="41.981999999999999"/>
    <n v="0"/>
    <n v="0"/>
    <n v="0"/>
    <n v="41.981999999999999"/>
    <n v="6.7171200000000004"/>
    <n v="48.699120000000001"/>
    <n v="0.83964000000000005"/>
    <m/>
    <n v="0.83964000000000005"/>
    <m/>
    <n v="41.142359999999996"/>
    <s v="Aucun"/>
    <m/>
    <n v="0"/>
    <m/>
    <m/>
    <n v="0"/>
    <m/>
    <n v="48.699120000000001"/>
    <n v="48.699120000000001"/>
    <n v="0"/>
    <s v="SFA"/>
    <d v="2023-07-28T00:00:00"/>
    <m/>
    <m/>
    <s v="COMP MOTOR"/>
    <m/>
    <m/>
    <m/>
  </r>
  <r>
    <x v="4"/>
    <s v="Yes"/>
    <d v="2023-05-09T00:00:00"/>
    <d v="2023-06-14T00:00:00"/>
    <d v="2023-05-01T00:00:00"/>
    <d v="2024-04-30T00:00:00"/>
    <s v="000-434/AIB RDC/2023"/>
    <n v="0"/>
    <s v="SOUSCRIPTION"/>
    <s v="12002-33002-0002-112-00020726-2023"/>
    <s v="Kibali Goldmines SA"/>
    <s v="Mining"/>
    <s v="ANDY"/>
    <s v="Andy"/>
    <s v="PROPERTY DAMAGE &amp; BI"/>
    <s v="PROPERTIES"/>
    <x v="0"/>
    <s v="McGill"/>
    <n v="250000000"/>
    <n v="3542557.15"/>
    <n v="447057.15"/>
    <n v="0"/>
    <n v="73547.570000000007"/>
    <n v="2533323.86"/>
    <n v="488628.57"/>
    <n v="1.0133295439999999E-2"/>
    <n v="1.8E-3"/>
    <n v="4559.9829479999999"/>
    <n v="134117.14499999999"/>
    <n v="0"/>
    <n v="0"/>
    <n v="138677.12794799998"/>
    <n v="22188.340471679996"/>
    <n v="160865.46841967996"/>
    <n v="2773.5425589599995"/>
    <m/>
    <n v="2773.5425589599995"/>
    <m/>
    <n v="135903.58538903997"/>
    <s v="McGill"/>
    <n v="0"/>
    <n v="0"/>
    <m/>
    <m/>
    <n v="0"/>
    <m/>
    <n v="160865.46841967996"/>
    <n v="160865.46841967996"/>
    <n v="0"/>
    <s v="SFA"/>
    <d v="2023-07-28T00:00:00"/>
    <m/>
    <m/>
    <s v="PROPERTY DAMAGE &amp; BI"/>
    <m/>
    <m/>
    <m/>
  </r>
  <r>
    <x v="6"/>
    <s v="Yes"/>
    <d v="2023-05-12T00:00:00"/>
    <d v="2023-05-23T00:00:00"/>
    <d v="2023-04-01T00:00:00"/>
    <d v="2024-03-31T00:00:00"/>
    <s v="000-435/AIB RDC/2023"/>
    <n v="0"/>
    <s v="SOUSCRIPTION"/>
    <s v="33002-00006-112-0001511 / 0002"/>
    <s v="Shalina healthCare"/>
    <m/>
    <s v="ANDY"/>
    <s v="Sabrina"/>
    <s v="FIRE"/>
    <s v="PROPERTIES"/>
    <x v="4"/>
    <s v="SUNU"/>
    <n v="19700000"/>
    <n v="19931.259999999998"/>
    <n v="0"/>
    <n v="0"/>
    <n v="170.12"/>
    <n v="17012"/>
    <n v="2749.14"/>
    <n v="8.6355329949238584E-4"/>
    <n v="0.1"/>
    <n v="1701.2"/>
    <m/>
    <m/>
    <n v="0"/>
    <n v="1701.2"/>
    <n v="272.19200000000001"/>
    <n v="1973.3920000000001"/>
    <n v="34.024000000000001"/>
    <m/>
    <n v="34.024000000000001"/>
    <m/>
    <n v="1667.1759999999999"/>
    <s v="OLEA"/>
    <n v="0.35"/>
    <n v="583.51159999999993"/>
    <m/>
    <m/>
    <n v="583.51159999999993"/>
    <m/>
    <n v="1973.3920000000001"/>
    <n v="1973.3920000000001"/>
    <n v="0"/>
    <s v="SUNU"/>
    <d v="2023-07-10T00:00:00"/>
    <m/>
    <m/>
    <s v="FIRE"/>
    <m/>
    <m/>
    <m/>
  </r>
  <r>
    <x v="2"/>
    <s v="Yes"/>
    <d v="2023-02-02T00:00:00"/>
    <d v="2023-03-10T00:00:00"/>
    <d v="2023-03-10T00:00:00"/>
    <d v="2024-03-08T00:00:00"/>
    <s v="000-436/AIB RDC/2023"/>
    <n v="0"/>
    <s v="SOUSCRIPTION"/>
    <s v="12002-33002-0021-111-00018662-2023"/>
    <s v="DEZIWA / Bolloré"/>
    <m/>
    <s v="SYNTYCHE"/>
    <s v="Victor"/>
    <s v="MARINE CARGO / GIT"/>
    <s v="MARINE"/>
    <x v="0"/>
    <s v="SFA"/>
    <n v="13936.48"/>
    <n v="65"/>
    <n v="0"/>
    <n v="0"/>
    <n v="0.81"/>
    <n v="54.28"/>
    <n v="8.81"/>
    <n v="3.8948141855045179E-3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5-24T00:00:00"/>
    <m/>
    <s v="ONCE OFF"/>
    <s v="MARINE CARGO / GIT"/>
    <m/>
    <m/>
    <m/>
  </r>
  <r>
    <x v="4"/>
    <s v="Yes"/>
    <d v="2023-05-22T00:00:00"/>
    <d v="2023-05-23T00:00:00"/>
    <d v="2023-05-23T00:00:00"/>
    <d v="2023-07-22T00:00:00"/>
    <s v="000-437/AIB RDC/2023"/>
    <n v="0"/>
    <s v="SOUSCRIPTION"/>
    <s v="33002-0012-111-0007973 / 0001"/>
    <s v="Concrete &amp; Steel Construction Sarl"/>
    <s v="Construction"/>
    <s v="ANDY"/>
    <s v="Sabrina"/>
    <s v="MARINE CARGO / GIT"/>
    <s v="MARINE"/>
    <x v="4"/>
    <s v="SUNU"/>
    <n v="57104"/>
    <n v="206.2"/>
    <n v="0"/>
    <n v="0"/>
    <n v="35"/>
    <n v="142.76"/>
    <n v="28.44"/>
    <n v="2.5000000000000001E-3"/>
    <n v="0.15"/>
    <n v="21.413999999999998"/>
    <n v="0"/>
    <n v="0"/>
    <n v="0"/>
    <n v="21.413999999999998"/>
    <n v="3.42624"/>
    <n v="24.840239999999998"/>
    <n v="0.42827999999999999"/>
    <m/>
    <n v="0.42827999999999999"/>
    <m/>
    <n v="20.985719999999997"/>
    <s v="Aucun"/>
    <m/>
    <n v="0"/>
    <m/>
    <m/>
    <n v="0"/>
    <m/>
    <n v="24.840239999999998"/>
    <n v="24.840239999999998"/>
    <n v="0"/>
    <s v="SUNU"/>
    <d v="2023-07-10T00:00:00"/>
    <m/>
    <m/>
    <s v="MARINE CARGO / GIT"/>
    <m/>
    <m/>
    <m/>
  </r>
  <r>
    <x v="4"/>
    <s v="Yes"/>
    <d v="2023-05-22T00:00:00"/>
    <d v="2023-05-23T00:00:00"/>
    <d v="2023-05-23T00:00:00"/>
    <d v="2023-07-22T00:00:00"/>
    <s v="000-438/AIB RDC/2023"/>
    <n v="0"/>
    <s v="SOUSCRIPTION"/>
    <s v="33002-0012-111-0007977 / 0001"/>
    <s v="Concrete &amp; Steel Construction Sarl"/>
    <s v="Construction"/>
    <s v="ANDY"/>
    <s v="Sabrina"/>
    <s v="MARINE CARGO / GIT"/>
    <s v="MARINE"/>
    <x v="4"/>
    <s v="SUNU"/>
    <n v="102786"/>
    <n v="338.69"/>
    <n v="0"/>
    <n v="0"/>
    <n v="35"/>
    <n v="256.97000000000003"/>
    <n v="46.72"/>
    <n v="2.5000486447570684E-3"/>
    <n v="0.15"/>
    <n v="38.545500000000004"/>
    <n v="0"/>
    <n v="0"/>
    <n v="0"/>
    <n v="38.545500000000004"/>
    <n v="6.1672800000000008"/>
    <n v="44.712780000000002"/>
    <n v="0.7709100000000001"/>
    <m/>
    <n v="0.7709100000000001"/>
    <m/>
    <n v="37.774590000000003"/>
    <s v="Aucun"/>
    <m/>
    <n v="0"/>
    <m/>
    <m/>
    <n v="0"/>
    <m/>
    <n v="44.712780000000002"/>
    <n v="44.712780000000002"/>
    <n v="0"/>
    <s v="SUNU"/>
    <d v="2023-07-10T00:00:00"/>
    <m/>
    <m/>
    <s v="MARINE CARGO / GIT"/>
    <m/>
    <m/>
    <m/>
  </r>
  <r>
    <x v="4"/>
    <s v="Yes"/>
    <d v="2023-05-22T00:00:00"/>
    <d v="2023-05-23T00:00:00"/>
    <d v="2023-05-23T00:00:00"/>
    <d v="2023-07-22T00:00:00"/>
    <s v="000-439/AIB RDC/2023"/>
    <n v="0"/>
    <s v="SOUSCRIPTION"/>
    <s v="33002-0012-111-0007978 / 0001"/>
    <s v="Concrete &amp; Steel Construction Sarl"/>
    <s v="Construction"/>
    <s v="ANDY"/>
    <s v="Sabrina"/>
    <s v="MARINE CARGO / GIT"/>
    <s v="MARINE"/>
    <x v="4"/>
    <s v="SUNU"/>
    <n v="51378"/>
    <n v="189.6"/>
    <n v="0"/>
    <n v="0"/>
    <n v="35"/>
    <n v="128.44999999999999"/>
    <n v="26.15"/>
    <n v="2.500097317918175E-3"/>
    <n v="0.15"/>
    <n v="19.267499999999998"/>
    <n v="0"/>
    <n v="0"/>
    <n v="0"/>
    <n v="19.267499999999998"/>
    <n v="3.0827999999999998"/>
    <n v="22.350299999999997"/>
    <n v="0.38534999999999997"/>
    <m/>
    <n v="0.38534999999999997"/>
    <m/>
    <n v="18.882149999999999"/>
    <s v="Aucun"/>
    <m/>
    <n v="0"/>
    <m/>
    <m/>
    <n v="0"/>
    <m/>
    <n v="22.350299999999997"/>
    <n v="22.350299999999997"/>
    <n v="0"/>
    <s v="SUNU"/>
    <d v="2023-07-10T00:00:00"/>
    <m/>
    <m/>
    <s v="MARINE CARGO / GIT"/>
    <m/>
    <m/>
    <m/>
  </r>
  <r>
    <x v="4"/>
    <s v="Yes"/>
    <d v="2023-05-22T00:00:00"/>
    <d v="2023-05-23T00:00:00"/>
    <d v="2023-05-23T00:00:00"/>
    <d v="2023-07-22T00:00:00"/>
    <s v="000-440/AIB RDC/2023"/>
    <n v="0"/>
    <s v="SOUSCRIPTION"/>
    <s v="33002-0012-111-0007976 / 0001"/>
    <s v="Concrete &amp; Steel Construction Sarl"/>
    <s v="Construction"/>
    <s v="ANDY"/>
    <s v="Sabrina"/>
    <s v="MARINE CARGO / GIT"/>
    <s v="MARINE"/>
    <x v="4"/>
    <s v="SUNU"/>
    <n v="70774"/>
    <n v="245.84"/>
    <n v="0"/>
    <n v="0"/>
    <n v="35"/>
    <n v="176.93"/>
    <n v="33.909999999999997"/>
    <n v="2.4999293525871085E-3"/>
    <n v="0.15"/>
    <n v="26.5395"/>
    <n v="0"/>
    <n v="0"/>
    <n v="0"/>
    <n v="26.5395"/>
    <n v="4.2463199999999999"/>
    <n v="30.785820000000001"/>
    <n v="0.53078999999999998"/>
    <m/>
    <n v="0.53078999999999998"/>
    <m/>
    <n v="26.008710000000001"/>
    <s v="Aucun"/>
    <m/>
    <n v="0"/>
    <m/>
    <m/>
    <n v="0"/>
    <m/>
    <n v="30.785820000000001"/>
    <n v="30.785820000000001"/>
    <n v="0"/>
    <s v="SUNU"/>
    <d v="2023-07-10T00:00:00"/>
    <m/>
    <m/>
    <s v="MARINE CARGO / GIT"/>
    <m/>
    <m/>
    <m/>
  </r>
  <r>
    <x v="6"/>
    <s v="Yes"/>
    <d v="2023-04-12T00:00:00"/>
    <d v="2023-04-01T00:00:00"/>
    <d v="2023-04-01T00:00:00"/>
    <d v="2024-03-31T00:00:00"/>
    <s v="000-441/AIB RDC/2023"/>
    <n v="1"/>
    <s v="RENOUVELLEMENT"/>
    <s v="12001-33002-0007-121-00002148-2022"/>
    <s v="CFAO RDC / Loxea RDC"/>
    <s v="Distribution"/>
    <s v="ANDY"/>
    <s v="Andy"/>
    <s v="PROPERTY DAMAGE &amp; BI"/>
    <s v="PROPERTIES"/>
    <x v="1"/>
    <s v="ACTIVA"/>
    <n v="15852740"/>
    <n v="15454.32"/>
    <n v="0"/>
    <n v="0"/>
    <n v="131.91"/>
    <n v="13190.78"/>
    <n v="2131.63"/>
    <n v="8.3208202493701409E-4"/>
    <n v="0.08"/>
    <n v="1055.2624000000001"/>
    <n v="0"/>
    <n v="0"/>
    <n v="0"/>
    <n v="1055.2624000000001"/>
    <n v="168.84198400000002"/>
    <n v="1224.1043840000002"/>
    <n v="21.105248000000003"/>
    <n v="0"/>
    <n v="21.105248000000003"/>
    <m/>
    <n v="1034.157152"/>
    <s v="OLEA"/>
    <m/>
    <n v="0"/>
    <m/>
    <m/>
    <n v="0"/>
    <m/>
    <n v="1224.1043840000002"/>
    <n v="1224.1043840000002"/>
    <n v="0"/>
    <s v="ACTIVA"/>
    <d v="2023-09-01T00:00:00"/>
    <m/>
    <m/>
    <s v="PROPERTY DAMAGE &amp; BI"/>
    <m/>
    <m/>
    <s v="En attente du paiement de la prime"/>
  </r>
  <r>
    <x v="6"/>
    <s v="Yes"/>
    <d v="2023-04-12T00:00:00"/>
    <m/>
    <d v="2023-04-01T00:00:00"/>
    <d v="2024-03-31T00:00:00"/>
    <s v="000-442/AIB RDC/2023"/>
    <n v="1"/>
    <s v="RENOUVELLEMENT"/>
    <s v="12001-33002-0007-121-00002149-2022"/>
    <s v="CFAO RDC / CFAO Motors RDC"/>
    <m/>
    <s v="ANDY"/>
    <s v="Andy"/>
    <s v="PROPERTY DAMAGE &amp; BI"/>
    <s v="PROPERTIES"/>
    <x v="1"/>
    <s v="ACTIVA"/>
    <n v="55654559"/>
    <n v="54255.82"/>
    <n v="0"/>
    <n v="0"/>
    <n v="463.09"/>
    <n v="46309.16"/>
    <n v="7483.56"/>
    <n v="8.3208205818322998E-4"/>
    <n v="0.1"/>
    <n v="4630.9160000000002"/>
    <n v="0"/>
    <n v="0"/>
    <n v="0"/>
    <n v="4630.9160000000002"/>
    <n v="740.94656000000009"/>
    <n v="5371.8625600000005"/>
    <n v="92.618320000000011"/>
    <n v="0"/>
    <n v="92.618320000000011"/>
    <m/>
    <n v="4538.2976800000006"/>
    <s v="OLEA"/>
    <m/>
    <n v="0"/>
    <m/>
    <m/>
    <n v="0"/>
    <m/>
    <n v="5371.8625600000005"/>
    <n v="5371.8625600000005"/>
    <n v="0"/>
    <s v="ACTIVA"/>
    <d v="2023-09-01T00:00:00"/>
    <m/>
    <m/>
    <s v="PROPERTY DAMAGE &amp; BI"/>
    <m/>
    <m/>
    <s v="En attente du paiement de la prime"/>
  </r>
  <r>
    <x v="6"/>
    <s v="Yes"/>
    <d v="2023-04-12T00:00:00"/>
    <m/>
    <d v="2023-04-01T00:00:00"/>
    <d v="2024-03-31T00:00:00"/>
    <s v="000-443/AIB RDC/2023"/>
    <n v="1"/>
    <s v="RENOUVELLEMENT"/>
    <s v="12001-33002-0007-121-00002148-2022"/>
    <s v="CFAO RDC / CFAO Technologies"/>
    <m/>
    <s v="ANDY"/>
    <s v="Andy"/>
    <s v="PROPERTY DAMAGE &amp; BI"/>
    <s v="PROPERTIES"/>
    <x v="1"/>
    <s v="ACTIVA"/>
    <n v="240262"/>
    <n v="234.22"/>
    <n v="0"/>
    <n v="0"/>
    <n v="2"/>
    <n v="199.92"/>
    <n v="32.31"/>
    <n v="8.3209163330031375E-4"/>
    <n v="0.08"/>
    <n v="15.993599999999999"/>
    <n v="0"/>
    <n v="0"/>
    <n v="0"/>
    <n v="15.993599999999999"/>
    <n v="2.5589759999999999"/>
    <n v="18.552575999999998"/>
    <n v="0.31987199999999999"/>
    <n v="0"/>
    <n v="0.31987199999999999"/>
    <m/>
    <n v="15.673727999999999"/>
    <s v="OLEA"/>
    <m/>
    <n v="0"/>
    <m/>
    <m/>
    <n v="0"/>
    <m/>
    <n v="18.552575999999998"/>
    <n v="18.552575999999998"/>
    <n v="0"/>
    <s v="ACTIVA"/>
    <d v="2023-09-01T00:00:00"/>
    <m/>
    <m/>
    <s v="PROPERTY DAMAGE &amp; BI"/>
    <m/>
    <m/>
    <s v="Commision à collecter dans le bordereau de Mai"/>
  </r>
  <r>
    <x v="3"/>
    <s v="Yes"/>
    <d v="2023-06-15T00:00:00"/>
    <d v="2023-05-12T00:00:00"/>
    <d v="2023-06-09T00:00:00"/>
    <d v="2023-07-12T00:00:00"/>
    <s v="000-444/AIB RDC/2023"/>
    <n v="0"/>
    <s v="SOUSCRIPTION"/>
    <s v="33002-0004-119-0007702 / 0001"/>
    <s v="KABOLA KALALA ALPHA"/>
    <m/>
    <s v="ANDY"/>
    <s v="Sabrina"/>
    <s v="TRAVEL"/>
    <s v="MEDICAL &amp; GPA"/>
    <x v="4"/>
    <s v="SUNU"/>
    <n v="0"/>
    <n v="50.12"/>
    <n v="0"/>
    <n v="0"/>
    <n v="1.05"/>
    <n v="42.17"/>
    <n v="6.9151999999999996"/>
    <e v="#DIV/0!"/>
    <n v="0.2"/>
    <n v="8.4340000000000011"/>
    <n v="0"/>
    <n v="0"/>
    <n v="0"/>
    <n v="8.4340000000000011"/>
    <n v="1.3494400000000002"/>
    <n v="9.7834400000000006"/>
    <n v="0.16868000000000002"/>
    <m/>
    <n v="0.16868000000000002"/>
    <m/>
    <n v="8.2653200000000009"/>
    <s v="Aucun"/>
    <m/>
    <n v="0"/>
    <m/>
    <m/>
    <n v="0"/>
    <m/>
    <n v="9.7834400000000006"/>
    <n v="9.7834400000000006"/>
    <n v="0"/>
    <s v="SUNU"/>
    <d v="2023-07-10T00:00:00"/>
    <m/>
    <m/>
    <s v="TRAVEL"/>
    <m/>
    <m/>
    <m/>
  </r>
  <r>
    <x v="4"/>
    <s v="Yes"/>
    <d v="2023-06-12T00:00:00"/>
    <d v="2023-06-10T00:00:00"/>
    <d v="2023-05-30T00:00:00"/>
    <d v="2024-05-28T00:00:00"/>
    <s v="000-445/AIB RDC/2023"/>
    <n v="0"/>
    <s v="SOUSCRIPTION"/>
    <s v="12002-33002-0021-111-00020648-2023"/>
    <s v="ORICA / Bolloré"/>
    <m/>
    <s v="SYNTYCHE"/>
    <s v="Victor"/>
    <s v="MARINE CARGO / GIT"/>
    <s v="MARINE"/>
    <x v="0"/>
    <s v="SFA"/>
    <n v="39181.879999999997"/>
    <n v="135.01"/>
    <n v="0"/>
    <n v="0"/>
    <n v="7.86"/>
    <n v="86.98"/>
    <n v="15.17"/>
    <n v="2.2199036901751528E-3"/>
    <n v="0.15"/>
    <n v="13.047000000000001"/>
    <n v="0"/>
    <n v="0"/>
    <n v="0"/>
    <n v="13.047000000000001"/>
    <n v="2.08752"/>
    <n v="15.13452"/>
    <n v="0.26094000000000001"/>
    <n v="0"/>
    <n v="0.26094000000000001"/>
    <m/>
    <n v="12.786060000000001"/>
    <s v="BOLLORE"/>
    <n v="0.4"/>
    <n v="5.1144240000000005"/>
    <n v="5.1144240000000005"/>
    <d v="2023-10-30T00:00:00"/>
    <n v="0"/>
    <m/>
    <n v="15.13452"/>
    <n v="15.13452"/>
    <n v="0"/>
    <s v="SFA"/>
    <d v="2023-07-28T00:00:00"/>
    <m/>
    <s v="ONCE OFF"/>
    <s v="MARINE CARGO / GIT"/>
    <m/>
    <m/>
    <m/>
  </r>
  <r>
    <x v="3"/>
    <s v="Yes"/>
    <d v="2023-06-13T00:00:00"/>
    <d v="2023-06-10T00:00:00"/>
    <d v="2023-06-10T00:00:00"/>
    <d v="2024-06-08T00:00:00"/>
    <s v="000-446/AIB RDC/2023"/>
    <n v="0"/>
    <s v="SOUSCRIPTION"/>
    <s v="12002-33002-0021-111-00020654-2023"/>
    <s v="ORICA / Bolloré"/>
    <m/>
    <s v="SYNTYCHE"/>
    <s v="Victor"/>
    <s v="MARINE CARGO / GIT"/>
    <s v="MARINE"/>
    <x v="0"/>
    <s v="SFA"/>
    <n v="38415.61"/>
    <n v="143.91"/>
    <n v="0"/>
    <n v="0"/>
    <n v="8.01"/>
    <n v="94.5"/>
    <n v="16.399999999999999"/>
    <n v="2.4599375097779262E-3"/>
    <n v="0.15"/>
    <n v="14.174999999999999"/>
    <n v="0"/>
    <n v="0"/>
    <n v="0"/>
    <n v="14.174999999999999"/>
    <n v="2.2679999999999998"/>
    <n v="16.442999999999998"/>
    <n v="0.28349999999999997"/>
    <n v="0"/>
    <n v="0.28349999999999997"/>
    <m/>
    <n v="13.891499999999999"/>
    <s v="BOLLORE"/>
    <n v="0.4"/>
    <n v="5.5565999999999995"/>
    <n v="5.5565999999999995"/>
    <d v="2023-10-30T00:00:00"/>
    <n v="0"/>
    <m/>
    <n v="16.442999999999998"/>
    <n v="16.442999999999998"/>
    <n v="0"/>
    <s v="SFA"/>
    <d v="2023-07-28T00:00:00"/>
    <m/>
    <s v="ONCE OFF"/>
    <s v="MARINE CARGO / GIT"/>
    <m/>
    <m/>
    <m/>
  </r>
  <r>
    <x v="3"/>
    <s v="Yes"/>
    <d v="2023-06-13T00:00:00"/>
    <d v="2023-06-10T00:00:00"/>
    <d v="2023-06-10T00:00:00"/>
    <d v="2024-06-08T00:00:00"/>
    <s v="000-447/AIB RDC/2023"/>
    <n v="0"/>
    <s v="SOUSCRIPTION"/>
    <s v="12002-33002-0021-111-00020653-2023"/>
    <s v="ORICA / Bolloré"/>
    <m/>
    <s v="SYNTYCHE"/>
    <s v="Victor"/>
    <s v="MARINE CARGO / GIT"/>
    <s v="MARINE"/>
    <x v="0"/>
    <s v="SFA"/>
    <n v="203400"/>
    <n v="742.53"/>
    <n v="0"/>
    <n v="0"/>
    <n v="18.13"/>
    <n v="600.42999999999995"/>
    <n v="98.97"/>
    <n v="2.9519665683382496E-3"/>
    <n v="0.15"/>
    <n v="90.064499999999995"/>
    <n v="0"/>
    <n v="0"/>
    <n v="0"/>
    <n v="90.064499999999995"/>
    <n v="14.410319999999999"/>
    <n v="104.47481999999999"/>
    <n v="1.8012899999999998"/>
    <n v="0"/>
    <n v="1.8012899999999998"/>
    <m/>
    <n v="88.263210000000001"/>
    <s v="BOLLORE"/>
    <n v="0.4"/>
    <n v="35.305284"/>
    <n v="35.305284"/>
    <d v="2023-10-30T00:00:00"/>
    <n v="0"/>
    <m/>
    <n v="104.47481999999999"/>
    <n v="104.47481999999999"/>
    <n v="0"/>
    <s v="SFA"/>
    <d v="2023-07-28T00:00:00"/>
    <m/>
    <s v="ONCE OFF"/>
    <s v="MARINE CARGO / GIT"/>
    <m/>
    <m/>
    <m/>
  </r>
  <r>
    <x v="6"/>
    <s v="Yes"/>
    <d v="2023-06-13T00:00:00"/>
    <d v="2023-05-30T00:00:00"/>
    <d v="2023-04-26T00:00:00"/>
    <d v="2023-06-25T00:00:00"/>
    <s v="000-448/AIB RDC/2023"/>
    <n v="0"/>
    <s v="SOUSCRIPTION"/>
    <n v="70100032"/>
    <s v="ORICA / Bolloré"/>
    <m/>
    <s v="SYNTYCHE"/>
    <s v="Victor"/>
    <s v="MARINE CARGO / GIT"/>
    <s v="MARINE"/>
    <x v="6"/>
    <s v="RAWSUR"/>
    <n v="27127"/>
    <n v="171.7"/>
    <n v="0"/>
    <n v="0"/>
    <n v="37"/>
    <n v="108.51"/>
    <n v="23.28"/>
    <n v="4.0000737272827816E-3"/>
    <n v="0.15"/>
    <n v="16.276499999999999"/>
    <n v="0"/>
    <n v="0"/>
    <n v="0"/>
    <n v="16.276499999999999"/>
    <n v="2.6042399999999999"/>
    <n v="18.880739999999999"/>
    <n v="0.32552999999999999"/>
    <n v="0"/>
    <n v="0.32552999999999999"/>
    <m/>
    <n v="15.950969999999998"/>
    <s v="BOLLORE"/>
    <n v="0.4"/>
    <n v="6.3803879999999999"/>
    <n v="6.3803879999999999"/>
    <d v="2023-10-30T00:00:00"/>
    <n v="0"/>
    <m/>
    <n v="18.880739999999999"/>
    <n v="18.880739999999999"/>
    <n v="0"/>
    <s v="RAWSUR"/>
    <d v="2023-06-22T00:00:00"/>
    <m/>
    <s v="ONCE OFF"/>
    <s v="MARINE CARGO / GIT"/>
    <m/>
    <m/>
    <m/>
  </r>
  <r>
    <x v="6"/>
    <s v="Yes"/>
    <d v="2023-06-13T00:00:00"/>
    <d v="2023-05-30T00:00:00"/>
    <d v="2023-04-26T00:00:00"/>
    <d v="2023-06-25T00:00:00"/>
    <s v="000-449/AIB RDC/2023"/>
    <n v="0"/>
    <s v="SOUSCRIPTION"/>
    <n v="70100031"/>
    <s v="ORICA / Bolloré"/>
    <m/>
    <s v="SYNTYCHE"/>
    <s v="Victor"/>
    <s v="MARINE CARGO / GIT"/>
    <s v="MARINE"/>
    <x v="6"/>
    <s v="RAWSUR"/>
    <n v="25872"/>
    <n v="165.78"/>
    <n v="0"/>
    <n v="0"/>
    <n v="37"/>
    <n v="103.49"/>
    <n v="22.48"/>
    <n v="4.0000773036487323E-3"/>
    <n v="0.15"/>
    <n v="15.523499999999999"/>
    <n v="0"/>
    <n v="0"/>
    <n v="0"/>
    <n v="15.523499999999999"/>
    <n v="2.4837599999999997"/>
    <n v="18.007259999999999"/>
    <n v="0.31046999999999997"/>
    <n v="0"/>
    <n v="0.31046999999999997"/>
    <m/>
    <n v="15.213029999999998"/>
    <s v="BOLLORE"/>
    <n v="0.4"/>
    <n v="6.0852119999999994"/>
    <n v="6.0852119999999994"/>
    <d v="2023-10-30T00:00:00"/>
    <n v="0"/>
    <m/>
    <n v="18.007259999999999"/>
    <n v="18.007259999999999"/>
    <n v="0"/>
    <s v="RAWSUR"/>
    <d v="2023-06-22T00:00:00"/>
    <m/>
    <s v="ONCE OFF"/>
    <s v="MARINE CARGO / GIT"/>
    <m/>
    <m/>
    <m/>
  </r>
  <r>
    <x v="6"/>
    <s v="Yes"/>
    <d v="2023-06-13T00:00:00"/>
    <d v="2023-05-30T00:00:00"/>
    <d v="2023-04-26T00:00:00"/>
    <d v="2023-06-25T00:00:00"/>
    <s v="000-450/AIB RDC/2023"/>
    <n v="0"/>
    <s v="SOUSCRIPTION"/>
    <n v="70100030"/>
    <s v="ORICA / Bolloré"/>
    <m/>
    <s v="SYNTYCHE"/>
    <s v="Victor"/>
    <s v="MARINE CARGO / GIT"/>
    <s v="MARINE"/>
    <x v="6"/>
    <s v="RAWSUR"/>
    <n v="20759"/>
    <n v="161.66"/>
    <n v="0"/>
    <n v="0"/>
    <n v="37"/>
    <n v="100"/>
    <n v="21.92"/>
    <n v="4.8171877258056748E-3"/>
    <n v="0.15"/>
    <n v="15"/>
    <n v="0"/>
    <n v="0"/>
    <n v="0"/>
    <n v="15"/>
    <n v="2.4"/>
    <n v="17.399999999999999"/>
    <n v="0.3"/>
    <n v="0"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3-06-22T00:00:00"/>
    <m/>
    <s v="ONCE OFF"/>
    <s v="MARINE CARGO / GIT"/>
    <m/>
    <m/>
    <m/>
  </r>
  <r>
    <x v="4"/>
    <s v="Yes"/>
    <d v="2023-06-13T00:00:00"/>
    <d v="2023-05-31T00:00:00"/>
    <d v="2023-05-31T00:00:00"/>
    <d v="2023-08-30T00:00:00"/>
    <s v="000-451/AIB RDC/2023"/>
    <n v="0"/>
    <s v="SOUSCRIPTION"/>
    <n v="70100034"/>
    <s v="ORICA / Bolloré"/>
    <m/>
    <s v="SYNTYCHE"/>
    <s v="Victor"/>
    <s v="MARINE CARGO / GIT"/>
    <s v="MARINE"/>
    <x v="6"/>
    <s v="RAWSUR"/>
    <n v="290759"/>
    <n v="1916.89"/>
    <n v="0"/>
    <n v="0"/>
    <n v="370"/>
    <n v="1254.48"/>
    <n v="259.92"/>
    <n v="4.3145010128663262E-3"/>
    <n v="0.15"/>
    <n v="188.172"/>
    <n v="0"/>
    <n v="0"/>
    <n v="0"/>
    <n v="188.172"/>
    <n v="30.107520000000001"/>
    <n v="218.27951999999999"/>
    <n v="3.7634400000000001"/>
    <n v="0"/>
    <n v="3.7634400000000001"/>
    <m/>
    <n v="184.40855999999999"/>
    <s v="BOLLORE"/>
    <n v="0.4"/>
    <n v="73.763424000000001"/>
    <n v="73.763424000000001"/>
    <d v="2023-10-30T00:00:00"/>
    <n v="0"/>
    <m/>
    <n v="218.27951999999999"/>
    <n v="218.27951999999999"/>
    <n v="0"/>
    <s v="RAWSUR"/>
    <d v="2023-06-22T00:00:00"/>
    <m/>
    <s v="ONCE OFF"/>
    <s v="MARINE CARGO / GIT"/>
    <m/>
    <m/>
    <m/>
  </r>
  <r>
    <x v="4"/>
    <s v="Yes"/>
    <d v="2023-06-13T00:00:00"/>
    <d v="2023-03-28T00:00:00"/>
    <d v="2023-03-28T00:00:00"/>
    <d v="2023-06-27T00:00:00"/>
    <s v="000-452/AIB RDC/2023"/>
    <n v="0"/>
    <s v="SOUSCRIPTION"/>
    <n v="70100018"/>
    <s v="ORICA / Bolloré"/>
    <m/>
    <s v="SYNTYCHE"/>
    <s v="Victor"/>
    <s v="MARINE CARGO / GIT"/>
    <s v="MARINE"/>
    <x v="6"/>
    <s v="RAWSUR"/>
    <n v="123265"/>
    <n v="898.05"/>
    <n v="0"/>
    <n v="0"/>
    <n v="185"/>
    <n v="576.04999999999995"/>
    <n v="121.77"/>
    <n v="4.6732649170486348E-3"/>
    <n v="0.15"/>
    <n v="86.407499999999985"/>
    <n v="0"/>
    <n v="0"/>
    <n v="0"/>
    <n v="86.407499999999985"/>
    <n v="13.825199999999997"/>
    <n v="100.23269999999998"/>
    <n v="1.7281499999999996"/>
    <n v="0"/>
    <n v="1.7281499999999996"/>
    <m/>
    <n v="84.679349999999985"/>
    <s v="BOLLORE"/>
    <n v="0.4"/>
    <n v="33.871739999999996"/>
    <n v="33.871739999999996"/>
    <d v="2023-10-30T00:00:00"/>
    <n v="0"/>
    <m/>
    <n v="100.23269999999998"/>
    <n v="100.23269999999998"/>
    <n v="0"/>
    <s v="RAWSUR"/>
    <d v="2023-06-22T00:00:00"/>
    <m/>
    <s v="ONCE OFF"/>
    <s v="MARINE CARGO / GIT"/>
    <m/>
    <m/>
    <m/>
  </r>
  <r>
    <x v="4"/>
    <s v="Yes"/>
    <d v="2023-06-13T00:00:00"/>
    <d v="2023-05-30T00:00:00"/>
    <d v="2023-05-30T00:00:00"/>
    <d v="2023-07-29T00:00:00"/>
    <s v="000-453/AIB RDC/2023"/>
    <n v="0"/>
    <s v="SOUSCRIPTION"/>
    <n v="70100033"/>
    <s v="ORICA / Bolloré"/>
    <m/>
    <s v="SYNTYCHE"/>
    <s v="Victor"/>
    <s v="MARINE CARGO / GIT"/>
    <s v="MARINE"/>
    <x v="6"/>
    <s v="RAWSUR"/>
    <n v="246582"/>
    <n v="1575.71"/>
    <n v="0"/>
    <n v="0"/>
    <n v="333"/>
    <n v="1002.33"/>
    <n v="213.66"/>
    <n v="4.0648952478283089E-3"/>
    <n v="0.15"/>
    <n v="150.34950000000001"/>
    <n v="0"/>
    <n v="0"/>
    <n v="0"/>
    <n v="150.34950000000001"/>
    <n v="24.05592"/>
    <n v="174.40541999999999"/>
    <n v="3.0069900000000001"/>
    <n v="0"/>
    <n v="3.0069900000000001"/>
    <m/>
    <n v="147.34251"/>
    <s v="BOLLORE"/>
    <n v="0.4"/>
    <n v="58.937004000000002"/>
    <n v="58.937004000000002"/>
    <d v="2023-10-30T00:00:00"/>
    <n v="0"/>
    <m/>
    <n v="174.40541999999999"/>
    <n v="174.40541999999999"/>
    <n v="0"/>
    <s v="RAWSUR"/>
    <d v="2023-06-22T00:00:00"/>
    <m/>
    <s v="ONCE OFF"/>
    <s v="MARINE CARGO / GIT"/>
    <m/>
    <m/>
    <m/>
  </r>
  <r>
    <x v="6"/>
    <s v="Yes"/>
    <d v="2023-06-13T00:00:00"/>
    <d v="2023-05-01T00:00:00"/>
    <d v="2023-04-28T00:00:00"/>
    <d v="2023-06-27T00:00:00"/>
    <s v="000-454/AIB RDC/2023"/>
    <n v="0"/>
    <s v="SOUSCRIPTION"/>
    <n v="70100022"/>
    <s v="ORICA / Bolloré"/>
    <m/>
    <s v="SYNTYCHE"/>
    <s v="Victor"/>
    <s v="MARINE CARGO / GIT"/>
    <s v="MARINE"/>
    <x v="6"/>
    <s v="RAWSUR"/>
    <n v="18690"/>
    <n v="161.66"/>
    <n v="0"/>
    <n v="0"/>
    <n v="37"/>
    <n v="100"/>
    <n v="21.92"/>
    <n v="5.3504547886570357E-3"/>
    <n v="0.15"/>
    <n v="15"/>
    <n v="0"/>
    <n v="0"/>
    <n v="0"/>
    <n v="15"/>
    <n v="2.4"/>
    <n v="17.399999999999999"/>
    <n v="0.3"/>
    <n v="0"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3-06-22T00:00:00"/>
    <m/>
    <s v="ONCE OFF"/>
    <s v="MARINE CARGO / GIT"/>
    <m/>
    <m/>
    <m/>
  </r>
  <r>
    <x v="4"/>
    <s v="Yes"/>
    <d v="2023-06-13T00:00:00"/>
    <d v="2023-05-12T00:00:00"/>
    <d v="2023-05-13T00:00:00"/>
    <d v="2023-08-12T00:00:00"/>
    <s v="000-455/AIB RDC/2023"/>
    <n v="0"/>
    <s v="SOUSCRIPTION"/>
    <n v="70100025"/>
    <s v="ORICA / Bolloré"/>
    <m/>
    <s v="SYNTYCHE"/>
    <s v="Victor"/>
    <s v="MARINE CARGO / GIT"/>
    <s v="MARINE"/>
    <x v="6"/>
    <s v="RAWSUR"/>
    <m/>
    <n v="1707.07"/>
    <n v="0"/>
    <n v="0"/>
    <n v="333"/>
    <n v="1113.6600000000001"/>
    <n v="231.47"/>
    <e v="#DIV/0!"/>
    <n v="0.15"/>
    <n v="167.04900000000001"/>
    <n v="0"/>
    <n v="0"/>
    <n v="0"/>
    <n v="167.04900000000001"/>
    <n v="26.72784"/>
    <n v="193.77683999999999"/>
    <n v="3.3409800000000001"/>
    <n v="0"/>
    <n v="3.3409800000000001"/>
    <m/>
    <n v="163.70802"/>
    <s v="BOLLORE"/>
    <n v="0.4"/>
    <n v="65.483208000000005"/>
    <n v="65.483208000000005"/>
    <d v="2023-10-30T00:00:00"/>
    <n v="0"/>
    <m/>
    <n v="193.77683999999999"/>
    <n v="193.77683999999999"/>
    <n v="0"/>
    <s v="RAWSUR"/>
    <d v="2023-06-22T00:00:00"/>
    <m/>
    <s v="ONCE OFF"/>
    <s v="MARINE CARGO / GIT"/>
    <m/>
    <m/>
    <m/>
  </r>
  <r>
    <x v="6"/>
    <s v="Yes"/>
    <d v="2023-06-13T00:00:00"/>
    <d v="2023-05-01T00:00:00"/>
    <d v="2023-04-28T00:00:00"/>
    <d v="2023-06-27T00:00:00"/>
    <s v="000-456/AIB RDC/2023"/>
    <n v="0"/>
    <s v="SOUSCRIPTION"/>
    <n v="70100023"/>
    <s v="WUHUANG CONSTRUCTION ET COMMERCE RDC SAS ( WHCC) / Bolloré"/>
    <m/>
    <s v="SYNTYCHE"/>
    <s v="Victor"/>
    <s v="MARINE CARGO / GIT"/>
    <s v="MARINE"/>
    <x v="6"/>
    <s v="RAWSUR"/>
    <n v="11558"/>
    <n v="161.66"/>
    <n v="0"/>
    <n v="0"/>
    <n v="37"/>
    <n v="100"/>
    <n v="21.92"/>
    <n v="8.6520159197092921E-3"/>
    <n v="0.15"/>
    <n v="15"/>
    <n v="0"/>
    <n v="0"/>
    <n v="0"/>
    <n v="15"/>
    <n v="2.4"/>
    <n v="17.399999999999999"/>
    <n v="0.3"/>
    <n v="0"/>
    <n v="0.3"/>
    <m/>
    <n v="14.7"/>
    <s v="BOLLORE"/>
    <n v="0.4"/>
    <n v="5.88"/>
    <n v="5.88"/>
    <d v="2023-10-30T00:00:00"/>
    <n v="0"/>
    <m/>
    <n v="17.399999999999999"/>
    <n v="17.399999999999999"/>
    <n v="0"/>
    <s v="RAWSUR"/>
    <d v="2023-06-22T00:00:00"/>
    <m/>
    <s v="ONCE OFF"/>
    <s v="MARINE CARGO / GIT"/>
    <m/>
    <m/>
    <m/>
  </r>
  <r>
    <x v="4"/>
    <s v="Yes"/>
    <d v="2023-06-13T00:00:00"/>
    <d v="2023-05-26T00:00:00"/>
    <d v="2023-05-06T00:00:00"/>
    <d v="2023-08-05T00:00:00"/>
    <s v="000-457/AIB RDC/2023"/>
    <n v="0"/>
    <s v="SOUSCRIPTION"/>
    <n v="70100027"/>
    <s v="WUHUANG CONSTRUCTION ET COMMERCE RDC SAS ( WHCC) / Bolloré"/>
    <m/>
    <s v="SYNTYCHE"/>
    <s v="Victor"/>
    <s v="MARINE CARGO / GIT"/>
    <s v="MARINE"/>
    <x v="6"/>
    <s v="RAWSUR"/>
    <n v="911198.77"/>
    <n v="4526.1899999999996"/>
    <n v="0"/>
    <n v="0"/>
    <n v="259"/>
    <n v="3576.77"/>
    <n v="613.72"/>
    <n v="3.9253455094106415E-3"/>
    <n v="0.15"/>
    <n v="536.51549999999997"/>
    <n v="0"/>
    <n v="0"/>
    <n v="0"/>
    <n v="536.51549999999997"/>
    <n v="85.842479999999995"/>
    <n v="622.35798"/>
    <n v="10.730309999999999"/>
    <n v="0"/>
    <n v="10.730309999999999"/>
    <m/>
    <n v="525.78518999999994"/>
    <s v="BOLLORE"/>
    <n v="0.4"/>
    <n v="210.314076"/>
    <n v="210.314076"/>
    <d v="2023-10-30T00:00:00"/>
    <n v="0"/>
    <m/>
    <n v="622.35798"/>
    <n v="622.35798"/>
    <n v="0"/>
    <s v="RAWSUR"/>
    <d v="2023-06-22T00:00:00"/>
    <m/>
    <s v="ONCE OFF"/>
    <s v="MARINE CARGO / GIT"/>
    <m/>
    <m/>
    <m/>
  </r>
  <r>
    <x v="4"/>
    <s v="Yes"/>
    <d v="2023-06-13T00:00:00"/>
    <d v="2023-05-05T00:00:00"/>
    <d v="2023-05-29T00:00:00"/>
    <d v="2023-07-28T00:00:00"/>
    <s v="000-458/AIB RDC/2023"/>
    <n v="0"/>
    <s v="SOUSCRIPTION"/>
    <n v="70100029"/>
    <s v="WUHUANG CONSTRUCTION ET COMMERCE RDC SAS ( WHCC) / Bolloré"/>
    <m/>
    <s v="SYNTYCHE"/>
    <s v="Victor"/>
    <s v="MARINE CARGO / GIT"/>
    <s v="MARINE"/>
    <x v="6"/>
    <s v="RAWSUR"/>
    <n v="2656167.48"/>
    <n v="12930.06"/>
    <n v="0"/>
    <n v="0"/>
    <n v="333"/>
    <n v="10624.68"/>
    <n v="1753.23"/>
    <n v="4.0000037949414246E-3"/>
    <n v="0.15"/>
    <n v="1593.702"/>
    <n v="0"/>
    <n v="0"/>
    <n v="0"/>
    <n v="1593.702"/>
    <n v="254.99232000000001"/>
    <n v="1848.6943200000001"/>
    <n v="31.874040000000001"/>
    <n v="0"/>
    <n v="31.874040000000001"/>
    <m/>
    <n v="1561.8279600000001"/>
    <s v="BOLLORE"/>
    <n v="0.4"/>
    <n v="624.7311840000001"/>
    <n v="624.7311840000001"/>
    <d v="2023-10-30T00:00:00"/>
    <n v="0"/>
    <m/>
    <n v="1848.6943200000001"/>
    <n v="1848.6943200000001"/>
    <n v="0"/>
    <s v="RAWSUR"/>
    <d v="2023-06-22T00:00:00"/>
    <m/>
    <s v="ONCE OFF"/>
    <s v="MARINE CARGO / GIT"/>
    <m/>
    <m/>
    <m/>
  </r>
  <r>
    <x v="4"/>
    <s v="Yes"/>
    <d v="2023-06-14T00:00:00"/>
    <d v="2023-05-29T00:00:00"/>
    <d v="2023-05-30T00:00:00"/>
    <d v="2023-08-29T00:00:00"/>
    <s v="000-459/AIB RDC/2023"/>
    <n v="0"/>
    <s v="SOUSCRIPTION"/>
    <n v="70100028"/>
    <s v="CHUAN TIE ELECTRIC (TIANJIN) GROUP SARL / Bolloré"/>
    <m/>
    <s v="SYNTYCHE"/>
    <s v="Victor"/>
    <s v="MARINE CARGO / GIT"/>
    <s v="MARINE"/>
    <x v="6"/>
    <s v="RAWSUR"/>
    <n v="372446.4"/>
    <n v="2543.4299999999998"/>
    <n v="0"/>
    <n v="0"/>
    <n v="518"/>
    <n v="1637.47"/>
    <n v="344.86"/>
    <n v="4.3965252449748469E-3"/>
    <n v="0.15"/>
    <n v="245.62049999999999"/>
    <n v="0"/>
    <n v="0"/>
    <n v="0"/>
    <n v="245.62049999999999"/>
    <n v="39.299280000000003"/>
    <n v="284.91978"/>
    <n v="4.9124100000000004"/>
    <n v="0"/>
    <n v="4.9124100000000004"/>
    <m/>
    <n v="240.70809"/>
    <s v="BOLLORE"/>
    <n v="0.4"/>
    <n v="96.283236000000002"/>
    <n v="96.283236000000002"/>
    <d v="2023-10-30T00:00:00"/>
    <n v="0"/>
    <m/>
    <n v="284.91978"/>
    <n v="284.91978"/>
    <n v="0"/>
    <s v="RAWSUR"/>
    <d v="2023-06-22T00:00:00"/>
    <m/>
    <s v="ONCE OFF"/>
    <s v="MARINE CARGO / GIT"/>
    <m/>
    <m/>
    <m/>
  </r>
  <r>
    <x v="2"/>
    <s v="Yes"/>
    <d v="2023-06-15T00:00:00"/>
    <d v="2023-03-21T00:00:00"/>
    <d v="2023-03-23T00:00:00"/>
    <d v="2024-03-22T00:00:00"/>
    <s v="000-460/AIB RDC/2023"/>
    <n v="1"/>
    <s v="RENOUVELLEMENT"/>
    <s v="33002-0006-112-0001419 / 0002"/>
    <s v="Teichmann Group / Mashamba Foods"/>
    <s v="Distribution"/>
    <s v="ANDY"/>
    <s v="Sabrina"/>
    <s v="FIRE"/>
    <s v="PROPERTIES"/>
    <x v="4"/>
    <s v="SUNU"/>
    <n v="0"/>
    <n v="1641.21"/>
    <n v="0"/>
    <n v="0"/>
    <n v="14"/>
    <n v="1400.84"/>
    <n v="226.37439999999998"/>
    <e v="#DIV/0!"/>
    <n v="0.1"/>
    <n v="140.084"/>
    <n v="0"/>
    <n v="0"/>
    <n v="0"/>
    <n v="140.084"/>
    <n v="22.413440000000001"/>
    <n v="162.49744000000001"/>
    <n v="2.8016800000000002"/>
    <n v="0"/>
    <n v="2.8016800000000002"/>
    <m/>
    <n v="137.28232"/>
    <s v="O'NEILS"/>
    <n v="0.5"/>
    <n v="68.641159999999999"/>
    <n v="68.64"/>
    <d v="2023-10-20T00:00:00"/>
    <n v="1.1599999999987176E-3"/>
    <m/>
    <n v="162.49744000000001"/>
    <n v="162.49744000000001"/>
    <n v="0"/>
    <s v="SUNU"/>
    <d v="2023-07-10T00:00:00"/>
    <m/>
    <m/>
    <s v="FIRE"/>
    <m/>
    <m/>
    <m/>
  </r>
  <r>
    <x v="6"/>
    <s v="Yes"/>
    <d v="2023-06-15T00:00:00"/>
    <d v="2023-04-25T00:00:00"/>
    <d v="2023-04-25T00:00:00"/>
    <d v="2024-02-19T00:00:00"/>
    <s v="000-461/AIB RDC/2023"/>
    <n v="2"/>
    <s v="INCORPORATION"/>
    <s v="33002-0017-104-0005032 / 0002"/>
    <s v="Bolloré Transport &amp; Logistics"/>
    <s v="Transport"/>
    <s v="SYNTYCHE"/>
    <s v="Syntyche"/>
    <s v="COMP MOTOR"/>
    <s v="MOTOR COMP"/>
    <x v="4"/>
    <s v="SUNU"/>
    <n v="17559.04"/>
    <n v="1239.3599999999999"/>
    <n v="0"/>
    <n v="0"/>
    <n v="10.58"/>
    <n v="1058.4000000000001"/>
    <n v="170.96"/>
    <n v="6.0276643825630562E-2"/>
    <n v="0.15"/>
    <n v="158.76000000000002"/>
    <n v="0"/>
    <n v="0"/>
    <n v="0"/>
    <n v="158.76000000000002"/>
    <n v="25.401600000000002"/>
    <n v="184.16160000000002"/>
    <n v="3.1752000000000002"/>
    <n v="0"/>
    <n v="3.1752000000000002"/>
    <m/>
    <n v="155.58480000000003"/>
    <s v="OLEA"/>
    <m/>
    <n v="0"/>
    <m/>
    <m/>
    <n v="0"/>
    <m/>
    <n v="184.16160000000002"/>
    <n v="184.16160000000002"/>
    <n v="0"/>
    <s v="SUNU"/>
    <d v="2023-07-10T00:00:00"/>
    <m/>
    <m/>
    <s v="COMP MOTOR"/>
    <m/>
    <m/>
    <m/>
  </r>
  <r>
    <x v="4"/>
    <s v="Yes"/>
    <d v="2023-06-16T00:00:00"/>
    <d v="2023-05-23T00:00:00"/>
    <d v="2023-05-22T00:00:00"/>
    <d v="2024-05-20T00:00:00"/>
    <s v="000-462/AIB RDC/2023"/>
    <n v="0"/>
    <s v="SOUSCRIPTION"/>
    <s v="12002-33002-0021-111-00020343-2023"/>
    <s v="PANACO / Bolloré"/>
    <m/>
    <s v="SYNTYCHE"/>
    <s v="Victor"/>
    <s v="MARINE CARGO / GIT"/>
    <s v="MARINE"/>
    <x v="0"/>
    <s v="SFA"/>
    <n v="182006.31"/>
    <n v="435.23"/>
    <n v="0"/>
    <n v="0"/>
    <n v="12.93"/>
    <n v="340.72"/>
    <n v="56.58"/>
    <n v="1.8720230084330594E-3"/>
    <n v="0.15"/>
    <n v="51.108000000000004"/>
    <n v="0"/>
    <n v="0"/>
    <n v="0"/>
    <n v="51.108000000000004"/>
    <n v="8.1772800000000014"/>
    <n v="59.285280000000007"/>
    <n v="1.0221600000000002"/>
    <n v="0"/>
    <n v="1.0221600000000002"/>
    <m/>
    <n v="50.085840000000005"/>
    <s v="BOLLORE"/>
    <n v="0.4"/>
    <n v="20.034336000000003"/>
    <n v="20.034336000000003"/>
    <d v="2023-10-30T00:00:00"/>
    <n v="0"/>
    <m/>
    <n v="59.285280000000007"/>
    <n v="59.285280000000007"/>
    <n v="0"/>
    <s v="SFA"/>
    <d v="2023-06-23T00:00:00"/>
    <m/>
    <s v="ONCE OFF"/>
    <s v="MARINE CARGO / GIT"/>
    <m/>
    <m/>
    <m/>
  </r>
  <r>
    <x v="4"/>
    <s v="Yes"/>
    <d v="2023-06-16T00:00:00"/>
    <d v="2023-05-24T00:00:00"/>
    <d v="2023-05-22T00:00:00"/>
    <d v="2024-05-20T00:00:00"/>
    <s v="000-463/AIB RDC/2023"/>
    <n v="0"/>
    <s v="SOUSCRIPTION"/>
    <s v="12002-33002-0021-111-00020346-2023"/>
    <s v="PANACO / Bolloré"/>
    <m/>
    <s v="SYNTYCHE"/>
    <s v="Victor"/>
    <s v="MARINE CARGO / GIT"/>
    <s v="MARINE"/>
    <x v="0"/>
    <s v="SFA"/>
    <n v="85078.51"/>
    <n v="220.54"/>
    <n v="0"/>
    <n v="0"/>
    <n v="9.31"/>
    <n v="159.26"/>
    <n v="26.97"/>
    <n v="1.8719180672063956E-3"/>
    <n v="0.15"/>
    <n v="23.888999999999999"/>
    <n v="0"/>
    <n v="0"/>
    <n v="0"/>
    <n v="23.888999999999999"/>
    <n v="3.8222399999999999"/>
    <n v="27.71124"/>
    <n v="0.47777999999999998"/>
    <n v="0"/>
    <n v="0.47777999999999998"/>
    <m/>
    <n v="23.41122"/>
    <s v="BOLLORE"/>
    <n v="0.4"/>
    <n v="9.3644879999999997"/>
    <n v="9.3644879999999997"/>
    <d v="2023-10-30T00:00:00"/>
    <n v="0"/>
    <m/>
    <n v="27.71124"/>
    <n v="27.71124"/>
    <n v="0"/>
    <s v="SFA"/>
    <d v="2023-06-23T00:00:00"/>
    <m/>
    <s v="ONCE OFF"/>
    <s v="MARINE CARGO / GIT"/>
    <m/>
    <m/>
    <m/>
  </r>
  <r>
    <x v="4"/>
    <s v="Yes"/>
    <d v="2023-06-16T00:00:00"/>
    <d v="2023-05-24T00:00:00"/>
    <d v="2023-05-22T00:00:00"/>
    <d v="2024-05-20T00:00:00"/>
    <s v="000-464/AIB RDC/2023"/>
    <n v="0"/>
    <s v="SOUSCRIPTION"/>
    <s v="12002-33002-0021-111-00020361-2023"/>
    <s v="PANACO / Bolloré"/>
    <m/>
    <s v="SYNTYCHE"/>
    <s v="Victor"/>
    <s v="MARINE CARGO / GIT"/>
    <s v="MARINE"/>
    <x v="0"/>
    <s v="SFA"/>
    <n v="138116.82"/>
    <n v="325.44"/>
    <n v="0"/>
    <n v="0"/>
    <n v="10.39"/>
    <n v="248.61"/>
    <n v="41.44"/>
    <n v="1.7999980016916114E-3"/>
    <n v="0.15"/>
    <n v="37.291499999999999"/>
    <n v="0"/>
    <n v="0"/>
    <n v="0"/>
    <n v="37.291499999999999"/>
    <n v="5.9666399999999999"/>
    <n v="43.258139999999997"/>
    <n v="0.74582999999999999"/>
    <n v="0"/>
    <n v="0.74582999999999999"/>
    <m/>
    <n v="36.545670000000001"/>
    <s v="BOLLORE"/>
    <n v="0.4"/>
    <n v="14.618268"/>
    <n v="14.618268"/>
    <d v="2023-10-30T00:00:00"/>
    <n v="0"/>
    <m/>
    <n v="43.258139999999997"/>
    <n v="43.258139999999997"/>
    <n v="0"/>
    <s v="SFA"/>
    <d v="2023-06-23T00:00:00"/>
    <m/>
    <s v="ONCE OFF"/>
    <s v="MARINE CARGO / GIT"/>
    <m/>
    <m/>
    <m/>
  </r>
  <r>
    <x v="4"/>
    <s v="Yes"/>
    <d v="2023-06-16T00:00:00"/>
    <d v="2023-05-24T00:00:00"/>
    <d v="2023-05-22T00:00:00"/>
    <d v="2024-05-20T00:00:00"/>
    <s v="000-465/AIB RDC/2023"/>
    <n v="0"/>
    <s v="SOUSCRIPTION"/>
    <s v="12002-33002-0021-111-00020360-2023"/>
    <s v="PANACO / Bolloré"/>
    <m/>
    <s v="SYNTYCHE"/>
    <s v="Victor"/>
    <s v="MARINE CARGO / GIT"/>
    <s v="MARINE"/>
    <x v="0"/>
    <s v="SFA"/>
    <n v="214464.23"/>
    <n v="428.06"/>
    <n v="0"/>
    <n v="0"/>
    <n v="7.02"/>
    <n v="334.56"/>
    <n v="54.65"/>
    <n v="1.5599804219099847E-3"/>
    <n v="0.15"/>
    <n v="50.183999999999997"/>
    <n v="0"/>
    <n v="0"/>
    <n v="0"/>
    <n v="50.183999999999997"/>
    <n v="8.0294399999999992"/>
    <n v="58.213439999999999"/>
    <n v="1.0036799999999999"/>
    <n v="0"/>
    <n v="1.0036799999999999"/>
    <m/>
    <n v="49.180319999999995"/>
    <s v="BOLLORE"/>
    <n v="0.4"/>
    <n v="19.672128000000001"/>
    <n v="19.672128000000001"/>
    <d v="2023-10-30T00:00:00"/>
    <n v="0"/>
    <m/>
    <n v="58.213439999999999"/>
    <n v="58.213439999999999"/>
    <n v="0"/>
    <s v="SFA"/>
    <d v="2023-06-23T00:00:00"/>
    <m/>
    <s v="ONCE OFF"/>
    <s v="MARINE CARGO / GIT"/>
    <m/>
    <m/>
    <m/>
  </r>
  <r>
    <x v="4"/>
    <s v="Yes"/>
    <d v="2023-06-16T00:00:00"/>
    <d v="2023-05-24T00:00:00"/>
    <d v="2023-05-22T00:00:00"/>
    <d v="2024-05-20T00:00:00"/>
    <s v="000-466/AIB RDC/2023"/>
    <n v="0"/>
    <s v="SOUSCRIPTION"/>
    <s v="12002-33002-0021-111-00020364-2023"/>
    <s v="PANACO / Bolloré"/>
    <m/>
    <s v="SYNTYCHE"/>
    <s v="Victor"/>
    <s v="MARINE CARGO / GIT"/>
    <s v="MARINE"/>
    <x v="0"/>
    <s v="SFA"/>
    <n v="528989.29"/>
    <n v="858.3"/>
    <n v="0"/>
    <n v="0"/>
    <n v="20.09"/>
    <n v="698.27"/>
    <n v="114.94"/>
    <n v="1.3200078209522918E-3"/>
    <n v="0.15"/>
    <n v="104.7405"/>
    <n v="0"/>
    <n v="0"/>
    <n v="0"/>
    <n v="104.7405"/>
    <n v="16.758479999999999"/>
    <n v="121.49897999999999"/>
    <n v="2.0948099999999998"/>
    <n v="0"/>
    <n v="2.0948099999999998"/>
    <m/>
    <n v="102.64569"/>
    <s v="BOLLORE"/>
    <n v="0.4"/>
    <n v="41.058276000000006"/>
    <n v="41.058276000000006"/>
    <d v="2023-10-30T00:00:00"/>
    <n v="0"/>
    <m/>
    <n v="121.49897999999999"/>
    <n v="121.49897999999999"/>
    <n v="0"/>
    <s v="SFA"/>
    <d v="2023-06-23T00:00:00"/>
    <m/>
    <s v="ONCE OFF"/>
    <s v="MARINE CARGO / GIT"/>
    <m/>
    <m/>
    <m/>
  </r>
  <r>
    <x v="4"/>
    <s v="Yes"/>
    <d v="2023-06-16T00:00:00"/>
    <d v="2023-05-24T00:00:00"/>
    <d v="2023-05-22T00:00:00"/>
    <d v="2024-05-20T00:00:00"/>
    <s v="000-467/AIB RDC/2023"/>
    <n v="0"/>
    <s v="SOUSCRIPTION"/>
    <s v="12002-33002-0021-111-00020365-2023"/>
    <s v="PANACO / Bolloré"/>
    <m/>
    <s v="SYNTYCHE"/>
    <s v="Victor"/>
    <s v="MARINE CARGO / GIT"/>
    <s v="MARINE"/>
    <x v="0"/>
    <s v="SFA"/>
    <n v="90103.15"/>
    <n v="223.46"/>
    <n v="0"/>
    <n v="0"/>
    <n v="8.9"/>
    <n v="162.19"/>
    <n v="27.37"/>
    <n v="1.8000480560335572E-3"/>
    <n v="0.15"/>
    <n v="24.328499999999998"/>
    <n v="0"/>
    <n v="0"/>
    <n v="0"/>
    <n v="24.328499999999998"/>
    <n v="3.89256"/>
    <n v="28.221059999999998"/>
    <n v="0.48657"/>
    <n v="0"/>
    <n v="0.48657"/>
    <m/>
    <n v="23.841929999999998"/>
    <s v="BOLLORE"/>
    <n v="0.4"/>
    <n v="9.5367719999999991"/>
    <n v="9.5367719999999991"/>
    <d v="2023-10-30T00:00:00"/>
    <n v="0"/>
    <m/>
    <n v="28.221059999999998"/>
    <n v="28.221059999999998"/>
    <n v="0"/>
    <s v="SFA"/>
    <d v="2023-06-23T00:00:00"/>
    <m/>
    <s v="ONCE OFF"/>
    <s v="MARINE CARGO / GIT"/>
    <m/>
    <m/>
    <m/>
  </r>
  <r>
    <x v="4"/>
    <s v="Yes"/>
    <d v="2023-06-16T00:00:00"/>
    <d v="2023-05-24T00:00:00"/>
    <d v="2023-05-22T00:00:00"/>
    <d v="2024-05-20T00:00:00"/>
    <s v="000-468/AIB RDC/2023"/>
    <n v="0"/>
    <s v="SOUSCRIPTION"/>
    <s v="12002-33002-0021-111-00020362-2023"/>
    <s v="PANACO / Bolloré"/>
    <m/>
    <s v="SYNTYCHE"/>
    <s v="Victor"/>
    <s v="MARINE CARGO / GIT"/>
    <s v="MARINE"/>
    <x v="0"/>
    <s v="SFA"/>
    <n v="1848.88"/>
    <n v="65"/>
    <n v="0"/>
    <n v="0"/>
    <n v="1.91"/>
    <n v="54.28"/>
    <n v="8.81"/>
    <n v="2.9358314222664533E-2"/>
    <n v="0.15"/>
    <n v="8.1419999999999995"/>
    <n v="0"/>
    <n v="0"/>
    <n v="0"/>
    <n v="8.1419999999999995"/>
    <n v="1.3027199999999999"/>
    <n v="9.4447200000000002"/>
    <n v="0.16283999999999998"/>
    <n v="0"/>
    <n v="0.16283999999999998"/>
    <m/>
    <n v="7.9791599999999994"/>
    <s v="BOLLORE"/>
    <n v="0.4"/>
    <n v="3.1916639999999998"/>
    <n v="3.1916639999999998"/>
    <d v="2023-10-30T00:00:00"/>
    <n v="0"/>
    <m/>
    <n v="9.4447200000000002"/>
    <n v="9.4447200000000002"/>
    <n v="0"/>
    <s v="SFA"/>
    <d v="2023-06-23T00:00:00"/>
    <m/>
    <s v="ONCE OFF"/>
    <s v="MARINE CARGO / GIT"/>
    <m/>
    <m/>
    <m/>
  </r>
  <r>
    <x v="2"/>
    <s v="Yes"/>
    <d v="2023-06-16T00:00:00"/>
    <d v="2023-05-10T00:00:00"/>
    <d v="2023-03-28T00:00:00"/>
    <d v="2024-03-26T00:00:00"/>
    <s v="000-469/AIB RDC/2023"/>
    <n v="0"/>
    <s v="SOUSCRIPTION"/>
    <s v="12002-33002-0021-111-00020112-2023"/>
    <s v="BS FREIGHT &amp; LOGISTICS SARL / Bolloré"/>
    <m/>
    <s v="SYNTYCHE"/>
    <s v="Victor"/>
    <s v="MARINE CARGO / GIT"/>
    <s v="MARINE"/>
    <x v="0"/>
    <s v="SFA"/>
    <n v="375275.94"/>
    <n v="1367.46"/>
    <n v="0"/>
    <n v="0"/>
    <n v="38.39"/>
    <n v="1118.9000000000001"/>
    <n v="185.17"/>
    <n v="2.9815393973831633E-3"/>
    <n v="0.15"/>
    <n v="167.83500000000001"/>
    <n v="0"/>
    <n v="0"/>
    <n v="0"/>
    <n v="167.83500000000001"/>
    <n v="26.8536"/>
    <n v="194.68860000000001"/>
    <n v="3.3567"/>
    <n v="0"/>
    <n v="3.3567"/>
    <m/>
    <n v="164.47830000000002"/>
    <s v="BOLLORE"/>
    <n v="0.4"/>
    <n v="65.791320000000013"/>
    <n v="65.791320000000013"/>
    <d v="2023-10-30T00:00:00"/>
    <n v="0"/>
    <m/>
    <n v="194.68860000000001"/>
    <n v="194.68860000000001"/>
    <n v="0"/>
    <s v="SFA"/>
    <d v="2023-06-23T00:00:00"/>
    <m/>
    <s v="ONCE OFF"/>
    <s v="MARINE CARGO / GIT"/>
    <m/>
    <m/>
    <m/>
  </r>
  <r>
    <x v="1"/>
    <s v="Yes"/>
    <d v="2023-03-15T00:00:00"/>
    <d v="2023-05-05T00:00:00"/>
    <d v="2023-02-20T00:00:00"/>
    <d v="2024-02-19T00:00:00"/>
    <s v="000-470/AIB RDC/2023"/>
    <n v="2"/>
    <s v="RENOUVELLEMENT"/>
    <s v="12005-33002-0008-13001-00000270-2022"/>
    <s v="CONGO ŒUFS"/>
    <m/>
    <s v="MICHEE"/>
    <s v="Tychique"/>
    <s v="PROPERTY DAMAGE &amp; BI"/>
    <s v="PROPERTIES"/>
    <x v="5"/>
    <s v="MAYFAIR"/>
    <n v="7380069.1799999997"/>
    <n v="11629.25"/>
    <n v="0"/>
    <n v="0"/>
    <n v="20"/>
    <n v="9835.2900000000009"/>
    <n v="1576.85"/>
    <n v="1.3326826294059212E-3"/>
    <n v="0.15"/>
    <n v="1475.2935"/>
    <n v="0"/>
    <n v="0"/>
    <n v="0"/>
    <n v="1475.2935"/>
    <n v="236.04696000000001"/>
    <n v="1711.3404599999999"/>
    <n v="29.505870000000002"/>
    <n v="0"/>
    <n v="29.505870000000002"/>
    <m/>
    <n v="1445.78763"/>
    <m/>
    <m/>
    <n v="0"/>
    <m/>
    <m/>
    <n v="0"/>
    <m/>
    <n v="1711.3404599999999"/>
    <n v="1711.3404599999999"/>
    <n v="0"/>
    <s v="MAYFAIR"/>
    <d v="2023-06-29T00:00:00"/>
    <m/>
    <m/>
    <s v="PROPERTY DAMAGE &amp; BI"/>
    <m/>
    <m/>
    <m/>
  </r>
  <r>
    <x v="4"/>
    <s v="Yes"/>
    <d v="2023-06-16T00:00:00"/>
    <d v="2023-05-12T00:00:00"/>
    <d v="2023-05-09T00:00:00"/>
    <d v="2024-05-07T00:00:00"/>
    <s v="000-471/AIB RDC/2023"/>
    <n v="0"/>
    <s v="SOUSCRIPTION"/>
    <s v="12002-33002-0021-111-00020174-2023"/>
    <s v="CHUAN TIE ELECTRIC (TIANJIN) GROUP SARL / Bolloré"/>
    <m/>
    <s v="SYNTYCHE"/>
    <s v="Victor"/>
    <s v="MARINE CARGO / GIT"/>
    <s v="MARINE"/>
    <x v="0"/>
    <s v="SFA"/>
    <n v="1118087"/>
    <n v="3731.53"/>
    <n v="0"/>
    <n v="0"/>
    <n v="109.69"/>
    <n v="3107.15"/>
    <n v="514.69000000000005"/>
    <n v="2.77898768163837E-3"/>
    <n v="0.15"/>
    <n v="466.07249999999999"/>
    <n v="0"/>
    <n v="0"/>
    <n v="0"/>
    <n v="466.07249999999999"/>
    <n v="74.571600000000004"/>
    <n v="540.64409999999998"/>
    <n v="9.3214500000000005"/>
    <n v="0"/>
    <n v="9.3214500000000005"/>
    <m/>
    <n v="456.75104999999996"/>
    <s v="BOLLORE"/>
    <n v="0.4"/>
    <n v="182.70042000000001"/>
    <n v="182.70042000000001"/>
    <d v="2023-10-30T00:00:00"/>
    <n v="0"/>
    <m/>
    <n v="540.64409999999998"/>
    <n v="540.64409999999998"/>
    <n v="0"/>
    <s v="SFA"/>
    <d v="2023-06-23T00:00:00"/>
    <m/>
    <s v="ONCE OFF"/>
    <s v="MARINE CARGO / GIT"/>
    <m/>
    <m/>
    <m/>
  </r>
  <r>
    <x v="0"/>
    <s v="Yes"/>
    <d v="2023-06-16T00:00:00"/>
    <d v="2023-05-22T00:00:00"/>
    <d v="2023-01-08T00:00:00"/>
    <d v="2024-01-08T00:00:00"/>
    <s v="000-472/AIB RDC/2023"/>
    <n v="1"/>
    <s v="RISTOURNE"/>
    <s v="00019847"/>
    <s v="Compagnie Africaine d'Aviation / CAA"/>
    <s v="Aviation"/>
    <s v="ANDY"/>
    <s v="Andy"/>
    <s v="AVIATION HULL ALL RISK"/>
    <s v="AVIATION"/>
    <x v="0"/>
    <s v="ARTHUR J. GALLAGHERS"/>
    <n v="0"/>
    <n v="-109841.71"/>
    <n v="-5511.41"/>
    <n v="0"/>
    <m/>
    <n v="-89079.72"/>
    <n v="-15150.58"/>
    <e v="#DIV/0!"/>
    <n v="0"/>
    <n v="0"/>
    <n v="-1653.423"/>
    <n v="0"/>
    <n v="0"/>
    <n v="-1653.423"/>
    <n v="-264.54768000000001"/>
    <n v="-1917.9706799999999"/>
    <n v="-33.068460000000002"/>
    <n v="0"/>
    <n v="-33.068460000000002"/>
    <m/>
    <n v="-1620.35454"/>
    <s v="Aucun"/>
    <m/>
    <n v="0"/>
    <m/>
    <m/>
    <n v="0"/>
    <m/>
    <n v="-1917.9706799999999"/>
    <n v="-1917.9706799999999"/>
    <n v="0"/>
    <s v="SFA"/>
    <d v="2023-06-23T00:00:00"/>
    <m/>
    <m/>
    <s v="AVIATION HULL ALL RISK"/>
    <m/>
    <m/>
    <m/>
  </r>
  <r>
    <x v="6"/>
    <s v="Yes"/>
    <d v="2023-06-16T00:00:00"/>
    <d v="2023-04-26T00:00:00"/>
    <d v="2023-04-25T00:00:00"/>
    <d v="2023-09-06T00:00:00"/>
    <s v="000-473/AIB RDC/2023"/>
    <n v="4"/>
    <s v="INCORPORATION"/>
    <s v="12002-33002-0004-103-00016990-2022"/>
    <s v="Teichmann Group / Kongo River"/>
    <s v="Mining"/>
    <s v="ANDY"/>
    <s v="Sabrina"/>
    <s v="MOTOR TPL"/>
    <s v="MOTOR TPL"/>
    <x v="0"/>
    <s v="SFA"/>
    <n v="0"/>
    <n v="1564.26"/>
    <n v="0"/>
    <n v="0"/>
    <n v="33.369999999999997"/>
    <n v="1292.3"/>
    <n v="212.11"/>
    <e v="#DIV/0!"/>
    <n v="0.1"/>
    <n v="129.22999999999999"/>
    <n v="0"/>
    <n v="0"/>
    <n v="0"/>
    <n v="129.22999999999999"/>
    <n v="20.6768"/>
    <n v="149.90679999999998"/>
    <n v="2.5846"/>
    <n v="0"/>
    <n v="2.5846"/>
    <m/>
    <n v="126.6454"/>
    <s v="O'NEILS"/>
    <n v="0.5"/>
    <n v="63.322699999999998"/>
    <n v="63.32"/>
    <d v="2023-10-20T00:00:00"/>
    <n v="2.6999999999972601E-3"/>
    <m/>
    <n v="149.90679999999998"/>
    <n v="149.90679999999998"/>
    <n v="0"/>
    <s v="SFA"/>
    <d v="2023-06-23T00:00:00"/>
    <m/>
    <m/>
    <s v="MOTOR TPL"/>
    <m/>
    <m/>
    <m/>
  </r>
  <r>
    <x v="4"/>
    <s v="Yes"/>
    <d v="2023-06-16T00:00:00"/>
    <d v="2023-05-08T00:00:00"/>
    <d v="2023-05-08T00:00:00"/>
    <d v="2023-09-06T00:00:00"/>
    <s v="000-474/AIB RDC/2023"/>
    <n v="5"/>
    <s v="INCORPORATION"/>
    <s v="12002-33002-0004-103-00016990-2022"/>
    <s v="Teichmann Group / Kongo River"/>
    <s v="Mining"/>
    <s v="ANDY"/>
    <s v="Sabrina"/>
    <s v="MOTOR TPL"/>
    <s v="MOTOR TPL"/>
    <x v="0"/>
    <s v="SFA"/>
    <n v="0"/>
    <n v="366.93"/>
    <n v="0"/>
    <n v="0"/>
    <n v="4.4400000000000004"/>
    <n v="297.83999999999997"/>
    <n v="50.61"/>
    <e v="#DIV/0!"/>
    <n v="0.1"/>
    <n v="29.783999999999999"/>
    <n v="0"/>
    <n v="0"/>
    <n v="0"/>
    <n v="29.783999999999999"/>
    <n v="4.7654399999999999"/>
    <n v="34.549439999999997"/>
    <n v="0.59567999999999999"/>
    <n v="0"/>
    <n v="0.59567999999999999"/>
    <m/>
    <n v="29.188319999999997"/>
    <s v="O'NEILS"/>
    <n v="0.5"/>
    <n v="14.594159999999999"/>
    <n v="14.59"/>
    <d v="2023-10-20T00:00:00"/>
    <n v="4.1599999999988313E-3"/>
    <m/>
    <n v="34.549439999999997"/>
    <n v="34.549439999999997"/>
    <n v="0"/>
    <s v="SFA"/>
    <d v="2023-06-23T00:00:00"/>
    <m/>
    <m/>
    <s v="MOTOR TPL"/>
    <m/>
    <m/>
    <m/>
  </r>
  <r>
    <x v="6"/>
    <s v="Yes"/>
    <d v="2023-06-16T00:00:00"/>
    <d v="2023-05-31T00:00:00"/>
    <d v="2023-04-25T00:00:00"/>
    <d v="2024-04-23T00:00:00"/>
    <s v="000-475/AIB RDC/2023"/>
    <n v="0"/>
    <s v="SOUSCRIPTION"/>
    <s v="00020501_x000a_"/>
    <s v="ERG / Frontier SA"/>
    <s v="Mining"/>
    <s v="ANDY"/>
    <s v="Andy"/>
    <s v="GENERAL LIABILITY"/>
    <s v="LIABILITIES"/>
    <x v="0"/>
    <s v="SFA"/>
    <n v="10000000"/>
    <n v="65536.160000000003"/>
    <n v="8294.1200000000008"/>
    <n v="0"/>
    <n v="245"/>
    <n v="47000"/>
    <n v="8886.26"/>
    <n v="4.7000000000000002E-3"/>
    <n v="0.15"/>
    <n v="7050"/>
    <n v="0"/>
    <n v="0"/>
    <n v="0"/>
    <n v="7050"/>
    <n v="1128"/>
    <n v="8178"/>
    <n v="141"/>
    <n v="0"/>
    <n v="141"/>
    <m/>
    <n v="4606"/>
    <s v="MARSH"/>
    <n v="0.3"/>
    <n v="1381.8"/>
    <n v="1381.8"/>
    <d v="2023-09-19T00:00:00"/>
    <n v="0"/>
    <m/>
    <n v="8178"/>
    <n v="8178"/>
    <n v="0"/>
    <s v="SFA"/>
    <d v="2023-06-23T00:00:00"/>
    <m/>
    <m/>
    <m/>
    <m/>
    <m/>
    <m/>
  </r>
  <r>
    <x v="4"/>
    <s v="Yes"/>
    <d v="2023-06-16T00:00:00"/>
    <d v="2023-05-12T00:00:00"/>
    <d v="2023-05-09T00:00:00"/>
    <d v="2024-05-07T00:00:00"/>
    <s v="000-476/AIB RDC/2023"/>
    <n v="0"/>
    <s v="SOUSCRIPTION"/>
    <s v="12002-33002-0021-111-00020185-2023"/>
    <s v="GLOBAL LABORATORIES / Bolloré"/>
    <m/>
    <s v="SYNTYCHE"/>
    <s v="Victor"/>
    <s v="MARINE CARGO / GIT"/>
    <s v="MARINE"/>
    <x v="0"/>
    <s v="SFA"/>
    <n v="8334.76"/>
    <n v="45.33"/>
    <n v="0"/>
    <n v="0"/>
    <n v="2.5299999999999998"/>
    <n v="15"/>
    <n v="2.8"/>
    <n v="1.7996918927479615E-3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n v="0.88200000000000012"/>
    <d v="2023-10-30T00:00:00"/>
    <n v="0"/>
    <m/>
    <n v="2.61"/>
    <n v="2.61"/>
    <n v="0"/>
    <s v="SFA"/>
    <d v="2023-06-23T00:00:00"/>
    <m/>
    <s v="ONCE OFF"/>
    <s v="MARINE CARGO / GIT"/>
    <m/>
    <m/>
    <m/>
  </r>
  <r>
    <x v="4"/>
    <s v="Yes"/>
    <d v="2023-06-16T00:00:00"/>
    <d v="2023-05-10T00:00:00"/>
    <d v="2023-05-04T00:00:00"/>
    <d v="2024-05-02T00:00:00"/>
    <s v="000-477/AIB RDC/2023"/>
    <n v="0"/>
    <s v="SOUSCRIPTION"/>
    <s v="12002-33002-0021-111-00020117-2023"/>
    <s v="Mandla Service SARL / Bolloré"/>
    <m/>
    <s v="SYNTYCHE"/>
    <s v="Victor"/>
    <s v="MARINE CARGO / GIT"/>
    <s v="MARINE"/>
    <x v="0"/>
    <s v="SFA"/>
    <n v="1245.8599999999999"/>
    <n v="49.36"/>
    <n v="0"/>
    <n v="0"/>
    <n v="6"/>
    <n v="15"/>
    <n v="3.36"/>
    <n v="1.2039876069542325E-2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n v="0.88200000000000012"/>
    <d v="2023-10-30T00:00:00"/>
    <n v="0"/>
    <m/>
    <n v="2.61"/>
    <n v="2.61"/>
    <n v="0"/>
    <s v="SFA"/>
    <d v="2023-06-23T00:00:00"/>
    <m/>
    <s v="ONCE OFF"/>
    <s v="MARINE CARGO / GIT"/>
    <m/>
    <m/>
    <m/>
  </r>
  <r>
    <x v="6"/>
    <s v="Yes"/>
    <d v="2023-06-16T00:00:00"/>
    <d v="2023-05-08T00:00:00"/>
    <d v="2023-04-24T00:00:00"/>
    <d v="2024-04-22T00:00:00"/>
    <s v="000-478/AIB RDC/2023"/>
    <n v="0"/>
    <s v="SOUSCRIPTION"/>
    <s v="12002-33002-0021-111-00020026-2023"/>
    <s v="UNITED TRILLION CONGO SARL / Bolloré"/>
    <m/>
    <s v="SYNTYCHE"/>
    <s v="Victor"/>
    <s v="MARINE CARGO / GIT"/>
    <s v="MARINE"/>
    <x v="0"/>
    <s v="SFA"/>
    <n v="18000"/>
    <n v="60.59"/>
    <n v="0"/>
    <n v="0"/>
    <n v="2.6"/>
    <n v="28.08"/>
    <n v="4.91"/>
    <n v="1.56E-3"/>
    <n v="0.15"/>
    <n v="4.2119999999999997"/>
    <n v="0"/>
    <n v="0"/>
    <n v="0"/>
    <n v="4.2119999999999997"/>
    <n v="0.67391999999999996"/>
    <n v="4.8859199999999996"/>
    <n v="8.4239999999999995E-2"/>
    <n v="0"/>
    <n v="8.4239999999999995E-2"/>
    <m/>
    <n v="4.1277599999999994"/>
    <s v="BOLLORE"/>
    <n v="0.4"/>
    <n v="1.6511039999999999"/>
    <n v="1.6511039999999999"/>
    <d v="2023-10-30T00:00:00"/>
    <n v="0"/>
    <m/>
    <n v="4.8859199999999996"/>
    <n v="4.8859199999999996"/>
    <n v="0"/>
    <s v="SFA"/>
    <d v="2023-06-23T00:00:00"/>
    <m/>
    <s v="ONCE OFF"/>
    <s v="MARINE CARGO / GIT"/>
    <m/>
    <m/>
    <m/>
  </r>
  <r>
    <x v="6"/>
    <s v="Yes"/>
    <d v="2023-06-16T00:00:00"/>
    <d v="2023-05-08T00:00:00"/>
    <d v="2023-04-24T00:00:00"/>
    <d v="2024-04-22T00:00:00"/>
    <s v="000-479/AIB RDC/2023"/>
    <n v="0"/>
    <s v="SOUSCRIPTION"/>
    <s v="12002-33002-0021-111-00020025-2023"/>
    <s v="UNITED TRILLION CONGO SARL / Bolloré"/>
    <m/>
    <s v="SYNTYCHE"/>
    <s v="Victor"/>
    <s v="MARINE CARGO / GIT"/>
    <s v="MARINE"/>
    <x v="0"/>
    <s v="SFA"/>
    <n v="22500"/>
    <n v="68.89"/>
    <n v="0"/>
    <n v="0"/>
    <n v="2.74"/>
    <n v="35.1"/>
    <n v="6.05"/>
    <n v="1.56E-3"/>
    <n v="0.15"/>
    <n v="5.2649999999999997"/>
    <n v="0"/>
    <n v="0"/>
    <n v="0"/>
    <n v="5.2649999999999997"/>
    <n v="0.84239999999999993"/>
    <n v="6.1073999999999993"/>
    <n v="0.10529999999999999"/>
    <n v="0"/>
    <n v="0.10529999999999999"/>
    <m/>
    <n v="5.1597"/>
    <s v="BOLLORE"/>
    <n v="0.4"/>
    <n v="2.0638800000000002"/>
    <n v="2.0638800000000002"/>
    <d v="2023-10-30T00:00:00"/>
    <n v="0"/>
    <m/>
    <n v="6.1073999999999993"/>
    <n v="6.1073999999999993"/>
    <n v="0"/>
    <s v="SFA"/>
    <d v="2023-06-23T00:00:00"/>
    <m/>
    <s v="ONCE OFF"/>
    <s v="MARINE CARGO / GIT"/>
    <m/>
    <m/>
    <m/>
  </r>
  <r>
    <x v="4"/>
    <s v="Yes"/>
    <d v="2023-06-16T00:00:00"/>
    <d v="2023-05-11T00:00:00"/>
    <d v="2023-05-11T00:00:00"/>
    <d v="2024-05-09T00:00:00"/>
    <s v="000-480/AIB RDC/2023"/>
    <n v="0"/>
    <s v="SOUSCRIPTION"/>
    <s v="12002-33002-0021-111-00020143-2023"/>
    <s v="WUHUANG CONSTRUCTION ET COMMERCE RDC SAS ( WHCC) / Bolloré"/>
    <m/>
    <s v="SYNTYCHE"/>
    <s v="Victor"/>
    <s v="MARINE CARGO / GIT"/>
    <s v="MARINE"/>
    <x v="0"/>
    <s v="SFA"/>
    <n v="1374485.06"/>
    <n v="2595.4699999999998"/>
    <n v="0"/>
    <n v="0"/>
    <n v="34.159999999999997"/>
    <n v="2144.1999999999998"/>
    <n v="348.54"/>
    <n v="1.5600024055554302E-3"/>
    <n v="0.15"/>
    <n v="321.62999999999994"/>
    <n v="0"/>
    <n v="0"/>
    <n v="0"/>
    <n v="321.62999999999994"/>
    <n v="51.460799999999992"/>
    <n v="373.09079999999994"/>
    <n v="6.432599999999999"/>
    <n v="0"/>
    <n v="6.432599999999999"/>
    <m/>
    <n v="315.19739999999996"/>
    <s v="BOLLORE"/>
    <n v="0.4"/>
    <n v="126.07896"/>
    <n v="126.07896"/>
    <d v="2023-10-30T00:00:00"/>
    <n v="0"/>
    <m/>
    <n v="373.09079999999994"/>
    <n v="373.09079999999994"/>
    <n v="0"/>
    <s v="SFA"/>
    <d v="2023-06-23T00:00:00"/>
    <m/>
    <s v="ONCE OFF"/>
    <s v="MARINE CARGO / GIT"/>
    <m/>
    <m/>
    <m/>
  </r>
  <r>
    <x v="4"/>
    <s v="Yes"/>
    <d v="2023-06-16T00:00:00"/>
    <d v="2023-05-19T00:00:00"/>
    <d v="2023-05-01T00:00:00"/>
    <d v="2023-10-27T00:00:00"/>
    <s v="000-481/AIB RDC/2023"/>
    <n v="0"/>
    <s v="SOUSCRIPTION"/>
    <s v="00020268_x000a_"/>
    <s v="SADDAM LUSANGI"/>
    <s v="Person"/>
    <s v="ALICE"/>
    <s v="Alice"/>
    <s v="MOTOR TPL"/>
    <s v="MOTOR TPL"/>
    <x v="0"/>
    <s v="SFA"/>
    <n v="0"/>
    <n v="142.07"/>
    <n v="0"/>
    <n v="0"/>
    <n v="1.75"/>
    <n v="116.36"/>
    <n v="16.600000000000001"/>
    <e v="#DIV/0!"/>
    <n v="0.1"/>
    <n v="11.636000000000001"/>
    <n v="0"/>
    <n v="0"/>
    <n v="0"/>
    <n v="11.636000000000001"/>
    <n v="1.8617600000000003"/>
    <n v="13.497760000000001"/>
    <n v="0.23272000000000004"/>
    <n v="0"/>
    <n v="0.23272000000000004"/>
    <m/>
    <n v="11.403280000000001"/>
    <s v="Aucun"/>
    <m/>
    <n v="0"/>
    <m/>
    <m/>
    <n v="0"/>
    <m/>
    <n v="13.497760000000001"/>
    <n v="13.497760000000001"/>
    <n v="0"/>
    <s v="SFA"/>
    <d v="2023-06-23T00:00:00"/>
    <m/>
    <m/>
    <m/>
    <m/>
    <m/>
    <m/>
  </r>
  <r>
    <x v="6"/>
    <s v="Yes"/>
    <d v="2023-06-16T00:00:00"/>
    <d v="2023-05-24T00:00:00"/>
    <d v="2023-04-20T00:00:00"/>
    <d v="2023-06-17T00:00:00"/>
    <s v="000-482/AIB RDC/2023"/>
    <n v="2"/>
    <s v="INCORPORATION"/>
    <s v="12002-33002-0010-108-00016563-2022"/>
    <s v="TRANS AIR CARGO"/>
    <m/>
    <s v="SYNTYCHE"/>
    <s v="Syntyche"/>
    <s v="AVIATION HULL ALL RISK"/>
    <s v="AVIATION"/>
    <x v="0"/>
    <s v="SFA"/>
    <n v="0"/>
    <n v="8111.43"/>
    <n v="1022.04"/>
    <n v="0"/>
    <n v="39.42"/>
    <n v="5794.04"/>
    <n v="1118.82"/>
    <e v="#DIV/0!"/>
    <n v="0"/>
    <n v="0"/>
    <n v="306.61199999999997"/>
    <n v="499.48"/>
    <n v="0"/>
    <n v="806.09199999999998"/>
    <n v="128.97471999999999"/>
    <n v="935.06672000000003"/>
    <n v="16.121839999999999"/>
    <n v="0"/>
    <n v="16.121839999999999"/>
    <m/>
    <n v="789.97015999999996"/>
    <m/>
    <m/>
    <n v="0"/>
    <m/>
    <m/>
    <n v="0"/>
    <m/>
    <n v="935.06672000000003"/>
    <n v="935.06672000000003"/>
    <n v="0"/>
    <s v="SFA"/>
    <d v="2023-06-23T00:00:00"/>
    <m/>
    <m/>
    <m/>
    <m/>
    <m/>
    <m/>
  </r>
  <r>
    <x v="6"/>
    <s v="Yes"/>
    <d v="2023-06-16T00:00:00"/>
    <d v="2023-05-26T00:00:00"/>
    <d v="2023-04-20T00:00:00"/>
    <d v="2023-06-17T00:00:00"/>
    <s v="000-483/AIB RDC/2023"/>
    <n v="3"/>
    <s v="INCORPORATION"/>
    <s v="12002-33002-0010-108-00016563-2022"/>
    <s v="TRANS AIR CARGO"/>
    <m/>
    <s v="SYNTYCHE"/>
    <s v="Syntyche"/>
    <s v="AVIATION HULL ALL RISK"/>
    <s v="AVIATION"/>
    <x v="0"/>
    <s v="SFA"/>
    <n v="0"/>
    <n v="8399.33"/>
    <n v="1058.82"/>
    <n v="0"/>
    <n v="40"/>
    <n v="6000"/>
    <n v="1158.53"/>
    <e v="#DIV/0!"/>
    <n v="0"/>
    <n v="0"/>
    <n v="317.64599999999996"/>
    <n v="-254.81"/>
    <n v="0"/>
    <n v="62.835999999999956"/>
    <n v="10.053759999999993"/>
    <n v="72.889759999999953"/>
    <n v="1.2567199999999992"/>
    <n v="0"/>
    <n v="1.2567199999999992"/>
    <m/>
    <n v="61.579279999999954"/>
    <m/>
    <m/>
    <n v="0"/>
    <m/>
    <m/>
    <n v="0"/>
    <m/>
    <n v="72.889760000000024"/>
    <n v="72.889760000000024"/>
    <n v="0"/>
    <s v="SFA"/>
    <d v="2023-06-23T00:00:00"/>
    <m/>
    <m/>
    <m/>
    <m/>
    <m/>
    <m/>
  </r>
  <r>
    <x v="6"/>
    <s v="Yes"/>
    <d v="2023-06-16T00:00:00"/>
    <d v="2023-05-26T00:00:00"/>
    <d v="2023-04-21T00:00:00"/>
    <d v="2023-07-06T00:00:00"/>
    <s v="000-484/AIB RDC/2023"/>
    <n v="4"/>
    <s v="INCORPORATION"/>
    <s v="12003-33002-0012-108-00000001-2022 / 75600001"/>
    <s v="MALU AVIATION (9S GPS)"/>
    <s v="Aviation"/>
    <s v="SYNTYCHE"/>
    <s v="Syntyche"/>
    <s v="AVIATION HULL ALL RISK"/>
    <s v="AVIATION"/>
    <x v="6"/>
    <s v="RAWSUR"/>
    <n v="0"/>
    <n v="36142.980000000003"/>
    <n v="0"/>
    <n v="0"/>
    <n v="25"/>
    <n v="30604.65"/>
    <n v="4900.74"/>
    <e v="#DIV/0!"/>
    <n v="0"/>
    <n v="0"/>
    <n v="0"/>
    <n v="0"/>
    <n v="0"/>
    <n v="0"/>
    <n v="0"/>
    <n v="0"/>
    <n v="0"/>
    <n v="0"/>
    <n v="0"/>
    <m/>
    <n v="0"/>
    <m/>
    <m/>
    <n v="0"/>
    <m/>
    <m/>
    <n v="0"/>
    <m/>
    <m/>
    <n v="0"/>
    <n v="0"/>
    <s v="RAWSUR"/>
    <m/>
    <m/>
    <m/>
    <m/>
    <m/>
    <m/>
    <m/>
  </r>
  <r>
    <x v="4"/>
    <s v="Yes"/>
    <d v="2023-06-16T00:00:00"/>
    <d v="2023-05-23T00:00:00"/>
    <d v="2023-05-09T00:00:00"/>
    <d v="2024-05-07T00:00:00"/>
    <s v="000-485/AIB RDC/2023"/>
    <n v="0"/>
    <s v="SOUSCRIPTION"/>
    <s v="12002-33002-0021-111-00020336-2023"/>
    <s v="ORICA / Bolloré"/>
    <m/>
    <s v="SYNTYCHE"/>
    <s v="Victor"/>
    <s v="MARINE CARGO / GIT"/>
    <s v="MARINE"/>
    <x v="0"/>
    <s v="SFA"/>
    <n v="42673.4"/>
    <n v="133.88999999999999"/>
    <n v="0"/>
    <n v="0"/>
    <n v="7.84"/>
    <n v="86.03"/>
    <n v="15.02"/>
    <n v="2.0160099734260685E-3"/>
    <n v="0.15"/>
    <n v="12.904500000000001"/>
    <n v="0"/>
    <n v="0"/>
    <n v="0"/>
    <n v="12.904500000000001"/>
    <n v="2.0647200000000003"/>
    <n v="14.96922"/>
    <n v="0.25809000000000004"/>
    <n v="0"/>
    <n v="0.25809000000000004"/>
    <m/>
    <n v="12.646410000000001"/>
    <s v="BOLLORE"/>
    <n v="0.4"/>
    <n v="5.0585640000000005"/>
    <n v="5.0585640000000005"/>
    <d v="2023-10-30T00:00:00"/>
    <n v="0"/>
    <m/>
    <n v="14.96922"/>
    <n v="14.96922"/>
    <n v="0"/>
    <s v="SFA"/>
    <d v="2023-06-23T00:00:00"/>
    <m/>
    <s v="ONCE OFF"/>
    <s v="MARINE CARGO / GIT"/>
    <m/>
    <m/>
    <m/>
  </r>
  <r>
    <x v="4"/>
    <s v="Yes"/>
    <d v="2023-06-16T00:00:00"/>
    <d v="2023-05-23T00:00:00"/>
    <d v="2023-05-09T00:00:00"/>
    <d v="2024-05-07T00:00:00"/>
    <s v="000-486/AIB RDC/2023"/>
    <n v="0"/>
    <s v="SOUSCRIPTION"/>
    <s v="12002-33002-0021-111-00020340-2023"/>
    <s v="ORICA / Bolloré"/>
    <m/>
    <s v="SYNTYCHE"/>
    <s v="Victor"/>
    <s v="MARINE CARGO / GIT"/>
    <s v="MARINE"/>
    <x v="0"/>
    <s v="SFA"/>
    <n v="19650.400000000001"/>
    <n v="78.959999999999994"/>
    <n v="0"/>
    <n v="0"/>
    <n v="6.91"/>
    <n v="39.61"/>
    <n v="7.44"/>
    <n v="2.0157350486504091E-3"/>
    <n v="0.15"/>
    <n v="5.9414999999999996"/>
    <n v="0"/>
    <n v="0"/>
    <n v="0"/>
    <n v="5.9414999999999996"/>
    <n v="0.95063999999999993"/>
    <n v="6.8921399999999995"/>
    <n v="0.11882999999999999"/>
    <n v="0"/>
    <n v="0.11882999999999999"/>
    <m/>
    <n v="5.8226699999999996"/>
    <s v="BOLLORE"/>
    <n v="0.4"/>
    <n v="2.3290679999999999"/>
    <n v="2.3290679999999999"/>
    <d v="2023-10-30T00:00:00"/>
    <n v="0"/>
    <m/>
    <n v="6.8921399999999995"/>
    <n v="6.8921399999999995"/>
    <n v="0"/>
    <s v="SFA"/>
    <d v="2023-06-23T00:00:00"/>
    <m/>
    <s v="ONCE OFF"/>
    <s v="MARINE CARGO / GIT"/>
    <m/>
    <m/>
    <m/>
  </r>
  <r>
    <x v="4"/>
    <s v="Yes"/>
    <d v="2023-06-16T00:00:00"/>
    <d v="2023-05-23T00:00:00"/>
    <d v="2023-05-09T00:00:00"/>
    <d v="2024-05-07T00:00:00"/>
    <s v="000-487/AIB RDC/2023"/>
    <n v="0"/>
    <s v="SOUSCRIPTION"/>
    <s v="12002-33002-0021-111-00020338-2023"/>
    <s v="ORICA / Bolloré"/>
    <m/>
    <s v="SYNTYCHE"/>
    <s v="Victor"/>
    <s v="MARINE CARGO / GIT"/>
    <s v="MARINE"/>
    <x v="0"/>
    <s v="SFA"/>
    <n v="30707.599999999999"/>
    <n v="105.35"/>
    <n v="0"/>
    <n v="0"/>
    <n v="7.36"/>
    <n v="61.91"/>
    <n v="11.08"/>
    <n v="2.0161132748896041E-3"/>
    <n v="0.15"/>
    <n v="9.2864999999999984"/>
    <n v="0"/>
    <n v="0"/>
    <n v="0"/>
    <n v="9.2864999999999984"/>
    <n v="1.4858399999999998"/>
    <n v="10.772339999999998"/>
    <n v="0.18572999999999998"/>
    <n v="0"/>
    <n v="0.18572999999999998"/>
    <m/>
    <n v="9.1007699999999989"/>
    <s v="BOLLORE"/>
    <n v="0.4"/>
    <n v="3.6403079999999997"/>
    <n v="3.6403079999999997"/>
    <d v="2023-10-30T00:00:00"/>
    <n v="0"/>
    <m/>
    <n v="10.772339999999998"/>
    <n v="10.772339999999998"/>
    <n v="0"/>
    <s v="SFA"/>
    <d v="2023-06-23T00:00:00"/>
    <m/>
    <s v="ONCE OFF"/>
    <s v="MARINE CARGO / GIT"/>
    <m/>
    <m/>
    <m/>
  </r>
  <r>
    <x v="4"/>
    <s v="Yes"/>
    <d v="2023-06-16T00:00:00"/>
    <d v="2023-05-23T00:00:00"/>
    <d v="2023-05-05T00:00:00"/>
    <d v="2024-05-03T00:00:00"/>
    <s v="000-488/AIB RDC/2023"/>
    <n v="0"/>
    <s v="SOUSCRIPTION"/>
    <s v="12002-33002-0021-111-00020311-2023"/>
    <s v="ORICA / Bolloré"/>
    <m/>
    <s v="SYNTYCHE"/>
    <s v="Victor"/>
    <s v="MARINE CARGO / GIT"/>
    <s v="MARINE"/>
    <x v="0"/>
    <s v="SFA"/>
    <n v="187798"/>
    <n v="379.37"/>
    <n v="0"/>
    <n v="0"/>
    <n v="12.43"/>
    <n v="315.5"/>
    <n v="51.44"/>
    <n v="1.6799965920829827E-3"/>
    <n v="0.15"/>
    <n v="47.324999999999996"/>
    <n v="0"/>
    <n v="0"/>
    <n v="0"/>
    <n v="47.324999999999996"/>
    <n v="7.5719999999999992"/>
    <n v="54.896999999999991"/>
    <n v="0.9464999999999999"/>
    <n v="0"/>
    <n v="0.9464999999999999"/>
    <m/>
    <n v="46.378499999999995"/>
    <s v="BOLLORE"/>
    <n v="0.4"/>
    <n v="18.551399999999997"/>
    <n v="18.551399999999997"/>
    <d v="2023-10-30T00:00:00"/>
    <n v="0"/>
    <m/>
    <n v="54.896999999999991"/>
    <n v="54.896999999999991"/>
    <n v="0"/>
    <s v="SFA"/>
    <d v="2023-06-23T00:00:00"/>
    <m/>
    <s v="ONCE OFF"/>
    <s v="MARINE CARGO / GIT"/>
    <m/>
    <m/>
    <m/>
  </r>
  <r>
    <x v="6"/>
    <s v="Yes"/>
    <d v="2023-06-16T00:00:00"/>
    <d v="2023-05-10T00:00:00"/>
    <d v="2023-04-24T00:00:00"/>
    <d v="2024-04-22T00:00:00"/>
    <s v="000-489/AIB RDC/2023"/>
    <n v="0"/>
    <s v="SOUSCRIPTION"/>
    <s v="12002-33002-0021-111-00020083-2023"/>
    <s v="ORICA / Bolloré"/>
    <m/>
    <s v="SYNTYCHE"/>
    <s v="Victor"/>
    <s v="MARINE CARGO / GIT"/>
    <s v="MARINE"/>
    <x v="0"/>
    <s v="SFA"/>
    <n v="26704.400000000001"/>
    <n v="91.83"/>
    <n v="0"/>
    <n v="0"/>
    <n v="3.78"/>
    <n v="53.83"/>
    <n v="9.2200000000000006"/>
    <n v="2.0157726816554572E-3"/>
    <n v="0.15"/>
    <n v="8.0744999999999987"/>
    <n v="0"/>
    <n v="0"/>
    <n v="0"/>
    <n v="8.0744999999999987"/>
    <n v="1.2919199999999997"/>
    <n v="9.366419999999998"/>
    <n v="0.16148999999999997"/>
    <n v="0"/>
    <n v="0.16148999999999997"/>
    <m/>
    <n v="7.913009999999999"/>
    <s v="BOLLORE"/>
    <n v="0.4"/>
    <n v="3.1652039999999997"/>
    <n v="3.1652039999999997"/>
    <d v="2023-10-30T00:00:00"/>
    <n v="0"/>
    <m/>
    <n v="9.366419999999998"/>
    <n v="9.366419999999998"/>
    <n v="0"/>
    <s v="SFA"/>
    <d v="2023-06-23T00:00:00"/>
    <m/>
    <s v="ONCE OFF"/>
    <s v="MARINE CARGO / GIT"/>
    <m/>
    <m/>
    <m/>
  </r>
  <r>
    <x v="6"/>
    <s v="Yes"/>
    <d v="2023-06-16T00:00:00"/>
    <d v="2023-05-10T00:00:00"/>
    <d v="2023-04-24T00:00:00"/>
    <d v="2024-04-22T00:00:00"/>
    <s v="000-490/AIB RDC/2023"/>
    <n v="0"/>
    <s v="SOUSCRIPTION"/>
    <s v="12002-33002-0021-111-00020084-2023"/>
    <s v="ORICA / Bolloré"/>
    <m/>
    <s v="SYNTYCHE"/>
    <s v="Victor"/>
    <s v="MARINE CARGO / GIT"/>
    <s v="MARINE"/>
    <x v="0"/>
    <s v="SFA"/>
    <n v="34016.800000000003"/>
    <n v="109.5"/>
    <n v="0"/>
    <n v="0"/>
    <n v="4.26"/>
    <n v="68.58"/>
    <n v="11.66"/>
    <n v="2.0160626513957805E-3"/>
    <n v="0.15"/>
    <n v="10.286999999999999"/>
    <n v="0"/>
    <n v="0"/>
    <n v="0"/>
    <n v="10.286999999999999"/>
    <n v="1.6459199999999998"/>
    <n v="11.932919999999999"/>
    <n v="0.20573999999999998"/>
    <n v="0"/>
    <n v="0.20573999999999998"/>
    <m/>
    <n v="10.081259999999999"/>
    <s v="BOLLORE"/>
    <n v="0.4"/>
    <n v="4.0325039999999994"/>
    <n v="4.0325039999999994"/>
    <d v="2023-10-30T00:00:00"/>
    <n v="0"/>
    <m/>
    <n v="11.932919999999999"/>
    <n v="11.932919999999999"/>
    <n v="0"/>
    <s v="SFA"/>
    <d v="2023-06-23T00:00:00"/>
    <m/>
    <s v="ONCE OFF"/>
    <s v="MARINE CARGO / GIT"/>
    <m/>
    <m/>
    <m/>
  </r>
  <r>
    <x v="6"/>
    <s v="Yes"/>
    <d v="2023-06-16T00:00:00"/>
    <d v="2023-05-10T00:00:00"/>
    <d v="2023-04-24T00:00:00"/>
    <d v="2024-04-22T00:00:00"/>
    <s v="000-491/AIB RDC/2023"/>
    <n v="0"/>
    <s v="SOUSCRIPTION"/>
    <s v="12002-33002-0021-111-00020086-2023"/>
    <s v="ORICA / Bolloré"/>
    <m/>
    <s v="SYNTYCHE"/>
    <s v="Victor"/>
    <s v="MARINE CARGO / GIT"/>
    <s v="MARINE"/>
    <x v="0"/>
    <s v="SFA"/>
    <n v="38642.6"/>
    <n v="120.66"/>
    <n v="0"/>
    <n v="0"/>
    <n v="4.57"/>
    <n v="77.900000000000006"/>
    <n v="13.19"/>
    <n v="2.0159099025427898E-3"/>
    <n v="0.15"/>
    <n v="11.685"/>
    <n v="0"/>
    <n v="0"/>
    <n v="0"/>
    <n v="11.685"/>
    <n v="1.8696000000000002"/>
    <n v="13.554600000000001"/>
    <n v="0.23370000000000002"/>
    <n v="0"/>
    <n v="0.23370000000000002"/>
    <m/>
    <n v="11.4513"/>
    <s v="BOLLORE"/>
    <n v="0.4"/>
    <n v="4.5805199999999999"/>
    <n v="4.5805199999999999"/>
    <d v="2023-10-30T00:00:00"/>
    <n v="0"/>
    <m/>
    <n v="13.554600000000001"/>
    <n v="13.554600000000001"/>
    <n v="0"/>
    <s v="SFA"/>
    <d v="2023-06-23T00:00:00"/>
    <m/>
    <s v="ONCE OFF"/>
    <s v="MARINE CARGO / GIT"/>
    <m/>
    <m/>
    <m/>
  </r>
  <r>
    <x v="6"/>
    <s v="Yes"/>
    <d v="2023-06-16T00:00:00"/>
    <d v="2023-05-10T00:00:00"/>
    <d v="2023-04-24T00:00:00"/>
    <d v="2024-04-22T00:00:00"/>
    <s v="000-492/AIB RDC/2023"/>
    <n v="0"/>
    <s v="SOUSCRIPTION"/>
    <s v="12002-33002-0021-111-00020087-2023"/>
    <s v="ORICA / Bolloré"/>
    <m/>
    <s v="SYNTYCHE"/>
    <s v="Victor"/>
    <s v="MARINE CARGO / GIT"/>
    <s v="MARINE"/>
    <x v="0"/>
    <s v="SFA"/>
    <n v="27229.599999999999"/>
    <n v="93.11"/>
    <n v="0"/>
    <n v="0"/>
    <n v="3.82"/>
    <n v="54.9"/>
    <n v="9.39"/>
    <n v="2.0161882657108443E-3"/>
    <n v="0.15"/>
    <n v="8.2349999999999994"/>
    <n v="0"/>
    <n v="0"/>
    <n v="0"/>
    <n v="8.2349999999999994"/>
    <n v="1.3175999999999999"/>
    <n v="9.5526"/>
    <n v="0.16469999999999999"/>
    <n v="0"/>
    <n v="0.16469999999999999"/>
    <m/>
    <n v="8.0702999999999996"/>
    <s v="BOLLORE"/>
    <n v="0.4"/>
    <n v="3.2281200000000001"/>
    <n v="3.2281200000000001"/>
    <d v="2023-10-30T00:00:00"/>
    <n v="0"/>
    <m/>
    <n v="9.5526"/>
    <n v="9.5526"/>
    <n v="0"/>
    <s v="SFA"/>
    <d v="2023-06-23T00:00:00"/>
    <m/>
    <s v="ONCE OFF"/>
    <s v="MARINE CARGO / GIT"/>
    <m/>
    <m/>
    <m/>
  </r>
  <r>
    <x v="6"/>
    <s v="Yes"/>
    <d v="2023-06-16T00:00:00"/>
    <d v="2023-05-10T00:00:00"/>
    <d v="2023-04-24T00:00:00"/>
    <d v="2024-04-22T00:00:00"/>
    <s v="000-493/AIB RDC/2023"/>
    <n v="0"/>
    <s v="SOUSCRIPTION"/>
    <s v="12002-33002-0021-111-00020085-2023"/>
    <s v="ORICA / Bolloré"/>
    <m/>
    <s v="SYNTYCHE"/>
    <s v="Victor"/>
    <s v="MARINE CARGO / GIT"/>
    <s v="MARINE"/>
    <x v="0"/>
    <s v="SFA"/>
    <n v="21077.200000000001"/>
    <n v="78.25"/>
    <n v="0"/>
    <n v="0"/>
    <n v="3.42"/>
    <n v="42.49"/>
    <n v="7.34"/>
    <n v="2.0159224185375669E-3"/>
    <n v="0.15"/>
    <n v="6.3734999999999999"/>
    <n v="0"/>
    <n v="0"/>
    <n v="0"/>
    <n v="6.3734999999999999"/>
    <n v="1.01976"/>
    <n v="7.3932599999999997"/>
    <n v="0.12747"/>
    <n v="0"/>
    <n v="0.12747"/>
    <m/>
    <n v="6.2460300000000002"/>
    <s v="BOLLORE"/>
    <n v="0.4"/>
    <n v="2.4984120000000001"/>
    <n v="2.4984120000000001"/>
    <d v="2023-10-30T00:00:00"/>
    <n v="0"/>
    <m/>
    <n v="7.3932599999999997"/>
    <n v="7.3932599999999997"/>
    <n v="0"/>
    <s v="SFA"/>
    <d v="2023-06-23T00:00:00"/>
    <m/>
    <s v="ONCE OFF"/>
    <s v="MARINE CARGO / GIT"/>
    <m/>
    <m/>
    <m/>
  </r>
  <r>
    <x v="6"/>
    <s v="Yes"/>
    <d v="2023-06-16T00:00:00"/>
    <d v="2023-05-10T00:00:00"/>
    <d v="2023-04-24T00:00:00"/>
    <d v="2024-04-22T00:00:00"/>
    <s v="000-494/AIB RDC/2023"/>
    <n v="0"/>
    <s v="SOUSCRIPTION"/>
    <s v="12002-33002-0021-111-00020089-2023"/>
    <s v="ORICA / Bolloré"/>
    <m/>
    <s v="SYNTYCHE"/>
    <s v="Victor"/>
    <s v="MARINE CARGO / GIT"/>
    <s v="MARINE"/>
    <x v="0"/>
    <s v="SFA"/>
    <n v="26528.2"/>
    <n v="91.41"/>
    <n v="0"/>
    <n v="0"/>
    <n v="3.77"/>
    <n v="53.48"/>
    <n v="9.16"/>
    <n v="2.0159679133902788E-3"/>
    <n v="0.15"/>
    <n v="8.0219999999999985"/>
    <n v="0"/>
    <n v="0"/>
    <n v="0"/>
    <n v="8.0219999999999985"/>
    <n v="1.2835199999999998"/>
    <n v="9.3055199999999978"/>
    <n v="0.16043999999999997"/>
    <n v="0"/>
    <n v="0.16043999999999997"/>
    <m/>
    <n v="7.8615599999999981"/>
    <s v="BOLLORE"/>
    <n v="0.4"/>
    <n v="3.1446239999999994"/>
    <n v="3.1446239999999994"/>
    <d v="2023-10-30T00:00:00"/>
    <n v="0"/>
    <m/>
    <n v="9.3055199999999978"/>
    <n v="9.3055199999999978"/>
    <n v="0"/>
    <s v="SFA"/>
    <d v="2023-06-23T00:00:00"/>
    <m/>
    <s v="ONCE OFF"/>
    <s v="MARINE CARGO / GIT"/>
    <m/>
    <m/>
    <m/>
  </r>
  <r>
    <x v="6"/>
    <s v="Yes"/>
    <d v="2023-06-16T00:00:00"/>
    <d v="2023-05-10T00:00:00"/>
    <d v="2023-04-24T00:00:00"/>
    <d v="2024-04-22T00:00:00"/>
    <s v="000-495/AIB RDC/2023"/>
    <n v="0"/>
    <s v="SOUSCRIPTION"/>
    <s v="12002-33002-0021-111-00020088-2023"/>
    <s v="ORICA / Bolloré"/>
    <m/>
    <s v="SYNTYCHE"/>
    <s v="Victor"/>
    <s v="MARINE CARGO / GIT"/>
    <s v="MARINE"/>
    <x v="0"/>
    <s v="SFA"/>
    <n v="29245.8"/>
    <n v="97.97"/>
    <n v="0"/>
    <n v="0"/>
    <n v="3.95"/>
    <n v="58.96"/>
    <n v="10.06"/>
    <n v="2.0160159749434106E-3"/>
    <n v="0.15"/>
    <n v="8.8439999999999994"/>
    <n v="0"/>
    <n v="0"/>
    <n v="0"/>
    <n v="8.8439999999999994"/>
    <n v="1.4150399999999999"/>
    <n v="10.259039999999999"/>
    <n v="0.17687999999999998"/>
    <n v="0"/>
    <n v="0.17687999999999998"/>
    <m/>
    <n v="8.6671199999999988"/>
    <s v="BOLLORE"/>
    <n v="0.4"/>
    <n v="3.4668479999999997"/>
    <n v="3.4668479999999997"/>
    <d v="2023-10-30T00:00:00"/>
    <n v="0"/>
    <m/>
    <n v="10.259039999999999"/>
    <n v="10.259039999999999"/>
    <n v="0"/>
    <s v="SFA"/>
    <d v="2023-06-23T00:00:00"/>
    <m/>
    <s v="ONCE OFF"/>
    <s v="MARINE CARGO / GIT"/>
    <m/>
    <m/>
    <m/>
  </r>
  <r>
    <x v="6"/>
    <s v="Yes"/>
    <d v="2023-06-16T00:00:00"/>
    <d v="2023-05-10T00:00:00"/>
    <d v="2023-04-24T00:00:00"/>
    <d v="2024-04-22T00:00:00"/>
    <s v="000-496/AIB RDC/2023"/>
    <n v="0"/>
    <s v="SOUSCRIPTION"/>
    <s v="12002-33002-0021-111-00020082-2023"/>
    <s v="ORICA / Bolloré"/>
    <m/>
    <s v="SYNTYCHE"/>
    <s v="Victor"/>
    <s v="MARINE CARGO / GIT"/>
    <s v="MARINE"/>
    <x v="0"/>
    <s v="SFA"/>
    <n v="26717.8"/>
    <n v="91.88"/>
    <n v="0"/>
    <n v="0"/>
    <n v="3.79"/>
    <n v="53.87"/>
    <n v="9.2200000000000006"/>
    <n v="2.0162588237055447E-3"/>
    <n v="0.15"/>
    <n v="8.0804999999999989"/>
    <n v="0"/>
    <n v="0"/>
    <n v="0"/>
    <n v="8.0804999999999989"/>
    <n v="1.2928799999999998"/>
    <n v="9.3733799999999992"/>
    <n v="0.16160999999999998"/>
    <n v="0"/>
    <n v="0.16160999999999998"/>
    <m/>
    <n v="7.9188899999999993"/>
    <s v="BOLLORE"/>
    <n v="0.4"/>
    <n v="3.1675559999999998"/>
    <n v="3.1675559999999998"/>
    <d v="2023-10-30T00:00:00"/>
    <n v="0"/>
    <m/>
    <n v="9.3733799999999992"/>
    <n v="9.3733799999999992"/>
    <n v="0"/>
    <s v="SFA"/>
    <d v="2023-06-23T00:00:00"/>
    <m/>
    <s v="ONCE OFF"/>
    <s v="MARINE CARGO / GIT"/>
    <m/>
    <m/>
    <m/>
  </r>
  <r>
    <x v="6"/>
    <s v="Yes"/>
    <d v="2023-06-16T00:00:00"/>
    <d v="2023-05-10T00:00:00"/>
    <d v="2023-04-19T00:00:00"/>
    <d v="2024-04-17T00:00:00"/>
    <s v="000-497/AIB RDC/2023"/>
    <n v="0"/>
    <s v="SOUSCRIPTION"/>
    <s v="12002-33002-0021-111-00020124-2023"/>
    <s v="ORICA / Bolloré"/>
    <m/>
    <s v="SYNTYCHE"/>
    <s v="Victor"/>
    <s v="MARINE CARGO / GIT"/>
    <s v="MARINE"/>
    <x v="0"/>
    <s v="SFA"/>
    <n v="43890"/>
    <n v="119.34"/>
    <n v="0"/>
    <n v="0"/>
    <n v="7.59"/>
    <n v="73.739999999999995"/>
    <n v="13.01"/>
    <n v="1.6801093643198906E-3"/>
    <n v="0.15"/>
    <n v="11.060999999999998"/>
    <n v="0"/>
    <n v="0"/>
    <n v="0"/>
    <n v="11.060999999999998"/>
    <n v="1.7697599999999998"/>
    <n v="12.830759999999998"/>
    <n v="0.22121999999999997"/>
    <n v="0"/>
    <n v="0.22121999999999997"/>
    <m/>
    <n v="10.839779999999998"/>
    <s v="BOLLORE"/>
    <n v="0.4"/>
    <n v="4.3359119999999995"/>
    <n v="4.3359119999999995"/>
    <d v="2023-10-30T00:00:00"/>
    <n v="0"/>
    <m/>
    <n v="12.830759999999998"/>
    <n v="12.830759999999998"/>
    <n v="0"/>
    <s v="SFA"/>
    <d v="2023-06-23T00:00:00"/>
    <m/>
    <s v="ONCE OFF"/>
    <s v="MARINE CARGO / GIT"/>
    <m/>
    <m/>
    <m/>
  </r>
  <r>
    <x v="6"/>
    <s v="Yes"/>
    <d v="2023-06-16T00:00:00"/>
    <d v="2023-05-10T00:00:00"/>
    <d v="2023-04-19T00:00:00"/>
    <d v="2024-04-17T00:00:00"/>
    <s v="000-498/AIB RDC/2023"/>
    <n v="0"/>
    <s v="SOUSCRIPTION"/>
    <s v="12002-33002-0021-111-00020126-2023"/>
    <s v="ORICA / Bolloré"/>
    <m/>
    <s v="SYNTYCHE"/>
    <s v="Victor"/>
    <s v="MARINE CARGO / GIT"/>
    <s v="MARINE"/>
    <x v="0"/>
    <s v="SFA"/>
    <n v="19943"/>
    <n v="79.66"/>
    <n v="0"/>
    <n v="0"/>
    <n v="6.92"/>
    <n v="40.200000000000003"/>
    <n v="7.54"/>
    <n v="2.0157448728877303E-3"/>
    <n v="0.15"/>
    <n v="6.03"/>
    <n v="0"/>
    <n v="0"/>
    <n v="0"/>
    <n v="6.03"/>
    <n v="0.9648000000000001"/>
    <n v="6.9948000000000006"/>
    <n v="0.12060000000000001"/>
    <n v="0"/>
    <n v="0.12060000000000001"/>
    <m/>
    <n v="5.9094000000000007"/>
    <s v="BOLLORE"/>
    <n v="0.4"/>
    <n v="2.3637600000000005"/>
    <n v="2.3637600000000005"/>
    <d v="2023-10-30T00:00:00"/>
    <n v="0"/>
    <m/>
    <n v="6.9948000000000006"/>
    <n v="6.9948000000000006"/>
    <n v="0"/>
    <s v="SFA"/>
    <d v="2023-06-23T00:00:00"/>
    <m/>
    <s v="ONCE OFF"/>
    <s v="MARINE CARGO / GIT"/>
    <m/>
    <m/>
    <m/>
  </r>
  <r>
    <x v="6"/>
    <s v="Yes"/>
    <d v="2023-06-16T00:00:00"/>
    <d v="2023-05-10T00:00:00"/>
    <d v="2023-04-19T00:00:00"/>
    <d v="2024-04-17T00:00:00"/>
    <s v="000-499/AIB RDC/2023"/>
    <n v="0"/>
    <s v="SOUSCRIPTION"/>
    <s v="12002-33002-0021-111-00020127-2023"/>
    <s v="ORICA / Bolloré"/>
    <m/>
    <s v="SYNTYCHE"/>
    <s v="Victor"/>
    <s v="MARINE CARGO / GIT"/>
    <s v="MARINE"/>
    <x v="0"/>
    <s v="SFA"/>
    <n v="29337"/>
    <n v="90.42"/>
    <n v="0"/>
    <n v="0"/>
    <n v="7.11"/>
    <n v="49.29"/>
    <n v="9.02"/>
    <n v="1.6801308927293179E-3"/>
    <n v="0.15"/>
    <n v="7.3934999999999995"/>
    <n v="0"/>
    <n v="0"/>
    <n v="0"/>
    <n v="7.3934999999999995"/>
    <n v="1.18296"/>
    <n v="8.5764599999999991"/>
    <n v="0.14787"/>
    <n v="0"/>
    <n v="0.14787"/>
    <m/>
    <n v="7.2456299999999993"/>
    <s v="BOLLORE"/>
    <n v="0.4"/>
    <n v="2.8982519999999998"/>
    <n v="2.8982519999999998"/>
    <d v="2023-10-30T00:00:00"/>
    <n v="0"/>
    <m/>
    <n v="8.5764599999999991"/>
    <n v="8.5764599999999991"/>
    <n v="0"/>
    <s v="SFA"/>
    <d v="2023-06-23T00:00:00"/>
    <m/>
    <s v="ONCE OFF"/>
    <s v="MARINE CARGO / GIT"/>
    <m/>
    <m/>
    <m/>
  </r>
  <r>
    <x v="4"/>
    <s v="Yes"/>
    <d v="2023-06-16T00:00:00"/>
    <d v="2023-05-10T00:00:00"/>
    <d v="2023-05-10T00:00:00"/>
    <d v="2024-05-08T00:00:00"/>
    <s v="000-500/AIB RDC/2023"/>
    <n v="0"/>
    <s v="SOUSCRIPTION"/>
    <s v="12002-33002-0021-111-00020128-2023"/>
    <s v="ORICA / Bolloré"/>
    <m/>
    <s v="SYNTYCHE"/>
    <s v="Victor"/>
    <s v="MARINE CARGO / GIT"/>
    <s v="MARINE"/>
    <x v="0"/>
    <s v="SFA"/>
    <n v="31169.599999999999"/>
    <n v="106.44"/>
    <n v="0"/>
    <n v="0"/>
    <n v="7.38"/>
    <n v="62.83"/>
    <n v="11.23"/>
    <n v="2.0157461115959141E-3"/>
    <n v="0.15"/>
    <n v="9.4245000000000001"/>
    <n v="0"/>
    <n v="0"/>
    <n v="0"/>
    <n v="9.4245000000000001"/>
    <n v="1.5079200000000001"/>
    <n v="10.93242"/>
    <n v="0.18849000000000002"/>
    <n v="0"/>
    <n v="0.18849000000000002"/>
    <m/>
    <n v="9.2360100000000003"/>
    <s v="BOLLORE"/>
    <n v="0.4"/>
    <n v="3.6944040000000005"/>
    <n v="3.6944040000000005"/>
    <d v="2023-10-30T00:00:00"/>
    <n v="0"/>
    <m/>
    <n v="10.93242"/>
    <n v="10.93242"/>
    <n v="0"/>
    <s v="SFA"/>
    <d v="2023-06-23T00:00:00"/>
    <m/>
    <s v="ONCE OFF"/>
    <s v="MARINE CARGO / GIT"/>
    <m/>
    <m/>
    <m/>
  </r>
  <r>
    <x v="6"/>
    <s v="Yes"/>
    <d v="2023-06-19T00:00:00"/>
    <d v="2023-05-08T00:00:00"/>
    <d v="2023-04-27T00:00:00"/>
    <d v="2024-04-25T00:00:00"/>
    <s v="000-501/AIB RDC/2023"/>
    <n v="0"/>
    <s v="SOUSCRIPTION"/>
    <s v="12002-33002-0021-111-00020036-2023"/>
    <s v="ORICA / Bolloré"/>
    <m/>
    <s v="SYNTYCHE"/>
    <s v="Victor"/>
    <s v="MARINE CARGO / GIT"/>
    <s v="MARINE"/>
    <x v="0"/>
    <s v="SFA"/>
    <n v="19866"/>
    <n v="75.31"/>
    <n v="0"/>
    <n v="0"/>
    <n v="3.33"/>
    <n v="40.04"/>
    <n v="6.94"/>
    <n v="2.0155038759689923E-3"/>
    <n v="0.15"/>
    <n v="6.0059999999999993"/>
    <n v="0"/>
    <n v="0"/>
    <n v="0"/>
    <n v="6.0059999999999993"/>
    <n v="0.96095999999999993"/>
    <n v="6.9669599999999994"/>
    <n v="0.12011999999999999"/>
    <n v="0"/>
    <n v="0.12011999999999999"/>
    <m/>
    <n v="5.8858799999999993"/>
    <s v="BOLLORE"/>
    <n v="0.4"/>
    <n v="2.354352"/>
    <n v="2.354352"/>
    <d v="2023-10-30T00:00:00"/>
    <n v="0"/>
    <m/>
    <n v="6.9669599999999994"/>
    <n v="6.9669599999999994"/>
    <n v="0"/>
    <s v="SFA"/>
    <d v="2023-06-23T00:00:00"/>
    <m/>
    <s v="ONCE OFF"/>
    <s v="MARINE CARGO / GIT"/>
    <m/>
    <m/>
    <m/>
  </r>
  <r>
    <x v="6"/>
    <s v="Yes"/>
    <d v="2023-06-19T00:00:00"/>
    <d v="2023-05-08T00:00:00"/>
    <d v="2023-04-27T00:00:00"/>
    <d v="2024-04-25T00:00:00"/>
    <s v="000-502/AIB RDC/2023"/>
    <n v="0"/>
    <s v="SOUSCRIPTION"/>
    <s v="12002-33002-0021-111-00020015-2023"/>
    <s v="ORICA / Bolloré"/>
    <m/>
    <s v="SYNTYCHE"/>
    <s v="Victor"/>
    <s v="MARINE CARGO / GIT"/>
    <s v="MARINE"/>
    <x v="0"/>
    <s v="SFA"/>
    <n v="43430"/>
    <n v="132.22"/>
    <n v="0"/>
    <n v="0"/>
    <n v="4.88"/>
    <n v="87.55"/>
    <n v="14.79"/>
    <n v="2.0158876352751555E-3"/>
    <n v="0.15"/>
    <n v="13.132499999999999"/>
    <n v="0"/>
    <n v="0"/>
    <n v="0"/>
    <n v="13.132499999999999"/>
    <n v="2.1012"/>
    <n v="15.233699999999999"/>
    <n v="0.26264999999999999"/>
    <n v="0"/>
    <n v="0.26264999999999999"/>
    <m/>
    <n v="12.869849999999998"/>
    <s v="BOLLORE"/>
    <n v="0.4"/>
    <n v="5.1479399999999993"/>
    <n v="5.1479399999999993"/>
    <d v="2023-10-30T00:00:00"/>
    <n v="0"/>
    <m/>
    <n v="15.233699999999999"/>
    <n v="15.233699999999999"/>
    <n v="0"/>
    <s v="SFA"/>
    <d v="2023-06-23T00:00:00"/>
    <m/>
    <s v="ONCE OFF"/>
    <s v="MARINE CARGO / GIT"/>
    <m/>
    <m/>
    <m/>
  </r>
  <r>
    <x v="6"/>
    <s v="Yes"/>
    <d v="2023-06-19T00:00:00"/>
    <d v="2023-05-08T00:00:00"/>
    <d v="2023-04-27T00:00:00"/>
    <d v="2024-04-25T00:00:00"/>
    <s v="000-503/AIB RDC/2023"/>
    <n v="0"/>
    <s v="SOUSCRIPTION"/>
    <s v="12002-33002-0021-111-00020037-2023"/>
    <s v="ORICA / Bolloré"/>
    <m/>
    <s v="SYNTYCHE"/>
    <s v="Victor"/>
    <s v="MARINE CARGO / GIT"/>
    <s v="MARINE"/>
    <x v="0"/>
    <s v="SFA"/>
    <n v="6688"/>
    <n v="45.33"/>
    <n v="0"/>
    <n v="0"/>
    <n v="2.5299999999999998"/>
    <n v="15"/>
    <n v="2.8"/>
    <n v="2.242822966507177E-3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n v="0.88200000000000012"/>
    <d v="2023-10-30T00:00:00"/>
    <n v="0"/>
    <m/>
    <n v="2.61"/>
    <n v="2.61"/>
    <n v="0"/>
    <s v="SFA"/>
    <d v="2023-06-23T00:00:00"/>
    <m/>
    <s v="ONCE OFF"/>
    <s v="MARINE CARGO / GIT"/>
    <m/>
    <m/>
    <m/>
  </r>
  <r>
    <x v="6"/>
    <s v="Yes"/>
    <d v="2023-06-19T00:00:00"/>
    <d v="2023-05-08T00:00:00"/>
    <d v="2023-04-27T00:00:00"/>
    <d v="2024-04-25T00:00:00"/>
    <s v="000-504/AIB RDC/2023"/>
    <n v="0"/>
    <s v="SOUSCRIPTION"/>
    <s v="12002-33002-0021-111-00020038-2023"/>
    <s v="ORICA / Bolloré"/>
    <m/>
    <s v="SYNTYCHE"/>
    <s v="Victor"/>
    <s v="MARINE CARGO / GIT"/>
    <s v="MARINE"/>
    <x v="0"/>
    <s v="SFA"/>
    <n v="16799"/>
    <n v="64.989999999999995"/>
    <n v="0"/>
    <n v="0"/>
    <n v="3.05"/>
    <n v="31.42"/>
    <n v="5.52"/>
    <n v="1.8703494255610455E-3"/>
    <n v="0.15"/>
    <n v="4.7130000000000001"/>
    <n v="0"/>
    <n v="0"/>
    <n v="0"/>
    <n v="4.7130000000000001"/>
    <n v="0.75408000000000008"/>
    <n v="5.4670800000000002"/>
    <n v="9.426000000000001E-2"/>
    <n v="0"/>
    <n v="9.426000000000001E-2"/>
    <m/>
    <n v="4.6187399999999998"/>
    <s v="BOLLORE"/>
    <n v="0.4"/>
    <n v="1.847496"/>
    <n v="1.847496"/>
    <d v="2023-10-30T00:00:00"/>
    <n v="0"/>
    <m/>
    <n v="5.4670800000000002"/>
    <n v="5.4670800000000002"/>
    <n v="0"/>
    <s v="SFA"/>
    <d v="2023-06-23T00:00:00"/>
    <m/>
    <s v="ONCE OFF"/>
    <s v="MARINE CARGO / GIT"/>
    <m/>
    <m/>
    <m/>
  </r>
  <r>
    <x v="2"/>
    <s v="Yes"/>
    <d v="2023-06-19T00:00:00"/>
    <d v="2023-05-08T00:00:00"/>
    <d v="2023-03-30T00:00:00"/>
    <d v="2024-03-28T00:00:00"/>
    <s v="000-505/AIB RDC/2023"/>
    <n v="0"/>
    <s v="SOUSCRIPTION"/>
    <s v="12002-33002-0021-111-00020000-2023"/>
    <s v="ORICA / Bolloré"/>
    <m/>
    <s v="SYNTYCHE"/>
    <s v="Victor"/>
    <s v="MARINE CARGO / GIT"/>
    <s v="MARINE"/>
    <x v="0"/>
    <s v="SFA"/>
    <n v="26361"/>
    <n v="91.02"/>
    <n v="0"/>
    <n v="0"/>
    <n v="2.8"/>
    <n v="53.15"/>
    <n v="8.9499999999999993"/>
    <n v="2.0162361063692574E-3"/>
    <n v="0.15"/>
    <n v="7.9724999999999993"/>
    <n v="0"/>
    <n v="0"/>
    <n v="0"/>
    <n v="7.9724999999999993"/>
    <n v="1.2755999999999998"/>
    <n v="9.2480999999999991"/>
    <n v="0.15944999999999998"/>
    <n v="0"/>
    <n v="0.15944999999999998"/>
    <m/>
    <n v="7.8130499999999996"/>
    <s v="BOLLORE"/>
    <n v="0.4"/>
    <n v="3.1252200000000001"/>
    <n v="3.1252200000000001"/>
    <d v="2023-10-30T00:00:00"/>
    <n v="0"/>
    <m/>
    <n v="9.2480999999999991"/>
    <n v="9.2480999999999991"/>
    <n v="0"/>
    <s v="SFA"/>
    <d v="2023-06-23T00:00:00"/>
    <m/>
    <s v="ONCE OFF"/>
    <s v="MARINE CARGO / GIT"/>
    <m/>
    <m/>
    <m/>
  </r>
  <r>
    <x v="2"/>
    <s v="Yes"/>
    <d v="2023-06-19T00:00:00"/>
    <d v="2023-05-08T00:00:00"/>
    <d v="2023-03-30T00:00:00"/>
    <d v="2024-03-28T00:00:00"/>
    <s v="000-506/AIB RDC/2023"/>
    <n v="0"/>
    <s v="SOUSCRIPTION"/>
    <s v="12002-33002-0021-111-00020003-2023"/>
    <s v="ORICA / Bolloré"/>
    <m/>
    <s v="SYNTYCHE"/>
    <s v="Victor"/>
    <s v="MARINE CARGO / GIT"/>
    <s v="MARINE"/>
    <x v="0"/>
    <s v="SFA"/>
    <n v="33592.6"/>
    <n v="108.49"/>
    <n v="0"/>
    <n v="0"/>
    <n v="3.02"/>
    <n v="67.73"/>
    <n v="11.32"/>
    <n v="2.0162178575043317E-3"/>
    <n v="0.15"/>
    <n v="10.1595"/>
    <n v="0"/>
    <n v="0"/>
    <n v="0"/>
    <n v="10.1595"/>
    <n v="1.6255199999999999"/>
    <n v="11.785019999999999"/>
    <n v="0.20318999999999998"/>
    <n v="0"/>
    <n v="0.20318999999999998"/>
    <m/>
    <n v="9.9563100000000002"/>
    <s v="BOLLORE"/>
    <n v="0.4"/>
    <n v="3.9825240000000002"/>
    <n v="3.9825240000000002"/>
    <d v="2023-10-30T00:00:00"/>
    <n v="0"/>
    <m/>
    <n v="11.785019999999999"/>
    <n v="11.785019999999999"/>
    <n v="0"/>
    <s v="SFA"/>
    <d v="2023-06-23T00:00:00"/>
    <m/>
    <s v="ONCE OFF"/>
    <s v="MARINE CARGO / GIT"/>
    <m/>
    <m/>
    <m/>
  </r>
  <r>
    <x v="6"/>
    <s v="Yes"/>
    <d v="2023-06-19T00:00:00"/>
    <d v="2023-05-08T00:00:00"/>
    <d v="2023-04-01T00:00:00"/>
    <d v="2024-03-30T00:00:00"/>
    <s v="000-507/AIB RDC/2023"/>
    <n v="0"/>
    <s v="SOUSCRIPTION"/>
    <s v="12002-33002-0021-111-00020022-2023"/>
    <s v="ORICA / Bolloré"/>
    <m/>
    <s v="SYNTYCHE"/>
    <s v="Victor"/>
    <s v="MARINE CARGO / GIT"/>
    <s v="MARINE"/>
    <x v="0"/>
    <s v="SFA"/>
    <n v="26344"/>
    <n v="119.39"/>
    <n v="0"/>
    <n v="0"/>
    <n v="3.6"/>
    <n v="77.77"/>
    <n v="13.02"/>
    <n v="2.952095353780747E-3"/>
    <n v="0.15"/>
    <n v="11.6655"/>
    <n v="0"/>
    <n v="0"/>
    <n v="0"/>
    <n v="11.6655"/>
    <n v="1.8664799999999999"/>
    <n v="13.531979999999999"/>
    <n v="0.23330999999999999"/>
    <n v="0"/>
    <n v="0.23330999999999999"/>
    <m/>
    <n v="11.43219"/>
    <s v="BOLLORE"/>
    <n v="0.4"/>
    <n v="4.5728759999999999"/>
    <n v="4.5728759999999999"/>
    <d v="2023-10-30T00:00:00"/>
    <n v="0"/>
    <m/>
    <n v="13.531979999999999"/>
    <n v="13.531979999999999"/>
    <n v="0"/>
    <s v="SFA"/>
    <d v="2023-06-23T00:00:00"/>
    <m/>
    <s v="ONCE OFF"/>
    <s v="MARINE CARGO / GIT"/>
    <m/>
    <m/>
    <m/>
  </r>
  <r>
    <x v="6"/>
    <s v="Yes"/>
    <d v="2023-06-19T00:00:00"/>
    <d v="2023-05-08T00:00:00"/>
    <d v="2023-04-08T00:00:00"/>
    <d v="2024-04-06T00:00:00"/>
    <s v="000-508/AIB RDC/2023"/>
    <n v="0"/>
    <s v="SOUSCRIPTION"/>
    <s v="12002-33002-0021-111-00020020-2023"/>
    <s v="ORICA / Bolloré"/>
    <m/>
    <s v="SYNTYCHE"/>
    <s v="Victor"/>
    <s v="MARINE CARGO / GIT"/>
    <s v="MARINE"/>
    <x v="0"/>
    <s v="SFA"/>
    <n v="38683"/>
    <n v="126.23"/>
    <n v="0"/>
    <n v="0"/>
    <n v="3.71"/>
    <n v="83.56"/>
    <n v="13.96"/>
    <n v="2.1601220174236745E-3"/>
    <n v="0.15"/>
    <n v="12.534000000000001"/>
    <n v="0"/>
    <n v="0"/>
    <n v="0"/>
    <n v="12.534000000000001"/>
    <n v="2.0054400000000001"/>
    <n v="14.539440000000001"/>
    <n v="0.25068000000000001"/>
    <n v="0"/>
    <n v="0.25068000000000001"/>
    <m/>
    <n v="12.28332"/>
    <s v="BOLLORE"/>
    <n v="0.4"/>
    <n v="4.9133279999999999"/>
    <n v="4.9133279999999999"/>
    <d v="2023-10-30T00:00:00"/>
    <n v="0"/>
    <m/>
    <n v="14.539440000000001"/>
    <n v="14.539440000000001"/>
    <n v="0"/>
    <s v="SFA"/>
    <d v="2023-06-23T00:00:00"/>
    <m/>
    <s v="ONCE OFF"/>
    <s v="MARINE CARGO / GIT"/>
    <m/>
    <m/>
    <m/>
  </r>
  <r>
    <x v="6"/>
    <s v="Yes"/>
    <d v="2023-06-19T00:00:00"/>
    <d v="2023-05-10T00:00:00"/>
    <d v="2023-04-19T00:00:00"/>
    <d v="2023-04-17T00:00:00"/>
    <s v="000-509/AIB RDC/2023"/>
    <n v="0"/>
    <s v="SOUSCRIPTION"/>
    <s v="12002-33002-0021-111-00020110-2023"/>
    <s v="ORICA / Bolloré"/>
    <m/>
    <s v="SYNTYCHE"/>
    <s v="Victor"/>
    <s v="MARINE CARGO / GIT"/>
    <s v="MARINE"/>
    <x v="0"/>
    <s v="SFA"/>
    <n v="0"/>
    <n v="89.32"/>
    <n v="0"/>
    <n v="0"/>
    <n v="2"/>
    <n v="52.36"/>
    <n v="8.8699999999999992"/>
    <e v="#DIV/0!"/>
    <n v="0.15"/>
    <n v="7.8539999999999992"/>
    <n v="0"/>
    <n v="0"/>
    <n v="0"/>
    <n v="7.8539999999999992"/>
    <n v="1.25664"/>
    <n v="9.1106400000000001"/>
    <n v="0.15708"/>
    <n v="0"/>
    <n v="0.15708"/>
    <m/>
    <n v="7.6969199999999995"/>
    <s v="BOLLORE"/>
    <n v="0.4"/>
    <n v="3.0787680000000002"/>
    <n v="3.0787680000000002"/>
    <d v="2023-10-30T00:00:00"/>
    <n v="0"/>
    <m/>
    <n v="9.1106400000000001"/>
    <n v="9.1106400000000001"/>
    <n v="0"/>
    <s v="SFA"/>
    <d v="2023-06-23T00:00:00"/>
    <m/>
    <s v="ONCE OFF"/>
    <s v="MARINE CARGO / GIT"/>
    <m/>
    <m/>
    <m/>
  </r>
  <r>
    <x v="4"/>
    <s v="Yes"/>
    <d v="2023-06-20T00:00:00"/>
    <d v="2023-06-20T00:00:00"/>
    <d v="2023-05-06T00:00:00"/>
    <d v="2024-05-04T00:00:00"/>
    <s v="000-510/AIB RDC/2023"/>
    <n v="0"/>
    <s v="SOUSCRIPTION"/>
    <s v="12002-33002-0021-111-00020832-2023"/>
    <s v="PANACO / Bolloré"/>
    <m/>
    <s v="SYNTYCHE"/>
    <s v="Victor"/>
    <s v="MARINE CARGO / GIT"/>
    <s v="MARINE"/>
    <x v="0"/>
    <s v="SFA"/>
    <n v="53500"/>
    <n v="172.63"/>
    <n v="0"/>
    <n v="0"/>
    <n v="8.5"/>
    <n v="118.77"/>
    <n v="20.36"/>
    <n v="2.2199999999999998E-3"/>
    <n v="0.15"/>
    <n v="17.8155"/>
    <n v="0"/>
    <n v="0"/>
    <n v="0"/>
    <n v="17.8155"/>
    <n v="2.8504800000000001"/>
    <n v="20.665980000000001"/>
    <n v="0.35631000000000002"/>
    <n v="0"/>
    <n v="0.35631000000000002"/>
    <m/>
    <n v="17.45919"/>
    <s v="BOLLORE"/>
    <n v="0.4"/>
    <n v="6.983676"/>
    <n v="6.983676"/>
    <d v="2023-10-30T00:00:00"/>
    <n v="0"/>
    <m/>
    <n v="20.665980000000001"/>
    <n v="20.665980000000001"/>
    <n v="0"/>
    <s v="SFA"/>
    <d v="2023-08-25T00:00:00"/>
    <m/>
    <s v="ONCE OFF"/>
    <s v="MARINE CARGO / GIT"/>
    <m/>
    <m/>
    <m/>
  </r>
  <r>
    <x v="4"/>
    <s v="Yes"/>
    <d v="2023-06-20T00:00:00"/>
    <d v="2023-06-20T00:00:00"/>
    <d v="2023-05-18T00:00:00"/>
    <d v="2024-05-16T00:00:00"/>
    <s v="000-511/AIB RDC/2023"/>
    <n v="0"/>
    <s v="SOUSCRIPTION"/>
    <s v="12002-33002-0021-111-00020831-2023"/>
    <s v="PANACO / Bolloré"/>
    <m/>
    <s v="SYNTYCHE"/>
    <s v="Victor"/>
    <s v="MARINE CARGO / GIT"/>
    <s v="MARINE"/>
    <x v="0"/>
    <s v="SFA"/>
    <n v="20053.57"/>
    <n v="69.11"/>
    <n v="0"/>
    <n v="0"/>
    <n v="6.5"/>
    <n v="31.28"/>
    <n v="6.08"/>
    <n v="1.5598220167281937E-3"/>
    <n v="0.15"/>
    <n v="4.6920000000000002"/>
    <n v="0"/>
    <n v="0"/>
    <n v="0"/>
    <n v="4.6920000000000002"/>
    <n v="0.75072000000000005"/>
    <n v="5.4427200000000004"/>
    <n v="9.3840000000000007E-2"/>
    <n v="0"/>
    <n v="9.3840000000000007E-2"/>
    <m/>
    <n v="4.59816"/>
    <s v="BOLLORE"/>
    <n v="0.4"/>
    <n v="1.839264"/>
    <n v="1.839264"/>
    <d v="2023-10-30T00:00:00"/>
    <n v="0"/>
    <m/>
    <n v="5.4427200000000004"/>
    <n v="5.4427200000000004"/>
    <n v="0"/>
    <s v="SFA"/>
    <d v="2023-08-25T00:00:00"/>
    <m/>
    <s v="ONCE OFF"/>
    <s v="MARINE CARGO / GIT"/>
    <m/>
    <m/>
    <m/>
  </r>
  <r>
    <x v="3"/>
    <s v="No"/>
    <d v="2023-06-21T00:00:00"/>
    <d v="2023-06-21T00:00:00"/>
    <d v="2023-06-21T00:00:00"/>
    <d v="2024-06-19T00:00:00"/>
    <s v="000-512/AIB RDC/2023"/>
    <n v="0"/>
    <s v="SOUSCRIPTION"/>
    <s v="12002-33002-0021-111-00020837-2023"/>
    <s v="PANACO / Bolloré"/>
    <m/>
    <s v="SYNTYCHE"/>
    <s v="Victor"/>
    <s v="MARINE CARGO / GIT"/>
    <s v="MARINE"/>
    <x v="0"/>
    <s v="SFA"/>
    <n v="201183.05"/>
    <n v="477.71"/>
    <n v="0"/>
    <n v="0"/>
    <n v="13.65"/>
    <n v="376.62"/>
    <n v="62.44"/>
    <n v="1.8720264952738317E-3"/>
    <n v="0.15"/>
    <n v="56.493000000000002"/>
    <n v="0"/>
    <n v="0"/>
    <n v="0"/>
    <n v="56.493000000000002"/>
    <n v="9.0388800000000007"/>
    <n v="65.531880000000001"/>
    <n v="1.1298600000000001"/>
    <n v="0"/>
    <n v="1.1298600000000001"/>
    <m/>
    <n v="55.363140000000001"/>
    <s v="BOLLORE"/>
    <n v="0.4"/>
    <n v="22.145256000000003"/>
    <n v="22.145256000000003"/>
    <d v="2023-10-30T00:00:00"/>
    <n v="0"/>
    <m/>
    <n v="65.531880000000001"/>
    <n v="65.531880000000001"/>
    <n v="0"/>
    <s v="SFA"/>
    <d v="2023-07-28T00:00:00"/>
    <m/>
    <s v="ONCE OFF"/>
    <s v="MARINE CARGO / GIT"/>
    <m/>
    <m/>
    <m/>
  </r>
  <r>
    <x v="3"/>
    <s v="No"/>
    <d v="2023-06-21T00:00:00"/>
    <d v="2023-06-21T00:00:00"/>
    <d v="2023-06-16T00:00:00"/>
    <d v="2024-06-14T00:00:00"/>
    <s v="000-513/AIB RDC/2023"/>
    <n v="0"/>
    <s v="SOUSCRIPTION"/>
    <s v="12002-33002-0021-111-00020836-2023"/>
    <s v="PANACO / Bolloré"/>
    <m/>
    <s v="SYNTYCHE"/>
    <s v="Victor"/>
    <s v="MARINE CARGO / GIT"/>
    <s v="MARINE"/>
    <x v="0"/>
    <s v="SFA"/>
    <n v="245045.23"/>
    <n v="576.30999999999995"/>
    <n v="0"/>
    <n v="0"/>
    <n v="15.32"/>
    <n v="459.95"/>
    <n v="76.040000000000006"/>
    <n v="1.8770004215140201E-3"/>
    <n v="0.15"/>
    <n v="68.992499999999993"/>
    <n v="0"/>
    <n v="0"/>
    <n v="0"/>
    <n v="68.992499999999993"/>
    <n v="11.038799999999998"/>
    <n v="80.031299999999987"/>
    <n v="1.3798499999999998"/>
    <n v="0"/>
    <n v="1.3798499999999998"/>
    <m/>
    <n v="67.612649999999988"/>
    <s v="BOLLORE"/>
    <n v="0.4"/>
    <n v="27.045059999999996"/>
    <n v="27.045059999999996"/>
    <d v="2023-10-30T00:00:00"/>
    <n v="0"/>
    <m/>
    <n v="80.031299999999987"/>
    <n v="80.031299999999987"/>
    <n v="0"/>
    <s v="SFA"/>
    <d v="2023-07-28T00:00:00"/>
    <m/>
    <s v="ONCE OFF"/>
    <s v="MARINE CARGO / GIT"/>
    <m/>
    <m/>
    <m/>
  </r>
  <r>
    <x v="3"/>
    <s v="Yes"/>
    <d v="2023-07-06T00:00:00"/>
    <d v="2023-07-06T00:00:00"/>
    <d v="2023-06-26T00:00:00"/>
    <d v="2023-11-20T00:00:00"/>
    <s v="000-514/AIB RDC/2023"/>
    <n v="0"/>
    <s v="SOUSCRIPTION"/>
    <s v="33002-0017-104-0009267 / 0001"/>
    <s v="THEO MBIYE"/>
    <m/>
    <s v="MICHEE"/>
    <s v="Tychique"/>
    <s v="COMP MOTOR"/>
    <s v="MOTOR COMP"/>
    <x v="4"/>
    <s v="SUNU"/>
    <n v="14000"/>
    <n v="827.66"/>
    <n v="0"/>
    <n v="0"/>
    <n v="10"/>
    <n v="703.5"/>
    <n v="114.16"/>
    <n v="5.0250000000000003E-2"/>
    <n v="0.15"/>
    <n v="105.52499999999999"/>
    <n v="0"/>
    <n v="0"/>
    <n v="0"/>
    <n v="105.52499999999999"/>
    <n v="16.884"/>
    <n v="122.40899999999999"/>
    <n v="2.1105"/>
    <n v="0"/>
    <n v="2.1105"/>
    <m/>
    <n v="103.41449999999999"/>
    <m/>
    <m/>
    <n v="0"/>
    <m/>
    <m/>
    <n v="0"/>
    <m/>
    <n v="122.40899999999999"/>
    <n v="122.40899999999999"/>
    <n v="0"/>
    <s v="SUNU"/>
    <d v="2023-09-06T00:00:00"/>
    <m/>
    <m/>
    <m/>
    <m/>
    <m/>
    <m/>
  </r>
  <r>
    <x v="3"/>
    <s v="No"/>
    <d v="2023-06-27T00:00:00"/>
    <m/>
    <d v="2023-06-15T00:00:00"/>
    <d v="2024-06-14T00:00:00"/>
    <s v="000-515/AIB RDC/2023"/>
    <n v="1"/>
    <s v="RENOUVELLEMENT"/>
    <m/>
    <s v="GARDAWOLD DRC SARL"/>
    <m/>
    <s v="MICHEE"/>
    <s v="Tychique"/>
    <s v="GENERAL LIABILITY"/>
    <s v="LIABILITIES"/>
    <x v="0"/>
    <s v="AIG"/>
    <n v="1000000"/>
    <n v="7774.67"/>
    <n v="0"/>
    <n v="0"/>
    <n v="174.06"/>
    <n v="6528.24"/>
    <n v="1072.3699999999999"/>
    <n v="6.5282399999999994E-3"/>
    <n v="0.15"/>
    <n v="979.23599999999988"/>
    <n v="0"/>
    <n v="0"/>
    <n v="0"/>
    <n v="979.23599999999988"/>
    <n v="156.67775999999998"/>
    <n v="1135.9137599999999"/>
    <n v="19.584719999999997"/>
    <n v="0"/>
    <n v="19.584719999999997"/>
    <m/>
    <n v="959.65127999999993"/>
    <m/>
    <m/>
    <n v="0"/>
    <m/>
    <m/>
    <n v="0"/>
    <m/>
    <m/>
    <n v="1135.9137599999999"/>
    <n v="1135.9137599999999"/>
    <s v="SFA"/>
    <m/>
    <m/>
    <m/>
    <m/>
    <m/>
    <m/>
    <m/>
  </r>
  <r>
    <x v="3"/>
    <s v="Yes"/>
    <d v="2023-06-21T00:00:00"/>
    <d v="2023-06-21T00:00:00"/>
    <d v="2023-04-21T00:00:00"/>
    <d v="2024-04-19T00:00:00"/>
    <s v="000-516/AIB RDC/2023"/>
    <n v="0"/>
    <s v="SOUSCRIPTION"/>
    <s v="12002-33002-0021-111-00020849-2023"/>
    <s v="PANACO / Bolloré"/>
    <m/>
    <s v="SYNTYCHE"/>
    <s v="Victor"/>
    <s v="MARINE CARGO / GIT"/>
    <s v="MARINE"/>
    <x v="0"/>
    <s v="SFA"/>
    <n v="94014.39"/>
    <n v="203.01"/>
    <n v="0"/>
    <n v="0"/>
    <n v="6.8"/>
    <n v="146.66"/>
    <n v="24.55"/>
    <n v="1.5599739571782575E-3"/>
    <n v="0.15"/>
    <n v="21.998999999999999"/>
    <n v="0"/>
    <n v="0"/>
    <n v="0"/>
    <n v="21.998999999999999"/>
    <n v="3.5198399999999999"/>
    <n v="25.518839999999997"/>
    <n v="0.43997999999999998"/>
    <n v="0"/>
    <n v="0.43997999999999998"/>
    <m/>
    <n v="21.55902"/>
    <s v="BOLLORE"/>
    <n v="0.4"/>
    <n v="8.6236080000000008"/>
    <n v="8.6236080000000008"/>
    <d v="2023-10-30T00:00:00"/>
    <n v="0"/>
    <m/>
    <n v="25.518839999999997"/>
    <n v="25.518839999999997"/>
    <n v="0"/>
    <s v="SFA"/>
    <d v="2023-07-28T00:00:00"/>
    <m/>
    <s v="ONCE OFF"/>
    <s v="MARINE CARGO / GIT"/>
    <m/>
    <m/>
    <m/>
  </r>
  <r>
    <x v="3"/>
    <s v="No"/>
    <d v="2023-06-22T00:00:00"/>
    <d v="2023-06-21T00:00:00"/>
    <d v="2023-06-08T00:00:00"/>
    <d v="2024-06-06T00:00:00"/>
    <s v="000-517/AIB RDC/2023"/>
    <n v="0"/>
    <s v="SOUSCRIPTION"/>
    <s v="12002-33002-0021-111-00020855-2023"/>
    <s v="PANACO / Bolloré"/>
    <m/>
    <s v="SYNTYCHE"/>
    <s v="Victor"/>
    <s v="MARINE CARGO / GIT"/>
    <s v="MARINE"/>
    <x v="0"/>
    <s v="SFA"/>
    <n v="103680"/>
    <n v="223.46"/>
    <n v="0"/>
    <n v="0"/>
    <n v="9.35"/>
    <n v="161.74"/>
    <n v="27.37"/>
    <n v="1.5599922839506174E-3"/>
    <n v="0.15"/>
    <n v="24.260999999999999"/>
    <n v="0"/>
    <n v="0"/>
    <n v="0"/>
    <n v="24.260999999999999"/>
    <n v="3.8817599999999999"/>
    <n v="28.142759999999999"/>
    <n v="0.48521999999999998"/>
    <n v="0"/>
    <n v="0.48521999999999998"/>
    <m/>
    <n v="23.775779999999997"/>
    <s v="BOLLORE"/>
    <n v="0.4"/>
    <n v="9.510311999999999"/>
    <n v="9.510311999999999"/>
    <d v="2023-10-30T00:00:00"/>
    <n v="0"/>
    <m/>
    <n v="28.142759999999999"/>
    <n v="28.142759999999999"/>
    <n v="0"/>
    <s v="SFA"/>
    <d v="2023-07-28T00:00:00"/>
    <m/>
    <s v="ONCE OFF"/>
    <s v="MARINE CARGO / GIT"/>
    <m/>
    <m/>
    <m/>
  </r>
  <r>
    <x v="3"/>
    <s v="No"/>
    <d v="2023-06-22T00:00:00"/>
    <d v="2023-06-21T00:00:00"/>
    <d v="2023-06-16T00:00:00"/>
    <d v="2024-06-14T00:00:00"/>
    <s v="000-518/AIB RDC/2023"/>
    <n v="0"/>
    <s v="SOUSCRIPTION"/>
    <s v="12002-33002-0021-111-00020860-2023"/>
    <s v="PANACO / Bolloré"/>
    <m/>
    <s v="SYNTYCHE"/>
    <s v="Victor"/>
    <s v="MARINE CARGO / GIT"/>
    <s v="MARINE"/>
    <x v="0"/>
    <s v="SFA"/>
    <n v="63521.04"/>
    <n v="149.34"/>
    <n v="0"/>
    <n v="0"/>
    <n v="8.1"/>
    <n v="99.09"/>
    <n v="17.149999999999999"/>
    <n v="1.5599555674781144E-3"/>
    <n v="0.15"/>
    <n v="14.8635"/>
    <n v="0"/>
    <n v="0"/>
    <n v="0"/>
    <n v="14.8635"/>
    <n v="2.3781600000000003"/>
    <n v="17.24166"/>
    <n v="0.29727000000000003"/>
    <n v="0"/>
    <n v="0.29727000000000003"/>
    <m/>
    <n v="14.566230000000001"/>
    <s v="BOLLORE"/>
    <n v="0.4"/>
    <n v="5.8264920000000009"/>
    <n v="5.8264920000000009"/>
    <d v="2023-10-30T00:00:00"/>
    <n v="0"/>
    <m/>
    <n v="17.24166"/>
    <n v="17.24166"/>
    <n v="0"/>
    <s v="SFA"/>
    <d v="2023-07-28T00:00:00"/>
    <m/>
    <s v="ONCE OFF"/>
    <s v="MARINE CARGO / GIT"/>
    <m/>
    <m/>
    <m/>
  </r>
  <r>
    <x v="3"/>
    <s v="No"/>
    <d v="2023-06-22T00:00:00"/>
    <d v="2023-06-21T00:00:00"/>
    <d v="2023-06-16T00:00:00"/>
    <d v="2024-06-14T00:00:00"/>
    <s v="000-519/AIB RDC/2023"/>
    <n v="0"/>
    <s v="SOUSCRIPTION"/>
    <s v="12002-33002-0021-111-00020859-2023"/>
    <s v="Airtel Congo RDC S.A / Bolloré"/>
    <m/>
    <s v="SYNTYCHE"/>
    <s v="Victor"/>
    <s v="MARINE CARGO / GIT"/>
    <s v="MARINE"/>
    <x v="0"/>
    <s v="SFA"/>
    <n v="375888.48"/>
    <n v="725.92"/>
    <n v="0"/>
    <n v="0"/>
    <n v="17.850000000000001"/>
    <n v="586.39"/>
    <n v="96.68"/>
    <n v="1.5600105648356131E-3"/>
    <n v="0.15"/>
    <n v="87.958500000000001"/>
    <n v="0"/>
    <n v="0"/>
    <n v="0"/>
    <n v="87.958500000000001"/>
    <n v="14.073360000000001"/>
    <n v="102.03185999999999"/>
    <n v="1.7591700000000001"/>
    <m/>
    <n v="1.7591700000000001"/>
    <m/>
    <n v="86.199330000000003"/>
    <s v="BOLLORE"/>
    <n v="0.4"/>
    <n v="34.479732000000006"/>
    <n v="34.479732000000006"/>
    <d v="2023-10-30T00:00:00"/>
    <n v="0"/>
    <m/>
    <n v="102.03185999999999"/>
    <n v="102.03185999999999"/>
    <n v="0"/>
    <s v="SFA"/>
    <d v="2023-07-28T00:00:00"/>
    <m/>
    <s v="ONCE OFF"/>
    <s v="MARINE CARGO / GIT"/>
    <m/>
    <m/>
    <m/>
  </r>
  <r>
    <x v="6"/>
    <s v="Yes"/>
    <d v="2023-06-23T00:00:00"/>
    <d v="2023-06-23T00:00:00"/>
    <d v="2023-04-19T00:00:00"/>
    <d v="2024-04-17T00:00:00"/>
    <s v="000-520/AIB RDC/2023"/>
    <n v="0"/>
    <s v="SOUSCRIPTION"/>
    <s v="12002-33002-0021-111-00020886-2023"/>
    <s v="HELIOS INFRACO DRC SARL ( HT) / Bolloré"/>
    <m/>
    <s v="SYNTYCHE"/>
    <s v="Victor"/>
    <s v="MARINE CARGO / GIT"/>
    <s v="MARINE"/>
    <x v="0"/>
    <s v="SFA"/>
    <n v="398460"/>
    <n v="1086.83"/>
    <n v="0"/>
    <n v="0"/>
    <n v="30.79"/>
    <n v="884.58"/>
    <n v="146.46"/>
    <n v="2.2199969884053607E-3"/>
    <n v="0.15"/>
    <n v="132.68700000000001"/>
    <n v="0"/>
    <n v="0"/>
    <n v="0"/>
    <n v="132.68700000000001"/>
    <n v="21.229920000000003"/>
    <n v="153.91692"/>
    <n v="2.6537400000000004"/>
    <n v="0"/>
    <n v="2.6537400000000004"/>
    <m/>
    <n v="130.03326000000001"/>
    <s v="BOLLORE"/>
    <n v="0.4"/>
    <n v="52.013304000000005"/>
    <n v="52.013304000000005"/>
    <d v="2023-10-30T00:00:00"/>
    <n v="0"/>
    <m/>
    <n v="153.91692"/>
    <n v="153.91692"/>
    <n v="0"/>
    <s v="SFA"/>
    <d v="2023-07-28T00:00:00"/>
    <m/>
    <s v="ONCE OFF"/>
    <s v="MARINE CARGO / GIT"/>
    <m/>
    <m/>
    <m/>
  </r>
  <r>
    <x v="6"/>
    <s v="Yes"/>
    <d v="2023-06-23T00:00:00"/>
    <d v="2023-06-23T00:00:00"/>
    <d v="2023-04-19T00:00:00"/>
    <d v="2024-04-17T00:00:00"/>
    <s v="000-521/AIB RDC/2023"/>
    <n v="0"/>
    <s v="SOUSCRIPTION"/>
    <s v="12002-33002-0021-111-00020887-2023"/>
    <s v="HELIOS INFRACO DRC SARL ( HT) / Bolloré"/>
    <m/>
    <s v="SYNTYCHE"/>
    <s v="Victor"/>
    <s v="MARINE CARGO / GIT"/>
    <s v="MARINE"/>
    <x v="0"/>
    <s v="SFA"/>
    <n v="57155"/>
    <n v="179.31"/>
    <n v="0"/>
    <n v="0"/>
    <n v="6.15"/>
    <n v="126.88"/>
    <n v="21.28"/>
    <n v="2.2199282652436356E-3"/>
    <n v="0.15"/>
    <n v="19.032"/>
    <n v="0"/>
    <n v="0"/>
    <n v="0"/>
    <n v="19.032"/>
    <n v="3.0451200000000003"/>
    <n v="22.077120000000001"/>
    <n v="0.38064000000000003"/>
    <n v="0"/>
    <n v="0.38064000000000003"/>
    <m/>
    <n v="18.65136"/>
    <s v="BOLLORE"/>
    <n v="0.4"/>
    <n v="7.4605440000000005"/>
    <n v="7.4605440000000005"/>
    <d v="2023-10-30T00:00:00"/>
    <n v="0"/>
    <m/>
    <n v="22.077120000000001"/>
    <n v="22.077120000000001"/>
    <n v="0"/>
    <s v="SFA"/>
    <d v="2023-07-28T00:00:00"/>
    <m/>
    <s v="ONCE OFF"/>
    <s v="MARINE CARGO / GIT"/>
    <m/>
    <m/>
    <m/>
  </r>
  <r>
    <x v="0"/>
    <s v="Yes"/>
    <d v="2023-06-23T00:00:00"/>
    <d v="2023-03-30T00:00:00"/>
    <d v="2023-01-01T00:00:00"/>
    <d v="2023-12-31T00:00:00"/>
    <s v="000-522/AIB RDC/2023"/>
    <n v="0"/>
    <s v="SOUSCRIPTION"/>
    <s v="12001-33002-0012-114-00000207-2023"/>
    <s v="CEGELEC RDC"/>
    <m/>
    <s v="ANDY"/>
    <s v="Andy"/>
    <s v="TRC"/>
    <s v="CONSTRUCTIONS"/>
    <x v="1"/>
    <s v="ACTIVA"/>
    <n v="0"/>
    <n v="5578.94"/>
    <n v="0"/>
    <n v="0"/>
    <n v="47.62"/>
    <n v="4761.8100000000004"/>
    <n v="769.51"/>
    <e v="#DIV/0!"/>
    <n v="0.15"/>
    <n v="714.27150000000006"/>
    <n v="0"/>
    <n v="0"/>
    <n v="0"/>
    <n v="714.27150000000006"/>
    <n v="114.28344000000001"/>
    <n v="828.5549400000001"/>
    <n v="14.285430000000002"/>
    <n v="0"/>
    <n v="14.285430000000002"/>
    <m/>
    <n v="699.98607000000004"/>
    <s v="OLEA"/>
    <m/>
    <n v="0"/>
    <m/>
    <m/>
    <n v="0"/>
    <m/>
    <n v="828.5549400000001"/>
    <n v="828.5549400000001"/>
    <n v="0"/>
    <s v="ACTIVA"/>
    <d v="2023-07-07T00:00:00"/>
    <m/>
    <m/>
    <m/>
    <m/>
    <m/>
    <m/>
  </r>
  <r>
    <x v="0"/>
    <s v="Yes"/>
    <d v="2023-06-23T00:00:00"/>
    <d v="2023-04-11T00:00:00"/>
    <d v="2023-01-01T00:00:00"/>
    <d v="2023-12-31T00:00:00"/>
    <s v="000-523/AIB RDC/2023"/>
    <n v="1"/>
    <s v="RENOUVELLEMENT"/>
    <s v="12001-13001-0014-111-00002001-2022"/>
    <s v="CEGELEC RDC"/>
    <m/>
    <s v="ANDY"/>
    <s v="Andy"/>
    <s v="MARINE CARGO / GIT"/>
    <s v="MARINE"/>
    <x v="1"/>
    <s v="ACTIVA"/>
    <n v="0"/>
    <n v="2479.5300000000002"/>
    <n v="0"/>
    <n v="0"/>
    <n v="21.16"/>
    <n v="2116.36"/>
    <n v="342"/>
    <e v="#DIV/0!"/>
    <n v="0.15"/>
    <n v="317.45400000000001"/>
    <n v="0"/>
    <n v="0"/>
    <n v="0"/>
    <n v="317.45400000000001"/>
    <n v="50.792640000000006"/>
    <n v="368.24664000000001"/>
    <n v="6.3490800000000007"/>
    <n v="0"/>
    <n v="6.3490800000000007"/>
    <m/>
    <n v="311.10491999999999"/>
    <s v="OLEA"/>
    <m/>
    <n v="0"/>
    <m/>
    <m/>
    <n v="0"/>
    <m/>
    <n v="368.24664000000001"/>
    <n v="368.24664000000001"/>
    <n v="0"/>
    <s v="ACTIVA"/>
    <d v="2023-07-07T00:00:00"/>
    <m/>
    <m/>
    <m/>
    <m/>
    <m/>
    <m/>
  </r>
  <r>
    <x v="4"/>
    <s v="Yes"/>
    <d v="2023-06-23T00:00:00"/>
    <d v="2023-05-02T00:00:00"/>
    <d v="2023-05-02T00:00:00"/>
    <d v="2024-01-31T00:00:00"/>
    <s v="000-524/AIB RDC/2023"/>
    <n v="31"/>
    <s v="INCORPORATION"/>
    <s v="12001-33002-9001-103-00001852"/>
    <s v="CFAO RDC / Loxea RDC"/>
    <s v="Distribution"/>
    <s v="ANDY"/>
    <s v="Sabrina"/>
    <s v="COMP MOTOR"/>
    <s v="MOTOR COMP"/>
    <x v="1"/>
    <s v="ACTIVA"/>
    <n v="78108"/>
    <n v="2931.95"/>
    <n v="0"/>
    <n v="0"/>
    <n v="25.03"/>
    <n v="2502.52"/>
    <n v="404.41"/>
    <n v="3.2039227735955342E-2"/>
    <n v="0.14705177181401147"/>
    <n v="368"/>
    <n v="0"/>
    <n v="0"/>
    <n v="75.075599999999994"/>
    <n v="443.07560000000001"/>
    <n v="70.892096000000009"/>
    <n v="513.96769600000005"/>
    <n v="7.36"/>
    <n v="0"/>
    <n v="7.36"/>
    <m/>
    <n v="435.71559999999999"/>
    <s v="Aucun"/>
    <m/>
    <n v="0"/>
    <m/>
    <m/>
    <n v="0"/>
    <m/>
    <n v="426.88"/>
    <n v="513.96769600000005"/>
    <n v="87.087696000000051"/>
    <s v="ACTIVA"/>
    <d v="2023-07-07T00:00:00"/>
    <m/>
    <m/>
    <s v="COMP MOTOR"/>
    <m/>
    <m/>
    <m/>
  </r>
  <r>
    <x v="4"/>
    <s v="Yes"/>
    <d v="2023-06-23T00:00:00"/>
    <d v="2023-05-04T00:00:00"/>
    <d v="2023-05-04T00:00:00"/>
    <d v="2024-01-31T00:00:00"/>
    <s v="000-525/AIB RDC/2023"/>
    <n v="32"/>
    <s v="INCORPORATION"/>
    <s v="12001-33002-9001-103-00001852"/>
    <s v="CFAO RDC / Loxea RDC"/>
    <s v="Distribution"/>
    <s v="ANDY"/>
    <s v="Sabrina"/>
    <s v="COMP MOTOR"/>
    <s v="MOTOR COMP"/>
    <x v="1"/>
    <s v="ACTIVA"/>
    <n v="60480"/>
    <n v="2233.62"/>
    <n v="0"/>
    <n v="0"/>
    <n v="19.059999999999999"/>
    <n v="1906.47"/>
    <n v="308.08480000000003"/>
    <n v="3.1522321428571427E-2"/>
    <n v="0.14705712652179159"/>
    <n v="280.36"/>
    <n v="0"/>
    <n v="0"/>
    <n v="57.194099999999999"/>
    <n v="337.55410000000001"/>
    <n v="54.008656000000002"/>
    <n v="391.56275600000004"/>
    <n v="5.6072000000000006"/>
    <n v="0"/>
    <n v="5.6072000000000006"/>
    <m/>
    <n v="331.94690000000003"/>
    <s v="Aucun"/>
    <m/>
    <n v="0"/>
    <m/>
    <m/>
    <n v="0"/>
    <m/>
    <n v="325.22000000000003"/>
    <n v="391.56275600000004"/>
    <n v="66.342756000000008"/>
    <s v="ACTIVA"/>
    <d v="2023-07-07T00:00:00"/>
    <m/>
    <m/>
    <s v="COMP MOTOR"/>
    <m/>
    <m/>
    <m/>
  </r>
  <r>
    <x v="4"/>
    <s v="Yes"/>
    <d v="2023-06-23T00:00:00"/>
    <d v="2023-05-22T00:00:00"/>
    <d v="2023-05-13T00:00:00"/>
    <d v="2023-12-31T00:00:00"/>
    <s v="000-526/AIB RDC/2023"/>
    <n v="2"/>
    <s v="INCORPORATION"/>
    <s v="12001-33002-0001-103-00004929-2022"/>
    <s v="Bolloré Transport &amp; Logistics"/>
    <s v="Transport"/>
    <s v="SYNTYCHE"/>
    <s v="Syntyche"/>
    <s v="MOTOR TPL"/>
    <s v="MOTOR TPL"/>
    <x v="1"/>
    <s v="ACTIVA"/>
    <n v="0"/>
    <n v="320.27"/>
    <n v="0"/>
    <n v="0"/>
    <n v="10"/>
    <n v="259.2"/>
    <n v="43.07"/>
    <e v="#DIV/0!"/>
    <n v="0.1"/>
    <n v="25.92"/>
    <n v="0"/>
    <n v="0"/>
    <n v="0"/>
    <n v="25.92"/>
    <n v="4.1472000000000007"/>
    <n v="30.067200000000003"/>
    <n v="0.51840000000000008"/>
    <n v="0"/>
    <n v="0.51840000000000008"/>
    <m/>
    <n v="25.401600000000002"/>
    <s v="OLEA"/>
    <m/>
    <n v="0"/>
    <m/>
    <m/>
    <n v="0"/>
    <m/>
    <n v="30.067200000000003"/>
    <n v="30.067200000000003"/>
    <n v="0"/>
    <s v="ACTIVA"/>
    <d v="2023-07-07T00:00:00"/>
    <m/>
    <m/>
    <s v="MOTOR TPL"/>
    <m/>
    <m/>
    <m/>
  </r>
  <r>
    <x v="0"/>
    <s v="Yes"/>
    <d v="2023-06-23T00:00:00"/>
    <d v="2022-11-23T00:00:00"/>
    <d v="2023-01-01T00:00:00"/>
    <d v="2023-12-31T00:00:00"/>
    <s v="000-527/AIB RDC/2023"/>
    <n v="0"/>
    <s v="SOUSCRIPTION"/>
    <s v="12001-13001-0008-102-00000463-2023"/>
    <s v="OPPORTUNITY INTERNATIONAL"/>
    <m/>
    <s v="ALICE"/>
    <s v="Apphia"/>
    <s v="MEDICAL"/>
    <s v="MEDICAL &amp; GPA"/>
    <x v="2"/>
    <s v="ACTIVA/GGA"/>
    <n v="0"/>
    <n v="25345"/>
    <n v="0"/>
    <n v="0"/>
    <n v="0"/>
    <n v="13686.39"/>
    <n v="0"/>
    <e v="#DIV/0!"/>
    <n v="6.5541753523025423E-2"/>
    <n v="897.02999999999986"/>
    <n v="0"/>
    <n v="0"/>
    <n v="0"/>
    <n v="897.02999999999986"/>
    <n v="0"/>
    <n v="897.02999999999986"/>
    <n v="17.940599999999996"/>
    <m/>
    <n v="17.940599999999996"/>
    <m/>
    <n v="879.08939999999984"/>
    <m/>
    <n v="0"/>
    <n v="0"/>
    <m/>
    <m/>
    <n v="0"/>
    <m/>
    <n v="897.02999999999986"/>
    <n v="897.02999999999986"/>
    <n v="0"/>
    <s v="ACTIVA/GGA"/>
    <d v="2023-08-08T00:00:00"/>
    <m/>
    <m/>
    <s v="MEDICAL"/>
    <m/>
    <m/>
    <m/>
  </r>
  <r>
    <x v="3"/>
    <s v="Yes"/>
    <d v="2023-06-26T00:00:00"/>
    <d v="2023-06-21T00:00:00"/>
    <d v="2023-06-06T00:00:00"/>
    <d v="2024-06-04T00:00:00"/>
    <s v="000-528/AIB RDC/2023"/>
    <n v="0"/>
    <s v="SOUSCRIPTION"/>
    <s v="12002-33002-0021-111-00020856-2023"/>
    <s v="Airtel Congo RDC S.A / Bolloré"/>
    <m/>
    <s v="SYNTYCHE"/>
    <s v="Victor"/>
    <s v="MARINE CARGO / GIT"/>
    <s v="MARINE"/>
    <x v="0"/>
    <s v="SFA"/>
    <n v="80230"/>
    <n v="209.8"/>
    <n v="0"/>
    <n v="0"/>
    <n v="9.1199999999999992"/>
    <n v="150.19"/>
    <n v="25.49"/>
    <n v="1.8719930200673065E-3"/>
    <n v="0.15"/>
    <n v="22.528499999999998"/>
    <n v="0"/>
    <n v="0"/>
    <n v="0"/>
    <n v="22.528499999999998"/>
    <n v="3.6045599999999998"/>
    <n v="26.133059999999997"/>
    <n v="0.45056999999999997"/>
    <m/>
    <n v="0.45056999999999997"/>
    <m/>
    <n v="22.077929999999999"/>
    <s v="BOLLORE"/>
    <n v="0.4"/>
    <n v="8.8311720000000005"/>
    <n v="8.8311720000000005"/>
    <d v="2023-10-30T00:00:00"/>
    <n v="0"/>
    <m/>
    <n v="26.133059999999997"/>
    <n v="26.133059999999997"/>
    <n v="0"/>
    <s v="SFA"/>
    <d v="2023-07-28T00:00:00"/>
    <m/>
    <s v="ONCE OFF"/>
    <s v="MARINE CARGO / GIT"/>
    <m/>
    <m/>
    <m/>
  </r>
  <r>
    <x v="7"/>
    <s v="Yes"/>
    <d v="2023-07-06T00:00:00"/>
    <d v="2023-07-05T00:00:00"/>
    <d v="2023-07-05T00:00:00"/>
    <d v="2024-07-04T00:00:00"/>
    <s v="000-529/AIB RDC/2023"/>
    <n v="0"/>
    <s v="SOUSCRIPTION"/>
    <s v="12002-33002-0021-111-00021096-2023"/>
    <s v="PROGRAMME ALIMENTAIRE MONDIAL - PAM / Bolloré"/>
    <m/>
    <s v="SYNTYCHE"/>
    <s v="Victor"/>
    <s v="MARINE CARGO / GIT"/>
    <s v="MARINE"/>
    <x v="0"/>
    <s v="SFA"/>
    <n v="65943"/>
    <n v="320.79000000000002"/>
    <n v="0"/>
    <n v="0"/>
    <n v="11"/>
    <n v="243.99"/>
    <n v="40.799999999999997"/>
    <n v="3.7000136481506758E-3"/>
    <n v="0.15"/>
    <n v="36.598500000000001"/>
    <n v="0"/>
    <n v="0"/>
    <n v="0"/>
    <n v="36.598500000000001"/>
    <n v="5.8557600000000001"/>
    <n v="42.454260000000005"/>
    <n v="0.73197000000000001"/>
    <n v="0"/>
    <n v="0.73197000000000001"/>
    <m/>
    <n v="35.866530000000004"/>
    <s v="BOLLORE"/>
    <n v="0.4"/>
    <n v="14.346612000000002"/>
    <m/>
    <m/>
    <n v="14.346612000000002"/>
    <m/>
    <n v="42.454260000000005"/>
    <n v="42.454260000000005"/>
    <n v="0"/>
    <s v="SFA"/>
    <d v="2023-11-07T00:00:00"/>
    <m/>
    <s v="ONCE OFF"/>
    <s v="MARINE CARGO / GIT"/>
    <m/>
    <m/>
    <m/>
  </r>
  <r>
    <x v="3"/>
    <s v="No"/>
    <d v="2023-06-08T00:00:00"/>
    <m/>
    <m/>
    <m/>
    <s v="000-530/AIB RDC/2023"/>
    <n v="0"/>
    <s v="SOUSCRIPTION"/>
    <m/>
    <s v="PROGRAMME DE CONTROLE DE LA PRODUCTION ET DE LA COMMERCIALISATION DES BOIS (PCPCB)"/>
    <m/>
    <s v="MICHEE"/>
    <s v="Tychique"/>
    <s v="MACHINARY BREAKDOWN"/>
    <s v="PROPERTIES"/>
    <x v="0"/>
    <s v="SFA"/>
    <n v="1810872"/>
    <n v="12998.61"/>
    <n v="0"/>
    <n v="0"/>
    <n v="284.33"/>
    <n v="10921.37"/>
    <n v="1792.91"/>
    <n v="6.0310005345491019E-3"/>
    <n v="0.15"/>
    <n v="1638.2055"/>
    <n v="0"/>
    <n v="0"/>
    <n v="0"/>
    <n v="1638.2055"/>
    <n v="262.11288000000002"/>
    <n v="1900.3183800000002"/>
    <n v="32.764110000000002"/>
    <n v="0"/>
    <n v="32.764110000000002"/>
    <m/>
    <n v="1605.44139"/>
    <m/>
    <m/>
    <n v="0"/>
    <m/>
    <m/>
    <n v="0"/>
    <m/>
    <m/>
    <n v="1900.3183800000002"/>
    <n v="1900.3183800000002"/>
    <s v="SFA"/>
    <m/>
    <m/>
    <m/>
    <s v="MACHINARY BREAKDOWN"/>
    <m/>
    <m/>
    <m/>
  </r>
  <r>
    <x v="3"/>
    <s v="Yes"/>
    <d v="2023-05-05T00:00:00"/>
    <d v="2023-05-05T00:00:00"/>
    <d v="2023-06-03T00:00:00"/>
    <d v="2023-09-02T00:00:00"/>
    <s v="000-531/AIB RDC/2023"/>
    <n v="0"/>
    <s v="SOUSCRIPTION"/>
    <s v="301-73200029"/>
    <s v="SHAMITUMBA SAS"/>
    <m/>
    <s v="MICHEE"/>
    <s v="Tychique"/>
    <s v="MARINE CARGO / GIT"/>
    <s v="MARINE"/>
    <x v="6"/>
    <s v="RAWSUR"/>
    <n v="17435"/>
    <n v="125.95"/>
    <n v="0"/>
    <n v="0"/>
    <n v="37"/>
    <n v="69.739999999999995"/>
    <n v="17.079999999999998"/>
    <n v="4.0000000000000001E-3"/>
    <n v="0.15"/>
    <n v="10.460999999999999"/>
    <n v="0"/>
    <n v="0"/>
    <n v="0"/>
    <n v="10.460999999999999"/>
    <n v="1.6737599999999997"/>
    <n v="12.134759999999998"/>
    <n v="0.20921999999999996"/>
    <n v="0"/>
    <n v="0.20921999999999996"/>
    <m/>
    <n v="10.251779999999998"/>
    <m/>
    <m/>
    <n v="0"/>
    <m/>
    <m/>
    <n v="0"/>
    <m/>
    <n v="12.134759999999998"/>
    <n v="12.134759999999998"/>
    <n v="0"/>
    <s v="RAWSUR"/>
    <d v="2023-08-15T00:00:00"/>
    <m/>
    <m/>
    <m/>
    <m/>
    <m/>
    <m/>
  </r>
  <r>
    <x v="3"/>
    <s v="Yes"/>
    <d v="2023-06-13T00:00:00"/>
    <d v="2023-06-12T00:00:00"/>
    <d v="2023-06-12T00:00:00"/>
    <d v="2024-06-11T00:00:00"/>
    <s v="000-532/AIB RDC/2023"/>
    <n v="0"/>
    <s v="SOUSCRIPTION"/>
    <s v="12005-33002-0003-13002-00006088-2023"/>
    <s v="GOLDEN AFRICAN RESSOURCES  SARL"/>
    <m/>
    <s v="MICHEE"/>
    <s v="Tychique"/>
    <s v="MOTOR TPL"/>
    <s v="MOTOR TPL"/>
    <x v="5"/>
    <s v="MAYFAIR"/>
    <n v="0"/>
    <n v="10819.19"/>
    <n v="0"/>
    <n v="0"/>
    <n v="150"/>
    <n v="9018.7999999999993"/>
    <n v="147.01"/>
    <e v="#DIV/0!"/>
    <n v="0.1"/>
    <n v="901.88"/>
    <n v="0"/>
    <n v="0"/>
    <n v="0"/>
    <n v="901.88"/>
    <n v="144.30080000000001"/>
    <n v="1046.1808000000001"/>
    <n v="18.037600000000001"/>
    <n v="0"/>
    <n v="18.037600000000001"/>
    <m/>
    <n v="883.8424"/>
    <m/>
    <m/>
    <n v="0"/>
    <m/>
    <m/>
    <n v="0"/>
    <m/>
    <n v="1046.1808000000001"/>
    <n v="1046.1808000000001"/>
    <n v="0"/>
    <s v="MAYFAIR"/>
    <d v="2023-08-08T00:00:00"/>
    <m/>
    <m/>
    <m/>
    <m/>
    <m/>
    <m/>
  </r>
  <r>
    <x v="4"/>
    <s v="Yes"/>
    <d v="2023-06-12T00:00:00"/>
    <d v="2023-06-14T00:00:00"/>
    <d v="2023-06-01T00:00:00"/>
    <d v="2024-05-31T00:00:00"/>
    <s v="000-533/AIB RDC/2023"/>
    <n v="1"/>
    <s v="RENOUVELLEMENT"/>
    <s v="12005-33002-0008-13001-000-2588-2022"/>
    <s v="FABRI METAL CONGO SARL ( FAMECO)"/>
    <m/>
    <s v="MICHEE"/>
    <s v="Tychique"/>
    <s v="PROPERTY DAMAGE &amp; BI"/>
    <s v="PROPERTIES"/>
    <x v="5"/>
    <s v="MAYFAIR"/>
    <n v="25282343"/>
    <n v="60219"/>
    <n v="0"/>
    <n v="0"/>
    <n v="100"/>
    <n v="50933"/>
    <n v="8165"/>
    <n v="2.0145680327175374E-3"/>
    <n v="0.15"/>
    <n v="7639.95"/>
    <n v="0"/>
    <n v="0"/>
    <n v="0"/>
    <n v="7639.95"/>
    <n v="1222.3920000000001"/>
    <n v="8862.3420000000006"/>
    <n v="152.79900000000001"/>
    <n v="0"/>
    <n v="152.79900000000001"/>
    <m/>
    <n v="7487.1509999999998"/>
    <m/>
    <m/>
    <n v="0"/>
    <m/>
    <m/>
    <n v="0"/>
    <m/>
    <n v="4431.17"/>
    <n v="8862.3420000000006"/>
    <n v="4431.1720000000005"/>
    <s v="MAYFAIR"/>
    <d v="2023-08-08T00:00:00"/>
    <m/>
    <m/>
    <m/>
    <m/>
    <m/>
    <s v="01-11-2023/ confirmation que c'est déjà payée cfr Michée"/>
  </r>
  <r>
    <x v="7"/>
    <s v="Yes"/>
    <d v="2023-06-16T00:00:00"/>
    <d v="2023-07-17T00:00:00"/>
    <d v="2023-07-01T00:00:00"/>
    <d v="2024-06-29T00:00:00"/>
    <s v="000-534/AIB RDC/2023"/>
    <n v="0"/>
    <s v="SOUSCRIPTION"/>
    <s v="12002-33002-0023-113-00021252-2023"/>
    <s v="RAWSUR"/>
    <s v="INSURANCE"/>
    <s v="MICHEE"/>
    <s v="Tychique"/>
    <s v="PI"/>
    <s v="LIABILITIES"/>
    <x v="0"/>
    <s v="ALLIANZ"/>
    <n v="5000000"/>
    <n v="29892.3"/>
    <n v="3772.06"/>
    <n v="0"/>
    <n v="622.16"/>
    <n v="21375"/>
    <n v="4123.08"/>
    <n v="4.2750000000000002E-3"/>
    <n v="0"/>
    <n v="0"/>
    <n v="2565"/>
    <n v="1131.6199999999999"/>
    <n v="0"/>
    <n v="3696.62"/>
    <n v="591.45920000000001"/>
    <n v="4288.0792000000001"/>
    <n v="73.932400000000001"/>
    <n v="0"/>
    <n v="73.932400000000001"/>
    <m/>
    <n v="3622.6875999999997"/>
    <m/>
    <m/>
    <n v="0"/>
    <m/>
    <m/>
    <n v="0"/>
    <m/>
    <n v="4288.0792000000001"/>
    <n v="4288.0792000000001"/>
    <n v="0"/>
    <s v="SFA"/>
    <d v="2023-08-25T00:00:00"/>
    <m/>
    <m/>
    <m/>
    <m/>
    <m/>
    <m/>
  </r>
  <r>
    <x v="3"/>
    <s v="Yes"/>
    <d v="2023-06-19T00:00:00"/>
    <d v="2023-08-25T00:00:00"/>
    <d v="2023-06-18T00:00:00"/>
    <d v="2024-06-17T00:00:00"/>
    <s v="000-535/AIB RDC/2023"/>
    <n v="0"/>
    <s v="SOUSCRIPTION"/>
    <s v="33002-0006-112-0000284"/>
    <s v="BGFI BANK RDC"/>
    <s v="BANKING"/>
    <s v="MICHEE"/>
    <s v="Tychique"/>
    <s v="FIRE"/>
    <s v="PROPERTIES"/>
    <x v="4"/>
    <s v="SUNU"/>
    <n v="6000000"/>
    <n v="12748.14"/>
    <n v="0"/>
    <n v="0"/>
    <n v="108.8"/>
    <n v="10880.97"/>
    <n v="1758.37"/>
    <n v="1.8134949999999998E-3"/>
    <n v="0.15"/>
    <n v="1632.1454999999999"/>
    <n v="0"/>
    <n v="0"/>
    <n v="0"/>
    <n v="1632.1454999999999"/>
    <n v="261.14328"/>
    <n v="1893.2887799999999"/>
    <n v="32.642910000000001"/>
    <n v="0"/>
    <n v="32.642910000000001"/>
    <m/>
    <n v="1599.5025899999998"/>
    <m/>
    <m/>
    <n v="0"/>
    <m/>
    <m/>
    <n v="0"/>
    <m/>
    <n v="1893.2887799999999"/>
    <n v="1893.2887799999999"/>
    <n v="0"/>
    <s v="SUNU"/>
    <d v="2023-11-07T00:00:00"/>
    <m/>
    <m/>
    <m/>
    <m/>
    <m/>
    <m/>
  </r>
  <r>
    <x v="8"/>
    <s v="No"/>
    <d v="2023-06-20T00:00:00"/>
    <d v="2023-06-20T00:00:00"/>
    <d v="2023-09-13T00:00:00"/>
    <d v="2024-09-12T00:00:00"/>
    <s v="000-536/AIB RDC/2023"/>
    <n v="0"/>
    <s v="SOUSCRIPTION"/>
    <s v="12002-33002-0004-103-00020824-2023"/>
    <s v="STE. MAX TUNDA SERVICES SARL"/>
    <m/>
    <s v="MICHEE"/>
    <s v="Tychique"/>
    <s v="MOTOR TPL"/>
    <s v="MOTOR TPL"/>
    <x v="0"/>
    <s v="SFA"/>
    <n v="0"/>
    <n v="870.34"/>
    <n v="0"/>
    <n v="0"/>
    <n v="11.08"/>
    <n v="739.22"/>
    <n v="120.04"/>
    <e v="#DIV/0!"/>
    <n v="0.1"/>
    <n v="73.922000000000011"/>
    <n v="0"/>
    <n v="0"/>
    <n v="0"/>
    <n v="73.922000000000011"/>
    <n v="11.827520000000002"/>
    <n v="85.749520000000018"/>
    <n v="1.4784400000000002"/>
    <n v="0"/>
    <n v="1.4784400000000002"/>
    <m/>
    <n v="72.443560000000005"/>
    <m/>
    <m/>
    <n v="0"/>
    <m/>
    <m/>
    <n v="0"/>
    <m/>
    <n v="85.749520000000018"/>
    <n v="85.749520000000018"/>
    <n v="0"/>
    <s v="SFA"/>
    <d v="2023-07-28T00:00:00"/>
    <m/>
    <m/>
    <m/>
    <m/>
    <m/>
    <m/>
  </r>
  <r>
    <x v="3"/>
    <s v="No"/>
    <d v="2023-06-20T00:00:00"/>
    <d v="2023-06-20T00:00:00"/>
    <d v="2023-06-19T00:00:00"/>
    <d v="2024-06-18T00:00:00"/>
    <s v="000-537/AIB RDC/2023"/>
    <n v="0"/>
    <s v="SOUSCRIPTION"/>
    <s v="12002-33002-0002-112-00020827-2023"/>
    <s v="STE. MAX TUNDA SERVICES SARL"/>
    <m/>
    <s v="MICHEE"/>
    <s v="Tychique"/>
    <s v="FIRE"/>
    <s v="PROPERTIES"/>
    <x v="0"/>
    <s v="SFA"/>
    <n v="357000"/>
    <n v="1200.29"/>
    <n v="0"/>
    <n v="0"/>
    <n v="51.73"/>
    <n v="987.38"/>
    <n v="161.18"/>
    <n v="2.7657703081232494E-3"/>
    <n v="0.1"/>
    <n v="98.738"/>
    <n v="0"/>
    <n v="0"/>
    <n v="0"/>
    <n v="98.738"/>
    <n v="15.798080000000001"/>
    <n v="114.53608"/>
    <n v="1.9747600000000001"/>
    <n v="0"/>
    <n v="1.9747600000000001"/>
    <m/>
    <n v="96.763239999999996"/>
    <m/>
    <m/>
    <n v="0"/>
    <m/>
    <m/>
    <n v="0"/>
    <m/>
    <n v="114.53608"/>
    <n v="114.53608"/>
    <n v="0"/>
    <s v="SFA"/>
    <d v="2023-07-28T00:00:00"/>
    <m/>
    <m/>
    <m/>
    <m/>
    <m/>
    <m/>
  </r>
  <r>
    <x v="3"/>
    <s v="No"/>
    <d v="2023-06-19T00:00:00"/>
    <d v="2023-06-19T00:00:00"/>
    <d v="2023-06-19T00:00:00"/>
    <d v="2024-06-18T00:00:00"/>
    <s v="000-538/AIB RDC/2023"/>
    <n v="0"/>
    <s v="SOUSCRIPTION"/>
    <s v="33002-0001-101-0008736 / 0001"/>
    <s v="STE. MAX TUNDA SERVICES SARL"/>
    <m/>
    <s v="MICHEE"/>
    <s v="Tychique"/>
    <s v="GPA"/>
    <s v="MEDICAL &amp; GPA"/>
    <x v="4"/>
    <s v="SUNU"/>
    <n v="25000"/>
    <n v="182.7"/>
    <n v="0"/>
    <n v="0"/>
    <n v="10"/>
    <n v="147.5"/>
    <n v="25.2"/>
    <n v="5.8999999999999999E-3"/>
    <n v="0.2"/>
    <n v="29.5"/>
    <n v="0"/>
    <n v="0"/>
    <n v="0"/>
    <n v="29.5"/>
    <n v="4.72"/>
    <n v="34.22"/>
    <n v="0.59"/>
    <n v="0"/>
    <n v="0.59"/>
    <m/>
    <n v="28.91"/>
    <m/>
    <m/>
    <n v="0"/>
    <m/>
    <m/>
    <n v="0"/>
    <m/>
    <n v="34.22"/>
    <n v="34.22"/>
    <n v="0"/>
    <s v="SUNU"/>
    <d v="2023-08-28T00:00:00"/>
    <m/>
    <m/>
    <m/>
    <m/>
    <m/>
    <m/>
  </r>
  <r>
    <x v="3"/>
    <s v="Yes"/>
    <d v="2023-06-27T00:00:00"/>
    <d v="2023-06-27T00:00:00"/>
    <d v="2023-06-27T00:00:00"/>
    <d v="2023-09-26T00:00:00"/>
    <s v="000-539/AIB RDC/2023"/>
    <n v="0"/>
    <s v="SOUSCRIPTION"/>
    <s v="12002-33002-0021-111-00020970-2023"/>
    <s v="STE. FONDEG CATERING CONGO"/>
    <m/>
    <s v="MICHEE"/>
    <s v="Tychique"/>
    <s v="MARINE CARGO / GIT"/>
    <s v="MARINE"/>
    <x v="0"/>
    <s v="SFA"/>
    <n v="8870.11"/>
    <n v="49.85"/>
    <n v="0"/>
    <n v="0"/>
    <n v="6.42"/>
    <n v="15"/>
    <n v="3.43"/>
    <n v="1.6910726022563416E-3"/>
    <n v="0.15"/>
    <n v="2.25"/>
    <n v="0"/>
    <n v="0"/>
    <n v="0"/>
    <n v="2.25"/>
    <n v="0.36"/>
    <n v="2.61"/>
    <n v="4.4999999999999998E-2"/>
    <n v="0"/>
    <n v="4.4999999999999998E-2"/>
    <m/>
    <n v="2.2050000000000001"/>
    <m/>
    <m/>
    <n v="0"/>
    <m/>
    <m/>
    <n v="0"/>
    <m/>
    <n v="2.61"/>
    <n v="2.61"/>
    <n v="0"/>
    <s v="SFA"/>
    <d v="2023-08-25T00:00:00"/>
    <m/>
    <m/>
    <m/>
    <m/>
    <m/>
    <m/>
  </r>
  <r>
    <x v="3"/>
    <s v="No"/>
    <d v="2023-06-27T00:00:00"/>
    <m/>
    <d v="2023-06-15T00:00:00"/>
    <d v="2024-06-14T00:00:00"/>
    <s v="000-540/AIB RDC/2023"/>
    <n v="1"/>
    <s v="RENOUVELLEMENT"/>
    <m/>
    <s v="GARDAWOLD DRC SARL"/>
    <m/>
    <s v="MICHEE"/>
    <s v="Tychique"/>
    <s v="FIDELITY GUARANTEE"/>
    <s v="LIABILITIES"/>
    <x v="0"/>
    <s v="SFA"/>
    <n v="1000000"/>
    <n v="2828.93"/>
    <n v="0"/>
    <n v="0"/>
    <n v="69.67"/>
    <n v="2369.06"/>
    <n v="390.2"/>
    <n v="2.3690600000000001E-3"/>
    <n v="0.1"/>
    <n v="236.90600000000001"/>
    <n v="0"/>
    <n v="0"/>
    <n v="0"/>
    <n v="236.90600000000001"/>
    <n v="37.904960000000003"/>
    <n v="274.81096000000002"/>
    <n v="4.7381200000000003"/>
    <n v="0"/>
    <n v="4.7381200000000003"/>
    <m/>
    <n v="232.16788"/>
    <m/>
    <m/>
    <n v="0"/>
    <m/>
    <m/>
    <n v="0"/>
    <m/>
    <m/>
    <n v="274.81096000000002"/>
    <n v="274.81096000000002"/>
    <s v="SFA"/>
    <m/>
    <m/>
    <m/>
    <m/>
    <m/>
    <m/>
    <m/>
  </r>
  <r>
    <x v="3"/>
    <s v="No"/>
    <d v="2023-06-27T00:00:00"/>
    <m/>
    <d v="2023-06-15T00:00:00"/>
    <d v="2024-06-14T00:00:00"/>
    <s v="000-541/AIB RDC/2023"/>
    <n v="1"/>
    <s v="RENOUVELLEMENT"/>
    <m/>
    <s v="GARDAWOLD DRC SARL"/>
    <m/>
    <s v="MICHEE"/>
    <s v="Tychique"/>
    <s v="FIRE"/>
    <s v="PROPERTIES"/>
    <x v="0"/>
    <s v="SFA"/>
    <n v="4927903.16"/>
    <n v="6087.32"/>
    <n v="0"/>
    <n v="0"/>
    <n v="138.44999999999999"/>
    <n v="5109.24"/>
    <n v="839.63"/>
    <n v="1.0367979714926052E-3"/>
    <n v="0.15"/>
    <n v="766.38599999999997"/>
    <n v="0"/>
    <n v="0"/>
    <n v="0"/>
    <n v="766.38599999999997"/>
    <n v="122.62175999999999"/>
    <n v="889.00775999999996"/>
    <n v="15.327719999999999"/>
    <n v="0"/>
    <n v="15.327719999999999"/>
    <m/>
    <n v="751.05827999999997"/>
    <m/>
    <m/>
    <n v="0"/>
    <m/>
    <m/>
    <n v="0"/>
    <m/>
    <m/>
    <n v="889.00775999999996"/>
    <n v="889.00775999999996"/>
    <s v="SFA"/>
    <m/>
    <m/>
    <m/>
    <m/>
    <m/>
    <m/>
    <m/>
  </r>
  <r>
    <x v="3"/>
    <s v="No"/>
    <d v="2023-06-27T00:00:00"/>
    <m/>
    <d v="2023-06-15T00:00:00"/>
    <d v="2024-06-14T00:00:00"/>
    <s v="000-542/AIB RDC/2023"/>
    <n v="1"/>
    <s v="RENOUVELLEMENT"/>
    <m/>
    <s v="GARDAWOLD DRC SARL"/>
    <m/>
    <s v="MICHEE"/>
    <s v="Tychique"/>
    <s v="PI"/>
    <s v="LIABILITIES"/>
    <x v="0"/>
    <s v="SFA"/>
    <n v="1000000"/>
    <n v="4634.97"/>
    <n v="0"/>
    <n v="0"/>
    <n v="94.3"/>
    <n v="3901.36"/>
    <n v="639.30999999999995"/>
    <n v="3.90136E-3"/>
    <n v="0.1"/>
    <n v="390.13600000000002"/>
    <n v="0"/>
    <n v="0"/>
    <n v="0"/>
    <n v="390.13600000000002"/>
    <n v="62.421760000000006"/>
    <n v="452.55776000000003"/>
    <n v="7.8027200000000008"/>
    <n v="0"/>
    <n v="7.8027200000000008"/>
    <m/>
    <n v="382.33328"/>
    <m/>
    <m/>
    <n v="0"/>
    <m/>
    <m/>
    <n v="0"/>
    <m/>
    <m/>
    <n v="452.55776000000003"/>
    <n v="452.55776000000003"/>
    <s v="SFA"/>
    <m/>
    <m/>
    <m/>
    <m/>
    <m/>
    <m/>
    <m/>
  </r>
  <r>
    <x v="3"/>
    <s v="Yes"/>
    <d v="2023-06-23T00:00:00"/>
    <d v="2023-06-23T00:00:00"/>
    <d v="2023-06-23T00:00:00"/>
    <d v="2023-10-17T00:00:00"/>
    <s v="000-543/AIB RDC/2023"/>
    <n v="6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1179.46"/>
    <n v="0"/>
    <n v="0"/>
    <n v="46.19"/>
    <n v="970.59"/>
    <n v="162.68"/>
    <e v="#DIV/0!"/>
    <n v="0.1"/>
    <n v="97.059000000000012"/>
    <n v="0"/>
    <n v="0"/>
    <n v="0"/>
    <n v="97.059000000000012"/>
    <n v="15.529440000000003"/>
    <n v="112.58844000000002"/>
    <n v="1.9411800000000003"/>
    <n v="0"/>
    <n v="1.9411800000000003"/>
    <m/>
    <n v="95.117820000000009"/>
    <m/>
    <m/>
    <n v="0"/>
    <m/>
    <m/>
    <n v="0"/>
    <m/>
    <n v="112.58844000000002"/>
    <n v="112.58844000000002"/>
    <n v="0"/>
    <s v="SFA"/>
    <d v="2023-07-28T00:00:00"/>
    <m/>
    <m/>
    <m/>
    <m/>
    <m/>
    <m/>
  </r>
  <r>
    <x v="7"/>
    <s v="Yes"/>
    <d v="2023-06-29T00:00:00"/>
    <d v="2023-07-06T00:00:00"/>
    <d v="2023-07-06T00:00:00"/>
    <d v="2023-10-17T00:00:00"/>
    <s v="000-544/AIB RDC/2023"/>
    <n v="7"/>
    <s v="INCORPORATION"/>
    <s v="12002-33002-0004-103-00017305-2022 "/>
    <s v="FOURTUNE CONSTRUCTION CONGO (Group LAXMAN)"/>
    <m/>
    <s v="MICHEE"/>
    <s v="Tychique"/>
    <s v="MOTOR TPL"/>
    <s v="MOTOR TPL"/>
    <x v="0"/>
    <s v="SFA"/>
    <n v="0"/>
    <n v="1802.89"/>
    <n v="0"/>
    <n v="0"/>
    <n v="72.25"/>
    <n v="1481.97"/>
    <n v="248.67"/>
    <e v="#DIV/0!"/>
    <n v="0.1"/>
    <n v="148.197"/>
    <n v="0"/>
    <n v="0"/>
    <n v="0"/>
    <n v="148.197"/>
    <n v="23.71152"/>
    <n v="171.90852000000001"/>
    <n v="2.96394"/>
    <n v="0"/>
    <n v="2.96394"/>
    <m/>
    <n v="145.23305999999999"/>
    <m/>
    <m/>
    <n v="0"/>
    <m/>
    <m/>
    <n v="0"/>
    <m/>
    <n v="171.90852000000001"/>
    <n v="171.90852000000001"/>
    <n v="0"/>
    <s v="SFA"/>
    <d v="2023-08-25T00:00:00"/>
    <m/>
    <m/>
    <m/>
    <m/>
    <m/>
    <m/>
  </r>
  <r>
    <x v="3"/>
    <s v="No"/>
    <d v="2023-06-26T00:00:00"/>
    <m/>
    <d v="2023-06-16T00:00:00"/>
    <d v="2023-12-15T00:00:00"/>
    <s v="000-545/AIB RDC/2023"/>
    <n v="0"/>
    <s v="SOUSCRIPTION"/>
    <m/>
    <s v="MWADI MAWEJA RACHEL"/>
    <m/>
    <s v="MICHEE"/>
    <s v="Tychique"/>
    <s v="MOTOR TPL"/>
    <s v="MOTOR TPL"/>
    <x v="4"/>
    <s v="SUNU"/>
    <n v="0"/>
    <n v="152.88999999999999"/>
    <n v="0"/>
    <n v="0"/>
    <n v="10"/>
    <n v="121.8"/>
    <n v="21.09"/>
    <e v="#DIV/0!"/>
    <n v="0.1"/>
    <n v="12.18"/>
    <n v="0"/>
    <n v="0"/>
    <n v="0"/>
    <n v="12.18"/>
    <n v="1.9488000000000001"/>
    <n v="14.1288"/>
    <n v="0.24360000000000001"/>
    <n v="0"/>
    <n v="0.24360000000000001"/>
    <m/>
    <n v="11.936399999999999"/>
    <m/>
    <m/>
    <n v="0"/>
    <m/>
    <m/>
    <n v="0"/>
    <m/>
    <m/>
    <n v="14.1288"/>
    <n v="14.1288"/>
    <s v="SUNU"/>
    <m/>
    <m/>
    <m/>
    <m/>
    <m/>
    <m/>
    <m/>
  </r>
  <r>
    <x v="7"/>
    <s v="Yes"/>
    <d v="2023-06-13T00:00:00"/>
    <d v="2023-07-13T00:00:00"/>
    <d v="2023-07-01T00:00:00"/>
    <d v="2024-06-30T00:00:00"/>
    <s v="000-546/AIB RDC/2023"/>
    <n v="0"/>
    <s v="SOUSCRIPTION"/>
    <s v="301-73200031"/>
    <s v="SHAMITUMBA SAS"/>
    <m/>
    <s v="MICHEE"/>
    <s v="Tychique"/>
    <s v="MARINE CARGO / GIT"/>
    <s v="MARINE"/>
    <x v="6"/>
    <s v="RAWSUR"/>
    <n v="2000000"/>
    <n v="3894"/>
    <n v="0"/>
    <n v="0"/>
    <n v="100"/>
    <n v="3200"/>
    <n v="528"/>
    <n v="1.6000000000000001E-3"/>
    <n v="0.15"/>
    <n v="480"/>
    <n v="0"/>
    <n v="0"/>
    <n v="0"/>
    <n v="480"/>
    <n v="76.8"/>
    <n v="556.79999999999995"/>
    <n v="9.6"/>
    <n v="0"/>
    <n v="9.6"/>
    <m/>
    <n v="470.4"/>
    <m/>
    <m/>
    <n v="0"/>
    <m/>
    <m/>
    <n v="0"/>
    <m/>
    <n v="556.79999999999995"/>
    <n v="556.79999999999995"/>
    <n v="0"/>
    <s v="RAWSUR"/>
    <d v="2023-09-05T00:00:00"/>
    <m/>
    <m/>
    <m/>
    <m/>
    <m/>
    <m/>
  </r>
  <r>
    <x v="3"/>
    <s v="Yes"/>
    <d v="2023-06-23T00:00:00"/>
    <d v="2023-05-15T00:00:00"/>
    <d v="2023-06-23T00:00:00"/>
    <d v="2024-05-02T00:00:00"/>
    <s v="000-547/AIB RDC/2023"/>
    <n v="1"/>
    <s v="INCORPORATION"/>
    <s v="33002-0017-104-0000037 / 0012"/>
    <s v="HELIOS INFRACO DRC SARL ( HT)"/>
    <m/>
    <s v="MICHEE"/>
    <s v="Tychique"/>
    <s v="COMP MOTOR"/>
    <s v="MOTOR COMP"/>
    <x v="4"/>
    <s v="SUNU"/>
    <n v="80500"/>
    <n v="3590.93"/>
    <n v="0"/>
    <n v="0"/>
    <n v="30.65"/>
    <n v="3064.98"/>
    <n v="495.3"/>
    <n v="3.8074285714285713E-2"/>
    <n v="0.15"/>
    <n v="459.74700000000001"/>
    <n v="0"/>
    <n v="0"/>
    <n v="0"/>
    <n v="459.74700000000001"/>
    <n v="73.559520000000006"/>
    <n v="533.30651999999998"/>
    <n v="9.1949400000000008"/>
    <n v="0"/>
    <n v="9.1949400000000008"/>
    <m/>
    <n v="450.55206000000004"/>
    <s v="LOKTON/OLEA"/>
    <m/>
    <n v="0"/>
    <m/>
    <m/>
    <n v="0"/>
    <m/>
    <n v="527.02"/>
    <n v="533.30651999999998"/>
    <n v="6.2865199999999959"/>
    <s v="SUNU"/>
    <d v="2023-11-07T00:00:00"/>
    <m/>
    <m/>
    <m/>
    <m/>
    <m/>
    <m/>
  </r>
  <r>
    <x v="6"/>
    <s v="Yes"/>
    <d v="2023-04-19T00:00:00"/>
    <d v="2023-04-19T00:00:00"/>
    <d v="2023-04-18T00:00:00"/>
    <d v="2024-04-17T00:00:00"/>
    <s v="000-548/AIB RDC/2023"/>
    <n v="1"/>
    <s v="RENOUVELLEMENT"/>
    <s v="12005-33002-0012-13001-00005457-2023"/>
    <s v="BRAVIO COMERCIO/NADCO TRADING INTERNATIONAL"/>
    <m/>
    <s v="MICHEE"/>
    <s v="Tychique"/>
    <s v="FIRE"/>
    <s v="PROPERTIES"/>
    <x v="5"/>
    <s v="MAYFAIR"/>
    <n v="2000000"/>
    <n v="0"/>
    <n v="0"/>
    <n v="0"/>
    <n v="0"/>
    <n v="976"/>
    <n v="0"/>
    <n v="4.8799999999999999E-4"/>
    <n v="0.15"/>
    <n v="146.4"/>
    <n v="0"/>
    <n v="0"/>
    <n v="0"/>
    <n v="146.4"/>
    <n v="23.424000000000003"/>
    <n v="169.82400000000001"/>
    <n v="2.9280000000000004"/>
    <n v="0"/>
    <n v="2.9280000000000004"/>
    <m/>
    <n v="143.47200000000001"/>
    <m/>
    <m/>
    <n v="0"/>
    <m/>
    <m/>
    <n v="0"/>
    <m/>
    <m/>
    <n v="169.82400000000001"/>
    <n v="169.82400000000001"/>
    <s v="MAYFAIR"/>
    <m/>
    <m/>
    <m/>
    <m/>
    <m/>
    <m/>
    <s v="01-11-2023//Paiement déja effectué ; cfr michée"/>
  </r>
  <r>
    <x v="4"/>
    <s v="Yes"/>
    <d v="2023-06-28T00:00:00"/>
    <d v="2023-05-01T00:00:00"/>
    <d v="2023-05-01T00:00:00"/>
    <d v="2024-04-30T00:00:00"/>
    <s v="000-549/AIB RDC/2023"/>
    <n v="0"/>
    <s v="SOUSCRIPTION"/>
    <s v="301-59000003"/>
    <s v="HELIOS INFRACO DRC SARL ( HT)"/>
    <m/>
    <s v="MICHEE"/>
    <s v="Tychique"/>
    <s v="PVT"/>
    <s v="POLITICAL VIOLENCE"/>
    <x v="6"/>
    <s v="RAWSUR"/>
    <n v="15315546.32"/>
    <n v="45120.01"/>
    <n v="0"/>
    <n v="0"/>
    <n v="100"/>
    <n v="38137.29"/>
    <n v="6117.07"/>
    <n v="2.49010314115912E-3"/>
    <n v="0.15"/>
    <n v="5720.5934999999999"/>
    <n v="0"/>
    <n v="0"/>
    <n v="0"/>
    <n v="5720.5934999999999"/>
    <n v="915.29496000000006"/>
    <n v="6635.8884600000001"/>
    <n v="114.41187000000001"/>
    <n v="0"/>
    <n v="114.41187000000001"/>
    <m/>
    <n v="5606.18163"/>
    <s v=" LOKTON/OLEA "/>
    <m/>
    <n v="0"/>
    <m/>
    <m/>
    <n v="0"/>
    <m/>
    <n v="6635.8884600000001"/>
    <n v="6635.8884600000001"/>
    <n v="0"/>
    <s v="RAWSUR"/>
    <d v="2023-10-20T00:00:00"/>
    <m/>
    <m/>
    <m/>
    <m/>
    <m/>
    <m/>
  </r>
  <r>
    <x v="4"/>
    <s v="Yes"/>
    <d v="2023-05-25T00:00:00"/>
    <d v="2023-05-25T00:00:00"/>
    <d v="2023-05-25T00:00:00"/>
    <d v="2024-04-22T00:00:00"/>
    <s v="000-550/AIB RDC/2023"/>
    <n v="5"/>
    <s v="INCORPORATION"/>
    <s v="12002-33002-0004-103-00019672-2023"/>
    <s v="Chemaf Sarl"/>
    <s v="Mining"/>
    <s v="ANDY"/>
    <s v="Sabrina"/>
    <s v="MOTOR TPL"/>
    <s v="MOTOR TPL"/>
    <x v="0"/>
    <s v="SFA"/>
    <n v="0"/>
    <n v="4552.3900000000003"/>
    <n v="0"/>
    <n v="0"/>
    <n v="149.16"/>
    <n v="3775.32"/>
    <n v="627.91"/>
    <e v="#DIV/0!"/>
    <n v="0.1"/>
    <n v="377.53200000000004"/>
    <n v="0"/>
    <n v="0"/>
    <n v="0"/>
    <n v="377.53200000000004"/>
    <n v="60.405120000000011"/>
    <n v="437.93712000000005"/>
    <n v="7.5506400000000014"/>
    <m/>
    <n v="7.5506400000000014"/>
    <m/>
    <n v="369.98136000000005"/>
    <s v="Aucun"/>
    <m/>
    <n v="0"/>
    <m/>
    <m/>
    <n v="0"/>
    <m/>
    <n v="437.93712000000005"/>
    <n v="437.93712000000005"/>
    <n v="0"/>
    <s v="SFA"/>
    <d v="2023-07-28T00:00:00"/>
    <m/>
    <m/>
    <s v="MOTOR TPL"/>
    <m/>
    <m/>
    <m/>
  </r>
  <r>
    <x v="4"/>
    <s v="Yes"/>
    <d v="2023-05-22T00:00:00"/>
    <d v="2023-05-23T00:00:00"/>
    <d v="2023-05-23T00:00:00"/>
    <d v="2023-07-22T00:00:00"/>
    <s v="000-551/AIB RDC/2023"/>
    <n v="0"/>
    <s v="SOUSCRIPTION"/>
    <s v="33002-0012-111-0007975 / 0001"/>
    <s v="Concrete &amp; Steel Construction Sarl"/>
    <s v="Construction"/>
    <s v="ANDY"/>
    <s v="Sabrina"/>
    <s v="MARINE CARGO / GIT"/>
    <s v="MARINE"/>
    <x v="4"/>
    <s v="SUNU"/>
    <n v="37610"/>
    <n v="149.66999999999999"/>
    <n v="0"/>
    <n v="0"/>
    <n v="35"/>
    <n v="94.03"/>
    <n v="20.64"/>
    <n v="2.5001329433661261E-3"/>
    <n v="0.15"/>
    <n v="14.1045"/>
    <n v="0"/>
    <n v="0"/>
    <n v="0"/>
    <n v="14.1045"/>
    <n v="2.2567200000000001"/>
    <n v="16.361219999999999"/>
    <n v="0.28209000000000001"/>
    <m/>
    <n v="0.28209000000000001"/>
    <m/>
    <n v="13.82241"/>
    <s v="Aucun"/>
    <m/>
    <n v="0"/>
    <m/>
    <m/>
    <n v="0"/>
    <m/>
    <n v="16.361219999999999"/>
    <n v="16.361219999999999"/>
    <n v="0"/>
    <s v="SUNU"/>
    <d v="2023-07-10T00:00:00"/>
    <m/>
    <m/>
    <s v="MARINE CARGO / GIT"/>
    <m/>
    <m/>
    <m/>
  </r>
  <r>
    <x v="3"/>
    <s v="Yes"/>
    <d v="2023-06-23T00:00:00"/>
    <d v="2023-06-01T00:00:00"/>
    <d v="2023-06-01T00:00:00"/>
    <d v="2024-01-31T00:00:00"/>
    <s v="000-552/AIB RDC/2023"/>
    <n v="33"/>
    <s v="INCORPORATION"/>
    <s v="12001-33002-9001-103-00001852"/>
    <s v="CFAO RDC / Loxea RDC"/>
    <s v="Distribution"/>
    <s v="ANDY"/>
    <s v="Sabrina"/>
    <s v="COMP MOTOR"/>
    <s v="MOTOR COMP"/>
    <x v="1"/>
    <s v="ACTIVA"/>
    <n v="225892"/>
    <n v="7925.49"/>
    <n v="0"/>
    <n v="0"/>
    <n v="67.650000000000006"/>
    <n v="6764.67"/>
    <n v="1093.17"/>
    <n v="2.9946478848299186E-2"/>
    <n v="0.14619929723105499"/>
    <n v="988.99000000000069"/>
    <n v="0"/>
    <n v="0"/>
    <n v="202.9401"/>
    <n v="1191.9301000000007"/>
    <n v="190.70881600000013"/>
    <n v="1382.6389160000008"/>
    <n v="19.779800000000016"/>
    <n v="0"/>
    <n v="19.779800000000016"/>
    <m/>
    <n v="1172.1503000000007"/>
    <s v="Aucun"/>
    <m/>
    <n v="0"/>
    <m/>
    <m/>
    <n v="0"/>
    <m/>
    <n v="1382.64"/>
    <n v="1382.64"/>
    <n v="0"/>
    <s v="ACTIVA"/>
    <d v="2023-08-15T00:00:00"/>
    <m/>
    <m/>
    <m/>
    <m/>
    <m/>
    <m/>
  </r>
  <r>
    <x v="3"/>
    <s v="Yes"/>
    <d v="2023-06-23T00:00:00"/>
    <d v="2023-06-02T00:00:00"/>
    <d v="2023-06-02T00:00:00"/>
    <d v="2024-01-31T00:00:00"/>
    <s v="000-553/AIB RDC/2023"/>
    <n v="34"/>
    <s v="INCORPORATION"/>
    <s v="12001-33002-9001-103-00001852"/>
    <s v="CFAO RDC / Loxea RDC"/>
    <s v="Distribution"/>
    <s v="ANDY"/>
    <s v="Sabrina"/>
    <s v="COMP MOTOR"/>
    <s v="MOTOR COMP"/>
    <x v="1"/>
    <s v="ACTIVA"/>
    <n v="97611"/>
    <n v="3294.86"/>
    <n v="0"/>
    <n v="0"/>
    <n v="28.12"/>
    <n v="2812.27"/>
    <n v="454.46"/>
    <n v="2.8810994662486811E-2"/>
    <n v="0.146191510772437"/>
    <n v="411.13000000000142"/>
    <n v="0"/>
    <n v="0"/>
    <n v="84.368099999999998"/>
    <n v="495.49810000000139"/>
    <n v="79.279696000000229"/>
    <n v="574.77779600000167"/>
    <n v="8.2226000000000283"/>
    <n v="0"/>
    <n v="8.2226000000000283"/>
    <m/>
    <n v="487.27550000000133"/>
    <s v="Aucun"/>
    <m/>
    <n v="0"/>
    <m/>
    <m/>
    <n v="0"/>
    <m/>
    <n v="574.78"/>
    <n v="574.78"/>
    <n v="0"/>
    <s v="ACTIVA"/>
    <d v="2023-08-15T00:00:00"/>
    <m/>
    <m/>
    <m/>
    <m/>
    <m/>
    <m/>
  </r>
  <r>
    <x v="3"/>
    <s v="Yes"/>
    <d v="2023-06-23T00:00:00"/>
    <d v="2023-06-12T00:00:00"/>
    <d v="2023-06-01T00:00:00"/>
    <d v="2024-05-31T00:00:00"/>
    <s v="000-554/AIB RDC/2023"/>
    <n v="0"/>
    <s v="SOUSCRIPTION"/>
    <s v="301-73200028"/>
    <s v="IVANHOE / Kipushi Corporation"/>
    <s v="Mining"/>
    <s v="ANDY"/>
    <s v="Andy"/>
    <s v="MARINE CARGO / GIT"/>
    <s v="MARINE"/>
    <x v="6"/>
    <s v="MARSH"/>
    <n v="55757004"/>
    <n v="120350.06"/>
    <n v="0"/>
    <n v="0"/>
    <n v="200"/>
    <n v="101791.58"/>
    <n v="16318.65"/>
    <n v="1.8256285793261059E-3"/>
    <n v="7.0000000000000007E-2"/>
    <n v="7125.4106000000011"/>
    <n v="8143.3263999999999"/>
    <n v="0"/>
    <n v="0"/>
    <n v="15268.737000000001"/>
    <n v="2442.9979200000002"/>
    <n v="17711.734920000003"/>
    <n v="305.37474000000003"/>
    <n v="0"/>
    <n v="305.37474000000003"/>
    <m/>
    <n v="14963.362260000002"/>
    <m/>
    <m/>
    <n v="0"/>
    <m/>
    <m/>
    <n v="0"/>
    <m/>
    <n v="17711.734920000003"/>
    <n v="17711.734920000003"/>
    <n v="0"/>
    <s v="RAWSUR"/>
    <d v="2023-08-15T00:00:00"/>
    <m/>
    <m/>
    <m/>
    <m/>
    <m/>
    <m/>
  </r>
  <r>
    <x v="3"/>
    <s v="Yes"/>
    <d v="2023-06-23T00:00:00"/>
    <d v="2023-06-02T00:00:00"/>
    <d v="2023-06-02T00:00:00"/>
    <d v="2024-04-22T00:00:00"/>
    <s v="000-555/AIB RDC/2023"/>
    <n v="5"/>
    <s v="INCORPORATION"/>
    <s v="12002-33002-0004-103-00019672-2023"/>
    <s v="Chemaf Sarl"/>
    <s v="Mining"/>
    <s v="ANDY"/>
    <s v="Sabrina"/>
    <s v="MOTOR TPL"/>
    <s v="MOTOR TPL"/>
    <x v="0"/>
    <s v="SFA"/>
    <n v="0"/>
    <n v="2336.14"/>
    <n v="0"/>
    <n v="0"/>
    <n v="78.28"/>
    <n v="1935.64"/>
    <n v="322.22000000000003"/>
    <e v="#DIV/0!"/>
    <n v="0.1"/>
    <n v="193.56400000000002"/>
    <n v="0"/>
    <n v="0"/>
    <n v="0"/>
    <n v="193.56400000000002"/>
    <n v="30.970240000000004"/>
    <n v="224.53424000000001"/>
    <n v="3.8712800000000005"/>
    <n v="0"/>
    <n v="3.8712800000000005"/>
    <m/>
    <n v="189.69272000000001"/>
    <m/>
    <m/>
    <n v="0"/>
    <m/>
    <m/>
    <n v="0"/>
    <m/>
    <m/>
    <n v="224.53424000000001"/>
    <n v="224.53424000000001"/>
    <s v="SFA"/>
    <m/>
    <m/>
    <m/>
    <m/>
    <m/>
    <m/>
    <m/>
  </r>
  <r>
    <x v="2"/>
    <s v="Yes"/>
    <d v="2023-06-23T00:00:00"/>
    <d v="2023-03-16T00:00:00"/>
    <d v="2023-03-19T00:00:00"/>
    <d v="2023-07-27T00:00:00"/>
    <s v="000-556/AIB RDC/2023"/>
    <n v="1"/>
    <s v="INCORPORATION"/>
    <s v="12002-33002-0010-108-00017421-2022"/>
    <s v="ERG / Boss Mining ( Metalkol)"/>
    <s v="Mining"/>
    <s v="ANDY"/>
    <s v="Andy"/>
    <s v="AVIATION HULL ALL RISK"/>
    <s v="AVIATION"/>
    <x v="0"/>
    <s v="SFA"/>
    <n v="25000000"/>
    <n v="33466.22"/>
    <n v="4223.2299999999996"/>
    <n v="-1578.24"/>
    <n v="695.35"/>
    <n v="23931.61"/>
    <n v="4616.03"/>
    <n v="9.5726440000000002E-4"/>
    <n v="0"/>
    <n v="0"/>
    <n v="793.49699999999996"/>
    <n v="1031.5349137931034"/>
    <n v="0"/>
    <n v="1825.0319137931033"/>
    <n v="292.00510620689653"/>
    <n v="2117.0370199999998"/>
    <n v="36.500638275862066"/>
    <n v="0"/>
    <n v="36.500638275862066"/>
    <m/>
    <n v="1788.5312755172413"/>
    <m/>
    <m/>
    <n v="0"/>
    <m/>
    <m/>
    <n v="0"/>
    <m/>
    <m/>
    <n v="2117.0370199999998"/>
    <n v="2117.0370199999998"/>
    <s v="SFA"/>
    <m/>
    <m/>
    <m/>
    <m/>
    <m/>
    <m/>
    <m/>
  </r>
  <r>
    <x v="3"/>
    <s v="No"/>
    <d v="2023-06-23T00:00:00"/>
    <m/>
    <d v="2023-06-01T00:00:00"/>
    <d v="2023-08-01T00:00:00"/>
    <s v="000-557/AIB RDC/2023"/>
    <n v="0"/>
    <s v="SOUSCRIPTION"/>
    <m/>
    <s v="Concrete &amp; Steel Construction Sarl"/>
    <s v="Construction"/>
    <s v="ANDY"/>
    <s v="Sabrina"/>
    <s v="MARINE CARGO / GIT"/>
    <s v="MARINE"/>
    <x v="4"/>
    <s v="SUNU"/>
    <n v="141015.29"/>
    <n v="445.53"/>
    <n v="0"/>
    <n v="0"/>
    <n v="10"/>
    <n v="352.53"/>
    <n v="58"/>
    <n v="2.4999416729916306E-3"/>
    <n v="0.15"/>
    <n v="52.879499999999993"/>
    <n v="0"/>
    <n v="0"/>
    <n v="0"/>
    <n v="52.879499999999993"/>
    <n v="8.4607199999999985"/>
    <n v="61.340219999999988"/>
    <n v="1.0575899999999998"/>
    <n v="0"/>
    <n v="1.0575899999999998"/>
    <m/>
    <n v="51.821909999999995"/>
    <m/>
    <m/>
    <n v="0"/>
    <m/>
    <m/>
    <n v="0"/>
    <m/>
    <m/>
    <n v="61.340219999999988"/>
    <n v="61.340219999999988"/>
    <s v="SUNU"/>
    <m/>
    <m/>
    <m/>
    <m/>
    <m/>
    <m/>
    <m/>
  </r>
  <r>
    <x v="3"/>
    <s v="Yes"/>
    <d v="2023-06-23T00:00:00"/>
    <d v="2023-06-08T00:00:00"/>
    <d v="2023-06-05T00:00:00"/>
    <d v="2024-06-04T00:00:00"/>
    <s v="000-558/AIB RDC/2023"/>
    <n v="1"/>
    <s v="RENOUVELLEMENT"/>
    <s v="12002-33002-0002-112-00016668-2022"/>
    <s v="Sandvik Mining &amp; Construction Sarl"/>
    <s v="Mining"/>
    <s v="ANDY"/>
    <s v="Andy"/>
    <s v="FIRE"/>
    <s v="PROPERTIES"/>
    <x v="0"/>
    <s v="SFA"/>
    <n v="215182.97"/>
    <n v="2314.9299999999998"/>
    <n v="0"/>
    <n v="0"/>
    <n v="58.81"/>
    <n v="1936.82"/>
    <n v="319.3"/>
    <n v="9.0008052217143385E-3"/>
    <n v="0.1"/>
    <n v="193.68200000000002"/>
    <n v="0"/>
    <n v="0"/>
    <n v="0"/>
    <n v="193.68200000000002"/>
    <n v="30.989120000000003"/>
    <n v="224.67112000000003"/>
    <n v="3.8736400000000004"/>
    <n v="0"/>
    <n v="3.8736400000000004"/>
    <m/>
    <n v="189.80836000000002"/>
    <s v="AFINBRO"/>
    <n v="0.5"/>
    <n v="94.904180000000011"/>
    <n v="94.9"/>
    <d v="2023-10-23T00:00:00"/>
    <n v="4.1800000000051796E-3"/>
    <m/>
    <n v="224.67112000000003"/>
    <n v="224.67112000000003"/>
    <n v="0"/>
    <s v="SFA"/>
    <d v="2023-07-28T00:00:00"/>
    <m/>
    <m/>
    <m/>
    <m/>
    <m/>
    <m/>
  </r>
  <r>
    <x v="3"/>
    <s v="Yes"/>
    <d v="2023-06-26T00:00:00"/>
    <d v="2023-06-08T00:00:00"/>
    <d v="2023-06-05T00:00:00"/>
    <d v="2024-06-04T00:00:00"/>
    <s v="000-559/AIB RDC/2023"/>
    <n v="1"/>
    <s v="RENOUVELLEMENT"/>
    <s v="12002-33002-0002-112-00016668-2022"/>
    <s v="Sandvik Mining &amp; Construction Sarl"/>
    <s v="Mining"/>
    <s v="ANDY"/>
    <s v="Andy"/>
    <s v="FIRE"/>
    <s v="PROPERTIES"/>
    <x v="0"/>
    <s v="SFA"/>
    <n v="145585.91"/>
    <n v="4499.7299999999996"/>
    <n v="0"/>
    <n v="0"/>
    <n v="104.93"/>
    <n v="3774.15"/>
    <n v="620.65"/>
    <n v="2.5923868594151727E-2"/>
    <n v="0.1"/>
    <n v="377.41500000000002"/>
    <n v="0"/>
    <n v="0"/>
    <n v="0"/>
    <n v="377.41500000000002"/>
    <n v="60.386400000000002"/>
    <n v="437.8014"/>
    <n v="7.5483000000000002"/>
    <n v="0"/>
    <n v="7.5483000000000002"/>
    <m/>
    <n v="369.86670000000004"/>
    <s v="AFINBRO"/>
    <n v="0.5"/>
    <n v="184.93335000000002"/>
    <n v="184.93"/>
    <d v="2023-10-23T00:00:00"/>
    <n v="3.3500000000117325E-3"/>
    <m/>
    <n v="437.8014"/>
    <n v="437.8014"/>
    <n v="0"/>
    <s v="SFA"/>
    <d v="2023-07-28T00:00:00"/>
    <m/>
    <m/>
    <m/>
    <m/>
    <m/>
    <m/>
  </r>
  <r>
    <x v="3"/>
    <s v="Yes"/>
    <d v="2023-06-26T00:00:00"/>
    <d v="2023-06-12T00:00:00"/>
    <d v="2023-06-05T00:00:00"/>
    <d v="2024-06-04T00:00:00"/>
    <s v="000-560/AIB RDC/2023"/>
    <n v="1"/>
    <s v="RENOUVELLEMENT"/>
    <s v="12002-33002-0023-113-00017138-2022"/>
    <s v="Sandvik Mining &amp; Construction Sarl"/>
    <s v="Mining"/>
    <s v="ANDY"/>
    <s v="Andy"/>
    <s v="EMPLOYER'S LIABILITY"/>
    <s v="LIABILITIES"/>
    <x v="0"/>
    <s v="SFA"/>
    <n v="0"/>
    <n v="18664.62"/>
    <n v="2352.94"/>
    <n v="0"/>
    <n v="403.92"/>
    <n v="13333.33"/>
    <n v="2574.4299999999998"/>
    <e v="#DIV/0!"/>
    <n v="0.1"/>
    <n v="1333.3330000000001"/>
    <n v="0"/>
    <n v="0"/>
    <n v="0"/>
    <n v="1333.3330000000001"/>
    <n v="213.33328000000003"/>
    <n v="1546.6662800000001"/>
    <n v="26.666660000000004"/>
    <n v="0"/>
    <n v="26.666660000000004"/>
    <m/>
    <n v="1306.66634"/>
    <s v="AFINBRO"/>
    <n v="0.5"/>
    <n v="653.33317"/>
    <n v="653.33000000000004"/>
    <d v="2023-10-23T00:00:00"/>
    <n v="3.169999999954598E-3"/>
    <m/>
    <n v="1546.6662800000001"/>
    <n v="1546.6662800000001"/>
    <n v="0"/>
    <s v="SFA"/>
    <d v="2023-07-28T00:00:00"/>
    <m/>
    <m/>
    <m/>
    <m/>
    <m/>
    <m/>
  </r>
  <r>
    <x v="3"/>
    <s v="Yes"/>
    <d v="2023-06-26T00:00:00"/>
    <d v="2023-06-12T00:00:00"/>
    <d v="2023-06-05T00:00:00"/>
    <d v="2024-06-04T00:00:00"/>
    <s v="000-561/AIB RDC/2023"/>
    <n v="1"/>
    <s v="RENOUVELLEMENT"/>
    <s v="12002-33002-0024-113-00016701-2022"/>
    <s v="Sandvik Mining &amp; Construction Sarl"/>
    <s v="Mining"/>
    <s v="ANDY"/>
    <s v="Andy"/>
    <s v="FIDELITY GUARANTEE"/>
    <s v="LIABILITIES"/>
    <x v="0"/>
    <s v="SFA"/>
    <n v="0"/>
    <n v="10042.379999999999"/>
    <n v="1265.29"/>
    <n v="0"/>
    <n v="221.93"/>
    <n v="7170"/>
    <n v="1385.16"/>
    <e v="#DIV/0!"/>
    <n v="0.15"/>
    <n v="1075.5"/>
    <n v="0"/>
    <n v="0"/>
    <n v="0"/>
    <n v="1075.5"/>
    <n v="172.08"/>
    <n v="1247.58"/>
    <n v="21.51"/>
    <n v="0"/>
    <n v="21.51"/>
    <m/>
    <n v="1053.99"/>
    <s v="AFINBRO"/>
    <n v="0.5"/>
    <n v="526.995"/>
    <n v="527"/>
    <d v="2023-10-23T00:00:00"/>
    <n v="-4.9999999999954525E-3"/>
    <m/>
    <n v="1247.58"/>
    <n v="1247.58"/>
    <n v="0"/>
    <s v="SFA"/>
    <d v="2023-07-28T00:00:00"/>
    <m/>
    <m/>
    <m/>
    <m/>
    <m/>
    <m/>
  </r>
  <r>
    <x v="3"/>
    <s v="No"/>
    <d v="2023-06-26T00:00:00"/>
    <d v="2023-06-15T00:00:00"/>
    <d v="2023-06-08T00:00:00"/>
    <d v="2023-09-07T00:00:00"/>
    <s v="000-562/AIB RDC/2023"/>
    <n v="1"/>
    <s v="SOUSCRIPTION"/>
    <s v="12005-33002-0011-13001-00006045-2023"/>
    <s v="Teichmann Group / Mashamba Enterprises"/>
    <s v="Distribution"/>
    <s v="ANDY"/>
    <s v="Sabrina"/>
    <s v="MARINE CARGO / GIT"/>
    <s v="MARINE"/>
    <x v="5"/>
    <s v="MAYFAIR"/>
    <n v="31824"/>
    <n v="302"/>
    <n v="0"/>
    <n v="0"/>
    <n v="25"/>
    <n v="210"/>
    <n v="38"/>
    <n v="6.5987933634992458E-3"/>
    <n v="0.15"/>
    <n v="31.5"/>
    <n v="0"/>
    <n v="0"/>
    <n v="0"/>
    <n v="31.5"/>
    <n v="5.04"/>
    <n v="36.54"/>
    <n v="0.63"/>
    <n v="0"/>
    <n v="0.63"/>
    <m/>
    <n v="30.87"/>
    <m/>
    <m/>
    <n v="0"/>
    <m/>
    <m/>
    <n v="0"/>
    <m/>
    <n v="36.54"/>
    <n v="36.54"/>
    <n v="0"/>
    <s v="MAYFAIR"/>
    <d v="2023-08-08T00:00:00"/>
    <m/>
    <m/>
    <m/>
    <m/>
    <m/>
    <m/>
  </r>
  <r>
    <x v="0"/>
    <s v="Yes"/>
    <d v="2023-01-22T00:00:00"/>
    <d v="2023-01-26T00:00:00"/>
    <d v="2023-01-24T00:00:00"/>
    <d v="2023-02-07T00:00:00"/>
    <s v="000-563/AIB RDC/2023"/>
    <n v="2"/>
    <s v="PROROGATION"/>
    <s v="12002-33002-0004-104-00017665-2022"/>
    <s v="T K XPORT LLC"/>
    <m/>
    <s v="MICHEE"/>
    <s v="Tychique"/>
    <s v="COMP MOTOR"/>
    <s v="MOTOR COMP"/>
    <x v="0"/>
    <s v="SFA"/>
    <n v="0"/>
    <n v="2500.0100000000002"/>
    <n v="0"/>
    <n v="0"/>
    <n v="31.24"/>
    <n v="2087.42"/>
    <n v="338.98"/>
    <e v="#DIV/0!"/>
    <n v="0.15"/>
    <n v="313.113"/>
    <n v="0"/>
    <n v="0"/>
    <n v="0"/>
    <n v="313.113"/>
    <n v="50.098080000000003"/>
    <n v="363.21107999999998"/>
    <n v="6.2622600000000004"/>
    <n v="0"/>
    <n v="6.2622600000000004"/>
    <m/>
    <n v="306.85073999999997"/>
    <m/>
    <m/>
    <n v="0"/>
    <m/>
    <m/>
    <n v="0"/>
    <m/>
    <n v="363.21107999999998"/>
    <n v="363.21107999999998"/>
    <n v="0"/>
    <s v="SFA"/>
    <d v="2023-02-27T00:00:00"/>
    <m/>
    <s v="EXTENDED"/>
    <s v="COMP MOTOR"/>
    <m/>
    <m/>
    <m/>
  </r>
  <r>
    <x v="7"/>
    <s v="Yes"/>
    <d v="2023-06-26T00:00:00"/>
    <d v="2023-07-06T00:00:00"/>
    <d v="2023-07-01T00:00:00"/>
    <d v="2024-06-30T00:00:00"/>
    <s v="000-564/AIB RDC/2023"/>
    <n v="0"/>
    <s v="SOUSCRIPTION"/>
    <s v="12002-33002-0024-113-00021110-2023"/>
    <s v="IVANHOE / Kamoa Copper SA"/>
    <s v="Mining"/>
    <s v="ANDY"/>
    <s v="Andy"/>
    <s v="GENERAL LIABILITY"/>
    <s v="LIABILITIES"/>
    <x v="0"/>
    <s v="SFA"/>
    <n v="1000000"/>
    <n v="10388.43"/>
    <n v="0"/>
    <n v="0"/>
    <n v="229.83"/>
    <n v="8750"/>
    <n v="1408.6"/>
    <n v="8.7500000000000008E-3"/>
    <n v="0.15"/>
    <n v="1312.5"/>
    <n v="0"/>
    <n v="0"/>
    <n v="0"/>
    <n v="1312.5"/>
    <n v="210"/>
    <n v="1522.5"/>
    <n v="26.25"/>
    <n v="0"/>
    <n v="26.25"/>
    <m/>
    <n v="1286.25"/>
    <m/>
    <m/>
    <n v="0"/>
    <m/>
    <m/>
    <n v="0"/>
    <m/>
    <n v="1522.5"/>
    <n v="1522.5"/>
    <n v="0"/>
    <s v="SFA"/>
    <d v="2023-08-25T00:00:00"/>
    <m/>
    <m/>
    <s v="GENERAL LIABILITY"/>
    <m/>
    <m/>
    <m/>
  </r>
  <r>
    <x v="7"/>
    <s v="No"/>
    <d v="2023-06-26T00:00:00"/>
    <m/>
    <d v="2023-07-01T00:00:00"/>
    <d v="2024-06-30T00:00:00"/>
    <s v="000-565/AIB RDC/2023"/>
    <n v="1"/>
    <s v="RENOUVELLEMENT"/>
    <s v="12001-33002-0007-121-00002445-2022"/>
    <s v="MSA Labs"/>
    <m/>
    <s v="ANDY"/>
    <s v="Andy"/>
    <s v="FIRE"/>
    <s v="PROPERTIES"/>
    <x v="1"/>
    <s v="ACTIVA"/>
    <n v="4090000"/>
    <n v="11524.4"/>
    <n v="0"/>
    <n v="0"/>
    <n v="98.39"/>
    <n v="9836.4599999999991"/>
    <n v="1589.57"/>
    <n v="2.4050024449877748E-3"/>
    <n v="0.1"/>
    <n v="983.64599999999996"/>
    <n v="0"/>
    <n v="0"/>
    <n v="0"/>
    <n v="983.64599999999996"/>
    <n v="157.38336000000001"/>
    <n v="1141.02936"/>
    <n v="19.672920000000001"/>
    <n v="0"/>
    <n v="19.672920000000001"/>
    <m/>
    <n v="963.97307999999998"/>
    <m/>
    <m/>
    <n v="0"/>
    <m/>
    <m/>
    <n v="0"/>
    <m/>
    <n v="1141.02936"/>
    <n v="1141.02936"/>
    <n v="0"/>
    <s v="ACTIVA"/>
    <d v="2023-09-01T00:00:00"/>
    <m/>
    <m/>
    <m/>
    <m/>
    <m/>
    <m/>
  </r>
  <r>
    <x v="3"/>
    <s v="Yes"/>
    <d v="2023-06-26T00:00:00"/>
    <d v="2023-06-12T00:00:00"/>
    <d v="2023-06-12T00:00:00"/>
    <d v="2023-01-31T00:00:00"/>
    <s v="000-566/AIB RDC/2023"/>
    <n v="35"/>
    <s v="INCORPORATION"/>
    <s v="12001-33002-9001-103-00001852"/>
    <s v="CFAO RDC / Loxea RDC"/>
    <s v="Distribution"/>
    <s v="ANDY"/>
    <s v="Andy"/>
    <s v="COMP MOTOR"/>
    <s v="MOTOR COMP"/>
    <x v="1"/>
    <s v="ACTIVA"/>
    <n v="88217"/>
    <n v="2919.94"/>
    <n v="0"/>
    <n v="0"/>
    <n v="24.92"/>
    <n v="2492.27"/>
    <n v="402.95"/>
    <n v="2.8251584161782875E-2"/>
    <n v="0.144776227199409"/>
    <n v="360.82144776227108"/>
    <n v="0"/>
    <n v="0"/>
    <n v="74.76809999999999"/>
    <n v="435.58954776227108"/>
    <n v="69.694327641963369"/>
    <n v="505.28387540423444"/>
    <n v="7.2164289552454219"/>
    <n v="0"/>
    <n v="7.2164289552454219"/>
    <m/>
    <n v="428.37311880702566"/>
    <s v="Aucun"/>
    <m/>
    <n v="0"/>
    <m/>
    <m/>
    <n v="0"/>
    <m/>
    <n v="505.28000000000003"/>
    <n v="505.28000000000003"/>
    <n v="0"/>
    <s v="ACTIVA"/>
    <d v="2023-08-15T00:00:00"/>
    <m/>
    <m/>
    <m/>
    <m/>
    <m/>
    <m/>
  </r>
  <r>
    <x v="3"/>
    <s v="Yes"/>
    <d v="2023-06-26T00:00:00"/>
    <d v="2023-06-15T00:00:00"/>
    <d v="2023-06-15T00:00:00"/>
    <d v="2024-01-31T00:00:00"/>
    <s v="000-567/AIB RDC/2023"/>
    <n v="36"/>
    <s v="INCORPORATION"/>
    <s v="12001-33002-9001-103-00001852"/>
    <s v="CFAO RDC / Loxea RDC"/>
    <s v="Distribution"/>
    <s v="ANDY"/>
    <s v="Andy"/>
    <s v="COMP MOTOR"/>
    <s v="MOTOR COMP"/>
    <x v="1"/>
    <s v="ACTIVA"/>
    <n v="27109"/>
    <n v="894.48"/>
    <n v="0"/>
    <n v="0"/>
    <n v="10"/>
    <n v="761.45"/>
    <n v="123.43"/>
    <n v="2.8088457707772328E-2"/>
    <n v="0.144879573451002"/>
    <n v="110.31855120426548"/>
    <n v="0"/>
    <n v="0"/>
    <n v="22.843499999999999"/>
    <n v="133.16205120426548"/>
    <n v="21.305928192682476"/>
    <n v="154.46797939694795"/>
    <n v="2.2063710240853096"/>
    <n v="0"/>
    <n v="2.2063710240853096"/>
    <m/>
    <n v="130.95568018018017"/>
    <s v="Aucun"/>
    <m/>
    <n v="0"/>
    <m/>
    <m/>
    <n v="0"/>
    <m/>
    <n v="154.46"/>
    <n v="154.46"/>
    <n v="0"/>
    <s v="ACTIVA"/>
    <d v="2023-08-15T00:00:00"/>
    <m/>
    <m/>
    <m/>
    <m/>
    <m/>
    <m/>
  </r>
  <r>
    <x v="3"/>
    <s v="No"/>
    <d v="2023-06-26T00:00:00"/>
    <d v="2023-06-24T00:00:00"/>
    <d v="2023-06-25T00:00:00"/>
    <d v="2024-06-24T00:00:00"/>
    <s v="000-568/AIB RDC/2023"/>
    <n v="0"/>
    <s v="SOUSCRIPTION"/>
    <s v="12002-33002-0004-104-00020929-2023"/>
    <s v="Patel Arvind Kumar"/>
    <m/>
    <s v="ANDY"/>
    <s v="Tychique"/>
    <s v="COMP MOTOR"/>
    <s v="MOTOR COMP"/>
    <x v="0"/>
    <s v="SFA"/>
    <n v="120000"/>
    <n v="5300.03"/>
    <n v="0"/>
    <n v="0"/>
    <n v="159.47"/>
    <n v="4409.5200000000004"/>
    <n v="731.04"/>
    <n v="3.6746000000000001E-2"/>
    <n v="0.15"/>
    <n v="661.428"/>
    <n v="0"/>
    <n v="0"/>
    <n v="0"/>
    <n v="661.428"/>
    <n v="105.82848"/>
    <n v="767.25648000000001"/>
    <n v="13.22856"/>
    <n v="0"/>
    <n v="13.22856"/>
    <m/>
    <n v="648.19943999999998"/>
    <m/>
    <m/>
    <n v="0"/>
    <m/>
    <m/>
    <n v="0"/>
    <m/>
    <n v="767.25648000000001"/>
    <n v="767.25648000000001"/>
    <n v="0"/>
    <s v="SFA"/>
    <d v="2023-07-28T00:00:00"/>
    <m/>
    <m/>
    <m/>
    <m/>
    <m/>
    <m/>
  </r>
  <r>
    <x v="6"/>
    <s v="Yes"/>
    <d v="2023-06-26T00:00:00"/>
    <d v="2023-06-26T00:00:00"/>
    <d v="2023-04-01T00:00:00"/>
    <d v="2024-03-31T00:00:00"/>
    <s v="000-569/AIB RDC/2023"/>
    <n v="1"/>
    <s v="RENOUVELLEMENT"/>
    <s v="301-60100002"/>
    <s v="CFAO RDC / Loxea RDC"/>
    <s v="Distribution"/>
    <s v="ANDY"/>
    <s v="Andy"/>
    <s v="GENERAL LIABILITY"/>
    <s v="LIABILITIES"/>
    <x v="6"/>
    <s v="RAWSUR"/>
    <n v="5981.33"/>
    <n v="449.89"/>
    <n v="0"/>
    <n v="0"/>
    <n v="50"/>
    <n v="331.26"/>
    <n v="61"/>
    <n v="5.5382331354397768E-2"/>
    <n v="0.08"/>
    <n v="26.500799999999998"/>
    <n v="0"/>
    <n v="0"/>
    <n v="0"/>
    <n v="26.500799999999998"/>
    <n v="4.2401279999999995"/>
    <n v="30.740927999999997"/>
    <n v="0.53001599999999993"/>
    <n v="0"/>
    <n v="0.53001599999999993"/>
    <m/>
    <n v="25.970783999999998"/>
    <m/>
    <m/>
    <n v="0"/>
    <m/>
    <m/>
    <n v="0"/>
    <m/>
    <n v="30.740927999999997"/>
    <n v="30.740927999999997"/>
    <n v="0"/>
    <s v="RAWSUR"/>
    <d v="2023-08-15T00:00:00"/>
    <m/>
    <m/>
    <m/>
    <m/>
    <m/>
    <m/>
  </r>
  <r>
    <x v="6"/>
    <s v="Yes"/>
    <d v="2023-06-26T00:00:00"/>
    <d v="2023-06-26T00:00:00"/>
    <d v="2023-04-01T00:00:00"/>
    <d v="2024-03-31T00:00:00"/>
    <s v="000-570/AIB RDC/2023"/>
    <n v="1"/>
    <s v="RENOUVELLEMENT"/>
    <s v="301-60100001"/>
    <s v="CFAO RDC / Motors"/>
    <m/>
    <s v="ANDY"/>
    <s v="Andy"/>
    <s v="GENERAL LIABILITY"/>
    <s v="LIABILITIES"/>
    <x v="6"/>
    <s v="RAWSUR"/>
    <n v="88930.3"/>
    <n v="5870.74"/>
    <n v="0"/>
    <n v="0"/>
    <n v="50"/>
    <n v="4925.21"/>
    <n v="796.03"/>
    <n v="5.538281103291004E-2"/>
    <n v="0.08"/>
    <n v="394.01679999999999"/>
    <n v="0"/>
    <n v="0"/>
    <n v="0"/>
    <n v="394.01679999999999"/>
    <n v="63.042687999999998"/>
    <n v="457.05948799999999"/>
    <n v="7.8803359999999998"/>
    <n v="0"/>
    <n v="7.8803359999999998"/>
    <m/>
    <n v="386.13646399999999"/>
    <m/>
    <m/>
    <n v="0"/>
    <m/>
    <m/>
    <n v="0"/>
    <m/>
    <n v="457.05948799999999"/>
    <n v="457.05948799999999"/>
    <n v="0"/>
    <s v="RAWSUR"/>
    <d v="2023-08-15T00:00:00"/>
    <m/>
    <m/>
    <m/>
    <m/>
    <m/>
    <m/>
  </r>
  <r>
    <x v="6"/>
    <s v="Yes"/>
    <d v="2023-06-26T00:00:00"/>
    <d v="2023-06-26T00:00:00"/>
    <d v="2023-04-01T00:00:00"/>
    <d v="2024-03-31T00:00:00"/>
    <s v="000-571/AIB RDC/2023"/>
    <n v="1"/>
    <s v="RENOUVELLEMENT"/>
    <s v="301-60100008"/>
    <s v="CFAO RDC / Technologies"/>
    <m/>
    <s v="ANDY"/>
    <s v="Andy"/>
    <s v="GENERAL LIABILITY"/>
    <s v="LIABILITIES"/>
    <x v="6"/>
    <s v="RAWSUR"/>
    <n v="1083.98"/>
    <n v="134.38"/>
    <n v="0"/>
    <n v="0"/>
    <n v="50"/>
    <n v="63.88"/>
    <n v="18.22"/>
    <n v="5.8930976586283879E-2"/>
    <n v="0.08"/>
    <n v="5.1104000000000003"/>
    <n v="0"/>
    <n v="0"/>
    <n v="0"/>
    <n v="5.1104000000000003"/>
    <n v="0.81766400000000006"/>
    <n v="5.928064"/>
    <n v="0.10220800000000001"/>
    <n v="0"/>
    <n v="0.10220800000000001"/>
    <m/>
    <n v="5.0081920000000002"/>
    <m/>
    <m/>
    <n v="0"/>
    <m/>
    <m/>
    <n v="0"/>
    <m/>
    <n v="5.928064"/>
    <n v="5.928064"/>
    <n v="0"/>
    <s v="RAWSUR"/>
    <d v="2023-08-15T00:00:00"/>
    <m/>
    <m/>
    <m/>
    <m/>
    <m/>
    <m/>
  </r>
  <r>
    <x v="4"/>
    <s v="Yes"/>
    <d v="2023-06-26T00:00:00"/>
    <d v="2023-06-13T00:00:00"/>
    <d v="2023-05-26T00:00:00"/>
    <d v="2023-06-30T00:00:00"/>
    <s v="000-572/AIB RDC/2023"/>
    <n v="1"/>
    <s v="INCORPORATION"/>
    <s v="12005-33002-0007-13001-00002326-2022"/>
    <s v="Teichmann Group / T3 Projects"/>
    <s v="Construction"/>
    <s v="ANDY"/>
    <s v="Sabrina"/>
    <s v="MARINE CARGO / GIT"/>
    <s v="MARINE"/>
    <x v="5"/>
    <s v="MAYFAIR"/>
    <n v="0"/>
    <n v="3839"/>
    <n v="0"/>
    <n v="0"/>
    <n v="100"/>
    <n v="2709"/>
    <n v="449"/>
    <e v="#DIV/0!"/>
    <n v="0.15"/>
    <n v="406.34999999999997"/>
    <n v="0"/>
    <n v="0"/>
    <n v="0"/>
    <n v="406.34999999999997"/>
    <n v="65.015999999999991"/>
    <n v="471.36599999999999"/>
    <n v="8.1269999999999989"/>
    <n v="0"/>
    <n v="8.1269999999999989"/>
    <m/>
    <n v="398.22299999999996"/>
    <s v="O'NEILS"/>
    <n v="0.5"/>
    <n v="199.11149999999998"/>
    <n v="199.11149999999998"/>
    <d v="2023-10-20T00:00:00"/>
    <n v="0"/>
    <m/>
    <n v="471.36599999999999"/>
    <n v="471.36599999999999"/>
    <n v="0"/>
    <s v="MAYFAIR"/>
    <d v="2023-08-08T00:00:00"/>
    <m/>
    <m/>
    <s v="MARINE CARGO / GIT"/>
    <m/>
    <m/>
    <m/>
  </r>
  <r>
    <x v="7"/>
    <s v="No"/>
    <d v="2023-06-26T00:00:00"/>
    <d v="2023-07-14T00:00:00"/>
    <d v="2023-07-01T00:00:00"/>
    <d v="2024-06-30T00:00:00"/>
    <s v="000-573/AIB RDC/2023"/>
    <n v="2"/>
    <s v="RENOUVELLEMENT"/>
    <s v="12005-33002-0007-13001-00002326-2022"/>
    <s v="Teichmann Group / T3 Projects"/>
    <s v="Construction"/>
    <s v="ANDY"/>
    <s v="Sabrina"/>
    <s v="MARINE CARGO / GIT"/>
    <s v="MARINE"/>
    <x v="5"/>
    <s v="MAYFAIR"/>
    <n v="3000000"/>
    <n v="7906"/>
    <n v="0"/>
    <n v="0"/>
    <n v="100"/>
    <n v="6600"/>
    <n v="1072"/>
    <n v="2.2000000000000001E-3"/>
    <n v="0.15"/>
    <n v="990"/>
    <n v="0"/>
    <n v="0"/>
    <n v="0"/>
    <n v="990"/>
    <n v="158.4"/>
    <n v="1148.4000000000001"/>
    <n v="19.8"/>
    <n v="0"/>
    <n v="19.8"/>
    <m/>
    <n v="970.2"/>
    <s v="O'NEILS"/>
    <n v="0.5"/>
    <n v="485.1"/>
    <n v="485.1"/>
    <d v="2023-10-20T00:00:00"/>
    <n v="0"/>
    <m/>
    <n v="1148.4000000000001"/>
    <n v="1148.4000000000001"/>
    <n v="0"/>
    <s v="MAYFAIR"/>
    <d v="2023-08-31T00:00:00"/>
    <m/>
    <m/>
    <s v="MARINE CARGO / GIT"/>
    <m/>
    <m/>
    <m/>
  </r>
  <r>
    <x v="3"/>
    <s v="Yes"/>
    <d v="2023-07-06T00:00:00"/>
    <d v="2023-06-19T00:00:00"/>
    <d v="2023-06-17T00:00:00"/>
    <d v="2024-06-16T00:00:00"/>
    <s v="000-574/AIB RDC/2023"/>
    <n v="0"/>
    <s v="SOUSCRIPTION"/>
    <s v="12002-33002-0004-104-00020818-2023"/>
    <s v="INDUSTRIAL SERVICES"/>
    <m/>
    <s v="SYNTYCHE"/>
    <s v="Syntyche"/>
    <s v="COMP MOTOR"/>
    <s v="MOTOR COMP"/>
    <x v="0"/>
    <s v="SFA"/>
    <n v="0"/>
    <n v="15238.68"/>
    <n v="0"/>
    <n v="0"/>
    <n v="461.36"/>
    <n v="12675.44"/>
    <n v="2101.88"/>
    <e v="#DIV/0!"/>
    <n v="0.15"/>
    <n v="1901.316"/>
    <n v="0"/>
    <n v="0"/>
    <n v="0"/>
    <n v="1901.316"/>
    <n v="304.21055999999999"/>
    <n v="2205.5265600000002"/>
    <n v="38.026319999999998"/>
    <n v="0"/>
    <n v="38.026319999999998"/>
    <m/>
    <n v="1863.2896800000001"/>
    <m/>
    <m/>
    <n v="0"/>
    <m/>
    <m/>
    <n v="0"/>
    <m/>
    <n v="2205.5265600000002"/>
    <n v="2205.5265600000002"/>
    <n v="0"/>
    <s v="SFA"/>
    <d v="2023-07-28T00:00:00"/>
    <m/>
    <m/>
    <m/>
    <m/>
    <m/>
    <m/>
  </r>
  <r>
    <x v="3"/>
    <s v="Yes"/>
    <d v="2023-07-06T00:00:00"/>
    <d v="2023-06-19T00:00:00"/>
    <d v="2023-06-18T00:00:00"/>
    <d v="2024-06-17T00:00:00"/>
    <s v="000-575/AIB RDC/2023"/>
    <n v="0"/>
    <s v="SOUSCRIPTION"/>
    <s v="12002-33002-0010-108-00020819-2023"/>
    <s v="TRANS AIR CARGO"/>
    <m/>
    <s v="SYNTYCHE"/>
    <s v="Syntyche"/>
    <s v="AVIATION HULL ALL RISK"/>
    <s v="AVIATION"/>
    <x v="0"/>
    <s v="SFA"/>
    <n v="0"/>
    <n v="252429.73"/>
    <n v="19038.580000000002"/>
    <n v="-12963.16"/>
    <n v="4266.8999999999996"/>
    <n v="181343.2"/>
    <n v="34817.89"/>
    <e v="#DIV/0!"/>
    <n v="7.6209088623118995E-2"/>
    <n v="13819.999999999993"/>
    <n v="5711.5740000000005"/>
    <n v="13819.999999999993"/>
    <n v="0"/>
    <n v="33351.573999999986"/>
    <n v="5336.2518399999981"/>
    <n v="38687.825839999983"/>
    <n v="667.03147999999976"/>
    <n v="0"/>
    <n v="667.03147999999976"/>
    <m/>
    <n v="32684.542519999985"/>
    <m/>
    <m/>
    <n v="0"/>
    <m/>
    <m/>
    <n v="0"/>
    <m/>
    <n v="9671.9600000000009"/>
    <n v="38687.825839999983"/>
    <n v="29015.865839999984"/>
    <s v="SFA"/>
    <d v="2023-10-30T00:00:00"/>
    <m/>
    <m/>
    <m/>
    <m/>
    <m/>
    <m/>
  </r>
  <r>
    <x v="3"/>
    <s v="No"/>
    <d v="2023-07-07T00:00:00"/>
    <d v="2023-04-20T00:00:00"/>
    <d v="2023-06-20T00:00:00"/>
    <d v="2024-06-19T00:00:00"/>
    <s v="000-576/AIB RDC/2023"/>
    <n v="2"/>
    <s v="RENOUVELLEMENT"/>
    <s v="42000013/2 - 301"/>
    <s v="LIEDEKERKE"/>
    <m/>
    <s v="SYNTYCHE"/>
    <s v="Grâce"/>
    <s v="FIRE"/>
    <s v="PROPERTIES"/>
    <x v="6"/>
    <s v="RAWSUR"/>
    <n v="0"/>
    <n v="1594.89"/>
    <n v="0"/>
    <n v="0"/>
    <n v="50"/>
    <n v="1301.6099999999999"/>
    <n v="216.25"/>
    <e v="#DIV/0!"/>
    <n v="0.15"/>
    <n v="195.24149999999997"/>
    <n v="0"/>
    <n v="0"/>
    <n v="0"/>
    <n v="195.24149999999997"/>
    <n v="31.238639999999997"/>
    <n v="226.48013999999998"/>
    <n v="3.9048299999999996"/>
    <n v="0"/>
    <n v="3.9048299999999996"/>
    <m/>
    <n v="191.33666999999997"/>
    <m/>
    <m/>
    <n v="0"/>
    <m/>
    <m/>
    <n v="0"/>
    <m/>
    <n v="226.48013999999998"/>
    <n v="226.48013999999998"/>
    <n v="0"/>
    <s v="RAWSUR"/>
    <d v="2023-08-15T00:00:00"/>
    <m/>
    <m/>
    <m/>
    <m/>
    <m/>
    <m/>
  </r>
  <r>
    <x v="3"/>
    <s v="Yes"/>
    <d v="2023-07-07T00:00:00"/>
    <d v="2023-06-17T00:00:00"/>
    <d v="2023-06-13T00:00:00"/>
    <d v="2024-06-12T00:00:00"/>
    <s v="000-577/AIB RDC/2023"/>
    <n v="0"/>
    <s v="SOUSCRIPTION"/>
    <s v="12002-33002-0002-112-00020806-2023"/>
    <s v="KANU EQUIPEMENT"/>
    <m/>
    <s v="SYNTYCHE"/>
    <s v="Grâce"/>
    <s v="FIRE"/>
    <s v="PROPERTIES"/>
    <x v="0"/>
    <s v="SFA"/>
    <n v="0"/>
    <n v="3652.91"/>
    <n v="0"/>
    <n v="0"/>
    <n v="87.06"/>
    <n v="3062"/>
    <n v="503.85"/>
    <e v="#DIV/0!"/>
    <n v="0.1"/>
    <n v="306.2"/>
    <n v="0"/>
    <n v="0"/>
    <n v="0"/>
    <n v="306.2"/>
    <n v="48.991999999999997"/>
    <n v="355.19200000000001"/>
    <n v="6.1239999999999997"/>
    <n v="0"/>
    <n v="6.1239999999999997"/>
    <m/>
    <n v="300.07599999999996"/>
    <m/>
    <m/>
    <n v="0"/>
    <m/>
    <m/>
    <n v="0"/>
    <m/>
    <n v="355.19200000000001"/>
    <n v="355.19200000000001"/>
    <n v="0"/>
    <s v="SFA"/>
    <d v="2023-07-28T00:00:00"/>
    <m/>
    <m/>
    <m/>
    <m/>
    <m/>
    <m/>
  </r>
  <r>
    <x v="3"/>
    <s v="Yes"/>
    <d v="2023-06-14T00:00:00"/>
    <d v="2023-06-15T00:00:00"/>
    <d v="2023-06-15T00:00:00"/>
    <d v="2023-06-16T00:00:00"/>
    <s v="000-578/AIB RDC/2023"/>
    <n v="0"/>
    <s v="SOUSCRIPTION"/>
    <s v="12002-33002-0024-113-00020746-2023"/>
    <s v="MIDEMA Minoterie de Matadi_x000a_"/>
    <m/>
    <s v="ALICE"/>
    <s v="Apphia"/>
    <s v="GENERAL LIABILITY"/>
    <s v="LIABILITIES"/>
    <x v="0"/>
    <s v="SFA"/>
    <n v="100000"/>
    <n v="1798.46"/>
    <n v="0"/>
    <n v="0"/>
    <n v="50.4"/>
    <n v="1500"/>
    <n v="248.06"/>
    <n v="1.4999999999999999E-2"/>
    <n v="0.15"/>
    <n v="225"/>
    <n v="0"/>
    <n v="0"/>
    <n v="0"/>
    <n v="225"/>
    <n v="36"/>
    <n v="261"/>
    <n v="4.5"/>
    <n v="0"/>
    <n v="4.5"/>
    <m/>
    <n v="220.5"/>
    <m/>
    <m/>
    <n v="0"/>
    <m/>
    <m/>
    <n v="0"/>
    <m/>
    <n v="261"/>
    <n v="261"/>
    <n v="0"/>
    <s v="SFA"/>
    <d v="2023-07-28T00:00:00"/>
    <m/>
    <m/>
    <m/>
    <m/>
    <m/>
    <m/>
  </r>
  <r>
    <x v="0"/>
    <s v="No"/>
    <d v="2022-12-15T00:00:00"/>
    <d v="2023-01-27T00:00:00"/>
    <d v="2023-01-01T00:00:00"/>
    <d v="2023-12-31T00:00:00"/>
    <s v="000-579/AIB RDC/2023"/>
    <n v="0"/>
    <s v="SOUSCRIPTION"/>
    <m/>
    <s v="Chemaf Sarl"/>
    <s v="Mining"/>
    <s v="ALICE"/>
    <s v="Apphia"/>
    <s v="LIFE"/>
    <s v="LIFE"/>
    <x v="3"/>
    <s v="RAWSUR - LIFE"/>
    <n v="0"/>
    <n v="85391"/>
    <n v="0"/>
    <n v="0"/>
    <n v="0"/>
    <n v="85391"/>
    <n v="0"/>
    <e v="#DIV/0!"/>
    <n v="2.5000000000000001E-2"/>
    <n v="2134.7750000000001"/>
    <n v="0"/>
    <n v="0"/>
    <n v="0"/>
    <n v="2134.7750000000001"/>
    <n v="0"/>
    <n v="2134.7750000000001"/>
    <n v="21.347750000000001"/>
    <n v="0"/>
    <n v="21.347750000000001"/>
    <m/>
    <n v="2113.4272500000002"/>
    <m/>
    <m/>
    <n v="0"/>
    <m/>
    <m/>
    <n v="0"/>
    <m/>
    <m/>
    <n v="2134.7750000000001"/>
    <n v="2134.7750000000001"/>
    <s v="RAWSUR - LIFE"/>
    <m/>
    <m/>
    <m/>
    <m/>
    <m/>
    <m/>
    <s v="30-10-2023// déjà payer // à collecter cfr Alice "/>
  </r>
  <r>
    <x v="3"/>
    <s v="Yes"/>
    <d v="2023-07-11T00:00:00"/>
    <d v="2023-06-26T00:00:00"/>
    <d v="2023-06-01T00:00:00"/>
    <d v="2023-05-31T00:00:00"/>
    <s v="000-580/AIB RDC/2023"/>
    <n v="0"/>
    <s v="SOUSCRIPTION"/>
    <n v="10200006"/>
    <s v="ALLIED INSURANCE BROKERS ( AIB) RDC SA"/>
    <m/>
    <s v="ALICE"/>
    <s v="Alice"/>
    <s v="MEDICAL"/>
    <s v="MEDICAL &amp; GPA"/>
    <x v="6"/>
    <s v="RAWSUR"/>
    <n v="0"/>
    <n v="11946.24"/>
    <n v="0"/>
    <n v="0"/>
    <n v="234.24"/>
    <n v="11712"/>
    <n v="0"/>
    <e v="#DIV/0!"/>
    <n v="0.1"/>
    <n v="1171.2"/>
    <n v="0"/>
    <n v="0"/>
    <n v="0"/>
    <n v="1171.2"/>
    <n v="187.39200000000002"/>
    <n v="1358.5920000000001"/>
    <n v="23.424000000000003"/>
    <n v="0"/>
    <n v="23.424000000000003"/>
    <m/>
    <n v="1147.7760000000001"/>
    <m/>
    <m/>
    <n v="0"/>
    <m/>
    <m/>
    <n v="0"/>
    <m/>
    <n v="1358.5920000000001"/>
    <n v="1358.5920000000001"/>
    <n v="0"/>
    <s v="RAWSUR"/>
    <d v="2023-11-14T00:00:00"/>
    <m/>
    <m/>
    <m/>
    <n v="1028.1120000000001"/>
    <m/>
    <m/>
  </r>
  <r>
    <x v="6"/>
    <s v="Yes"/>
    <d v="2023-07-11T00:00:00"/>
    <d v="2023-06-06T00:00:00"/>
    <d v="2023-04-01T00:00:00"/>
    <d v="2023-09-30T00:00:00"/>
    <s v="000-581/AIB RDC/2023"/>
    <n v="1"/>
    <s v="INCORPORATION"/>
    <n v="45000015"/>
    <s v="Liberty SPRL"/>
    <s v="Supermarché"/>
    <s v="ANDY"/>
    <s v="Andy"/>
    <s v="PROPERTY DAMAGE &amp; BI"/>
    <s v="PROPERTIES"/>
    <x v="6"/>
    <s v="RAWSUR"/>
    <n v="0"/>
    <n v="13211.32"/>
    <n v="0"/>
    <n v="0"/>
    <n v="100"/>
    <n v="11096.03"/>
    <n v="1791.37"/>
    <e v="#DIV/0!"/>
    <n v="6.7500000000000004E-2"/>
    <n v="748.98202500000014"/>
    <n v="0"/>
    <n v="0"/>
    <n v="0"/>
    <n v="748.98202500000014"/>
    <n v="119.83712400000002"/>
    <n v="868.81914900000015"/>
    <n v="14.979640500000002"/>
    <n v="0"/>
    <n v="14.979640500000002"/>
    <m/>
    <n v="734.00238450000018"/>
    <s v="Aucun"/>
    <m/>
    <n v="0"/>
    <m/>
    <m/>
    <n v="0"/>
    <m/>
    <n v="868.81914900000015"/>
    <n v="868.81914900000015"/>
    <n v="0"/>
    <s v="RAWSUR"/>
    <d v="2023-08-15T00:00:00"/>
    <m/>
    <m/>
    <m/>
    <m/>
    <m/>
    <m/>
  </r>
  <r>
    <x v="6"/>
    <s v="Yes"/>
    <d v="2023-07-11T00:00:00"/>
    <d v="2023-06-01T00:00:00"/>
    <d v="2023-04-01T00:00:00"/>
    <d v="2024-03-31T00:00:00"/>
    <s v="000-582/AIB RDC/2023"/>
    <n v="1"/>
    <s v="RENOUVELLEMENT"/>
    <n v="59000004"/>
    <s v="Liberty SPRL"/>
    <s v="Supermarché"/>
    <s v="ANDY"/>
    <s v="Andy"/>
    <s v="PVT"/>
    <s v="POLITICAL VIOLENCE"/>
    <x v="6"/>
    <s v="RAWSUR"/>
    <n v="0"/>
    <n v="24602.61"/>
    <n v="0"/>
    <n v="0"/>
    <n v="100"/>
    <n v="20749.66"/>
    <n v="3335.95"/>
    <e v="#DIV/0!"/>
    <n v="0.15"/>
    <n v="3112.4490000000001"/>
    <n v="0"/>
    <n v="0"/>
    <n v="0"/>
    <n v="3112.4490000000001"/>
    <n v="497.99184000000002"/>
    <n v="3610.4408400000002"/>
    <n v="62.248980000000003"/>
    <n v="0"/>
    <n v="62.248980000000003"/>
    <m/>
    <n v="3050.2000200000002"/>
    <s v="Aucun"/>
    <m/>
    <n v="0"/>
    <m/>
    <m/>
    <n v="0"/>
    <m/>
    <n v="3610.4408400000002"/>
    <n v="3610.4408400000002"/>
    <n v="0"/>
    <s v="RAWSUR"/>
    <d v="2023-08-15T00:00:00"/>
    <m/>
    <m/>
    <m/>
    <m/>
    <m/>
    <m/>
  </r>
  <r>
    <x v="3"/>
    <s v="Yes"/>
    <d v="2023-07-11T00:00:00"/>
    <d v="2023-06-07T00:00:00"/>
    <d v="2023-06-04T00:00:00"/>
    <d v="2023-08-03T00:00:00"/>
    <s v="000-583/AIB RDC/2023"/>
    <n v="0"/>
    <s v="SOUSCRIPTION"/>
    <n v="70100035"/>
    <s v="ORICA / Bolloré"/>
    <m/>
    <s v="SYNTYCHE"/>
    <s v="Victor"/>
    <s v="MARINE CARGO / GIT"/>
    <s v="MARINE"/>
    <x v="6"/>
    <s v="RAWSUR"/>
    <n v="0"/>
    <n v="1391.8"/>
    <n v="0"/>
    <n v="0"/>
    <n v="222"/>
    <n v="957.49"/>
    <n v="188.71"/>
    <e v="#DIV/0!"/>
    <n v="0.15"/>
    <n v="143.62350000000001"/>
    <n v="0"/>
    <n v="0"/>
    <n v="0"/>
    <n v="143.62350000000001"/>
    <n v="22.979760000000002"/>
    <n v="166.60326000000001"/>
    <n v="2.8724700000000003"/>
    <n v="0"/>
    <n v="2.8724700000000003"/>
    <m/>
    <n v="140.75103000000001"/>
    <s v="BOLLORE"/>
    <n v="0.4"/>
    <n v="56.300412000000009"/>
    <n v="56.300412000000009"/>
    <d v="2023-10-30T00:00:00"/>
    <n v="0"/>
    <m/>
    <n v="166.60326000000001"/>
    <n v="166.60326000000001"/>
    <n v="0"/>
    <s v="RAWSUR"/>
    <d v="2023-08-15T00:00:00"/>
    <m/>
    <s v="ONCE OFF"/>
    <s v="MARINE CARGO / GIT"/>
    <m/>
    <m/>
    <m/>
  </r>
  <r>
    <x v="3"/>
    <s v="No"/>
    <d v="2023-07-11T00:00:00"/>
    <d v="2023-06-07T00:00:00"/>
    <d v="2023-06-07T00:00:00"/>
    <d v="2023-09-06T00:00:00"/>
    <s v="000-584/AIB RDC/2023"/>
    <n v="0"/>
    <s v="SOUSCRIPTION"/>
    <n v="70100038"/>
    <s v="ORICA / Bolloré"/>
    <m/>
    <s v="SYNTYCHE"/>
    <s v="Victor"/>
    <s v="MARINE CARGO / GIT"/>
    <s v="MARINE"/>
    <x v="6"/>
    <s v="RAWSUR"/>
    <n v="0"/>
    <n v="1593.7"/>
    <n v="0"/>
    <n v="0"/>
    <n v="259"/>
    <n v="1091.5899999999999"/>
    <n v="216.09"/>
    <e v="#DIV/0!"/>
    <n v="0.15"/>
    <n v="163.73849999999999"/>
    <n v="0"/>
    <n v="0"/>
    <n v="0"/>
    <n v="163.73849999999999"/>
    <n v="26.198159999999998"/>
    <n v="189.93665999999999"/>
    <n v="3.2747699999999997"/>
    <n v="0"/>
    <n v="3.2747699999999997"/>
    <m/>
    <n v="160.46373"/>
    <s v="BOLLORE"/>
    <n v="0.4"/>
    <n v="64.185491999999996"/>
    <n v="64.185491999999996"/>
    <d v="2023-10-30T00:00:00"/>
    <n v="0"/>
    <m/>
    <n v="189.93665999999999"/>
    <n v="189.93665999999999"/>
    <n v="0"/>
    <s v="RAWSUR"/>
    <d v="2023-08-15T00:00:00"/>
    <m/>
    <s v="ONCE OFF"/>
    <s v="MARINE CARGO / GIT"/>
    <m/>
    <m/>
    <m/>
  </r>
  <r>
    <x v="3"/>
    <s v="Yes"/>
    <d v="2023-07-11T00:00:00"/>
    <d v="2023-06-15T00:00:00"/>
    <d v="2023-06-06T00:00:00"/>
    <d v="2023-08-05T00:00:00"/>
    <s v="000-585/AIB RDC/2023"/>
    <n v="0"/>
    <s v="SOUSCRIPTION"/>
    <n v="70100036"/>
    <s v="CHUAN TIE ELECTRIC (TIANJIN) GROUP SARL / Bolloré"/>
    <m/>
    <s v="SYNTYCHE"/>
    <s v="Victor"/>
    <s v="MARINE CARGO / GIT"/>
    <s v="MARINE"/>
    <x v="6"/>
    <s v="RAWSUR"/>
    <n v="257648.38"/>
    <n v="1882.23"/>
    <n v="0"/>
    <n v="0"/>
    <n v="370"/>
    <n v="1225.0999999999999"/>
    <n v="255.22"/>
    <n v="4.7549299553135164E-3"/>
    <n v="0.15"/>
    <n v="183.76499999999999"/>
    <n v="0"/>
    <n v="0"/>
    <n v="0"/>
    <n v="183.76499999999999"/>
    <n v="29.4024"/>
    <n v="213.16739999999999"/>
    <n v="3.6753"/>
    <n v="0"/>
    <n v="3.6753"/>
    <m/>
    <n v="180.08969999999999"/>
    <s v="BOLLORE"/>
    <n v="0.4"/>
    <n v="72.035880000000006"/>
    <n v="72.035880000000006"/>
    <d v="2023-10-30T00:00:00"/>
    <n v="0"/>
    <m/>
    <n v="213.16739999999999"/>
    <n v="213.16739999999999"/>
    <n v="0"/>
    <s v="RAWSUR"/>
    <d v="2023-08-15T00:00:00"/>
    <m/>
    <s v="ONCE OFF"/>
    <s v="MARINE CARGO / GIT"/>
    <m/>
    <m/>
    <m/>
  </r>
  <r>
    <x v="3"/>
    <s v="No"/>
    <d v="2023-07-11T00:00:00"/>
    <d v="2023-06-19T00:00:00"/>
    <d v="2023-06-19T00:00:00"/>
    <d v="2023-09-18T00:00:00"/>
    <s v="000-586/AIB RDC/2023"/>
    <n v="0"/>
    <s v="SOUSCRIPTION"/>
    <n v="70100037"/>
    <s v="CHUAN TIE ELECTRIC (TIANJIN) GROUP SARL / Bolloré"/>
    <m/>
    <s v="SYNTYCHE"/>
    <s v="Victor"/>
    <s v="MARINE CARGO / GIT"/>
    <s v="MARINE"/>
    <x v="6"/>
    <s v="RAWSUR"/>
    <n v="0"/>
    <n v="861.41"/>
    <n v="0"/>
    <n v="0"/>
    <n v="148"/>
    <n v="582.02"/>
    <n v="116.8"/>
    <e v="#DIV/0!"/>
    <n v="0.15"/>
    <n v="87.302999999999997"/>
    <n v="0"/>
    <n v="0"/>
    <n v="0"/>
    <n v="87.302999999999997"/>
    <n v="13.96848"/>
    <n v="101.27148"/>
    <n v="1.7460599999999999"/>
    <n v="0"/>
    <n v="1.7460599999999999"/>
    <m/>
    <n v="85.556939999999997"/>
    <s v="BOLLORE"/>
    <n v="0.4"/>
    <n v="34.222776000000003"/>
    <n v="34.222776000000003"/>
    <d v="2023-10-30T00:00:00"/>
    <n v="0"/>
    <m/>
    <n v="101.27148"/>
    <n v="101.27148"/>
    <n v="0"/>
    <s v="RAWSUR"/>
    <d v="2023-08-15T00:00:00"/>
    <m/>
    <s v="ONCE OFF"/>
    <s v="MARINE CARGO / GIT"/>
    <m/>
    <m/>
    <m/>
  </r>
  <r>
    <x v="4"/>
    <s v="Yes"/>
    <d v="2023-07-12T00:00:00"/>
    <d v="2023-06-15T00:00:00"/>
    <d v="2023-05-24T00:00:00"/>
    <d v="2024-05-23T00:00:00"/>
    <s v="000-587/AIB RDC/2023"/>
    <n v="0"/>
    <s v="SOUSCRIPTION"/>
    <s v="12002-33002-0021-111-00020754-2023"/>
    <s v="MIDEMA Minoterie de Matadi_x000a_"/>
    <m/>
    <s v="ALICE"/>
    <s v="Apphia"/>
    <s v="MARINE CARGO / GIT"/>
    <s v="MARINE"/>
    <x v="0"/>
    <s v="SFA"/>
    <n v="0"/>
    <n v="439.65"/>
    <n v="0"/>
    <n v="0"/>
    <n v="2"/>
    <n v="344.45"/>
    <n v="57.19"/>
    <e v="#DIV/0!"/>
    <n v="0.15"/>
    <n v="51.667499999999997"/>
    <n v="0"/>
    <n v="0"/>
    <n v="0"/>
    <n v="51.667499999999997"/>
    <n v="8.2667999999999999"/>
    <n v="59.934299999999993"/>
    <n v="1.03335"/>
    <n v="0"/>
    <n v="1.03335"/>
    <m/>
    <n v="50.634149999999998"/>
    <m/>
    <m/>
    <n v="0"/>
    <m/>
    <m/>
    <n v="0"/>
    <m/>
    <n v="59.934299999999993"/>
    <n v="59.934299999999993"/>
    <n v="0"/>
    <s v="SFA"/>
    <d v="2023-07-28T00:00:00"/>
    <m/>
    <m/>
    <m/>
    <m/>
    <m/>
    <m/>
  </r>
  <r>
    <x v="4"/>
    <s v="Yes"/>
    <d v="2023-07-12T00:00:00"/>
    <d v="2023-06-15T00:00:00"/>
    <d v="2023-05-24T00:00:00"/>
    <d v="2024-05-23T00:00:00"/>
    <s v="000-588/AIB RDC/2023"/>
    <n v="0"/>
    <s v="SOUSCRIPTION"/>
    <s v="12002-33002-0021-111-00020752-2023"/>
    <s v="Airtel Congo RDC S.A / Bolloré"/>
    <m/>
    <s v="SYNTYCHE"/>
    <s v="Victor"/>
    <s v="MARINE CARGO / GIT"/>
    <s v="MARINE"/>
    <x v="0"/>
    <s v="SFA"/>
    <n v="0"/>
    <n v="390.12"/>
    <n v="0"/>
    <n v="0"/>
    <n v="2"/>
    <n v="302.58999999999997"/>
    <n v="50.36"/>
    <e v="#DIV/0!"/>
    <n v="0.15"/>
    <n v="45.388499999999993"/>
    <n v="0"/>
    <n v="0"/>
    <n v="0"/>
    <n v="45.388499999999993"/>
    <n v="7.2621599999999988"/>
    <n v="52.650659999999995"/>
    <n v="0.90776999999999985"/>
    <m/>
    <n v="0.90776999999999985"/>
    <m/>
    <n v="44.480729999999994"/>
    <s v="BOLLORE"/>
    <n v="0.4"/>
    <n v="17.792292"/>
    <n v="17.792292"/>
    <d v="2023-10-30T00:00:00"/>
    <n v="0"/>
    <m/>
    <n v="52.650659999999995"/>
    <n v="52.650659999999995"/>
    <n v="0"/>
    <s v="SFA"/>
    <d v="2023-07-28T00:00:00"/>
    <m/>
    <s v="ONCE OFF"/>
    <s v="MARINE CARGO / GIT"/>
    <m/>
    <m/>
    <m/>
  </r>
  <r>
    <x v="3"/>
    <s v="Yes"/>
    <d v="2023-06-23T00:00:00"/>
    <d v="2023-07-17T00:00:00"/>
    <d v="2023-06-05T00:00:00"/>
    <d v="2023-09-07T00:00:00"/>
    <s v="000-589/AIB RDC/2023"/>
    <n v="1"/>
    <s v="INCORPORATION"/>
    <s v="00017218"/>
    <s v="Teichmann Group / Mashamba Enterprises"/>
    <s v="Distribution"/>
    <s v="ANDY"/>
    <s v="Sabrina"/>
    <s v="MOTOR TPL"/>
    <s v="MOTOR TPL"/>
    <x v="0"/>
    <s v="SFA"/>
    <n v="0"/>
    <n v="84.94"/>
    <n v="0"/>
    <n v="0"/>
    <n v="4.42"/>
    <n v="68.81"/>
    <n v="11.71"/>
    <e v="#DIV/0!"/>
    <n v="0.125"/>
    <n v="8.6012500000000003"/>
    <n v="0"/>
    <n v="0"/>
    <n v="0"/>
    <n v="8.6012500000000003"/>
    <n v="1.3762000000000001"/>
    <n v="9.977450000000001"/>
    <n v="0.17202500000000001"/>
    <n v="0"/>
    <n v="0.17202500000000001"/>
    <m/>
    <n v="8.4292250000000006"/>
    <m/>
    <m/>
    <n v="0"/>
    <m/>
    <m/>
    <n v="0"/>
    <m/>
    <n v="9.977450000000001"/>
    <n v="9.977450000000001"/>
    <n v="0"/>
    <s v="SFA"/>
    <d v="2023-08-25T00:00:00"/>
    <m/>
    <m/>
    <m/>
    <m/>
    <m/>
    <m/>
  </r>
  <r>
    <x v="3"/>
    <s v="No"/>
    <d v="2023-07-12T00:00:00"/>
    <d v="2023-06-21T00:00:00"/>
    <d v="2023-06-16T00:00:00"/>
    <d v="2024-06-14T00:00:00"/>
    <s v="000-590/AIB RDC/2023"/>
    <n v="0"/>
    <s v="SOUSCRIPTION"/>
    <s v="12002-33002-0021-111-00020838-2023"/>
    <s v="Airtel Congo RDC S.A / Bolloré"/>
    <m/>
    <s v="SYNTYCHE"/>
    <s v="Victor"/>
    <s v="MARINE CARGO / GIT"/>
    <s v="MARINE"/>
    <x v="0"/>
    <s v="SFA"/>
    <n v="0"/>
    <n v="503.41"/>
    <n v="0"/>
    <n v="0"/>
    <n v="2"/>
    <n v="398.33"/>
    <n v="65.989999999999995"/>
    <e v="#DIV/0!"/>
    <n v="0.15"/>
    <n v="59.749499999999998"/>
    <n v="0"/>
    <n v="0"/>
    <n v="0"/>
    <n v="59.749499999999998"/>
    <n v="9.55992"/>
    <n v="69.309420000000003"/>
    <n v="1.19499"/>
    <m/>
    <n v="1.19499"/>
    <m/>
    <n v="58.554510000000001"/>
    <s v="BOLLORE"/>
    <n v="0.4"/>
    <n v="23.421804000000002"/>
    <n v="23.421804000000002"/>
    <d v="2023-10-30T00:00:00"/>
    <n v="0"/>
    <m/>
    <n v="69.309420000000003"/>
    <n v="69.309420000000003"/>
    <n v="0"/>
    <s v="SFA"/>
    <d v="2023-07-28T00:00:00"/>
    <m/>
    <s v="ONCE OFF"/>
    <s v="MARINE CARGO / GIT"/>
    <m/>
    <m/>
    <m/>
  </r>
  <r>
    <x v="3"/>
    <s v="No"/>
    <d v="2023-06-21T00:00:00"/>
    <d v="2023-06-21T00:00:00"/>
    <d v="2023-06-13T00:00:00"/>
    <d v="2024-06-11T00:00:00"/>
    <s v="000-591/AIB RDC/2023"/>
    <n v="0"/>
    <s v="SOUSCRIPTION"/>
    <s v="12002-33002-0021-111-00020845-2023"/>
    <s v="PANACO / Bolloré"/>
    <m/>
    <s v="SYNTYCHE"/>
    <s v="Victor"/>
    <s v="MARINE CARGO / GIT"/>
    <s v="MARINE"/>
    <x v="0"/>
    <s v="SFA"/>
    <n v="1047541.79"/>
    <n v="2263.12"/>
    <n v="0"/>
    <n v="0"/>
    <n v="2"/>
    <n v="1885.58"/>
    <n v="308.70999999999998"/>
    <n v="1.8000045611545482E-3"/>
    <n v="0.15"/>
    <n v="282.83699999999999"/>
    <n v="0"/>
    <n v="0"/>
    <n v="0"/>
    <n v="282.83699999999999"/>
    <n v="45.253920000000001"/>
    <n v="328.09091999999998"/>
    <n v="5.6567400000000001"/>
    <n v="0"/>
    <n v="5.6567400000000001"/>
    <m/>
    <n v="277.18025999999998"/>
    <s v="BOLLORE"/>
    <n v="0.4"/>
    <n v="110.87210399999999"/>
    <n v="110.87210399999999"/>
    <d v="2023-10-30T00:00:00"/>
    <n v="0"/>
    <m/>
    <n v="328.09091999999998"/>
    <n v="328.09091999999998"/>
    <n v="0"/>
    <s v="SFA"/>
    <d v="2023-07-28T00:00:00"/>
    <m/>
    <s v="ONCE OFF"/>
    <s v="MARINE CARGO / GIT"/>
    <m/>
    <m/>
    <m/>
  </r>
  <r>
    <x v="4"/>
    <s v="Yes"/>
    <d v="2023-07-12T00:00:00"/>
    <d v="2023-06-22T00:00:00"/>
    <d v="2023-05-23T00:00:00"/>
    <d v="2024-05-22T00:00:00"/>
    <s v="000-592/AIB RDC/2023"/>
    <n v="0"/>
    <s v="SOUSCRIPTION"/>
    <s v="12002-33002-0021-111-00020865-2023"/>
    <s v="Airtel Congo RDC S.A / Bolloré"/>
    <m/>
    <s v="SYNTYCHE"/>
    <s v="Victor"/>
    <s v="MARINE CARGO / GIT"/>
    <s v="MARINE"/>
    <x v="0"/>
    <s v="SFA"/>
    <n v="331299.03000000003"/>
    <n v="1125.76"/>
    <n v="0"/>
    <n v="0"/>
    <n v="2"/>
    <n v="924.32"/>
    <n v="151.83000000000001"/>
    <n v="2.789987039805097E-3"/>
    <n v="0.15"/>
    <n v="138.648"/>
    <n v="0"/>
    <n v="0"/>
    <n v="0"/>
    <n v="138.648"/>
    <n v="22.183679999999999"/>
    <n v="160.83168000000001"/>
    <n v="2.7729599999999999"/>
    <m/>
    <n v="2.7729599999999999"/>
    <m/>
    <n v="135.87503999999998"/>
    <s v="BOLLORE"/>
    <n v="0.4"/>
    <n v="54.350015999999997"/>
    <n v="54.350015999999997"/>
    <d v="2023-10-30T00:00:00"/>
    <n v="0"/>
    <m/>
    <n v="160.83168000000001"/>
    <n v="160.83168000000001"/>
    <n v="0"/>
    <s v="SFA"/>
    <d v="2023-07-28T00:00:00"/>
    <m/>
    <s v="ONCE OFF"/>
    <s v="MARINE CARGO / GIT"/>
    <m/>
    <m/>
    <m/>
  </r>
  <r>
    <x v="3"/>
    <s v="Yes"/>
    <d v="2023-07-17T00:00:00"/>
    <d v="2023-06-02T00:00:00"/>
    <d v="2023-06-02T00:00:00"/>
    <d v="2024-03-23T00:00:00"/>
    <s v="000-593/AIB RDC/2023"/>
    <n v="1"/>
    <s v="RISTOURNE"/>
    <s v="12005-33002-0012-13001-00004636-2023"/>
    <s v="SHAMIM SHAMJI / SARAH SHAMJI"/>
    <m/>
    <s v="MICHEE"/>
    <s v="Tychique"/>
    <s v="FIRE"/>
    <s v="PROPERTIES"/>
    <x v="5"/>
    <s v="MAYFAIR"/>
    <n v="0"/>
    <n v="-37.44"/>
    <n v="0"/>
    <n v="0"/>
    <n v="0"/>
    <n v="-31.73"/>
    <n v="-5.08"/>
    <e v="#DIV/0!"/>
    <n v="0.15"/>
    <n v="-4.7595000000000001"/>
    <n v="0"/>
    <n v="0"/>
    <n v="0"/>
    <n v="-4.7595000000000001"/>
    <n v="-0.76151999999999997"/>
    <n v="-5.52102"/>
    <n v="-9.5189999999999997E-2"/>
    <n v="0"/>
    <n v="-9.5189999999999997E-2"/>
    <m/>
    <n v="-4.6643100000000004"/>
    <m/>
    <m/>
    <n v="0"/>
    <m/>
    <m/>
    <n v="0"/>
    <m/>
    <n v="-5.52102"/>
    <n v="-5.52102"/>
    <n v="0"/>
    <s v="MAYFAIR"/>
    <d v="2023-08-08T00:00:00"/>
    <m/>
    <m/>
    <m/>
    <m/>
    <m/>
    <m/>
  </r>
  <r>
    <x v="3"/>
    <s v="No"/>
    <d v="2023-07-18T00:00:00"/>
    <d v="2023-06-05T00:00:00"/>
    <d v="2023-06-05T00:00:00"/>
    <d v="2024-06-04T00:00:00"/>
    <s v="000-594/AIB RDC/2023"/>
    <n v="0"/>
    <s v="SOUSCRIPTION"/>
    <s v="33002-0001-103-00007072-2023"/>
    <s v="PARAGON"/>
    <m/>
    <s v="ANDY"/>
    <s v="Andy"/>
    <s v="MOTOR TPL"/>
    <s v="MOTOR TPL"/>
    <x v="1"/>
    <s v="ACTIVA"/>
    <n v="0"/>
    <n v="259.83999999999997"/>
    <n v="0"/>
    <n v="0"/>
    <n v="10"/>
    <n v="214"/>
    <n v="35.840000000000003"/>
    <e v="#DIV/0!"/>
    <n v="0.125"/>
    <n v="26.75"/>
    <n v="0"/>
    <n v="0"/>
    <n v="0"/>
    <n v="26.75"/>
    <n v="4.28"/>
    <n v="31.03"/>
    <n v="0.53500000000000003"/>
    <n v="0"/>
    <n v="0.53500000000000003"/>
    <m/>
    <n v="26.215"/>
    <m/>
    <m/>
    <n v="0"/>
    <m/>
    <m/>
    <n v="0"/>
    <m/>
    <n v="31.03"/>
    <n v="31.03"/>
    <n v="0"/>
    <s v="ACTIVA"/>
    <d v="2023-08-15T00:00:00"/>
    <m/>
    <m/>
    <s v="MOTOR TPL"/>
    <m/>
    <m/>
    <m/>
  </r>
  <r>
    <x v="7"/>
    <s v="Yes"/>
    <d v="2023-07-19T00:00:00"/>
    <d v="2023-07-19T00:00:00"/>
    <d v="2023-07-12T00:00:00"/>
    <d v="2024-07-10T00:00:00"/>
    <s v="000-595/AIB RDC/2023"/>
    <n v="0"/>
    <s v="SOUSCRIPTION"/>
    <s v="12002-33002-0021-111-00021301-2023"/>
    <s v="WUHUANG CONSTRUCTION ET COMMERCE RDC SAS ( WHCC) / Bolloré"/>
    <m/>
    <s v="SYNTYCHE"/>
    <s v="David"/>
    <s v="MARINE CARGO / GIT"/>
    <s v="MARINE"/>
    <x v="0"/>
    <s v="SFA"/>
    <n v="48600"/>
    <n v="153.9"/>
    <n v="0"/>
    <n v="0"/>
    <n v="13.76"/>
    <n v="75.819999999999993"/>
    <n v="14.32"/>
    <n v="1.5600823045267488E-3"/>
    <n v="0.15"/>
    <n v="11.372999999999999"/>
    <n v="0"/>
    <n v="0"/>
    <n v="0"/>
    <n v="11.372999999999999"/>
    <n v="1.81968"/>
    <n v="13.192679999999999"/>
    <n v="0.22746"/>
    <n v="0"/>
    <n v="0.22746"/>
    <m/>
    <n v="11.145539999999999"/>
    <s v="BOLLORE"/>
    <n v="0.4"/>
    <n v="4.4582159999999993"/>
    <n v="4.4582159999999993"/>
    <d v="2023-10-30T00:00:00"/>
    <n v="0"/>
    <m/>
    <n v="13.192679999999999"/>
    <n v="13.192679999999999"/>
    <n v="0"/>
    <s v="SFA"/>
    <d v="2023-08-25T00:00:00"/>
    <m/>
    <s v="ONCE OFF"/>
    <s v="MARINE CARGO / GIT"/>
    <m/>
    <m/>
    <m/>
  </r>
  <r>
    <x v="7"/>
    <s v="No"/>
    <d v="2023-07-19T00:00:00"/>
    <d v="2023-06-29T00:00:00"/>
    <d v="2023-07-06T00:00:00"/>
    <d v="2024-07-05T00:00:00"/>
    <s v="000-596/AIB RDC/2023"/>
    <n v="2"/>
    <s v="RENOUVELLEMENT"/>
    <s v="12001-33002-0009-103-00002535-2022"/>
    <s v="ELISABETH GLASER PEDIATRIC AIDS FOUNDATION ( EGPAF)"/>
    <m/>
    <s v="ANDY"/>
    <s v="Andy"/>
    <s v="MOTOR TPL"/>
    <s v="MOTOR TPL"/>
    <x v="1"/>
    <s v="ACTIVA"/>
    <n v="0"/>
    <n v="2192.6"/>
    <n v="0"/>
    <n v="0"/>
    <n v="20"/>
    <n v="2172.6"/>
    <n v="0"/>
    <e v="#DIV/0!"/>
    <n v="0.1"/>
    <n v="217.26"/>
    <n v="0"/>
    <n v="0"/>
    <n v="0"/>
    <n v="217.26"/>
    <n v="34.761600000000001"/>
    <n v="252.02159999999998"/>
    <n v="4.3452000000000002"/>
    <n v="0"/>
    <n v="4.3452000000000002"/>
    <m/>
    <n v="212.91479999999999"/>
    <s v="OLEA"/>
    <m/>
    <n v="0"/>
    <m/>
    <m/>
    <n v="0"/>
    <m/>
    <n v="252.02159999999998"/>
    <n v="252.02159999999998"/>
    <n v="0"/>
    <s v="ACTIVA"/>
    <d v="2023-08-15T00:00:00"/>
    <m/>
    <m/>
    <s v="MOTOR TPL"/>
    <m/>
    <m/>
    <m/>
  </r>
  <r>
    <x v="3"/>
    <s v="Yes"/>
    <d v="2023-07-19T00:00:00"/>
    <d v="2023-06-06T00:00:00"/>
    <d v="2023-06-06T00:00:00"/>
    <d v="2023-07-05T00:00:00"/>
    <s v="000-597/AIB RDC/2023"/>
    <n v="0"/>
    <s v="SOUSCRIPTION"/>
    <s v="12001-33002-0014-111-00006118-2023"/>
    <s v="HELIOS INFRACO DRC SARL ( HT)"/>
    <m/>
    <s v="SYNTYCHE"/>
    <s v="Axel"/>
    <s v="MARINE CARGO / GIT"/>
    <s v="MARINE"/>
    <x v="1"/>
    <s v="ACTIVA"/>
    <n v="101294.47"/>
    <n v="424.36"/>
    <n v="0"/>
    <n v="0"/>
    <n v="10"/>
    <n v="334.27"/>
    <n v="55.08"/>
    <n v="3.2999827137651242E-3"/>
    <n v="0.15"/>
    <n v="50.140499999999996"/>
    <n v="0"/>
    <n v="0"/>
    <n v="0"/>
    <n v="50.140499999999996"/>
    <n v="8.0224799999999998"/>
    <n v="58.162979999999997"/>
    <n v="1.00281"/>
    <n v="0"/>
    <n v="1.00281"/>
    <m/>
    <n v="49.137689999999999"/>
    <m/>
    <m/>
    <n v="0"/>
    <m/>
    <m/>
    <n v="0"/>
    <m/>
    <n v="58.162979999999997"/>
    <n v="58.162979999999997"/>
    <n v="0"/>
    <s v="ACTIVA"/>
    <d v="2023-08-15T00:00:00"/>
    <m/>
    <s v="ONCE OFF"/>
    <s v="MARINE CARGO / GIT"/>
    <m/>
    <m/>
    <m/>
  </r>
  <r>
    <x v="3"/>
    <s v="No"/>
    <d v="2023-07-19T00:00:00"/>
    <d v="2023-06-06T00:00:00"/>
    <d v="2023-06-06T00:00:00"/>
    <d v="2023-07-05T00:00:00"/>
    <s v="000-598/AIB RDC/2023"/>
    <n v="0"/>
    <s v="SOUSCRIPTION"/>
    <s v="33002-0014-111-00006118-2023"/>
    <s v="HELIOS INFRACO DRC SARL ( HT)"/>
    <m/>
    <s v="SYNTYCHE"/>
    <s v="Axel"/>
    <s v="MARINE CARGO / GIT"/>
    <s v="MARINE"/>
    <x v="1"/>
    <s v="ACTIVA"/>
    <n v="0"/>
    <m/>
    <n v="0"/>
    <n v="0"/>
    <m/>
    <n v="321.33"/>
    <n v="0"/>
    <e v="#DIV/0!"/>
    <n v="0.15"/>
    <n v="48.199499999999993"/>
    <n v="0"/>
    <n v="0"/>
    <n v="0"/>
    <n v="48.199499999999993"/>
    <n v="7.7119199999999992"/>
    <n v="55.911419999999993"/>
    <n v="0.9639899999999999"/>
    <n v="0"/>
    <n v="0.9639899999999999"/>
    <m/>
    <n v="47.235509999999991"/>
    <m/>
    <m/>
    <n v="0"/>
    <m/>
    <m/>
    <n v="0"/>
    <m/>
    <n v="55.911419999999993"/>
    <n v="55.911419999999993"/>
    <n v="0"/>
    <s v="ACTIVA"/>
    <d v="2023-08-15T00:00:00"/>
    <m/>
    <s v="ONCE OFF"/>
    <s v="MARINE CARGO / GIT"/>
    <m/>
    <m/>
    <m/>
  </r>
  <r>
    <x v="3"/>
    <s v="No"/>
    <d v="2023-07-19T00:00:00"/>
    <d v="2023-06-07T00:00:00"/>
    <d v="2023-06-08T00:00:00"/>
    <d v="2023-07-22T00:00:00"/>
    <s v="000-599/AIB RDC/2023"/>
    <n v="0"/>
    <s v="SOUSCRIPTION"/>
    <s v="33002-0014-111-00006854-2023"/>
    <s v="HELIOS INFRACO DRC SARL ( HT)"/>
    <m/>
    <s v="SYNTYCHE"/>
    <s v="Axel"/>
    <s v="MARINE CARGO / GIT"/>
    <s v="MARINE"/>
    <x v="1"/>
    <s v="ACTIVA"/>
    <n v="0"/>
    <m/>
    <n v="0"/>
    <n v="0"/>
    <m/>
    <n v="471.17"/>
    <n v="0"/>
    <e v="#DIV/0!"/>
    <n v="0.15"/>
    <n v="70.6755"/>
    <n v="0"/>
    <n v="0"/>
    <n v="0"/>
    <n v="70.6755"/>
    <n v="11.30808"/>
    <n v="81.983580000000003"/>
    <n v="1.41351"/>
    <n v="0"/>
    <n v="1.41351"/>
    <m/>
    <n v="69.261989999999997"/>
    <m/>
    <m/>
    <n v="0"/>
    <m/>
    <m/>
    <n v="0"/>
    <m/>
    <n v="81.983580000000003"/>
    <n v="81.983580000000003"/>
    <n v="0"/>
    <s v="ACTIVA"/>
    <d v="2023-08-15T00:00:00"/>
    <m/>
    <s v="ONCE OFF"/>
    <s v="MARINE CARGO / GIT"/>
    <m/>
    <m/>
    <m/>
  </r>
  <r>
    <x v="3"/>
    <s v="Yes"/>
    <d v="2023-07-20T00:00:00"/>
    <d v="2023-07-19T00:00:00"/>
    <d v="2023-06-08T00:00:00"/>
    <d v="2024-06-06T00:00:00"/>
    <s v="000-600/AIB RDC/2023"/>
    <n v="0"/>
    <s v="SOUSCRIPTION"/>
    <s v="12002-33002-0021-111-00021330-2023"/>
    <s v="WUHUANG CONSTRUCTION ET COMMERCE RDC SAS ( WHCC) / Bolloré"/>
    <m/>
    <s v="SYNTYCHE"/>
    <s v="David"/>
    <s v="MARINE CARGO / GIT"/>
    <s v="MARINE"/>
    <x v="0"/>
    <s v="SFA"/>
    <n v="150451"/>
    <n v="416.7"/>
    <n v="0"/>
    <n v="0"/>
    <n v="23.78"/>
    <n v="270.81"/>
    <n v="47.11"/>
    <n v="1.7999880359718446E-3"/>
    <n v="0.15"/>
    <n v="40.621499999999997"/>
    <n v="0"/>
    <n v="0"/>
    <n v="0"/>
    <n v="40.621499999999997"/>
    <n v="6.4994399999999999"/>
    <n v="47.120939999999997"/>
    <n v="0.81242999999999999"/>
    <n v="0"/>
    <n v="0.81242999999999999"/>
    <m/>
    <n v="39.809069999999998"/>
    <s v="BOLLORE"/>
    <n v="0.4"/>
    <n v="15.923628000000001"/>
    <n v="15.923628000000001"/>
    <d v="2023-10-30T00:00:00"/>
    <n v="0"/>
    <m/>
    <n v="47.120939999999997"/>
    <n v="47.120939999999997"/>
    <n v="0"/>
    <s v="SFA"/>
    <d v="2023-08-25T00:00:00"/>
    <m/>
    <s v="ONCE OFF"/>
    <s v="MARINE CARGO / GIT"/>
    <m/>
    <m/>
    <m/>
  </r>
  <r>
    <x v="3"/>
    <s v="Yes"/>
    <d v="2023-07-20T00:00:00"/>
    <d v="2023-06-08T00:00:00"/>
    <d v="2023-06-02T00:00:00"/>
    <d v="2023-07-16T00:00:00"/>
    <s v="000-601/AIB RDC/2023"/>
    <n v="0"/>
    <s v="SOUSCRIPTION"/>
    <s v="12001-33002-0014-111-00006854-2023"/>
    <s v="HELIOS INFRACO DRC SARL ( HT)"/>
    <m/>
    <s v="SYNTYCHE"/>
    <s v="Axel"/>
    <s v="MARINE CARGO / GIT"/>
    <s v="MARINE"/>
    <x v="1"/>
    <s v="ACTIVA"/>
    <n v="110023.52"/>
    <n v="598.16"/>
    <n v="0"/>
    <n v="0"/>
    <n v="10"/>
    <n v="484.1"/>
    <n v="79.06"/>
    <n v="4.3999682976876217E-3"/>
    <n v="0.15"/>
    <n v="72.614999999999995"/>
    <n v="0"/>
    <n v="0"/>
    <n v="0"/>
    <n v="72.614999999999995"/>
    <n v="11.618399999999999"/>
    <n v="84.233399999999989"/>
    <n v="1.4522999999999999"/>
    <n v="0"/>
    <n v="1.4522999999999999"/>
    <m/>
    <n v="71.162700000000001"/>
    <m/>
    <m/>
    <n v="0"/>
    <m/>
    <m/>
    <n v="0"/>
    <m/>
    <n v="84.233399999999989"/>
    <n v="84.233399999999989"/>
    <n v="0"/>
    <s v="ACTIVA"/>
    <d v="2023-09-01T00:00:00"/>
    <m/>
    <s v="ONCE OFF"/>
    <s v="MARINE CARGO / GIT"/>
    <m/>
    <m/>
    <m/>
  </r>
  <r>
    <x v="7"/>
    <s v="Yes"/>
    <d v="2023-07-21T00:00:00"/>
    <d v="2023-07-03T00:00:00"/>
    <d v="2023-07-01T00:00:00"/>
    <d v="2023-10-31T00:00:00"/>
    <s v="000-602/AIB RDC/2023"/>
    <n v="0"/>
    <s v="SOUSCRIPTION"/>
    <s v="301-45000006"/>
    <s v="IVANHOE / Kamoa Copper SA"/>
    <s v="Mining"/>
    <s v="ANDY"/>
    <s v="Andy"/>
    <s v="FIRE"/>
    <s v="PROPERTIES"/>
    <x v="6"/>
    <s v="RAWSUR"/>
    <n v="1598981946"/>
    <n v="4560539.18"/>
    <n v="464179.72"/>
    <n v="-208289.96"/>
    <n v="100"/>
    <n v="3400584"/>
    <n v="618378.18999999994"/>
    <n v="2.1267181962290899E-3"/>
    <n v="1.125E-2"/>
    <n v="38256.57"/>
    <n v="76766.927999999985"/>
    <n v="7651.3140000000012"/>
    <n v="0"/>
    <n v="122674.81199999999"/>
    <n v="19627.96992"/>
    <n v="142302.78191999998"/>
    <n v="2453.4962399999999"/>
    <n v="0"/>
    <n v="2453.4962399999999"/>
    <m/>
    <n v="120221.31576"/>
    <m/>
    <m/>
    <n v="0"/>
    <m/>
    <m/>
    <n v="0"/>
    <m/>
    <n v="85382.03"/>
    <n v="142302.78191999998"/>
    <n v="56920.751919999981"/>
    <s v="RAWSUR"/>
    <d v="2023-09-05T00:00:00"/>
    <m/>
    <m/>
    <s v="FIRE"/>
    <m/>
    <m/>
    <m/>
  </r>
  <r>
    <x v="7"/>
    <s v="Yes"/>
    <d v="2023-07-24T00:00:00"/>
    <d v="2023-07-12T00:00:00"/>
    <d v="2023-07-12T00:00:00"/>
    <d v="2024-07-11T00:00:00"/>
    <s v="000-603/AIB RDC/2023"/>
    <n v="0"/>
    <s v="SOUSCRIPTION"/>
    <s v="12002-33002-0004-104-00021180-2023"/>
    <s v="Katshiompa Ntumba Toubert"/>
    <m/>
    <s v="ANDY"/>
    <s v="Sabrina"/>
    <s v="COMP MOTOR"/>
    <s v="MOTOR COMP"/>
    <x v="0"/>
    <s v="SFA"/>
    <n v="120000"/>
    <n v="5300.08"/>
    <n v="0"/>
    <n v="0"/>
    <n v="159.63999999999999"/>
    <n v="4409.3999999999996"/>
    <n v="731.04"/>
    <n v="3.6745E-2"/>
    <n v="0.15"/>
    <n v="661.41"/>
    <n v="0"/>
    <n v="0"/>
    <n v="0"/>
    <n v="661.41"/>
    <n v="105.82559999999999"/>
    <n v="767.23559999999998"/>
    <n v="13.228199999999999"/>
    <n v="0"/>
    <n v="13.228199999999999"/>
    <m/>
    <n v="648.18179999999995"/>
    <m/>
    <m/>
    <n v="0"/>
    <m/>
    <m/>
    <n v="0"/>
    <m/>
    <n v="767.23559999999998"/>
    <n v="767.23559999999998"/>
    <n v="0"/>
    <s v="SFA"/>
    <d v="2023-08-25T00:00:00"/>
    <m/>
    <m/>
    <m/>
    <m/>
    <m/>
    <m/>
  </r>
  <r>
    <x v="7"/>
    <s v="Yes"/>
    <d v="2023-07-24T00:00:00"/>
    <d v="2023-07-26T00:00:00"/>
    <d v="2023-07-15T00:00:00"/>
    <d v="2024-07-14T00:00:00"/>
    <s v="000-604/AIB RDC/2023"/>
    <n v="0"/>
    <s v="SOUSCRIPTION"/>
    <s v="12002-33002-0010-108-00021410-2023"/>
    <s v="Ste Immo Della / TP Mazembe"/>
    <s v="Aviation"/>
    <s v="ANDY"/>
    <s v="Sabrina"/>
    <s v="AVIATION HULL ALL RISK"/>
    <s v="AVIATION"/>
    <x v="0"/>
    <s v="AIRCRAFT RISK COMPANY"/>
    <n v="600000"/>
    <n v="26678.47"/>
    <n v="3366.35"/>
    <n v="0"/>
    <n v="556.33000000000004"/>
    <n v="19076"/>
    <n v="3679.79"/>
    <n v="3.1793333333333333E-2"/>
    <n v="0"/>
    <n v="0"/>
    <n v="1009.905"/>
    <n v="811.4663336000001"/>
    <n v="0"/>
    <n v="1821.3713336000001"/>
    <n v="291.41941337600002"/>
    <n v="2112.7907469760003"/>
    <n v="36.427426672000003"/>
    <n v="0"/>
    <n v="36.427426672000003"/>
    <m/>
    <n v="1784.9439069280002"/>
    <m/>
    <m/>
    <n v="0"/>
    <m/>
    <m/>
    <n v="0"/>
    <m/>
    <n v="2112.7907469760003"/>
    <n v="2112.7907469760003"/>
    <n v="0"/>
    <s v="SFA"/>
    <d v="2023-08-25T00:00:00"/>
    <m/>
    <m/>
    <m/>
    <m/>
    <m/>
    <m/>
  </r>
  <r>
    <x v="7"/>
    <s v="No"/>
    <d v="2023-07-24T00:00:00"/>
    <m/>
    <d v="2023-07-18T00:00:00"/>
    <d v="2023-10-17T00:00:00"/>
    <s v="000-605/AIB RDC/2023"/>
    <n v="0"/>
    <s v="SOUSCRIPTION"/>
    <s v="12005-33002-0011-13001-00006501-2023"/>
    <s v="Teichmann Group / Mashamba Enterprises"/>
    <s v="Food Industry"/>
    <s v="ANDY"/>
    <s v="Sabrina"/>
    <s v="MARINE CARGO / GIT"/>
    <s v="MARINE"/>
    <x v="5"/>
    <s v="MAYFAIR"/>
    <n v="16500"/>
    <n v="202"/>
    <n v="0"/>
    <n v="0"/>
    <n v="25"/>
    <n v="125"/>
    <n v="24"/>
    <n v="7.575757575757576E-3"/>
    <n v="0.15"/>
    <n v="18.75"/>
    <n v="0"/>
    <n v="0"/>
    <n v="0"/>
    <n v="18.75"/>
    <n v="3"/>
    <n v="21.75"/>
    <n v="0.375"/>
    <n v="0"/>
    <n v="0.375"/>
    <m/>
    <n v="18.375"/>
    <m/>
    <m/>
    <n v="0"/>
    <m/>
    <m/>
    <n v="0"/>
    <m/>
    <n v="21.75"/>
    <n v="21.75"/>
    <n v="0"/>
    <s v="MAYFAIR"/>
    <d v="2023-08-31T00:00:00"/>
    <m/>
    <m/>
    <m/>
    <m/>
    <m/>
    <m/>
  </r>
  <r>
    <x v="7"/>
    <s v="No"/>
    <d v="2023-07-24T00:00:00"/>
    <m/>
    <d v="2023-07-19T00:00:00"/>
    <d v="2024-07-18T00:00:00"/>
    <s v="000-606/AIB RDC/2023"/>
    <n v="0"/>
    <s v="SOUSCRIPTION"/>
    <s v="12001-33002-0001-103-00010400-2023"/>
    <s v="Matala Mulopwe Callixite"/>
    <m/>
    <s v="ANDY"/>
    <s v="Sabrina"/>
    <s v="MOTOR TPL"/>
    <s v="MOTOR TPL"/>
    <x v="1"/>
    <s v="ACTIVA"/>
    <n v="0"/>
    <n v="288.63"/>
    <n v="0"/>
    <n v="0"/>
    <n v="10"/>
    <n v="238.82"/>
    <n v="39.81"/>
    <e v="#DIV/0!"/>
    <n v="0.13185662842307999"/>
    <n v="31.489999999999963"/>
    <n v="0"/>
    <n v="0"/>
    <n v="0"/>
    <n v="31.489999999999963"/>
    <n v="5.038399999999994"/>
    <n v="36.528399999999955"/>
    <n v="0.62979999999999925"/>
    <n v="0"/>
    <n v="0.62979999999999925"/>
    <m/>
    <n v="30.860199999999963"/>
    <m/>
    <m/>
    <n v="0"/>
    <m/>
    <m/>
    <n v="0"/>
    <m/>
    <n v="36.528399999999955"/>
    <n v="36.528399999999955"/>
    <n v="0"/>
    <s v="ACTIVA"/>
    <d v="2023-09-01T00:00:00"/>
    <m/>
    <m/>
    <m/>
    <m/>
    <m/>
    <m/>
  </r>
  <r>
    <x v="7"/>
    <s v="Yes"/>
    <d v="2023-07-24T00:00:00"/>
    <d v="2023-07-14T00:00:00"/>
    <d v="2023-07-14T00:00:00"/>
    <d v="2024-01-31T00:00:00"/>
    <s v="000-607/AIB RDC/2023"/>
    <n v="37"/>
    <s v="INCORPORATION"/>
    <s v="12001-33002-9001-103-00001852"/>
    <s v="CFAO RDC / Loxea RDC"/>
    <s v="Distribution"/>
    <s v="ANDY"/>
    <s v="Sabrina"/>
    <s v="COMP MOTOR"/>
    <s v="MOTOR COMP"/>
    <x v="1"/>
    <s v="ACTIVA"/>
    <n v="444655"/>
    <n v="12531.24"/>
    <n v="0"/>
    <n v="0"/>
    <n v="106.96"/>
    <n v="10695.84"/>
    <n v="1728.45"/>
    <n v="2.4054244301762041E-2"/>
    <n v="0.14952369287844"/>
    <n v="1599.2814952369338"/>
    <n v="0"/>
    <n v="0"/>
    <n v="320.87520000000001"/>
    <n v="1920.1566952369337"/>
    <n v="307.22507123790939"/>
    <n v="2227.3817664748431"/>
    <n v="31.985629904738676"/>
    <n v="0"/>
    <n v="31.985629904738676"/>
    <m/>
    <n v="1888.171065332195"/>
    <s v="Aucun"/>
    <m/>
    <n v="0"/>
    <m/>
    <m/>
    <n v="0"/>
    <m/>
    <n v="2227.3817664748403"/>
    <n v="2227.3817664748431"/>
    <n v="0"/>
    <s v="ACTIVA"/>
    <d v="2023-09-01T00:00:00"/>
    <m/>
    <m/>
    <m/>
    <m/>
    <m/>
    <m/>
  </r>
  <r>
    <x v="7"/>
    <s v="No"/>
    <d v="2023-07-26T00:00:00"/>
    <d v="2023-07-26T00:00:00"/>
    <d v="2023-07-25T00:00:00"/>
    <d v="2024-07-24T00:00:00"/>
    <s v="000-608/AIB RDC/2023"/>
    <n v="1"/>
    <s v="RENOUVELLEMENT"/>
    <s v="12005-33002-0012-13001-00003144-2022"/>
    <s v="ETS Velocity (The seven eleven)"/>
    <s v="Supermarket"/>
    <s v="ANDY"/>
    <s v="Andy"/>
    <s v="FIRE"/>
    <s v="PROPERTIES"/>
    <x v="5"/>
    <s v="MAYFAIR"/>
    <n v="1130000"/>
    <n v="2858.52"/>
    <n v="0"/>
    <n v="0"/>
    <n v="20"/>
    <n v="2402.4699999999998"/>
    <n v="387.6"/>
    <n v="2.1260796460176989E-3"/>
    <n v="0.15"/>
    <n v="360.37049999999994"/>
    <n v="0"/>
    <n v="0"/>
    <n v="0"/>
    <n v="360.37049999999994"/>
    <n v="57.659279999999988"/>
    <n v="418.0297799999999"/>
    <n v="7.2074099999999985"/>
    <n v="0"/>
    <n v="7.2074099999999985"/>
    <m/>
    <n v="353.16308999999995"/>
    <m/>
    <m/>
    <n v="0"/>
    <m/>
    <m/>
    <n v="0"/>
    <m/>
    <n v="418.0297799999999"/>
    <n v="418.0297799999999"/>
    <n v="0"/>
    <s v="MAYFAIR"/>
    <d v="2023-08-31T00:00:00"/>
    <m/>
    <m/>
    <m/>
    <m/>
    <m/>
    <m/>
  </r>
  <r>
    <x v="7"/>
    <s v="No"/>
    <d v="2023-07-02T00:00:00"/>
    <m/>
    <d v="2023-07-28T00:00:00"/>
    <d v="2024-07-27T00:00:00"/>
    <s v="000-609/AIB RDC/2023"/>
    <n v="1"/>
    <s v="RENOUVELLEMENT"/>
    <m/>
    <s v="ERG / Metalkol ( Boss mining)"/>
    <s v="Mining"/>
    <s v="ANDY"/>
    <s v="Andy"/>
    <s v="AVIATION HULL ALL RISK"/>
    <s v="AVIATION"/>
    <x v="0"/>
    <s v="SFA"/>
    <n v="0"/>
    <n v="314924.34000000003"/>
    <n v="39758.82"/>
    <n v="-14858.08"/>
    <n v="6427.68"/>
    <n v="225300"/>
    <n v="43437.87"/>
    <e v="#DIV/0!"/>
    <n v="0"/>
    <n v="0"/>
    <n v="7470.2219999999988"/>
    <n v="9711.2068343999999"/>
    <n v="0"/>
    <n v="17181.428834399998"/>
    <n v="2749.0286135039996"/>
    <n v="19930.457447903998"/>
    <n v="343.62857668799995"/>
    <n v="0"/>
    <n v="343.62857668799995"/>
    <m/>
    <n v="16837.800257711999"/>
    <m/>
    <m/>
    <n v="0"/>
    <m/>
    <m/>
    <n v="0"/>
    <m/>
    <m/>
    <n v="19930.457447903998"/>
    <n v="19930.457447903998"/>
    <s v="SFA"/>
    <m/>
    <m/>
    <m/>
    <m/>
    <m/>
    <m/>
    <m/>
  </r>
  <r>
    <x v="7"/>
    <s v="Yes"/>
    <d v="2023-07-05T00:00:00"/>
    <d v="2023-08-11T00:00:00"/>
    <d v="2023-08-11T00:00:00"/>
    <d v="2024-02-10T00:00:00"/>
    <s v="000-610/AIB RDC/2023"/>
    <n v="0"/>
    <s v="SOUSCRIPTION"/>
    <s v="33002-0017-103-0010068 / 0001"/>
    <s v="MASULUKA NDAMBAKASA Francis"/>
    <m/>
    <s v="MICHEE"/>
    <s v="Tychique"/>
    <s v="MOTOR TPL"/>
    <s v="MOTOR TPL"/>
    <x v="4"/>
    <s v="SUNU"/>
    <n v="0"/>
    <n v="160.54"/>
    <n v="0"/>
    <n v="0"/>
    <n v="10"/>
    <n v="128.4"/>
    <n v="22.14"/>
    <e v="#DIV/0!"/>
    <n v="0.125"/>
    <n v="16.05"/>
    <n v="0"/>
    <n v="0"/>
    <n v="0"/>
    <n v="16.05"/>
    <n v="2.5680000000000001"/>
    <n v="18.618000000000002"/>
    <n v="0.32100000000000001"/>
    <n v="0"/>
    <n v="0.32100000000000001"/>
    <m/>
    <n v="15.729000000000001"/>
    <m/>
    <m/>
    <n v="0"/>
    <m/>
    <m/>
    <n v="0"/>
    <m/>
    <n v="18.618000000000002"/>
    <n v="18.618000000000002"/>
    <n v="0"/>
    <s v="SUNU"/>
    <d v="2023-10-19T00:00:00"/>
    <m/>
    <m/>
    <s v="MOTOR TPL"/>
    <m/>
    <m/>
    <m/>
  </r>
  <r>
    <x v="7"/>
    <s v="Yes"/>
    <d v="2023-07-11T00:00:00"/>
    <d v="2023-07-11T00:00:00"/>
    <d v="2023-07-03T00:00:00"/>
    <d v="2024-06-11T00:00:00"/>
    <s v="000-611/AIB RDC/2023"/>
    <n v="1"/>
    <s v="INCORPORATION"/>
    <s v="12005-33002-0003-13002-00006088-2023/5/0700/1326/2023"/>
    <s v="GOLDEN AFRICAN RESSOURCES  SARL"/>
    <m/>
    <s v="MICHEE"/>
    <s v="Tychique"/>
    <s v="MOTOR TPL"/>
    <s v="MOTOR TPL"/>
    <x v="5"/>
    <s v="MAYFAIR"/>
    <n v="0"/>
    <n v="2025.96"/>
    <n v="0"/>
    <n v="0"/>
    <n v="30"/>
    <n v="1686.91"/>
    <n v="274.70999999999998"/>
    <e v="#DIV/0!"/>
    <n v="0.1"/>
    <n v="168.69100000000003"/>
    <n v="0"/>
    <n v="0"/>
    <n v="0"/>
    <n v="168.69100000000003"/>
    <n v="26.990560000000006"/>
    <n v="195.68156000000005"/>
    <n v="3.3738200000000007"/>
    <n v="0"/>
    <n v="3.3738200000000007"/>
    <m/>
    <n v="165.31718000000004"/>
    <m/>
    <m/>
    <n v="0"/>
    <m/>
    <m/>
    <n v="0"/>
    <m/>
    <m/>
    <n v="195.68156000000005"/>
    <n v="195.68156000000005"/>
    <s v="MAYFAIR"/>
    <m/>
    <m/>
    <m/>
    <s v="MOTOR TPL"/>
    <m/>
    <m/>
    <m/>
  </r>
  <r>
    <x v="7"/>
    <s v="Yes"/>
    <d v="2023-07-11T00:00:00"/>
    <d v="2023-07-11T00:00:00"/>
    <d v="2023-07-11T00:00:00"/>
    <d v="2024-02-20T00:00:00"/>
    <s v="000-612/AIB RDC/2023"/>
    <n v="5"/>
    <s v="INCORPORATION"/>
    <s v="12001-33002-001-103-00000349-2020"/>
    <s v="BGFI BANK RDC"/>
    <s v="BANKING"/>
    <s v="MICHEE"/>
    <s v="Tychique"/>
    <s v="COMP MOTOR"/>
    <s v="MOTOR COMP"/>
    <x v="1"/>
    <s v="ACTIVA"/>
    <n v="45000"/>
    <n v="1143.73"/>
    <n v="0"/>
    <n v="0"/>
    <n v="10"/>
    <n v="975.97"/>
    <n v="157.76"/>
    <n v="2.1688222222222223E-2"/>
    <n v="0.14192034591227201"/>
    <n v="138.5100000000001"/>
    <n v="0"/>
    <n v="0"/>
    <n v="0"/>
    <n v="138.5100000000001"/>
    <n v="22.161600000000018"/>
    <n v="160.67160000000013"/>
    <n v="2.7702000000000022"/>
    <n v="0"/>
    <n v="2.7702000000000022"/>
    <m/>
    <n v="135.73980000000012"/>
    <m/>
    <m/>
    <n v="0"/>
    <m/>
    <m/>
    <n v="0"/>
    <m/>
    <n v="160.67160000000013"/>
    <n v="160.67160000000013"/>
    <n v="0"/>
    <s v="ACTIVA"/>
    <d v="2023-09-01T00:00:00"/>
    <m/>
    <m/>
    <s v="COMP MOTOR"/>
    <m/>
    <m/>
    <m/>
  </r>
  <r>
    <x v="7"/>
    <s v="No"/>
    <d v="2023-07-11T00:00:00"/>
    <d v="2023-07-11T00:00:00"/>
    <d v="2023-07-10T00:00:00"/>
    <d v="2024-02-07T00:00:00"/>
    <s v="000-613/AIB RDC/2023"/>
    <m/>
    <s v="AUTRES MODIFICATIONS"/>
    <s v="12001-33002-001-103-00000349-2020"/>
    <s v="BGFI BANK RDC"/>
    <s v="BANKING"/>
    <s v="MICHEE"/>
    <s v="Tychique"/>
    <s v="COMP MOTOR"/>
    <s v="MOTOR COMP"/>
    <x v="1"/>
    <s v="ACTIVA"/>
    <n v="0"/>
    <n v="0"/>
    <n v="0"/>
    <n v="0"/>
    <n v="10"/>
    <n v="0"/>
    <n v="1.6"/>
    <e v="#DIV/0!"/>
    <m/>
    <n v="0"/>
    <n v="0"/>
    <n v="0"/>
    <n v="0"/>
    <n v="0"/>
    <n v="0"/>
    <n v="0"/>
    <n v="0"/>
    <n v="0"/>
    <n v="0"/>
    <m/>
    <n v="0"/>
    <m/>
    <m/>
    <n v="0"/>
    <m/>
    <m/>
    <n v="0"/>
    <m/>
    <m/>
    <n v="0"/>
    <n v="0"/>
    <s v="ACTIVA"/>
    <m/>
    <m/>
    <m/>
    <s v="COMP MOTOR"/>
    <m/>
    <m/>
    <m/>
  </r>
  <r>
    <x v="7"/>
    <s v="Yes"/>
    <d v="2023-07-11T00:00:00"/>
    <d v="2023-07-11T00:00:00"/>
    <d v="2023-07-10T00:00:00"/>
    <d v="2023-10-10T00:00:00"/>
    <s v="000-614/AIB RDC/2023"/>
    <n v="4"/>
    <s v="RISTOURNE"/>
    <s v="12001-33002-001-103-00000349-2020"/>
    <s v="BGFI BANK RDC"/>
    <s v="BANKING"/>
    <s v="MICHEE"/>
    <s v="Tychique"/>
    <s v="COMP MOTOR"/>
    <s v="MOTOR COMP"/>
    <x v="1"/>
    <s v="ACTIVA"/>
    <n v="35000"/>
    <n v="-2548.9"/>
    <n v="0"/>
    <n v="0"/>
    <n v="0"/>
    <n v="-2197.33"/>
    <n v="-351.57"/>
    <n v="-6.2780857142857138E-2"/>
    <n v="6.3963992663823799E-2"/>
    <n v="-140.54999999999995"/>
    <n v="0"/>
    <n v="0"/>
    <n v="0"/>
    <n v="-140.54999999999995"/>
    <n v="-22.487999999999992"/>
    <n v="-163.03799999999995"/>
    <n v="-2.8109999999999991"/>
    <n v="0"/>
    <n v="-2.8109999999999991"/>
    <m/>
    <n v="-137.73899999999995"/>
    <m/>
    <m/>
    <n v="0"/>
    <m/>
    <m/>
    <n v="0"/>
    <m/>
    <n v="-163.03799999999995"/>
    <n v="-163.03799999999995"/>
    <n v="0"/>
    <s v="ACTIVA"/>
    <d v="2023-09-01T00:00:00"/>
    <m/>
    <m/>
    <s v="COMP MOTOR"/>
    <m/>
    <m/>
    <m/>
  </r>
  <r>
    <x v="7"/>
    <s v="Yes"/>
    <d v="2023-07-12T00:00:00"/>
    <d v="2023-07-12T00:00:00"/>
    <d v="2023-07-12T00:00:00"/>
    <d v="2024-07-11T00:00:00"/>
    <s v="000-615/AIB RDC/2023"/>
    <n v="0"/>
    <s v="SOUSCRIPTION"/>
    <s v="12002-33002-0002-112-00021197-2023"/>
    <s v="LOT DEBRUYNE / LIONEL BLONDIAU"/>
    <m/>
    <s v="MICHEE"/>
    <s v="Tychique"/>
    <s v="FIRE/HOME"/>
    <s v="PROPERTIES"/>
    <x v="0"/>
    <s v="SFA"/>
    <n v="354526"/>
    <n v="439.41"/>
    <n v="0"/>
    <n v="0"/>
    <n v="19.23"/>
    <n v="359.57"/>
    <n v="60.61"/>
    <n v="1.0142274473522394E-3"/>
    <n v="0.2"/>
    <n v="71.914000000000001"/>
    <n v="0"/>
    <n v="0"/>
    <n v="0"/>
    <n v="71.914000000000001"/>
    <n v="11.50624"/>
    <n v="83.420240000000007"/>
    <n v="1.43828"/>
    <n v="0"/>
    <n v="1.43828"/>
    <m/>
    <n v="70.475719999999995"/>
    <m/>
    <m/>
    <n v="0"/>
    <m/>
    <m/>
    <n v="0"/>
    <m/>
    <n v="83.420240000000007"/>
    <n v="83.420240000000007"/>
    <n v="0"/>
    <s v="SFA"/>
    <d v="2023-08-25T00:00:00"/>
    <m/>
    <m/>
    <s v="FIRE/HOME"/>
    <m/>
    <m/>
    <m/>
  </r>
  <r>
    <x v="7"/>
    <s v="Yes"/>
    <d v="2023-07-12T00:00:00"/>
    <d v="2023-07-12T00:00:00"/>
    <d v="2023-07-10T00:00:00"/>
    <d v="2024-07-09T00:00:00"/>
    <s v="000-616/AIB RDC/2023"/>
    <n v="0"/>
    <s v="SOUSCRIPTION"/>
    <s v="12002-33002-0006-114-00021193-2023"/>
    <s v="SERVICE MAINTENANCE SOLUTION ( SMS)"/>
    <m/>
    <s v="MICHEE"/>
    <s v="Tychique"/>
    <s v="TRC"/>
    <s v="CONSTRUCTIONS"/>
    <x v="0"/>
    <s v="SFA"/>
    <n v="500000"/>
    <n v="2930"/>
    <n v="0"/>
    <n v="0"/>
    <n v="71.8"/>
    <n v="2454.06"/>
    <n v="404.14"/>
    <n v="4.9081200000000002E-3"/>
    <n v="0.15"/>
    <n v="368.10899999999998"/>
    <n v="0"/>
    <n v="0"/>
    <n v="0"/>
    <n v="368.10899999999998"/>
    <n v="58.897439999999996"/>
    <n v="427.00644"/>
    <n v="7.3621799999999995"/>
    <n v="0"/>
    <n v="7.3621799999999995"/>
    <m/>
    <n v="360.74681999999996"/>
    <m/>
    <m/>
    <n v="0"/>
    <m/>
    <m/>
    <n v="0"/>
    <m/>
    <n v="427.00644"/>
    <n v="427.00644"/>
    <n v="0"/>
    <s v="SFA"/>
    <d v="2023-08-25T00:00:00"/>
    <m/>
    <m/>
    <s v="TRC"/>
    <m/>
    <m/>
    <m/>
  </r>
  <r>
    <x v="7"/>
    <s v="Yes"/>
    <d v="2023-07-14T00:00:00"/>
    <d v="2023-07-18T00:00:00"/>
    <d v="2023-07-11T00:00:00"/>
    <d v="2024-05-04T00:00:00"/>
    <s v="000-617/AIB RDC/2023"/>
    <n v="1"/>
    <s v="INCORPORATION"/>
    <s v="12001-33002-0001-103-00005217-2023"/>
    <s v="AMBASSADE DE LA BELGIQUE"/>
    <m/>
    <s v="MICHEE"/>
    <s v="Tychique"/>
    <s v="MOTOR TPL"/>
    <s v="MOTOR TPL"/>
    <x v="1"/>
    <s v="ACTIVA"/>
    <n v="0"/>
    <n v="253.01"/>
    <n v="0"/>
    <n v="0"/>
    <n v="10"/>
    <n v="243.01"/>
    <n v="0"/>
    <e v="#DIV/0!"/>
    <n v="0.103864038516933"/>
    <n v="25.239999999999888"/>
    <n v="0"/>
    <n v="0"/>
    <n v="0"/>
    <n v="25.239999999999888"/>
    <n v="4.0383999999999824"/>
    <n v="29.27839999999987"/>
    <n v="0.50479999999999781"/>
    <n v="0"/>
    <n v="0.50479999999999781"/>
    <m/>
    <n v="24.735199999999889"/>
    <m/>
    <m/>
    <n v="0"/>
    <m/>
    <m/>
    <n v="0"/>
    <m/>
    <n v="29.27839999999987"/>
    <n v="29.27839999999987"/>
    <n v="0"/>
    <s v="ACTIVA"/>
    <d v="2023-09-01T00:00:00"/>
    <m/>
    <m/>
    <s v="MOTOR TPL"/>
    <m/>
    <m/>
    <m/>
  </r>
  <r>
    <x v="7"/>
    <s v="Yes"/>
    <d v="2023-07-17T00:00:00"/>
    <d v="2023-07-17T00:00:00"/>
    <d v="2023-07-14T00:00:00"/>
    <d v="2023-10-17T00:00:00"/>
    <s v="000-618/AIB RDC/2023"/>
    <n v="8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501.41"/>
    <n v="0"/>
    <n v="0"/>
    <n v="22.43"/>
    <n v="409.82"/>
    <n v="69.16"/>
    <e v="#DIV/0!"/>
    <n v="0.1"/>
    <n v="40.981999999999999"/>
    <n v="0"/>
    <n v="0"/>
    <n v="0"/>
    <n v="40.981999999999999"/>
    <n v="6.5571200000000003"/>
    <n v="47.539119999999997"/>
    <n v="0.81964000000000004"/>
    <n v="0"/>
    <n v="0.81964000000000004"/>
    <m/>
    <n v="40.16236"/>
    <m/>
    <m/>
    <n v="0"/>
    <m/>
    <m/>
    <n v="0"/>
    <m/>
    <n v="47.539119999999997"/>
    <n v="47.539119999999997"/>
    <n v="0"/>
    <s v="SFA"/>
    <d v="2023-08-25T00:00:00"/>
    <m/>
    <m/>
    <s v="MOTOR TPL"/>
    <m/>
    <m/>
    <m/>
  </r>
  <r>
    <x v="7"/>
    <s v="Yes"/>
    <d v="2023-07-19T00:00:00"/>
    <d v="2023-07-19T00:00:00"/>
    <d v="2023-07-30T00:00:00"/>
    <d v="2023-08-30T00:00:00"/>
    <s v="000-619/AIB RDC/2023"/>
    <n v="0"/>
    <s v="SOUSCRIPTION"/>
    <n v="14400004"/>
    <s v="NDAY NONGA MALUND ERICK"/>
    <m/>
    <s v="MICHEE"/>
    <s v="Tychique"/>
    <s v="TRAVEL"/>
    <s v="MEDICAL &amp; GPA"/>
    <x v="6"/>
    <s v="RAWSUR"/>
    <n v="0"/>
    <n v="259.37"/>
    <n v="0"/>
    <n v="0"/>
    <n v="2"/>
    <n v="217.8"/>
    <n v="35.18"/>
    <e v="#DIV/0!"/>
    <n v="0.2"/>
    <n v="43.56"/>
    <n v="0"/>
    <n v="0"/>
    <n v="0"/>
    <n v="43.56"/>
    <n v="6.9696000000000007"/>
    <n v="50.529600000000002"/>
    <n v="0.87120000000000009"/>
    <n v="0"/>
    <n v="0.87120000000000009"/>
    <m/>
    <n v="42.688800000000001"/>
    <m/>
    <m/>
    <n v="0"/>
    <m/>
    <m/>
    <n v="0"/>
    <m/>
    <n v="50.529600000000002"/>
    <n v="50.529600000000002"/>
    <n v="0"/>
    <s v="RAWSUR"/>
    <d v="2023-09-05T00:00:00"/>
    <m/>
    <m/>
    <s v="TRAVEL"/>
    <m/>
    <m/>
    <m/>
  </r>
  <r>
    <x v="7"/>
    <s v="No"/>
    <d v="2023-07-21T00:00:00"/>
    <m/>
    <d v="2023-07-21T00:00:00"/>
    <d v="2024-07-20T00:00:00"/>
    <s v="000-620/AIB RDC/2023"/>
    <n v="0"/>
    <s v="SOUSCRIPTION"/>
    <s v="12005-33002-0015-13002-00003579-2022"/>
    <s v="ACTOM"/>
    <m/>
    <s v="MICHEE"/>
    <s v="Apphia"/>
    <s v="CAR"/>
    <s v="CONSTRUCTIONS"/>
    <x v="5"/>
    <s v="MAYFAIR"/>
    <n v="5000000"/>
    <n v="16434"/>
    <n v="0"/>
    <n v="0"/>
    <n v="100"/>
    <n v="13750"/>
    <n v="2216"/>
    <n v="2.7499999999999998E-3"/>
    <n v="0.15"/>
    <n v="2062.5"/>
    <n v="0"/>
    <n v="0"/>
    <n v="0"/>
    <n v="2062.5"/>
    <n v="330"/>
    <n v="2392.5"/>
    <n v="41.25"/>
    <n v="0"/>
    <n v="41.25"/>
    <m/>
    <n v="2021.25"/>
    <m/>
    <m/>
    <n v="0"/>
    <m/>
    <m/>
    <n v="0"/>
    <m/>
    <m/>
    <n v="2392.5"/>
    <n v="2392.5"/>
    <s v="MAYFAIR"/>
    <m/>
    <m/>
    <m/>
    <s v="CAR"/>
    <m/>
    <m/>
    <m/>
  </r>
  <r>
    <x v="7"/>
    <s v="No"/>
    <d v="2023-07-24T00:00:00"/>
    <d v="2023-10-16T00:00:00"/>
    <d v="2023-09-30T00:00:00"/>
    <d v="2024-03-30T00:00:00"/>
    <s v="000-621/AIB RDC/2023"/>
    <n v="3"/>
    <s v="INCORPORATION"/>
    <s v="12003-33002-0005-111-00000351-2022 / 73200017"/>
    <s v="EXCELLEN MINERALS / Bolloré"/>
    <m/>
    <s v="MICHEE"/>
    <s v="Tychique"/>
    <s v="MARINE CARGO / GIT"/>
    <s v="MARINE"/>
    <x v="6"/>
    <s v="RAWSUR"/>
    <n v="22000000"/>
    <n v="41654"/>
    <n v="0"/>
    <n v="0"/>
    <n v="100"/>
    <n v="35200"/>
    <n v="5648"/>
    <n v="1.6000000000000001E-3"/>
    <n v="0.15"/>
    <n v="5280"/>
    <n v="0"/>
    <n v="0"/>
    <n v="0"/>
    <n v="5280"/>
    <n v="844.80000000000007"/>
    <n v="6124.8"/>
    <n v="105.60000000000001"/>
    <n v="0"/>
    <n v="105.60000000000001"/>
    <m/>
    <n v="5174.3999999999996"/>
    <s v="BOLLORE"/>
    <n v="0.4"/>
    <n v="2069.7599999999998"/>
    <m/>
    <m/>
    <n v="2069.7599999999998"/>
    <m/>
    <n v="6124.8"/>
    <n v="6124.8"/>
    <n v="0"/>
    <s v="RAWSUR"/>
    <d v="2023-11-10T00:00:00"/>
    <m/>
    <m/>
    <s v="MARINE CARGO / GIT"/>
    <m/>
    <m/>
    <m/>
  </r>
  <r>
    <x v="7"/>
    <s v="Yes"/>
    <d v="2023-07-24T00:00:00"/>
    <d v="2023-07-24T00:00:00"/>
    <d v="2023-07-24T00:00:00"/>
    <d v="2024-03-30T00:00:00"/>
    <s v="000-622/AIB RDC/2023"/>
    <n v="3"/>
    <s v="INCORPORATION"/>
    <s v="12003-33002-0005-111-00000352-2022 / 73200016"/>
    <s v="STE LUILU RESSOURCES SAS / Bolloré"/>
    <m/>
    <s v="MICHEE"/>
    <s v="Tychique"/>
    <s v="MARINE CARGO / GIT"/>
    <s v="MARINE"/>
    <x v="6"/>
    <s v="RAWSUR"/>
    <n v="32000000"/>
    <n v="60534"/>
    <n v="0"/>
    <n v="0"/>
    <n v="100"/>
    <n v="51200"/>
    <n v="8208"/>
    <n v="1.6000000000000001E-3"/>
    <n v="0.15"/>
    <n v="7680"/>
    <n v="0"/>
    <n v="0"/>
    <n v="0"/>
    <n v="7680"/>
    <n v="1228.8"/>
    <n v="8908.7999999999993"/>
    <n v="153.6"/>
    <n v="0"/>
    <n v="153.6"/>
    <m/>
    <n v="7526.4"/>
    <s v="BOLLORE"/>
    <n v="0.4"/>
    <n v="3010.56"/>
    <n v="3010.56"/>
    <d v="2023-10-30T00:00:00"/>
    <n v="0"/>
    <m/>
    <n v="8908.7999999999993"/>
    <n v="8908.7999999999993"/>
    <n v="0"/>
    <s v="RAWSUR"/>
    <d v="2023-09-05T00:00:00"/>
    <m/>
    <m/>
    <s v="MARINE CARGO / GIT"/>
    <m/>
    <m/>
    <m/>
  </r>
  <r>
    <x v="7"/>
    <s v="Yes"/>
    <d v="2023-07-27T00:00:00"/>
    <d v="2023-08-03T00:00:00"/>
    <d v="2023-07-21T00:00:00"/>
    <d v="2023-12-31T00:00:00"/>
    <s v="000-623/AIB RDC/2023"/>
    <n v="5"/>
    <s v="INCORPORATION"/>
    <s v="12001-09001/3002/140 000 296"/>
    <s v="FERONIA - PLANTATIONS ET HUILERIES DU CONGO ( PHC)"/>
    <m/>
    <s v="MICHEE"/>
    <s v="Tychique"/>
    <s v="COMP MOTOR"/>
    <s v="MOTOR COMP"/>
    <x v="1"/>
    <s v="ACTIVA"/>
    <n v="109913.8"/>
    <n v="3994.92"/>
    <n v="0"/>
    <n v="0"/>
    <n v="39.549999999999997"/>
    <n v="3954.85"/>
    <n v="0"/>
    <n v="3.5981378134501765E-2"/>
    <n v="0.14518629025121099"/>
    <n v="574.19000000000176"/>
    <n v="0"/>
    <n v="0"/>
    <n v="0"/>
    <n v="574.19000000000176"/>
    <n v="91.870400000000288"/>
    <n v="666.06040000000201"/>
    <n v="11.483800000000036"/>
    <n v="0"/>
    <n v="11.483800000000036"/>
    <m/>
    <n v="562.70620000000167"/>
    <m/>
    <m/>
    <n v="0"/>
    <m/>
    <m/>
    <n v="0"/>
    <m/>
    <n v="666.06040000000201"/>
    <n v="666.06040000000201"/>
    <n v="0"/>
    <s v="ACTIVA"/>
    <m/>
    <m/>
    <m/>
    <s v="COMP MOTOR"/>
    <m/>
    <m/>
    <s v="Payé, à collecter en Août"/>
  </r>
  <r>
    <x v="7"/>
    <s v="Yes"/>
    <d v="2023-07-28T00:00:00"/>
    <d v="2023-07-28T00:00:00"/>
    <d v="2023-07-28T00:00:00"/>
    <d v="2024-06-11T00:00:00"/>
    <s v="000-624/AIB RDC/2023"/>
    <n v="2"/>
    <s v="INCORPORATION"/>
    <s v="12005-33002-0003-13002-00006088-2023/5/0700/1326/2024"/>
    <s v="GOLDEN AFRICAN RESSOURCES  SARL"/>
    <m/>
    <s v="MICHEE"/>
    <s v="Tychique"/>
    <s v="MOTOR TPL"/>
    <s v="MOTOR TPL"/>
    <x v="5"/>
    <s v="MAYFAIR"/>
    <n v="0"/>
    <n v="623.83000000000004"/>
    <n v="0"/>
    <n v="0"/>
    <n v="10"/>
    <n v="518.66999999999996"/>
    <n v="84.59"/>
    <e v="#DIV/0!"/>
    <n v="0.1"/>
    <n v="51.866999999999997"/>
    <n v="0"/>
    <n v="0"/>
    <n v="0"/>
    <n v="51.866999999999997"/>
    <n v="8.2987199999999994"/>
    <n v="60.165719999999993"/>
    <n v="1.0373399999999999"/>
    <n v="0"/>
    <n v="1.0373399999999999"/>
    <m/>
    <n v="50.829659999999997"/>
    <m/>
    <m/>
    <n v="0"/>
    <m/>
    <m/>
    <n v="0"/>
    <m/>
    <m/>
    <n v="60.165719999999993"/>
    <n v="60.165719999999993"/>
    <s v="MAYFAIR"/>
    <m/>
    <m/>
    <m/>
    <s v="MOTOR TPL"/>
    <m/>
    <m/>
    <m/>
  </r>
  <r>
    <x v="7"/>
    <s v="Yes"/>
    <d v="2023-07-28T00:00:00"/>
    <d v="2023-07-28T00:00:00"/>
    <d v="2023-07-28T00:00:00"/>
    <d v="2023-07-28T00:00:00"/>
    <s v="000-625/AIB RDC/2023"/>
    <n v="3"/>
    <s v="RISTOURNE"/>
    <s v="12005-33002-0003-13002-00006088-2023/5/0700/1326/2023"/>
    <s v="GOLDEN AFRICAN RESSOURCES  SARL"/>
    <m/>
    <s v="MICHEE"/>
    <s v="Tychique"/>
    <s v="MOTOR TPL"/>
    <s v="MOTOR TPL"/>
    <x v="5"/>
    <s v="MAYFAIR"/>
    <n v="0"/>
    <n v="-1220.8499999999999"/>
    <n v="0"/>
    <n v="0"/>
    <n v="-20"/>
    <n v="-1034.6199999999999"/>
    <n v="-165.54"/>
    <e v="#DIV/0!"/>
    <n v="0.1"/>
    <n v="-103.46199999999999"/>
    <n v="0"/>
    <n v="0"/>
    <n v="0"/>
    <n v="-103.46199999999999"/>
    <n v="-16.553919999999998"/>
    <n v="-120.01591999999999"/>
    <n v="-2.0692399999999997"/>
    <n v="0"/>
    <n v="-2.0692399999999997"/>
    <m/>
    <n v="-101.39276"/>
    <m/>
    <m/>
    <n v="0"/>
    <m/>
    <m/>
    <n v="0"/>
    <m/>
    <n v="-120.01591999999999"/>
    <n v="-120.01591999999999"/>
    <n v="0"/>
    <s v="MAYFAIR"/>
    <d v="2023-08-31T00:00:00"/>
    <m/>
    <m/>
    <s v="MOTOR TPL"/>
    <m/>
    <m/>
    <m/>
  </r>
  <r>
    <x v="7"/>
    <s v="Yes"/>
    <d v="2023-07-28T00:00:00"/>
    <d v="2023-07-28T00:00:00"/>
    <d v="2023-07-26T00:00:00"/>
    <d v="2023-10-17T00:00:00"/>
    <s v="000-626/AIB RDC/2023"/>
    <n v="9"/>
    <s v="INCORPORATION"/>
    <s v="12002-33002-0004-103-00017305-2022 "/>
    <s v="FOURTUNE CONSTRUCTION CONGO (Group LAXMAN)"/>
    <m/>
    <s v="MICHEE"/>
    <s v="Tychique"/>
    <s v="MOTOR TPL"/>
    <s v="MOTOR TPL"/>
    <x v="0"/>
    <s v="SFA"/>
    <n v="0"/>
    <n v="669.55"/>
    <n v="0"/>
    <n v="0"/>
    <n v="25.44"/>
    <n v="551.76"/>
    <n v="92.35"/>
    <e v="#DIV/0!"/>
    <n v="0.1"/>
    <n v="55.176000000000002"/>
    <n v="0"/>
    <n v="0"/>
    <n v="0"/>
    <n v="55.176000000000002"/>
    <n v="8.8281600000000005"/>
    <n v="64.004159999999999"/>
    <n v="1.1035200000000001"/>
    <n v="0"/>
    <n v="1.1035200000000001"/>
    <m/>
    <n v="54.072479999999999"/>
    <m/>
    <m/>
    <n v="0"/>
    <m/>
    <m/>
    <n v="0"/>
    <m/>
    <n v="64.004159999999999"/>
    <n v="64.004159999999999"/>
    <n v="0"/>
    <s v="SFA"/>
    <d v="2023-08-25T00:00:00"/>
    <m/>
    <m/>
    <s v="MOTOR TPL"/>
    <m/>
    <m/>
    <m/>
  </r>
  <r>
    <x v="7"/>
    <s v="Yes"/>
    <d v="2023-07-07T00:00:00"/>
    <d v="2023-08-22T00:00:00"/>
    <d v="2023-07-07T00:00:00"/>
    <d v="2024-07-06T00:00:00"/>
    <s v="000-627/AIB RDC/2023"/>
    <n v="0"/>
    <s v="SOUSCRIPTION"/>
    <s v="12002-33002-0021-111-00021767-2023"/>
    <s v="Compagnie Africaine d'Aviation / CAA - LUBUMBASHI"/>
    <s v="Aviation"/>
    <s v="MICHEE"/>
    <s v="Tychique"/>
    <s v="MARINE CARGO / GIT"/>
    <s v="MARINE"/>
    <x v="0"/>
    <s v="SFA"/>
    <n v="13614.26"/>
    <n v="69.540000000000006"/>
    <n v="0"/>
    <n v="0"/>
    <n v="6.75"/>
    <n v="31.65"/>
    <n v="6.14"/>
    <n v="2.3247682944207027E-3"/>
    <n v="0.15"/>
    <n v="4.7474999999999996"/>
    <n v="0"/>
    <n v="0"/>
    <n v="0"/>
    <n v="4.7474999999999996"/>
    <n v="0.75959999999999994"/>
    <n v="5.5070999999999994"/>
    <n v="9.4949999999999993E-2"/>
    <n v="0"/>
    <n v="9.4949999999999993E-2"/>
    <m/>
    <n v="4.6525499999999997"/>
    <m/>
    <m/>
    <n v="0"/>
    <m/>
    <m/>
    <n v="0"/>
    <m/>
    <n v="5.5070999999999994"/>
    <n v="5.5070999999999994"/>
    <n v="0"/>
    <s v="SFA"/>
    <d v="2023-09-28T00:00:00"/>
    <s v="ND0092/AIB RDC/2023"/>
    <m/>
    <m/>
    <m/>
    <m/>
    <m/>
  </r>
  <r>
    <x v="9"/>
    <s v="Yes"/>
    <d v="2023-07-07T00:00:00"/>
    <d v="2023-08-29T00:00:00"/>
    <d v="2023-08-29T00:00:00"/>
    <d v="2024-08-28T00:00:00"/>
    <s v="000-628/AIB RDC/2023"/>
    <n v="0"/>
    <s v="SOUSCRIPTION"/>
    <s v="12002-33002-0021-111-00021942-2023"/>
    <s v="Compagnie Africaine d'Aviation / CAA - LUBUMBASHI"/>
    <s v="Aviation"/>
    <s v="MICHEE"/>
    <s v="Tychique"/>
    <s v="MARINE CARGO / GIT"/>
    <s v="MARINE"/>
    <x v="0"/>
    <s v="SFA"/>
    <n v="343830.83"/>
    <n v="977.96"/>
    <n v="0"/>
    <n v="0"/>
    <n v="22.11"/>
    <n v="799.41"/>
    <n v="131.44"/>
    <n v="2.325009656638411E-3"/>
    <n v="0.15"/>
    <n v="119.91149999999999"/>
    <n v="0"/>
    <n v="0"/>
    <n v="0"/>
    <n v="119.91149999999999"/>
    <n v="19.185839999999999"/>
    <n v="139.09733999999997"/>
    <n v="2.3982299999999999"/>
    <n v="0"/>
    <n v="2.3982299999999999"/>
    <m/>
    <n v="117.51326999999999"/>
    <m/>
    <m/>
    <n v="0"/>
    <m/>
    <m/>
    <n v="0"/>
    <m/>
    <n v="139.09733999999997"/>
    <n v="139.09733999999997"/>
    <n v="0"/>
    <s v="SFA"/>
    <d v="2023-09-28T00:00:00"/>
    <s v="ND0092/AIB RDC/2023"/>
    <m/>
    <m/>
    <m/>
    <m/>
    <m/>
  </r>
  <r>
    <x v="9"/>
    <s v="Yes"/>
    <d v="2023-07-26T00:00:00"/>
    <d v="2023-07-31T00:00:00"/>
    <d v="2023-08-01T00:00:00"/>
    <d v="2023-07-31T00:00:00"/>
    <s v="000-629/AIB RDC/2023"/>
    <n v="0"/>
    <s v="SOUSCRIPTION"/>
    <s v="12002-33002-0004-104-00021454-2023"/>
    <s v="FRASER ALEXANDER"/>
    <m/>
    <s v="MICHEE"/>
    <s v="Tychique"/>
    <s v="COMP MOTOR"/>
    <s v="MOTOR COMP"/>
    <x v="0"/>
    <s v="SFA"/>
    <n v="127000"/>
    <n v="10682.23"/>
    <n v="0"/>
    <n v="0"/>
    <n v="331.32"/>
    <n v="8877.5"/>
    <n v="1473.41"/>
    <n v="6.990157480314961E-2"/>
    <n v="0.15"/>
    <n v="1331.625"/>
    <n v="0"/>
    <n v="0"/>
    <n v="0"/>
    <n v="1331.625"/>
    <n v="213.06"/>
    <n v="1544.6849999999999"/>
    <n v="26.6325"/>
    <n v="0"/>
    <n v="26.6325"/>
    <m/>
    <n v="1304.9925000000001"/>
    <m/>
    <m/>
    <n v="0"/>
    <m/>
    <m/>
    <n v="0"/>
    <m/>
    <n v="1544.6849999999999"/>
    <n v="1544.6849999999999"/>
    <n v="0"/>
    <s v="SFA"/>
    <d v="2023-08-25T00:00:00"/>
    <m/>
    <m/>
    <m/>
    <m/>
    <m/>
    <m/>
  </r>
  <r>
    <x v="9"/>
    <s v="Yes"/>
    <d v="2023-07-27T00:00:00"/>
    <d v="2023-08-01T00:00:00"/>
    <d v="2023-08-01T00:00:00"/>
    <d v="2024-07-31T00:00:00"/>
    <s v="000-630/AIB RDC/2023"/>
    <n v="1"/>
    <s v="RENOUVELLEMENT"/>
    <s v="33002-0001-101-0000380 / 0003"/>
    <s v="FRASER ALEXANDER"/>
    <m/>
    <s v="MICHEE"/>
    <s v="Tychique"/>
    <s v="GPA"/>
    <s v="MEDICAL &amp; GPA"/>
    <x v="4"/>
    <s v="SUNU"/>
    <n v="222000"/>
    <n v="2444.88"/>
    <n v="0"/>
    <n v="0"/>
    <n v="20.86"/>
    <n v="2086.8000000000002"/>
    <n v="337.22"/>
    <n v="9.4000000000000004E-3"/>
    <n v="0.1"/>
    <n v="208.68000000000004"/>
    <n v="0"/>
    <n v="0"/>
    <n v="0"/>
    <n v="208.68000000000004"/>
    <n v="33.388800000000003"/>
    <n v="242.06880000000004"/>
    <n v="4.1736000000000004"/>
    <n v="0"/>
    <n v="4.1736000000000004"/>
    <m/>
    <n v="204.50640000000004"/>
    <m/>
    <m/>
    <n v="0"/>
    <m/>
    <m/>
    <n v="0"/>
    <m/>
    <n v="242.06880000000004"/>
    <n v="242.06880000000004"/>
    <n v="0"/>
    <s v="SUNU"/>
    <d v="2023-10-19T00:00:00"/>
    <m/>
    <m/>
    <m/>
    <m/>
    <m/>
    <m/>
  </r>
  <r>
    <x v="9"/>
    <s v="Yes"/>
    <d v="2023-07-28T00:00:00"/>
    <d v="2023-08-11T00:00:00"/>
    <d v="2023-08-11T00:00:00"/>
    <d v="2024-08-10T00:00:00"/>
    <s v="000-631/AIB RDC/2023"/>
    <n v="1"/>
    <s v="RENOUVELLEMENT"/>
    <s v="33002-0009-113-0000378 / 0003"/>
    <s v="FRASER ALEXANDER"/>
    <m/>
    <s v="MICHEE"/>
    <s v="Tychique"/>
    <s v="GENERAL LIABILITY"/>
    <s v="LIABILITIES"/>
    <x v="4"/>
    <s v="SUNU"/>
    <n v="1000000"/>
    <n v="5627.5"/>
    <n v="0"/>
    <n v="0"/>
    <n v="48.03"/>
    <n v="4803.2700000000004"/>
    <n v="776.2"/>
    <n v="4.8032700000000001E-3"/>
    <n v="0.1"/>
    <n v="480.32700000000006"/>
    <n v="0"/>
    <n v="0"/>
    <n v="0"/>
    <n v="480.32700000000006"/>
    <n v="76.852320000000006"/>
    <n v="557.17932000000008"/>
    <n v="9.6065400000000007"/>
    <n v="0"/>
    <n v="9.6065400000000007"/>
    <m/>
    <n v="470.72046000000006"/>
    <m/>
    <m/>
    <n v="0"/>
    <m/>
    <m/>
    <n v="0"/>
    <m/>
    <n v="557.17932000000008"/>
    <n v="557.17932000000008"/>
    <n v="0"/>
    <s v="SUNU"/>
    <d v="2023-10-19T00:00:00"/>
    <m/>
    <m/>
    <m/>
    <m/>
    <m/>
    <m/>
  </r>
  <r>
    <x v="9"/>
    <s v="Yes"/>
    <d v="2023-07-28T00:00:00"/>
    <d v="2023-08-03T00:00:00"/>
    <d v="2023-08-03T00:00:00"/>
    <d v="2023-10-17T00:00:00"/>
    <s v="000-632/AIB RDC/2023"/>
    <n v="10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207.9"/>
    <n v="0"/>
    <n v="0"/>
    <n v="8.0500000000000007"/>
    <n v="171.18"/>
    <n v="28.67"/>
    <e v="#DIV/0!"/>
    <n v="0.1"/>
    <n v="17.118000000000002"/>
    <n v="0"/>
    <n v="0"/>
    <n v="0"/>
    <n v="17.118000000000002"/>
    <n v="2.7388800000000004"/>
    <n v="19.856880000000004"/>
    <n v="0.34236000000000005"/>
    <n v="0"/>
    <n v="0.34236000000000005"/>
    <m/>
    <n v="16.775640000000003"/>
    <m/>
    <m/>
    <n v="0"/>
    <m/>
    <m/>
    <n v="0"/>
    <m/>
    <n v="19.856880000000004"/>
    <n v="19.856880000000004"/>
    <n v="0"/>
    <s v="SFA"/>
    <d v="2023-09-28T00:00:00"/>
    <s v="ND0092/AIB RDC/2023"/>
    <m/>
    <m/>
    <m/>
    <m/>
    <m/>
  </r>
  <r>
    <x v="9"/>
    <s v="Yes"/>
    <d v="2023-09-08T00:00:00"/>
    <d v="2023-07-31T00:00:00"/>
    <d v="2023-08-01T00:00:00"/>
    <d v="2024-07-31T00:00:00"/>
    <s v="000-633/AIB RDC/2023"/>
    <n v="0"/>
    <s v="SOUSCRIPTION"/>
    <s v="12002-33002-0015-113-00021455-2023"/>
    <s v="SOCIÉTÉ FINANCIERE D’ASSURANCES CONGO ( SFA CONGO)"/>
    <m/>
    <s v="MICHEE"/>
    <s v="Tychique"/>
    <s v="D&amp;O"/>
    <s v="LIABILITIES"/>
    <x v="0"/>
    <s v="RSI"/>
    <n v="5000000"/>
    <n v="35026.19"/>
    <n v="1704.18"/>
    <n v="0"/>
    <n v="148.75"/>
    <n v="27750"/>
    <n v="4831.2"/>
    <n v="5.5500000000000002E-3"/>
    <n v="2.3299161230195702E-2"/>
    <n v="0"/>
    <n v="1469.1206896551726"/>
    <n v="646.55172413793071"/>
    <n v="0"/>
    <n v="2115.6724137931033"/>
    <n v="338.50758620689652"/>
    <n v="2454.1799999999998"/>
    <n v="42.313448275862065"/>
    <n v="0"/>
    <n v="42.313448275862065"/>
    <m/>
    <n v="2073.3589655172414"/>
    <m/>
    <m/>
    <n v="0"/>
    <m/>
    <m/>
    <n v="0"/>
    <m/>
    <n v="2454.1799999999998"/>
    <n v="2454.1799999999998"/>
    <n v="0"/>
    <s v="SFA"/>
    <d v="2023-09-28T00:00:00"/>
    <s v="ND0092/AIB RDC/2023"/>
    <m/>
    <m/>
    <m/>
    <m/>
    <m/>
  </r>
  <r>
    <x v="7"/>
    <s v="Yes"/>
    <d v="2023-08-02T00:00:00"/>
    <d v="2023-07-10T00:00:00"/>
    <d v="2023-07-10T00:00:00"/>
    <d v="2023-12-31T00:00:00"/>
    <s v="000-634/AIB RDC/2023"/>
    <n v="3"/>
    <s v="RISTOURNE"/>
    <s v="12001-33002-0001-103-00004929-2022"/>
    <s v="Bolloré Transport &amp; Logistics"/>
    <s v="Transport"/>
    <s v="SYNTYCHE"/>
    <s v="Grâce"/>
    <s v="MOTOR TPL"/>
    <s v="MOTOR TPL"/>
    <x v="1"/>
    <s v="ACTIVA"/>
    <n v="0"/>
    <n v="-547"/>
    <n v="0"/>
    <n v="0"/>
    <n v="0"/>
    <n v="-471.79"/>
    <n v="-75.5"/>
    <e v="#DIV/0!"/>
    <n v="0.1"/>
    <n v="-47.179000000000002"/>
    <n v="0"/>
    <n v="0"/>
    <n v="0"/>
    <n v="-47.179000000000002"/>
    <n v="-7.5486400000000007"/>
    <n v="-54.727640000000001"/>
    <n v="-0.94358000000000009"/>
    <n v="0"/>
    <n v="-0.94358000000000009"/>
    <m/>
    <n v="-46.235420000000005"/>
    <s v="OLEA"/>
    <m/>
    <n v="0"/>
    <m/>
    <m/>
    <n v="0"/>
    <m/>
    <n v="-54.727640000000001"/>
    <n v="-54.727640000000001"/>
    <n v="0"/>
    <s v="ACTIVA"/>
    <d v="2023-09-01T00:00:00"/>
    <m/>
    <m/>
    <s v="MOTOR TPL"/>
    <m/>
    <m/>
    <m/>
  </r>
  <r>
    <x v="7"/>
    <s v="Yes"/>
    <d v="2023-08-02T00:00:00"/>
    <d v="2023-07-28T00:00:00"/>
    <d v="2023-07-28T00:00:00"/>
    <d v="2024-07-27T00:00:00"/>
    <s v="000-635/AIB RDC/2023"/>
    <n v="0"/>
    <s v="SOUSCRIPTION"/>
    <s v="12002-33002-0004-103-00021426-2023"/>
    <s v="Dominique OPPERS"/>
    <m/>
    <s v="SYNTYCHE"/>
    <s v="Grâce"/>
    <s v="MOTOR TPL"/>
    <s v="MOTOR TPL"/>
    <x v="0"/>
    <s v="SFA"/>
    <n v="0"/>
    <n v="319.37"/>
    <n v="0"/>
    <n v="0"/>
    <n v="11.32"/>
    <n v="264"/>
    <n v="44.05"/>
    <e v="#DIV/0!"/>
    <n v="0.125"/>
    <n v="33"/>
    <n v="0"/>
    <n v="0"/>
    <n v="0"/>
    <n v="33"/>
    <n v="5.28"/>
    <n v="38.28"/>
    <n v="0.66"/>
    <n v="0"/>
    <n v="0.66"/>
    <m/>
    <n v="32.340000000000003"/>
    <m/>
    <m/>
    <n v="0"/>
    <m/>
    <m/>
    <n v="0"/>
    <m/>
    <n v="38.28"/>
    <n v="38.28"/>
    <n v="0"/>
    <s v="SFA"/>
    <d v="2023-09-28T00:00:00"/>
    <s v="ND0092/AIB RDC/2023"/>
    <m/>
    <m/>
    <m/>
    <m/>
    <m/>
  </r>
  <r>
    <x v="7"/>
    <s v="Yes"/>
    <d v="2023-08-02T00:00:00"/>
    <d v="2023-07-31T00:00:00"/>
    <d v="2023-07-31T00:00:00"/>
    <d v="2024-01-19T00:00:00"/>
    <s v="000-636/AIB RDC/2023"/>
    <n v="23"/>
    <s v="INCORPORATION"/>
    <s v="12002-33002-0004-103-00017955-2023"/>
    <s v="GSA"/>
    <m/>
    <s v="SYNTYCHE"/>
    <s v="Grâce"/>
    <s v="MOTOR TPL"/>
    <s v="MOTOR TPL"/>
    <x v="0"/>
    <s v="SFA"/>
    <m/>
    <n v="202.71"/>
    <n v="0"/>
    <n v="0"/>
    <n v="7.89"/>
    <n v="166.86"/>
    <n v="27.96"/>
    <e v="#DIV/0!"/>
    <n v="0.1"/>
    <n v="16.686000000000003"/>
    <n v="0"/>
    <n v="0"/>
    <n v="0"/>
    <n v="16.686000000000003"/>
    <n v="2.6697600000000006"/>
    <n v="19.355760000000004"/>
    <n v="0.33372000000000007"/>
    <n v="0"/>
    <n v="0.33372000000000007"/>
    <m/>
    <n v="16.352280000000004"/>
    <m/>
    <m/>
    <n v="0"/>
    <m/>
    <m/>
    <n v="0"/>
    <m/>
    <n v="19.355760000000004"/>
    <n v="19.355760000000004"/>
    <n v="0"/>
    <s v="SFA"/>
    <d v="2023-08-25T00:00:00"/>
    <m/>
    <m/>
    <m/>
    <m/>
    <m/>
    <m/>
  </r>
  <r>
    <x v="7"/>
    <s v="Yes"/>
    <d v="2023-08-02T00:00:00"/>
    <d v="2023-07-10T00:00:00"/>
    <d v="2023-07-09T00:00:00"/>
    <d v="2024-07-07T00:00:00"/>
    <s v="000-637/AIB RDC/2023"/>
    <n v="0"/>
    <s v="SOUSCRIPTION"/>
    <s v="12002-33002-0024-113-00021151-2023"/>
    <s v="INDUSTRIAL SERVICES"/>
    <m/>
    <s v="SYNTYCHE"/>
    <s v="Grâce"/>
    <s v="GENERAL LIABILITY"/>
    <s v="LIABILITIES"/>
    <x v="0"/>
    <s v="SFA"/>
    <n v="0"/>
    <n v="2912.76"/>
    <n v="189.1"/>
    <n v="0"/>
    <n v="71.900000000000006"/>
    <n v="2250"/>
    <n v="401.76"/>
    <e v="#DIV/0!"/>
    <n v="0.15"/>
    <n v="337.5"/>
    <n v="0"/>
    <n v="0"/>
    <n v="0"/>
    <n v="337.5"/>
    <n v="54"/>
    <n v="391.5"/>
    <n v="6.75"/>
    <n v="0"/>
    <n v="6.75"/>
    <m/>
    <n v="330.75"/>
    <m/>
    <m/>
    <n v="0"/>
    <m/>
    <m/>
    <n v="0"/>
    <m/>
    <n v="391.5"/>
    <n v="391.5"/>
    <n v="0"/>
    <s v="SFA"/>
    <d v="2023-08-25T00:00:00"/>
    <m/>
    <m/>
    <m/>
    <m/>
    <m/>
    <m/>
  </r>
  <r>
    <x v="7"/>
    <s v="No"/>
    <d v="2023-08-02T00:00:00"/>
    <d v="2023-07-14T00:00:00"/>
    <d v="2023-07-17T00:00:00"/>
    <d v="2024-07-16T00:00:00"/>
    <s v="000-638/AIB RDC/2023"/>
    <n v="2"/>
    <s v="RENOUVELLEMENT"/>
    <s v="12005-33002-0012-13001-00003108-2022"/>
    <s v="JEWELS INTERNATIONAL SCHOOL"/>
    <m/>
    <s v="SYNTYCHE"/>
    <s v="Sabrina"/>
    <s v="FIRE"/>
    <s v="PROPERTIES"/>
    <x v="5"/>
    <s v="MAYFAIR"/>
    <m/>
    <n v="4474"/>
    <n v="0"/>
    <n v="0"/>
    <n v="50"/>
    <n v="3741"/>
    <n v="607"/>
    <e v="#DIV/0!"/>
    <n v="0.15"/>
    <n v="561.15"/>
    <n v="0"/>
    <n v="0"/>
    <n v="0"/>
    <n v="561.15"/>
    <n v="89.783999999999992"/>
    <n v="650.93399999999997"/>
    <n v="11.222999999999999"/>
    <n v="0"/>
    <n v="11.222999999999999"/>
    <m/>
    <n v="549.92700000000002"/>
    <m/>
    <m/>
    <n v="0"/>
    <m/>
    <m/>
    <n v="0"/>
    <m/>
    <n v="650.93399999999997"/>
    <n v="650.93399999999997"/>
    <n v="0"/>
    <s v="MAYFAIR"/>
    <d v="2023-08-31T00:00:00"/>
    <m/>
    <m/>
    <m/>
    <m/>
    <m/>
    <m/>
  </r>
  <r>
    <x v="7"/>
    <s v="No"/>
    <d v="2023-08-02T00:00:00"/>
    <d v="2023-07-14T00:00:00"/>
    <d v="2023-07-17T00:00:00"/>
    <d v="2024-07-16T00:00:00"/>
    <s v="000-639/AIB RDC/2023"/>
    <n v="2"/>
    <s v="RENOUVELLEMENT"/>
    <s v="12005-33002-0012-13001-00003109-2022"/>
    <s v="JEWELS INTERNATIONAL SCHOOL"/>
    <m/>
    <s v="SYNTYCHE"/>
    <s v="Sabrina"/>
    <s v="PVT"/>
    <s v="POLITICAL VIOLENCE"/>
    <x v="5"/>
    <s v="MAYFAIR"/>
    <m/>
    <n v="13986.46"/>
    <n v="0"/>
    <n v="0"/>
    <n v="50"/>
    <n v="11679"/>
    <n v="1879.52"/>
    <e v="#DIV/0!"/>
    <n v="0.15"/>
    <n v="1751.85"/>
    <n v="0"/>
    <n v="0"/>
    <n v="0"/>
    <n v="1751.85"/>
    <n v="280.29599999999999"/>
    <n v="2032.146"/>
    <n v="35.036999999999999"/>
    <n v="0"/>
    <n v="35.036999999999999"/>
    <m/>
    <n v="1716.8129999999999"/>
    <m/>
    <m/>
    <n v="0"/>
    <m/>
    <m/>
    <n v="0"/>
    <m/>
    <n v="2032.146"/>
    <n v="2032.146"/>
    <n v="0"/>
    <s v="MAYFAIR"/>
    <d v="2023-08-31T00:00:00"/>
    <m/>
    <m/>
    <m/>
    <m/>
    <m/>
    <m/>
  </r>
  <r>
    <x v="7"/>
    <s v="No"/>
    <d v="2023-08-02T00:00:00"/>
    <d v="2023-07-14T00:00:00"/>
    <d v="2023-07-17T00:00:00"/>
    <d v="2024-07-16T00:00:00"/>
    <s v="000-640/AIB RDC/2023"/>
    <n v="2"/>
    <s v="RENOUVELLEMENT"/>
    <s v="12005-33002-0014-13001-00003110-2022"/>
    <s v="JEWELS INTERNATIONAL SCHOOL"/>
    <m/>
    <s v="SYNTYCHE"/>
    <s v="Sabrina"/>
    <s v="PUBLIC LIABILITY"/>
    <s v="LIABILITIES"/>
    <x v="5"/>
    <s v="MAYFAIR"/>
    <m/>
    <n v="613.6"/>
    <n v="0"/>
    <n v="0"/>
    <n v="20"/>
    <n v="500"/>
    <n v="83.2"/>
    <e v="#DIV/0!"/>
    <n v="0.1"/>
    <n v="50"/>
    <n v="0"/>
    <n v="0"/>
    <n v="0"/>
    <n v="50"/>
    <n v="8"/>
    <n v="58"/>
    <n v="1"/>
    <n v="0"/>
    <n v="1"/>
    <m/>
    <n v="49"/>
    <m/>
    <m/>
    <n v="0"/>
    <m/>
    <m/>
    <n v="0"/>
    <m/>
    <n v="58"/>
    <n v="58"/>
    <n v="0"/>
    <s v="MAYFAIR"/>
    <d v="2023-08-31T00:00:00"/>
    <m/>
    <m/>
    <m/>
    <m/>
    <m/>
    <m/>
  </r>
  <r>
    <x v="7"/>
    <s v="No"/>
    <d v="2023-08-02T00:00:00"/>
    <d v="2023-07-26T00:00:00"/>
    <d v="2023-07-20T00:00:00"/>
    <d v="2024-07-19T00:00:00"/>
    <s v="000-641/AIB RDC/2023"/>
    <n v="0"/>
    <s v="SOUSCRIPTION"/>
    <s v="12005-33002-0013-13001-00006558-2023"/>
    <s v="KAMPI YA BOMA"/>
    <m/>
    <s v="SYNTYCHE"/>
    <s v="Grâce"/>
    <s v="GENERAL LIABILITY"/>
    <s v="LIABILITIES"/>
    <x v="5"/>
    <s v="MAYFAIR"/>
    <m/>
    <n v="4194"/>
    <n v="0"/>
    <n v="0"/>
    <n v="50"/>
    <n v="3504"/>
    <n v="569"/>
    <e v="#DIV/0!"/>
    <n v="0.1"/>
    <n v="350.40000000000003"/>
    <n v="0"/>
    <n v="0"/>
    <n v="0"/>
    <n v="350.40000000000003"/>
    <n v="56.064000000000007"/>
    <n v="406.46400000000006"/>
    <n v="7.0080000000000009"/>
    <n v="0"/>
    <n v="7.0080000000000009"/>
    <m/>
    <n v="343.39200000000005"/>
    <m/>
    <m/>
    <n v="0"/>
    <m/>
    <m/>
    <n v="0"/>
    <m/>
    <n v="406.46400000000006"/>
    <n v="406.46400000000006"/>
    <n v="0"/>
    <s v="MAYFAIR"/>
    <d v="2023-08-31T00:00:00"/>
    <m/>
    <m/>
    <m/>
    <m/>
    <m/>
    <m/>
  </r>
  <r>
    <x v="7"/>
    <s v="Yes"/>
    <d v="2023-08-02T00:00:00"/>
    <d v="2023-07-29T00:00:00"/>
    <d v="2023-07-09T00:00:00"/>
    <d v="2023-12-23T00:00:00"/>
    <s v="000-642/AIB RDC/2023"/>
    <n v="0"/>
    <s v="SOUSCRIPTION"/>
    <s v="12002-33002-0006-114-00021449-2023"/>
    <s v="KAMPI YA BOMA"/>
    <m/>
    <s v="SYNTYCHE"/>
    <s v="Grâce"/>
    <s v="CAR"/>
    <s v="CONSTRUCTIONS"/>
    <x v="0"/>
    <s v="SFA"/>
    <m/>
    <n v="1397.75"/>
    <n v="0"/>
    <n v="0"/>
    <n v="39.46"/>
    <n v="1165.5"/>
    <n v="192.79"/>
    <e v="#DIV/0!"/>
    <n v="0.15"/>
    <n v="174.82499999999999"/>
    <n v="0"/>
    <n v="0"/>
    <n v="0"/>
    <n v="174.82499999999999"/>
    <n v="27.971999999999998"/>
    <n v="202.797"/>
    <n v="3.4964999999999997"/>
    <n v="0"/>
    <n v="3.4964999999999997"/>
    <m/>
    <n v="171.32849999999999"/>
    <m/>
    <m/>
    <n v="0"/>
    <m/>
    <m/>
    <n v="0"/>
    <m/>
    <n v="202.797"/>
    <n v="202.797"/>
    <n v="0"/>
    <s v="SFA"/>
    <d v="2023-08-25T00:00:00"/>
    <m/>
    <m/>
    <m/>
    <m/>
    <m/>
    <m/>
  </r>
  <r>
    <x v="7"/>
    <s v="Yes"/>
    <d v="2023-08-02T00:00:00"/>
    <d v="2023-07-28T00:00:00"/>
    <d v="2023-07-28T00:00:00"/>
    <d v="2024-07-27T00:00:00"/>
    <s v="000-643/AIB RDC/2023"/>
    <n v="0"/>
    <s v="SOUSCRIPTION"/>
    <s v="12002-33002-0021-111-00021431-2023"/>
    <s v="TRANS AIR CARGO"/>
    <m/>
    <s v="SYNTYCHE"/>
    <s v="Grâce"/>
    <s v="MARINE CARGO / GIT"/>
    <s v="MARINE"/>
    <x v="0"/>
    <s v="SFA"/>
    <n v="0"/>
    <n v="900.72"/>
    <n v="0"/>
    <n v="0"/>
    <n v="26.48"/>
    <n v="750"/>
    <n v="124.24"/>
    <e v="#DIV/0!"/>
    <n v="0.15"/>
    <n v="112.5"/>
    <n v="0"/>
    <n v="0"/>
    <n v="0"/>
    <n v="112.5"/>
    <n v="18"/>
    <n v="130.5"/>
    <n v="2.25"/>
    <n v="0"/>
    <n v="2.25"/>
    <m/>
    <n v="110.25"/>
    <m/>
    <m/>
    <n v="0"/>
    <m/>
    <m/>
    <n v="0"/>
    <m/>
    <n v="130.5"/>
    <n v="130.5"/>
    <n v="0"/>
    <s v="SFA"/>
    <d v="2023-08-25T00:00:00"/>
    <m/>
    <m/>
    <m/>
    <m/>
    <m/>
    <m/>
  </r>
  <r>
    <x v="7"/>
    <s v="Yes"/>
    <d v="2023-08-02T00:00:00"/>
    <d v="2023-07-28T00:00:00"/>
    <d v="2023-07-28T00:00:00"/>
    <d v="2024-07-27T00:00:00"/>
    <s v="000-644/AIB RDC/2023"/>
    <n v="0"/>
    <s v="SOUSCRIPTION"/>
    <s v="12002-33002-0021-111-00021430-2023"/>
    <s v="TRANS AIR CARGO"/>
    <m/>
    <s v="SYNTYCHE"/>
    <s v="Grâce"/>
    <s v="MARINE CARGO / GIT"/>
    <s v="MARINE"/>
    <x v="0"/>
    <s v="SFA"/>
    <n v="0"/>
    <n v="1020.81"/>
    <n v="0"/>
    <n v="0"/>
    <n v="30.01"/>
    <n v="850"/>
    <n v="140.80000000000001"/>
    <e v="#DIV/0!"/>
    <n v="0.15"/>
    <n v="127.5"/>
    <n v="0"/>
    <n v="0"/>
    <n v="0"/>
    <n v="127.5"/>
    <n v="20.400000000000002"/>
    <n v="147.9"/>
    <n v="2.5500000000000003"/>
    <n v="0"/>
    <n v="2.5500000000000003"/>
    <m/>
    <n v="124.95"/>
    <m/>
    <m/>
    <n v="0"/>
    <m/>
    <m/>
    <n v="0"/>
    <m/>
    <n v="147.9"/>
    <n v="147.9"/>
    <n v="0"/>
    <s v="SFA"/>
    <d v="2023-08-25T00:00:00"/>
    <m/>
    <m/>
    <m/>
    <m/>
    <m/>
    <m/>
  </r>
  <r>
    <x v="7"/>
    <s v="Yes"/>
    <d v="2023-08-02T00:00:00"/>
    <d v="2023-07-18T00:00:00"/>
    <d v="2023-07-18T00:00:00"/>
    <d v="2023-09-17T00:00:00"/>
    <s v="000-645/AIB RDC/2023"/>
    <n v="0"/>
    <s v="SOUSCRIPTION"/>
    <n v="70100046"/>
    <s v="WUHUANG CONSTRUCTION ET COMMERCE RDC SAS ( WHCC) / Bolloré"/>
    <m/>
    <s v="SYNTYCHE"/>
    <s v="David"/>
    <s v="MARINE CARGO / GIT"/>
    <s v="MARINE"/>
    <x v="6"/>
    <s v="RAWSUR"/>
    <n v="0"/>
    <n v="2374.0500000000002"/>
    <n v="0"/>
    <n v="0"/>
    <n v="148"/>
    <n v="1863.92"/>
    <n v="321.89999999999998"/>
    <e v="#DIV/0!"/>
    <n v="0.15"/>
    <n v="279.58800000000002"/>
    <n v="0"/>
    <n v="0"/>
    <n v="0"/>
    <n v="279.58800000000002"/>
    <n v="44.734080000000006"/>
    <n v="324.32208000000003"/>
    <n v="5.5917600000000007"/>
    <n v="0"/>
    <n v="5.5917600000000007"/>
    <m/>
    <n v="273.99624"/>
    <s v="BOLLORE"/>
    <n v="0.4"/>
    <n v="109.59849600000001"/>
    <n v="109.59849600000001"/>
    <d v="2023-10-30T00:00:00"/>
    <n v="0"/>
    <m/>
    <n v="324.32208000000003"/>
    <n v="324.32208000000003"/>
    <n v="0"/>
    <s v="RAWSUR"/>
    <d v="2023-09-05T00:00:00"/>
    <m/>
    <s v="ONCE OFF"/>
    <s v="MARINE CARGO / GIT"/>
    <m/>
    <m/>
    <m/>
  </r>
  <r>
    <x v="3"/>
    <s v="Yes"/>
    <d v="2023-08-02T00:00:00"/>
    <d v="2023-07-19T00:00:00"/>
    <d v="2023-06-17T00:00:00"/>
    <d v="2024-06-15T00:00:00"/>
    <s v="000-646/AIB RDC/2023"/>
    <n v="0"/>
    <s v="SOUSCRIPTION"/>
    <s v="12002-33002-0021-111-00021311-2023"/>
    <s v="WUHUANG CONSTRUCTION ET COMMERCE RDC SAS ( WHCC) / Bolloré"/>
    <m/>
    <s v="SYNTYCHE"/>
    <s v="David"/>
    <s v="MARINE CARGO / GIT"/>
    <s v="MARINE"/>
    <x v="0"/>
    <s v="SFA"/>
    <n v="0"/>
    <n v="1918.76"/>
    <n v="0"/>
    <n v="0"/>
    <n v="74.430000000000007"/>
    <n v="1579.67"/>
    <n v="264.66000000000003"/>
    <e v="#DIV/0!"/>
    <n v="0.15"/>
    <n v="236.95050000000001"/>
    <n v="0"/>
    <n v="0"/>
    <n v="0"/>
    <n v="236.95050000000001"/>
    <n v="37.912080000000003"/>
    <n v="274.86257999999998"/>
    <n v="4.7390100000000004"/>
    <n v="0"/>
    <n v="4.7390100000000004"/>
    <m/>
    <n v="232.21149"/>
    <s v="BOLLORE"/>
    <n v="0.4"/>
    <n v="92.884596000000002"/>
    <n v="92.884596000000002"/>
    <d v="2023-10-30T00:00:00"/>
    <n v="0"/>
    <m/>
    <n v="274.86257999999998"/>
    <n v="274.86257999999998"/>
    <n v="0"/>
    <s v="SFA"/>
    <d v="2023-08-25T00:00:00"/>
    <m/>
    <s v="ONCE OFF"/>
    <s v="MARINE CARGO / GIT"/>
    <m/>
    <m/>
    <m/>
  </r>
  <r>
    <x v="0"/>
    <s v="Yes"/>
    <d v="2022-12-09T00:00:00"/>
    <d v="2023-04-28T00:00:00"/>
    <d v="2023-01-01T00:00:00"/>
    <d v="2023-12-31T00:00:00"/>
    <s v="000-647/AIB RDC/2023"/>
    <n v="0"/>
    <s v="SOUSCRIPTION"/>
    <s v="12001-33002-9005-015-00001878-2022"/>
    <s v="FERONIA - PLANTATIONS ET HUILERIES DU CONGO ( PHC)"/>
    <m/>
    <s v="MICHEE"/>
    <s v="Tychique"/>
    <s v="MOTOR TPL - BOAT"/>
    <s v="MOTOR TPL"/>
    <x v="1"/>
    <s v="ACTIVA"/>
    <n v="0"/>
    <n v="9444.09"/>
    <n v="0"/>
    <n v="0"/>
    <n v="93.53"/>
    <n v="9350.58"/>
    <n v="0"/>
    <e v="#DIV/0!"/>
    <n v="0.1"/>
    <n v="935.05799999999999"/>
    <n v="0"/>
    <n v="0"/>
    <n v="0"/>
    <n v="935.05799999999999"/>
    <n v="149.60928000000001"/>
    <n v="1084.6672800000001"/>
    <n v="18.701160000000002"/>
    <n v="0"/>
    <n v="18.701160000000002"/>
    <m/>
    <n v="916.35684000000003"/>
    <m/>
    <m/>
    <n v="0"/>
    <m/>
    <m/>
    <n v="0"/>
    <m/>
    <n v="1084.6672800000001"/>
    <n v="1084.6672800000001"/>
    <n v="0"/>
    <s v="ACTIVA"/>
    <d v="2023-09-01T00:00:00"/>
    <m/>
    <m/>
    <m/>
    <m/>
    <m/>
    <m/>
  </r>
  <r>
    <x v="7"/>
    <s v="Yes"/>
    <d v="2023-05-24T00:00:00"/>
    <d v="2023-08-07T00:00:00"/>
    <d v="2023-08-04T00:00:00"/>
    <d v="2024-04-03T00:00:00"/>
    <s v="000-648/AIB RDC/2023"/>
    <n v="0"/>
    <s v="SOUSCRIPTION"/>
    <s v="12002-33002-0002-112-00021536-2023"/>
    <s v="GROUP VIVENDI AFRICA RDC ( GVA RDC)"/>
    <m/>
    <s v="ALICE"/>
    <s v="Apphia"/>
    <s v="FIRE"/>
    <s v="PROPERTIES"/>
    <x v="0"/>
    <s v="SFA"/>
    <n v="2441816"/>
    <n v="4246.8599999999997"/>
    <n v="0"/>
    <n v="0"/>
    <n v="0"/>
    <n v="3531.43"/>
    <n v="585.77"/>
    <n v="1.4462310018445287E-3"/>
    <n v="0.1"/>
    <n v="353.14300000000003"/>
    <n v="0"/>
    <n v="0"/>
    <n v="0"/>
    <n v="353.14300000000003"/>
    <n v="56.502880000000005"/>
    <n v="409.64588000000003"/>
    <n v="7.0628600000000006"/>
    <n v="0"/>
    <n v="7.0628600000000006"/>
    <m/>
    <n v="346.08014000000003"/>
    <m/>
    <m/>
    <n v="0"/>
    <m/>
    <m/>
    <n v="0"/>
    <m/>
    <n v="409.64588000000003"/>
    <n v="409.64588000000003"/>
    <n v="0"/>
    <s v="SFA"/>
    <d v="2023-09-28T00:00:00"/>
    <s v="ND0092/AIB RDC/2023"/>
    <m/>
    <m/>
    <m/>
    <m/>
    <m/>
  </r>
  <r>
    <x v="7"/>
    <s v="Yes"/>
    <d v="2023-06-26T00:00:00"/>
    <d v="2023-07-17T00:00:00"/>
    <d v="2023-07-13T00:00:00"/>
    <d v="2024-07-12T00:00:00"/>
    <s v="000-649/AIB RDC/2023"/>
    <n v="1"/>
    <s v="RENOUVELLEMENT"/>
    <s v="33002-0009-113-0002169 / 0002"/>
    <s v="GROUP VIVENDI AFRICA RDC ( GVA RDC)"/>
    <m/>
    <s v="ALICE"/>
    <s v="Apphia"/>
    <s v="GENERAL LIABILITY"/>
    <s v="LIABILITIES"/>
    <x v="4"/>
    <s v="SUNU"/>
    <n v="0"/>
    <n v="417.6"/>
    <n v="0"/>
    <n v="0"/>
    <n v="10"/>
    <n v="350"/>
    <n v="57.6"/>
    <e v="#DIV/0!"/>
    <n v="0.1"/>
    <n v="35"/>
    <n v="0"/>
    <n v="0"/>
    <n v="0"/>
    <n v="35"/>
    <n v="5.6000000000000005"/>
    <n v="40.6"/>
    <n v="0.70000000000000007"/>
    <n v="0"/>
    <n v="0.70000000000000007"/>
    <m/>
    <n v="34.299999999999997"/>
    <m/>
    <m/>
    <n v="0"/>
    <m/>
    <m/>
    <n v="0"/>
    <m/>
    <n v="40.6"/>
    <n v="40.6"/>
    <n v="0"/>
    <s v="SUNU"/>
    <d v="2023-09-06T00:00:00"/>
    <m/>
    <m/>
    <m/>
    <m/>
    <m/>
    <m/>
  </r>
  <r>
    <x v="2"/>
    <s v="Yes"/>
    <d v="2023-03-08T00:00:00"/>
    <d v="2023-03-09T00:00:00"/>
    <d v="2023-03-07T00:00:00"/>
    <d v="2023-03-07T00:00:00"/>
    <s v="000-650/AIB RDC/2023"/>
    <n v="2"/>
    <s v="RISTOURNE"/>
    <s v="12002-33002-0004-103-00017444-2022"/>
    <s v="COSTA COULEUR"/>
    <m/>
    <s v="ALICE"/>
    <s v="Apphia"/>
    <s v="MOTOR TPL"/>
    <s v="MOTOR TPL"/>
    <x v="0"/>
    <s v="SFA"/>
    <n v="0"/>
    <n v="-126.38"/>
    <n v="0"/>
    <n v="0"/>
    <n v="0"/>
    <n v="-108.95"/>
    <n v="-17.43"/>
    <e v="#DIV/0!"/>
    <n v="0.1"/>
    <n v="-10.895000000000001"/>
    <n v="0"/>
    <n v="0"/>
    <n v="0"/>
    <n v="-10.895000000000001"/>
    <n v="-1.7432000000000003"/>
    <n v="-12.638200000000001"/>
    <n v="-0.21790000000000004"/>
    <n v="0"/>
    <n v="-0.21790000000000004"/>
    <m/>
    <n v="-10.677100000000001"/>
    <m/>
    <m/>
    <n v="0"/>
    <m/>
    <m/>
    <n v="0"/>
    <m/>
    <n v="-12.638200000000001"/>
    <n v="-12.638200000000001"/>
    <n v="0"/>
    <s v="SFA"/>
    <d v="2023-08-25T00:00:00"/>
    <m/>
    <m/>
    <m/>
    <m/>
    <m/>
    <m/>
  </r>
  <r>
    <x v="7"/>
    <s v="No"/>
    <d v="2023-07-24T00:00:00"/>
    <d v="2023-07-24T00:00:00"/>
    <d v="2023-07-24T00:00:00"/>
    <d v="2023-11-02T00:00:00"/>
    <s v="000-651/AIB RDC/2023"/>
    <n v="3"/>
    <s v="INCORPORATION"/>
    <s v="12002-33002-0004-103-00017444-2022"/>
    <s v="COSTA COULEUR"/>
    <m/>
    <s v="ALICE"/>
    <s v="Apphia"/>
    <s v="MOTOR TPL"/>
    <s v="MOTOR TPL"/>
    <x v="0"/>
    <s v="SFA"/>
    <n v="0"/>
    <n v="57.69"/>
    <n v="0"/>
    <n v="0"/>
    <n v="3.63"/>
    <n v="46.11"/>
    <n v="7.95"/>
    <e v="#DIV/0!"/>
    <n v="0.1"/>
    <n v="4.6109999999999998"/>
    <n v="0"/>
    <n v="0"/>
    <n v="0"/>
    <n v="4.6109999999999998"/>
    <n v="0.73775999999999997"/>
    <n v="5.3487599999999995"/>
    <n v="9.2219999999999996E-2"/>
    <n v="0"/>
    <n v="9.2219999999999996E-2"/>
    <m/>
    <n v="4.5187799999999996"/>
    <m/>
    <m/>
    <n v="0"/>
    <m/>
    <m/>
    <n v="0"/>
    <m/>
    <m/>
    <n v="5.3487599999999995"/>
    <n v="5.3487599999999995"/>
    <s v="SFA"/>
    <m/>
    <m/>
    <m/>
    <m/>
    <m/>
    <m/>
    <m/>
  </r>
  <r>
    <x v="7"/>
    <s v="Yes"/>
    <d v="2023-07-03T00:00:00"/>
    <d v="2023-07-03T00:00:00"/>
    <d v="2023-07-04T00:00:00"/>
    <d v="2023-10-03T00:00:00"/>
    <s v="000-652/AIB RDC/2023"/>
    <n v="0"/>
    <s v="SOUSCRIPTION"/>
    <s v="33002-0009-113-0009190 / 0001"/>
    <s v="COSTA COULEUR"/>
    <m/>
    <s v="ALICE"/>
    <s v="Apphia"/>
    <s v="PI"/>
    <s v="LIABILITIES"/>
    <x v="4"/>
    <s v="SUNU"/>
    <n v="0"/>
    <n v="1055.5999999999999"/>
    <n v="0"/>
    <n v="0"/>
    <n v="10"/>
    <n v="900"/>
    <n v="145.6"/>
    <e v="#DIV/0!"/>
    <n v="0.1"/>
    <n v="90"/>
    <n v="0"/>
    <n v="0"/>
    <n v="0"/>
    <n v="90"/>
    <n v="14.4"/>
    <n v="104.4"/>
    <n v="1.8"/>
    <n v="0"/>
    <n v="1.8"/>
    <m/>
    <n v="88.2"/>
    <m/>
    <m/>
    <n v="0"/>
    <m/>
    <m/>
    <n v="0"/>
    <m/>
    <n v="104.4"/>
    <n v="104.4"/>
    <n v="0"/>
    <s v="SUNU"/>
    <d v="2023-09-06T00:00:00"/>
    <m/>
    <m/>
    <m/>
    <m/>
    <m/>
    <m/>
  </r>
  <r>
    <x v="9"/>
    <s v="Yes"/>
    <d v="2023-07-21T00:00:00"/>
    <d v="2023-08-01T00:00:00"/>
    <d v="2023-08-01T00:00:00"/>
    <d v="2024-07-31T00:00:00"/>
    <s v="000-653/AIB RDC/2023"/>
    <n v="0"/>
    <s v="SOUSCRIPTION"/>
    <s v="33002-0002-102-0009799 / 0001"/>
    <s v="NATIONAL DEMOCRATIC INSTITUTE ( NDI)"/>
    <m/>
    <s v="ALICE"/>
    <s v="Apphia"/>
    <s v="MEDICAL"/>
    <s v="MEDICAL &amp; GPA"/>
    <x v="4"/>
    <s v="SUNU"/>
    <n v="0"/>
    <n v="24310.91"/>
    <n v="0"/>
    <n v="0"/>
    <n v="240.7"/>
    <n v="24070.21"/>
    <n v="0"/>
    <e v="#DIV/0!"/>
    <n v="0.09"/>
    <n v="2166.3188999999998"/>
    <n v="0"/>
    <n v="0"/>
    <n v="0"/>
    <n v="2166.3188999999998"/>
    <n v="346.61102399999999"/>
    <n v="2512.9299239999996"/>
    <n v="43.326377999999998"/>
    <n v="0"/>
    <n v="43.326377999999998"/>
    <m/>
    <n v="2122.9925219999996"/>
    <m/>
    <m/>
    <n v="0"/>
    <m/>
    <m/>
    <n v="0"/>
    <m/>
    <n v="1396.07"/>
    <n v="2512.9299239999996"/>
    <n v="1116.8599239999996"/>
    <s v="SUNU"/>
    <d v="2023-09-06T00:00:00"/>
    <m/>
    <m/>
    <m/>
    <m/>
    <m/>
    <m/>
  </r>
  <r>
    <x v="9"/>
    <s v="Yes"/>
    <d v="2023-07-21T00:00:00"/>
    <d v="2023-07-26T00:00:00"/>
    <d v="2023-08-01T00:00:00"/>
    <d v="2024-07-31T00:00:00"/>
    <s v="000-654/AIB RDC/2023"/>
    <n v="0"/>
    <s v="SOUSCRIPTION"/>
    <s v="33002-0001-101-0009777 / 0001"/>
    <s v="NATIONAL DEMOCRATIC INSTITUTE ( NDI)"/>
    <m/>
    <s v="ALICE"/>
    <s v="Apphia"/>
    <s v="GPA"/>
    <s v="MEDICAL &amp; GPA"/>
    <x v="4"/>
    <s v="SUNU"/>
    <n v="0"/>
    <n v="100.34"/>
    <n v="0"/>
    <n v="0"/>
    <n v="10"/>
    <n v="76.5"/>
    <n v="0"/>
    <e v="#DIV/0!"/>
    <n v="0.1"/>
    <n v="7.65"/>
    <n v="0"/>
    <n v="0"/>
    <n v="0"/>
    <n v="7.65"/>
    <n v="1.224"/>
    <n v="8.8740000000000006"/>
    <n v="0.153"/>
    <n v="0"/>
    <n v="0.153"/>
    <m/>
    <n v="7.4970000000000008"/>
    <m/>
    <m/>
    <n v="0"/>
    <m/>
    <m/>
    <n v="0"/>
    <m/>
    <n v="8.8740000000000006"/>
    <n v="8.8740000000000006"/>
    <n v="0"/>
    <s v="SUNU"/>
    <d v="2023-09-06T00:00:00"/>
    <m/>
    <m/>
    <m/>
    <m/>
    <m/>
    <m/>
  </r>
  <r>
    <x v="7"/>
    <s v="Yes"/>
    <d v="2023-08-04T00:00:00"/>
    <d v="2023-07-25T00:00:00"/>
    <d v="2023-07-26T00:00:00"/>
    <d v="2023-09-08T00:00:00"/>
    <s v="000-655/AIB RDC/2023"/>
    <n v="0"/>
    <s v="SOUSCRIPTION"/>
    <s v="33002-0004-119-0009730 / 0001"/>
    <s v="IMRAN Rashid Patel"/>
    <s v="Person"/>
    <s v="ALICE"/>
    <s v="Apphia"/>
    <s v="TRAVEL"/>
    <s v="MEDICAL &amp; GPA"/>
    <x v="4"/>
    <s v="SUNU"/>
    <n v="0"/>
    <n v="197.93"/>
    <n v="0"/>
    <n v="0"/>
    <n v="3.35"/>
    <n v="167.28"/>
    <n v="27.3"/>
    <e v="#DIV/0!"/>
    <n v="0.2"/>
    <n v="33.456000000000003"/>
    <n v="0"/>
    <n v="0"/>
    <n v="0"/>
    <n v="33.456000000000003"/>
    <n v="5.3529600000000004"/>
    <n v="38.808960000000006"/>
    <n v="0.66912000000000005"/>
    <n v="0"/>
    <n v="0.66912000000000005"/>
    <m/>
    <n v="32.786880000000004"/>
    <m/>
    <m/>
    <n v="0"/>
    <m/>
    <m/>
    <n v="0"/>
    <m/>
    <n v="38.808960000000006"/>
    <n v="38.808960000000006"/>
    <n v="0"/>
    <s v="SUNU"/>
    <d v="2023-09-06T00:00:00"/>
    <m/>
    <m/>
    <m/>
    <m/>
    <m/>
    <m/>
  </r>
  <r>
    <x v="0"/>
    <s v="No"/>
    <d v="2023-01-01T00:00:00"/>
    <d v="2023-01-01T00:00:00"/>
    <d v="2023-01-01T00:00:00"/>
    <d v="2023-12-31T00:00:00"/>
    <s v="000-656/AIB RDC/2023"/>
    <m/>
    <s v="INCORPORATION"/>
    <s v="12001-33002-008-102-00002900-2022"/>
    <s v="HAVAS AFRICA RDC"/>
    <m/>
    <s v="ALICE"/>
    <s v="Apphia"/>
    <s v="MEDICAL"/>
    <s v="MEDICAL &amp; GPA"/>
    <x v="1"/>
    <s v="ACTIVA"/>
    <n v="0"/>
    <m/>
    <n v="0"/>
    <n v="0"/>
    <n v="0"/>
    <n v="4319.8999999999996"/>
    <n v="0"/>
    <e v="#DIV/0!"/>
    <n v="0.1"/>
    <n v="431.99"/>
    <n v="0"/>
    <n v="0"/>
    <n v="0"/>
    <n v="431.99"/>
    <n v="69.118400000000008"/>
    <n v="501.10840000000002"/>
    <n v="8.639800000000001"/>
    <n v="0"/>
    <n v="8.639800000000001"/>
    <m/>
    <n v="423.35020000000003"/>
    <m/>
    <m/>
    <n v="0"/>
    <m/>
    <m/>
    <n v="0"/>
    <m/>
    <n v="250.55420000000001"/>
    <n v="501.10840000000002"/>
    <n v="250.55420000000001"/>
    <s v="ACTIVA"/>
    <d v="2023-08-15T00:00:00"/>
    <m/>
    <m/>
    <m/>
    <m/>
    <m/>
    <s v="30-10-2023// déjà payé / à collecter "/>
  </r>
  <r>
    <x v="4"/>
    <s v="Yes"/>
    <d v="2023-09-08T00:00:00"/>
    <d v="2023-06-01T00:00:00"/>
    <d v="2023-05-18T00:00:00"/>
    <d v="2023-08-14T00:00:00"/>
    <s v="000-657/AIB RDC/2023"/>
    <n v="2"/>
    <s v="INCORPORATION"/>
    <n v="73200022"/>
    <s v="ORANGE COMPUTERS"/>
    <m/>
    <s v="ALICE"/>
    <s v="Apphia"/>
    <s v="MARINE CARGO / GIT"/>
    <s v="MARINE"/>
    <x v="6"/>
    <s v="RAWSUR"/>
    <n v="0"/>
    <n v="32657.71"/>
    <n v="0"/>
    <n v="0"/>
    <n v="100"/>
    <n v="27576.03"/>
    <n v="4428.16"/>
    <e v="#DIV/0!"/>
    <n v="0.15"/>
    <n v="4136.4044999999996"/>
    <n v="0"/>
    <n v="0"/>
    <n v="0"/>
    <n v="4136.4044999999996"/>
    <n v="661.82471999999996"/>
    <n v="4798.2292199999993"/>
    <n v="82.728089999999995"/>
    <n v="0"/>
    <n v="82.728089999999995"/>
    <m/>
    <n v="4053.6764099999996"/>
    <m/>
    <m/>
    <n v="0"/>
    <m/>
    <m/>
    <n v="0"/>
    <m/>
    <n v="4798.2292199999993"/>
    <n v="4798.2292199999993"/>
    <n v="0"/>
    <s v="RAWSUR"/>
    <d v="2023-08-15T00:00:00"/>
    <m/>
    <m/>
    <m/>
    <m/>
    <m/>
    <m/>
  </r>
  <r>
    <x v="3"/>
    <s v="Yes"/>
    <d v="2023-09-08T00:00:00"/>
    <d v="2023-06-19T00:00:00"/>
    <d v="2023-06-19T00:00:00"/>
    <d v="2023-08-14T00:00:00"/>
    <s v="000-658/AIB RDC/2023"/>
    <n v="3"/>
    <s v="INCORPORATION"/>
    <n v="73200022"/>
    <s v="ORANGE COMPUTERS"/>
    <m/>
    <s v="ALICE"/>
    <s v="Apphia"/>
    <s v="MARINE CARGO / GIT"/>
    <s v="MARINE"/>
    <x v="6"/>
    <s v="RAWSUR"/>
    <n v="0"/>
    <n v="20126.25"/>
    <n v="0"/>
    <n v="0"/>
    <n v="1443"/>
    <n v="15613.15"/>
    <n v="2728.98"/>
    <e v="#DIV/0!"/>
    <n v="0.15"/>
    <n v="2341.9724999999999"/>
    <n v="0"/>
    <n v="0"/>
    <n v="0"/>
    <n v="2341.9724999999999"/>
    <n v="374.71559999999999"/>
    <n v="2716.6880999999998"/>
    <n v="46.839449999999999"/>
    <n v="0"/>
    <n v="46.839449999999999"/>
    <m/>
    <n v="2295.1330499999999"/>
    <m/>
    <m/>
    <n v="0"/>
    <m/>
    <m/>
    <n v="0"/>
    <m/>
    <n v="2716.6880999999998"/>
    <n v="2716.6880999999998"/>
    <n v="0"/>
    <s v="RAWSUR"/>
    <d v="2023-08-15T00:00:00"/>
    <m/>
    <m/>
    <m/>
    <m/>
    <m/>
    <m/>
  </r>
  <r>
    <x v="6"/>
    <s v="Yes"/>
    <d v="2023-04-12T00:00:00"/>
    <m/>
    <d v="2023-09-01T00:00:00"/>
    <d v="2024-03-31T00:00:00"/>
    <s v="000-444/AIB RDC/2023"/>
    <n v="1"/>
    <s v="RENOUVELLEMENT"/>
    <s v="12001-33002-0007-121-00002148-2022"/>
    <s v="CFAO RDC / CFAO Technologies"/>
    <m/>
    <s v="ANDY"/>
    <s v="Andy"/>
    <s v="PROPERTY DAMAGE &amp; BI"/>
    <s v="PROPERTIES"/>
    <x v="1"/>
    <s v="ACTIVA"/>
    <n v="0"/>
    <n v="-134.96"/>
    <n v="0"/>
    <n v="0"/>
    <m/>
    <n v="-116.35"/>
    <n v="-18.62"/>
    <e v="#DIV/0!"/>
    <n v="0.08"/>
    <n v="-9.3079999999999998"/>
    <m/>
    <m/>
    <n v="0"/>
    <n v="-9.3079999999999998"/>
    <n v="-1.4892799999999999"/>
    <n v="-10.797280000000001"/>
    <n v="-0.18615999999999999"/>
    <n v="0"/>
    <n v="-0.18615999999999999"/>
    <m/>
    <n v="-9.1218400000000006"/>
    <m/>
    <m/>
    <m/>
    <m/>
    <m/>
    <m/>
    <m/>
    <n v="-10.797280000000001"/>
    <n v="-10.797280000000001"/>
    <n v="0"/>
    <s v="ACTIVA"/>
    <d v="2023-09-01T00:00:00"/>
    <m/>
    <m/>
    <m/>
    <m/>
    <m/>
    <m/>
  </r>
  <r>
    <x v="7"/>
    <s v="Yes"/>
    <d v="2023-08-21T00:00:00"/>
    <d v="2023-07-03T00:00:00"/>
    <d v="2023-07-01T00:00:00"/>
    <d v="2024-06-30T00:00:00"/>
    <s v="000-660/AIB RDC/2023"/>
    <n v="0"/>
    <s v="SOUSCRIPTION"/>
    <s v="12002-33002-0004-104-00021065-2023"/>
    <s v="Teichmann Group / T3 Projects"/>
    <s v="Construction"/>
    <s v="ANDY"/>
    <s v="Sabrina"/>
    <s v="COMP MOTOR"/>
    <s v="MOTOR COMP"/>
    <x v="0"/>
    <s v="SFA"/>
    <n v="0"/>
    <n v="15989.38"/>
    <n v="0"/>
    <n v="0"/>
    <n v="199.26"/>
    <n v="13287.03"/>
    <n v="2205.4299999999998"/>
    <e v="#DIV/0!"/>
    <n v="0.15"/>
    <n v="1993.0545"/>
    <n v="0"/>
    <n v="0"/>
    <n v="0"/>
    <n v="1993.0545"/>
    <n v="318.88871999999998"/>
    <n v="2311.9432200000001"/>
    <n v="39.861089999999997"/>
    <n v="0"/>
    <n v="39.861089999999997"/>
    <m/>
    <n v="1953.1934099999999"/>
    <s v="O'NEILS"/>
    <n v="0.5"/>
    <n v="976.59670499999993"/>
    <n v="976.59670499999993"/>
    <d v="2023-10-20T00:00:00"/>
    <n v="0"/>
    <m/>
    <n v="2311.9432200000001"/>
    <n v="2311.9432200000001"/>
    <n v="0"/>
    <s v="SFA"/>
    <d v="2023-08-25T00:00:00"/>
    <m/>
    <m/>
    <m/>
    <m/>
    <m/>
    <m/>
  </r>
  <r>
    <x v="7"/>
    <s v="Yes"/>
    <d v="2023-08-21T00:00:00"/>
    <d v="2023-07-07T00:00:00"/>
    <d v="2023-07-05T00:00:00"/>
    <d v="2024-07-04T00:00:00"/>
    <s v="000-661/AIB RDC/2023"/>
    <n v="0"/>
    <s v="SOUSCRIPTION"/>
    <s v="12002-33002-0002-112-00021123-2023"/>
    <s v="Teichmann Group / T3 Projects"/>
    <s v="Construction"/>
    <s v="ANDY"/>
    <s v="Sabrina"/>
    <s v="FIRE"/>
    <s v="PROPERTIES"/>
    <x v="0"/>
    <s v="SFA"/>
    <n v="0"/>
    <n v="2366.77"/>
    <n v="0"/>
    <n v="0"/>
    <n v="19.899999999999999"/>
    <n v="1980.41"/>
    <n v="326.45"/>
    <e v="#DIV/0!"/>
    <n v="0.1"/>
    <n v="198.04100000000003"/>
    <n v="0"/>
    <n v="0"/>
    <n v="0"/>
    <n v="198.04100000000003"/>
    <n v="31.686560000000004"/>
    <n v="229.72756000000004"/>
    <n v="3.9608200000000005"/>
    <n v="0"/>
    <n v="3.9608200000000005"/>
    <m/>
    <n v="194.08018000000001"/>
    <s v="O'NEILS"/>
    <n v="0.5"/>
    <n v="97.040090000000006"/>
    <n v="97.040090000000006"/>
    <d v="2023-10-20T00:00:00"/>
    <n v="0"/>
    <m/>
    <n v="229.72756000000004"/>
    <n v="229.72756000000004"/>
    <n v="0"/>
    <s v="SFA"/>
    <d v="2023-08-25T00:00:00"/>
    <m/>
    <m/>
    <m/>
    <m/>
    <m/>
    <m/>
  </r>
  <r>
    <x v="3"/>
    <s v="Yes"/>
    <d v="2023-08-21T00:00:00"/>
    <d v="2023-07-11T00:00:00"/>
    <d v="2023-06-21T00:00:00"/>
    <d v="2024-06-20T00:00:00"/>
    <s v="000-662/AIB RDC/2023"/>
    <n v="0"/>
    <s v="SOUSCRIPTION"/>
    <s v="12002-33002-0004-104-00021176-2023"/>
    <s v="Teichmann Group / T3 Drilling"/>
    <m/>
    <s v="ANDY"/>
    <s v="Sabrina"/>
    <s v="COMP MOTOR"/>
    <s v="MOTOR COMP"/>
    <x v="0"/>
    <s v="SFA"/>
    <n v="0"/>
    <n v="19202.259999999998"/>
    <n v="0"/>
    <n v="0"/>
    <n v="239.31"/>
    <n v="15958.5"/>
    <n v="2648.58"/>
    <e v="#DIV/0!"/>
    <n v="0.15"/>
    <n v="2393.7750000000001"/>
    <n v="0"/>
    <n v="0"/>
    <n v="0"/>
    <n v="2393.7750000000001"/>
    <n v="383.00400000000002"/>
    <n v="2776.779"/>
    <n v="47.875500000000002"/>
    <n v="0"/>
    <n v="47.875500000000002"/>
    <m/>
    <n v="2345.8995"/>
    <s v="O'NEILS"/>
    <n v="0.5"/>
    <n v="1172.94975"/>
    <n v="1172.94975"/>
    <d v="2023-10-20T00:00:00"/>
    <n v="0"/>
    <m/>
    <n v="2776.779"/>
    <n v="2776.779"/>
    <n v="0"/>
    <s v="SFA"/>
    <d v="2023-08-25T00:00:00"/>
    <m/>
    <m/>
    <m/>
    <m/>
    <m/>
    <m/>
  </r>
  <r>
    <x v="3"/>
    <s v="Yes"/>
    <d v="2023-08-22T00:00:00"/>
    <d v="2023-07-19T00:00:00"/>
    <d v="2023-06-16T00:00:00"/>
    <d v="2024-06-14T00:00:00"/>
    <s v="000-663/AIB RDC/2023"/>
    <n v="0"/>
    <s v="SOUSCRIPTION"/>
    <s v="12002-33002-0021-111-00021321-2023"/>
    <s v="ENGEN / Bolloré"/>
    <m/>
    <s v="SYNTYCHE"/>
    <s v="David"/>
    <s v="MARINE CARGO / GIT"/>
    <s v="MARINE"/>
    <x v="0"/>
    <s v="SFA"/>
    <n v="668.84"/>
    <n v="49.85"/>
    <n v="0"/>
    <n v="0"/>
    <n v="6.42"/>
    <n v="15"/>
    <n v="3.43"/>
    <n v="2.2426888343998565E-2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n v="0.88200000000000012"/>
    <m/>
    <n v="0"/>
    <m/>
    <n v="2.61"/>
    <n v="2.61"/>
    <n v="0"/>
    <s v="SFA"/>
    <d v="2023-08-25T00:00:00"/>
    <m/>
    <s v="ONCE OFF"/>
    <s v="MARINE CARGO / GIT"/>
    <m/>
    <m/>
    <m/>
  </r>
  <r>
    <x v="4"/>
    <s v="Yes"/>
    <d v="2023-08-22T00:00:00"/>
    <d v="2023-06-17T00:00:00"/>
    <d v="2023-05-18T00:00:00"/>
    <d v="2024-05-16T00:00:00"/>
    <s v="000-664/AIB RDC/2023"/>
    <n v="0"/>
    <s v="SOUSCRIPTION"/>
    <s v="12002-33002-0021-111-00020805-2023"/>
    <s v="PANACO / Bolloré"/>
    <m/>
    <s v="SYNTYCHE"/>
    <s v="Victor"/>
    <s v="MARINE CARGO / GIT"/>
    <s v="MARINE"/>
    <x v="0"/>
    <s v="SFA"/>
    <n v="78821.16"/>
    <n v="177.59"/>
    <n v="0"/>
    <n v="0"/>
    <n v="8.58"/>
    <n v="122.96"/>
    <n v="21.05"/>
    <n v="1.559987191256764E-3"/>
    <n v="0.15"/>
    <n v="18.443999999999999"/>
    <n v="0"/>
    <n v="0"/>
    <n v="0"/>
    <n v="18.443999999999999"/>
    <n v="2.9510399999999999"/>
    <n v="21.395039999999998"/>
    <n v="0.36887999999999999"/>
    <n v="0"/>
    <n v="0.36887999999999999"/>
    <m/>
    <n v="18.075119999999998"/>
    <s v="BOLLORE"/>
    <n v="0.4"/>
    <n v="7.230048"/>
    <n v="7.230048"/>
    <d v="2023-10-30T00:00:00"/>
    <n v="0"/>
    <m/>
    <n v="21.395039999999998"/>
    <n v="21.395039999999998"/>
    <n v="0"/>
    <s v="SFA"/>
    <d v="2023-08-25T00:00:00"/>
    <m/>
    <s v="ONCE OFF"/>
    <s v="MARINE CARGO / GIT"/>
    <m/>
    <m/>
    <m/>
  </r>
  <r>
    <x v="7"/>
    <s v="Yes"/>
    <d v="2023-08-22T00:00:00"/>
    <d v="2023-07-22T00:00:00"/>
    <d v="2023-07-22T00:00:00"/>
    <d v="2024-07-21T00:00:00"/>
    <s v="000-665/AIB RDC/2023"/>
    <n v="0"/>
    <s v="SOUSCRIPTION"/>
    <s v="12002-33002-0021-111-00021362-2023"/>
    <s v="Mandla Service SARL / Bolloré"/>
    <m/>
    <s v="SYNTYCHE"/>
    <s v="Victor"/>
    <s v="MARINE CARGO / GIT"/>
    <s v="MARINE"/>
    <x v="0"/>
    <s v="SFA"/>
    <n v="19484.79"/>
    <n v="54.23"/>
    <n v="0"/>
    <n v="0"/>
    <n v="6.49"/>
    <n v="18.71"/>
    <n v="4.03"/>
    <n v="9.6023616369486143E-4"/>
    <n v="0.15"/>
    <n v="2.8065000000000002"/>
    <n v="0"/>
    <n v="0"/>
    <n v="0"/>
    <n v="2.8065000000000002"/>
    <n v="0.44904000000000005"/>
    <n v="3.2555400000000003"/>
    <n v="5.6130000000000006E-2"/>
    <n v="0"/>
    <n v="5.6130000000000006E-2"/>
    <m/>
    <n v="2.7503700000000002"/>
    <s v="BOLLORE"/>
    <n v="0.4"/>
    <n v="1.1001480000000001"/>
    <n v="1.1001480000000001"/>
    <d v="2023-10-30T00:00:00"/>
    <n v="0"/>
    <m/>
    <n v="3.2555400000000003"/>
    <n v="3.2555400000000003"/>
    <n v="0"/>
    <s v="SFA"/>
    <d v="2023-08-25T00:00:00"/>
    <m/>
    <s v="ONCE OFF"/>
    <s v="MARINE CARGO / GIT"/>
    <m/>
    <m/>
    <m/>
  </r>
  <r>
    <x v="9"/>
    <s v="Yes"/>
    <d v="2023-08-22T00:00:00"/>
    <d v="2023-08-03T00:00:00"/>
    <d v="2023-08-03T00:00:00"/>
    <d v="2024-08-02T00:00:00"/>
    <s v="000-666/AIB RDC/2023"/>
    <n v="0"/>
    <s v="SOUSCRIPTION"/>
    <s v="12002-33002-0021-111-00021493-2023"/>
    <s v="WUHUANG CONSTRUCTION ET COMMERCE RDC SAS ( WHCC) / Bolloré"/>
    <m/>
    <s v="SYNTYCHE"/>
    <s v="David"/>
    <s v="MARINE CARGO / GIT"/>
    <s v="MARINE"/>
    <x v="0"/>
    <s v="SFA"/>
    <n v="51367.32"/>
    <n v="90.45"/>
    <n v="0"/>
    <n v="0"/>
    <n v="7.11"/>
    <n v="49.31"/>
    <n v="9.0299999999999994"/>
    <n v="9.5994885464143354E-4"/>
    <n v="0.15"/>
    <n v="7.3964999999999996"/>
    <n v="0"/>
    <n v="0"/>
    <n v="0"/>
    <n v="7.3964999999999996"/>
    <n v="1.18344"/>
    <n v="8.5799400000000006"/>
    <n v="0.14793000000000001"/>
    <n v="0"/>
    <n v="0.14793000000000001"/>
    <m/>
    <n v="7.24857"/>
    <s v="BOLLORE"/>
    <n v="0.4"/>
    <n v="2.8994280000000003"/>
    <n v="2.8994280000000003"/>
    <d v="2023-10-30T00:00:00"/>
    <n v="0"/>
    <m/>
    <n v="8.5799400000000006"/>
    <n v="8.5799400000000006"/>
    <n v="0"/>
    <s v="SFA"/>
    <d v="2023-08-25T00:00:00"/>
    <m/>
    <s v="ONCE OFF"/>
    <s v="MARINE CARGO / GIT"/>
    <m/>
    <m/>
    <m/>
  </r>
  <r>
    <x v="3"/>
    <s v="No"/>
    <d v="2023-08-22T00:00:00"/>
    <d v="2023-06-06T00:00:00"/>
    <d v="2023-06-06T00:00:00"/>
    <d v="2023-07-05T00:00:00"/>
    <s v="000-667/AIB RDC/2023"/>
    <n v="1"/>
    <s v="ANNULATION"/>
    <s v="33002-0014-111-00006118-2023"/>
    <s v="HELIOS INFRACO DRC SARL ( HT)"/>
    <m/>
    <s v="SYNTYCHE"/>
    <s v="Axel"/>
    <s v="MARINE CARGO / GIT"/>
    <s v="MARINE"/>
    <x v="1"/>
    <s v="ACTIVA"/>
    <n v="0"/>
    <m/>
    <n v="0"/>
    <n v="0"/>
    <m/>
    <n v="-321.33"/>
    <n v="0"/>
    <e v="#DIV/0!"/>
    <n v="0.15"/>
    <n v="-48.199499999999993"/>
    <n v="0"/>
    <n v="0"/>
    <n v="0"/>
    <n v="-48.199499999999993"/>
    <n v="-7.7119199999999992"/>
    <n v="-55.911419999999993"/>
    <n v="-0.9639899999999999"/>
    <n v="0"/>
    <n v="-0.9639899999999999"/>
    <m/>
    <n v="-47.235509999999991"/>
    <m/>
    <m/>
    <n v="0"/>
    <m/>
    <m/>
    <n v="0"/>
    <m/>
    <n v="-55.911419999999993"/>
    <n v="-55.911419999999993"/>
    <n v="0"/>
    <s v="ACTIVA"/>
    <d v="2023-09-01T00:00:00"/>
    <m/>
    <s v="ONCE OFF"/>
    <s v="MARINE CARGO / GIT"/>
    <m/>
    <m/>
    <m/>
  </r>
  <r>
    <x v="3"/>
    <s v="No"/>
    <d v="2023-08-22T00:00:00"/>
    <d v="2023-06-07T00:00:00"/>
    <d v="2023-06-08T00:00:00"/>
    <d v="2023-07-22T00:00:00"/>
    <s v="000-668/AIB RDC/2023"/>
    <n v="1"/>
    <s v="ANNULATION"/>
    <s v="33002-0014-111-00006854-2023"/>
    <s v="HELIOS INFRACO DRC SARL ( HT)"/>
    <m/>
    <s v="SYNTYCHE"/>
    <s v="Axel"/>
    <s v="MARINE CARGO / GIT"/>
    <s v="MARINE"/>
    <x v="1"/>
    <s v="ACTIVA"/>
    <n v="0"/>
    <m/>
    <n v="0"/>
    <n v="0"/>
    <m/>
    <n v="-471.17"/>
    <n v="0"/>
    <e v="#DIV/0!"/>
    <n v="0.15"/>
    <n v="-70.6755"/>
    <n v="0"/>
    <n v="0"/>
    <n v="0"/>
    <n v="-70.6755"/>
    <n v="-11.30808"/>
    <n v="-81.983580000000003"/>
    <n v="-1.41351"/>
    <n v="0"/>
    <n v="-1.41351"/>
    <m/>
    <n v="-69.261989999999997"/>
    <m/>
    <m/>
    <n v="0"/>
    <m/>
    <m/>
    <n v="0"/>
    <m/>
    <n v="-81.983580000000003"/>
    <n v="-81.983580000000003"/>
    <n v="0"/>
    <s v="ACTIVA"/>
    <d v="2023-09-01T00:00:00"/>
    <m/>
    <s v="ONCE OFF"/>
    <s v="MARINE CARGO / GIT"/>
    <m/>
    <m/>
    <m/>
  </r>
  <r>
    <x v="6"/>
    <s v="Yes"/>
    <d v="2023-08-28T00:00:00"/>
    <d v="2023-07-17T00:00:00"/>
    <d v="2023-04-01T00:00:00"/>
    <d v="2025-07-31T00:00:00"/>
    <s v="000-669/AIB RDC/2023"/>
    <n v="0"/>
    <s v="SOUSCRIPTION"/>
    <n v="51000012"/>
    <s v="IVANHOE / Kipushi Corporation"/>
    <s v="Mining"/>
    <s v="ANDY"/>
    <s v="Andy"/>
    <s v="TRC"/>
    <s v="CONSTRUCTIONS"/>
    <x v="6"/>
    <s v="RAWSUR"/>
    <n v="145325111.78"/>
    <n v="587395.74"/>
    <n v="32552.83"/>
    <n v="0"/>
    <n v="200"/>
    <n v="465040.36"/>
    <n v="79646.880000000005"/>
    <n v="3.2000000158541077E-3"/>
    <n v="4.5000008171333802E-2"/>
    <n v="20926.820000000014"/>
    <n v="9765.8490000000002"/>
    <n v="56125.559999999947"/>
    <n v="0"/>
    <n v="86818.228999999963"/>
    <n v="13890.916639999994"/>
    <n v="100709.14563999996"/>
    <n v="1736.3645799999993"/>
    <n v="0"/>
    <n v="1736.3645799999993"/>
    <m/>
    <n v="85081.864419999969"/>
    <m/>
    <m/>
    <n v="0"/>
    <m/>
    <m/>
    <n v="0"/>
    <m/>
    <n v="35603.33"/>
    <n v="100709.14563999996"/>
    <n v="65105.815639999957"/>
    <s v="RAWSUR"/>
    <d v="2023-09-05T00:00:00"/>
    <m/>
    <m/>
    <m/>
    <m/>
    <m/>
    <m/>
  </r>
  <r>
    <x v="7"/>
    <s v="Yes"/>
    <d v="2023-08-28T00:00:00"/>
    <d v="2023-07-28T00:00:00"/>
    <d v="2023-07-25T00:00:00"/>
    <d v="2024-07-24T00:00:00"/>
    <s v="000-670/AIB RDC/2023"/>
    <n v="0"/>
    <s v="SOUSCRIPTION"/>
    <n v="45000021"/>
    <s v="KAI PENG MINING / LIKASI MINE ( KPM)"/>
    <s v="Mining"/>
    <s v="ANDY"/>
    <s v="Andy"/>
    <s v="FIRE"/>
    <s v="PROPERTIES"/>
    <x v="6"/>
    <s v="RAWSUR"/>
    <n v="391000000"/>
    <n v="391760"/>
    <n v="49785"/>
    <n v="0"/>
    <n v="100"/>
    <n v="282115"/>
    <n v="53120"/>
    <n v="7.2152173913043473E-4"/>
    <n v="3.7499991138365558E-2"/>
    <n v="10579.31"/>
    <n v="14935.5"/>
    <n v="0"/>
    <n v="0"/>
    <n v="25514.809999999998"/>
    <n v="4082.3695999999995"/>
    <n v="29597.179599999996"/>
    <n v="510.29619999999994"/>
    <n v="0"/>
    <n v="510.29619999999994"/>
    <m/>
    <n v="25004.513799999997"/>
    <m/>
    <m/>
    <n v="0"/>
    <m/>
    <m/>
    <n v="0"/>
    <m/>
    <n v="29597.179599999996"/>
    <n v="29597.179599999996"/>
    <n v="0"/>
    <s v="RAWSUR"/>
    <d v="2023-09-05T00:00:00"/>
    <m/>
    <m/>
    <s v="FIRE"/>
    <m/>
    <m/>
    <m/>
  </r>
  <r>
    <x v="3"/>
    <s v="Yes"/>
    <d v="2023-08-28T00:00:00"/>
    <d v="2023-07-01T00:00:00"/>
    <d v="2023-06-01T00:00:00"/>
    <d v="2024-05-31T00:00:00"/>
    <s v="000-671/AIB RDC/2023"/>
    <n v="0"/>
    <s v="SOUSCRIPTION"/>
    <n v="60100007"/>
    <s v="International Facilities Services DRC ( IFS)"/>
    <m/>
    <s v="ALICE"/>
    <s v="Alice"/>
    <s v="GENERAL LIABILITY"/>
    <s v="LIABILITIES"/>
    <x v="6"/>
    <s v="RAWSUR"/>
    <n v="0"/>
    <n v="36134.97"/>
    <n v="0"/>
    <n v="0"/>
    <n v="100"/>
    <n v="30522.85"/>
    <n v="4899.66"/>
    <e v="#DIV/0!"/>
    <n v="4.4900000000000002E-2"/>
    <n v="1370.4759650000001"/>
    <n v="0"/>
    <n v="0"/>
    <n v="0"/>
    <n v="1370.4759650000001"/>
    <n v="219.27615440000002"/>
    <n v="1589.7521194000001"/>
    <n v="27.409519300000003"/>
    <n v="0"/>
    <n v="27.409519300000003"/>
    <m/>
    <n v="1343.0664457"/>
    <m/>
    <m/>
    <n v="0"/>
    <m/>
    <m/>
    <m/>
    <m/>
    <n v="1589.7521194000001"/>
    <n v="1589.7521194000001"/>
    <n v="0"/>
    <s v="RAWSUR"/>
    <d v="2023-09-05T00:00:00"/>
    <m/>
    <m/>
    <m/>
    <m/>
    <m/>
    <m/>
  </r>
  <r>
    <x v="7"/>
    <s v="Yes"/>
    <d v="2023-08-28T00:00:00"/>
    <d v="2023-07-15T00:00:00"/>
    <d v="2023-07-01T00:00:00"/>
    <d v="2024-06-30T00:00:00"/>
    <s v="000-672/AIB RDC/2023"/>
    <n v="2"/>
    <s v="RENOUVELLEMENT"/>
    <n v="60100011"/>
    <s v="Glencore / Kamoto Copper Company"/>
    <s v="Mining"/>
    <s v="ANDY"/>
    <s v="Andy"/>
    <s v="REFUELING LIABILITY"/>
    <s v="LIABILITIES"/>
    <x v="6"/>
    <s v="RAWSUR"/>
    <n v="0"/>
    <n v="67329.41"/>
    <n v="8558.82"/>
    <n v="-3814.98"/>
    <n v="0"/>
    <n v="48500"/>
    <n v="9129.41"/>
    <e v="#DIV/0!"/>
    <n v="0"/>
    <n v="0"/>
    <n v="1423.152"/>
    <n v="0"/>
    <n v="0"/>
    <n v="1423.152"/>
    <n v="227.70432000000002"/>
    <n v="1650.8563200000001"/>
    <n v="28.463040000000003"/>
    <n v="0"/>
    <n v="28.463040000000003"/>
    <m/>
    <n v="1394.68896"/>
    <m/>
    <m/>
    <n v="0"/>
    <m/>
    <m/>
    <n v="0"/>
    <m/>
    <n v="1650.8563200000001"/>
    <n v="1650.8563200000001"/>
    <n v="0"/>
    <s v="RAWSUR"/>
    <d v="2023-09-05T00:00:00"/>
    <m/>
    <m/>
    <m/>
    <m/>
    <m/>
    <m/>
  </r>
  <r>
    <x v="7"/>
    <s v="No"/>
    <d v="2023-08-29T00:00:00"/>
    <d v="2023-07-17T00:00:00"/>
    <d v="2023-07-06T00:00:00"/>
    <d v="2024-02-19T00:00:00"/>
    <s v="000-673/AIB RDC/2023"/>
    <n v="3"/>
    <s v="INCORPORATION"/>
    <s v="12005-33002-0008-13001-00000270-2022"/>
    <s v="CONGO ŒUFS"/>
    <m/>
    <s v="MICHEE"/>
    <s v="Tychique"/>
    <s v="PROPERTY DAMAGE &amp; BI"/>
    <s v="PROPERTIES"/>
    <x v="5"/>
    <s v="MAYFAIR"/>
    <n v="0"/>
    <m/>
    <n v="0"/>
    <n v="0"/>
    <m/>
    <n v="1090.03"/>
    <m/>
    <e v="#DIV/0!"/>
    <n v="0.15"/>
    <n v="163.50449999999998"/>
    <n v="0"/>
    <n v="0"/>
    <n v="0"/>
    <n v="163.50449999999998"/>
    <n v="26.160719999999998"/>
    <n v="189.66521999999998"/>
    <n v="3.2700899999999997"/>
    <n v="0"/>
    <n v="3.2700899999999997"/>
    <m/>
    <n v="160.23440999999997"/>
    <m/>
    <m/>
    <n v="0"/>
    <m/>
    <m/>
    <n v="0"/>
    <m/>
    <n v="189.66521999999998"/>
    <n v="189.66521999999998"/>
    <n v="0"/>
    <s v="MAYFAIR"/>
    <d v="2023-08-31T00:00:00"/>
    <m/>
    <m/>
    <m/>
    <m/>
    <m/>
    <m/>
  </r>
  <r>
    <x v="7"/>
    <s v="No"/>
    <d v="2023-08-29T00:00:00"/>
    <d v="2023-07-13T00:00:00"/>
    <d v="2023-07-13T00:00:00"/>
    <d v="2023-12-31T00:00:00"/>
    <s v="000-674/AIB RDC/2023"/>
    <n v="2"/>
    <s v="RISTOURNE"/>
    <s v="12005-33002-0014-13001-00004355-2022"/>
    <s v="Agence Française de Développement - AFD"/>
    <s v="NGO"/>
    <s v="ANDY"/>
    <s v="Sabrina"/>
    <s v="GENERAL LIABILITY"/>
    <s v="LIABILITIES"/>
    <x v="5"/>
    <s v="MAYFAIR"/>
    <n v="0"/>
    <m/>
    <n v="0"/>
    <n v="0"/>
    <m/>
    <n v="-265.75"/>
    <m/>
    <e v="#DIV/0!"/>
    <n v="0.1"/>
    <n v="-26.575000000000003"/>
    <n v="0"/>
    <n v="0"/>
    <n v="0"/>
    <n v="-26.575000000000003"/>
    <n v="-4.2520000000000007"/>
    <n v="-30.827000000000005"/>
    <n v="-0.53150000000000008"/>
    <n v="0"/>
    <n v="-0.53150000000000008"/>
    <m/>
    <n v="-26.043500000000002"/>
    <s v="OLEA"/>
    <m/>
    <n v="0"/>
    <m/>
    <m/>
    <n v="0"/>
    <m/>
    <n v="-30.827000000000005"/>
    <n v="-30.827000000000005"/>
    <n v="0"/>
    <s v="MAYFAIR"/>
    <d v="2023-08-31T00:00:00"/>
    <m/>
    <m/>
    <s v="GENERAL LIABILITY"/>
    <m/>
    <m/>
    <m/>
  </r>
  <r>
    <x v="7"/>
    <s v="Yes"/>
    <d v="2023-08-31T00:00:00"/>
    <d v="2023-08-20T00:00:00"/>
    <d v="2023-07-22T00:00:00"/>
    <d v="2024-07-20T00:00:00"/>
    <s v="000-675/AIB RDC/2023"/>
    <n v="1"/>
    <s v="RENOUVELLEMENT"/>
    <s v="12002-33002-0001-114-00021585-2023"/>
    <s v="Bolloré Transport &amp; logistics"/>
    <s v="Transport"/>
    <s v="SYNTYCHE"/>
    <s v="Grâce"/>
    <s v="MACHINARY BREAKDOWN"/>
    <s v="PROPERTIES"/>
    <x v="0"/>
    <s v="SFA"/>
    <n v="0"/>
    <n v="4673.16"/>
    <n v="0"/>
    <n v="0"/>
    <n v="108.59"/>
    <n v="3920"/>
    <n v="644.57000000000005"/>
    <e v="#DIV/0!"/>
    <n v="0.15"/>
    <n v="588"/>
    <n v="0"/>
    <n v="0"/>
    <n v="0"/>
    <n v="588"/>
    <n v="94.08"/>
    <n v="682.08"/>
    <n v="11.76"/>
    <n v="0"/>
    <n v="11.76"/>
    <m/>
    <n v="576.24"/>
    <m/>
    <m/>
    <n v="0"/>
    <m/>
    <m/>
    <n v="0"/>
    <m/>
    <n v="682.08"/>
    <n v="682.08"/>
    <n v="0"/>
    <s v="SFA"/>
    <d v="2023-09-28T00:00:00"/>
    <s v="ND0092/AIB RDC/2023"/>
    <m/>
    <m/>
    <m/>
    <m/>
    <m/>
  </r>
  <r>
    <x v="7"/>
    <s v="Yes"/>
    <d v="2023-08-02T00:00:00"/>
    <d v="2023-07-18T00:00:00"/>
    <d v="2023-07-18T00:00:00"/>
    <d v="2023-09-17T00:00:00"/>
    <s v="000-676/AIB RDC/2023"/>
    <n v="0"/>
    <s v="SOUSCRIPTION"/>
    <n v="70100045"/>
    <s v="WUHUANG CONSTRUCTION ET COMMERCE RDC SAS ( WHCC) / Bolloré"/>
    <m/>
    <s v="SYNTYCHE"/>
    <s v="David"/>
    <s v="MARINE CARGO / GIT"/>
    <s v="MARINE"/>
    <x v="6"/>
    <s v="RAWSUR"/>
    <n v="0"/>
    <n v="12482"/>
    <n v="0"/>
    <n v="0"/>
    <n v="703"/>
    <n v="9874.9699999999993"/>
    <n v="1692.47"/>
    <e v="#DIV/0!"/>
    <n v="0.15"/>
    <n v="1481.2454999999998"/>
    <n v="0"/>
    <n v="0"/>
    <n v="0"/>
    <n v="1481.2454999999998"/>
    <n v="236.99927999999997"/>
    <n v="1718.2447799999998"/>
    <n v="29.624909999999996"/>
    <n v="0"/>
    <n v="29.624909999999996"/>
    <m/>
    <n v="1451.6205899999998"/>
    <s v="BOLLORE"/>
    <n v="0.4"/>
    <n v="580.64823599999988"/>
    <n v="580.64823599999988"/>
    <d v="2023-10-30T00:00:00"/>
    <n v="0"/>
    <m/>
    <n v="1718.2447799999998"/>
    <n v="1718.2447799999998"/>
    <n v="0"/>
    <s v="RAWSUR"/>
    <d v="2023-09-05T00:00:00"/>
    <m/>
    <s v="ONCE OFF"/>
    <s v="MARINE CARGO / GIT"/>
    <m/>
    <m/>
    <m/>
  </r>
  <r>
    <x v="4"/>
    <s v="Yes"/>
    <d v="2023-08-02T00:00:00"/>
    <d v="2023-07-28T00:00:00"/>
    <d v="2023-07-18T00:00:00"/>
    <d v="2023-09-17T00:00:00"/>
    <s v="000-677/AIB RDC/2023"/>
    <n v="0"/>
    <s v="SOUSCRIPTION"/>
    <n v="70100047"/>
    <s v="WUHUANG CONSTRUCTION ET COMMERCE RDC SAS ( WHCC) / Bolloré"/>
    <m/>
    <s v="SYNTYCHE"/>
    <s v="David"/>
    <s v="MARINE CARGO / GIT"/>
    <s v="MARINE"/>
    <x v="6"/>
    <s v="RAWSUR"/>
    <n v="0"/>
    <n v="7256.79"/>
    <n v="0"/>
    <n v="0"/>
    <n v="333"/>
    <n v="5816.82"/>
    <n v="983.97"/>
    <e v="#DIV/0!"/>
    <n v="0.15"/>
    <n v="872.52299999999991"/>
    <n v="0"/>
    <n v="0"/>
    <n v="0"/>
    <n v="872.52299999999991"/>
    <n v="139.60368"/>
    <n v="1012.1266799999999"/>
    <n v="17.45046"/>
    <n v="0"/>
    <n v="17.45046"/>
    <m/>
    <n v="855.07253999999989"/>
    <s v="BOLLORE"/>
    <n v="0.4"/>
    <n v="342.02901599999996"/>
    <n v="342.02901599999996"/>
    <d v="2023-10-30T00:00:00"/>
    <n v="0"/>
    <m/>
    <n v="1012.1266799999999"/>
    <n v="1012.1266799999999"/>
    <n v="0"/>
    <s v="RAWSUR"/>
    <d v="2023-09-05T00:00:00"/>
    <m/>
    <s v="ONCE OFF"/>
    <s v="MARINE CARGO / GIT"/>
    <m/>
    <m/>
    <m/>
  </r>
  <r>
    <x v="9"/>
    <s v="Yes"/>
    <d v="2023-08-31T00:00:00"/>
    <d v="2023-08-17T00:00:00"/>
    <d v="2023-08-17T00:00:00"/>
    <d v="2024-08-16T00:00:00"/>
    <s v="000-678/AIB RDC/2023"/>
    <n v="2"/>
    <s v="RENOUVELLEMENT"/>
    <s v="12002-33002-0002-112-00021720-2023"/>
    <s v="Mme CONTI"/>
    <m/>
    <s v="SYNTYCHE"/>
    <s v="Grâce"/>
    <s v="FIRE"/>
    <s v="PROPERTIES"/>
    <x v="0"/>
    <s v="SFA"/>
    <n v="0"/>
    <n v="4307.38"/>
    <n v="0"/>
    <n v="0"/>
    <n v="100.71"/>
    <n v="3612.55"/>
    <n v="594.12"/>
    <e v="#DIV/0!"/>
    <n v="0.1"/>
    <n v="361.25500000000005"/>
    <n v="0"/>
    <n v="0"/>
    <n v="0"/>
    <n v="361.25500000000005"/>
    <n v="57.80080000000001"/>
    <n v="419.05580000000009"/>
    <n v="7.2251000000000012"/>
    <n v="0"/>
    <n v="7.2251000000000012"/>
    <m/>
    <n v="354.02990000000005"/>
    <m/>
    <m/>
    <n v="0"/>
    <m/>
    <m/>
    <n v="0"/>
    <m/>
    <n v="419.05580000000009"/>
    <n v="419.05580000000009"/>
    <n v="0"/>
    <s v="SFA"/>
    <d v="2023-09-28T00:00:00"/>
    <s v="ND0092/AIB RDC/2023"/>
    <m/>
    <m/>
    <m/>
    <m/>
    <m/>
  </r>
  <r>
    <x v="9"/>
    <s v="Yes"/>
    <d v="2023-08-31T00:00:00"/>
    <d v="2023-08-17T00:00:00"/>
    <d v="2023-08-22T00:00:00"/>
    <d v="2024-08-21T00:00:00"/>
    <s v="000-679/AIB RDC/2023"/>
    <n v="2"/>
    <s v="RENOUVELLEMENT"/>
    <s v="12002-33002-0002-112-00021725-2023"/>
    <s v="TRANS AIR CARGO"/>
    <m/>
    <s v="SYNTYCHE"/>
    <s v="Grâce"/>
    <s v="FIRE"/>
    <s v="PROPERTIES"/>
    <x v="0"/>
    <s v="SFA"/>
    <n v="0"/>
    <n v="6876.22"/>
    <n v="0"/>
    <n v="0"/>
    <n v="139.37"/>
    <n v="5788.41"/>
    <n v="948.44"/>
    <e v="#DIV/0!"/>
    <n v="0.1"/>
    <n v="578.84100000000001"/>
    <n v="0"/>
    <n v="0"/>
    <n v="0"/>
    <n v="578.84100000000001"/>
    <n v="92.614559999999997"/>
    <n v="671.45555999999999"/>
    <n v="11.57682"/>
    <n v="0"/>
    <n v="11.57682"/>
    <m/>
    <n v="567.26418000000001"/>
    <m/>
    <m/>
    <n v="0"/>
    <m/>
    <m/>
    <n v="0"/>
    <m/>
    <n v="671.45555999999999"/>
    <n v="671.45555999999999"/>
    <n v="0"/>
    <s v="SFA"/>
    <d v="2023-09-28T00:00:00"/>
    <s v="ND0092/AIB RDC/2023"/>
    <m/>
    <m/>
    <m/>
    <m/>
    <m/>
  </r>
  <r>
    <x v="9"/>
    <s v="Yes"/>
    <d v="2023-08-31T00:00:00"/>
    <d v="2023-08-28T00:00:00"/>
    <d v="2023-08-08T00:00:00"/>
    <d v="2024-08-06T00:00:00"/>
    <s v="000-680/AIB RDC/2023"/>
    <n v="0"/>
    <s v="SOUSCRIPTION"/>
    <s v="12002-33002-0021-111-00021869-2023"/>
    <s v="WUHUANG CONSTRUCTION ET COMMERCE RDC SAS ( WHCC) / Bolloré"/>
    <m/>
    <s v="SYNTYCHE"/>
    <s v="David"/>
    <s v="MARINE CARGO / GIT"/>
    <s v="MARINE"/>
    <x v="0"/>
    <s v="SFA"/>
    <n v="0"/>
    <n v="2502.02"/>
    <n v="0"/>
    <n v="0"/>
    <n v="42.8"/>
    <n v="1833.94"/>
    <n v="300.27999999999997"/>
    <e v="#DIV/0!"/>
    <n v="0.15"/>
    <n v="275.09100000000001"/>
    <n v="0"/>
    <n v="0"/>
    <n v="0"/>
    <n v="275.09100000000001"/>
    <n v="44.014560000000003"/>
    <n v="319.10556000000003"/>
    <n v="5.5018200000000004"/>
    <n v="0"/>
    <n v="5.5018200000000004"/>
    <m/>
    <n v="269.58918"/>
    <s v="BOLLORE"/>
    <n v="0.4"/>
    <n v="107.835672"/>
    <n v="107.835672"/>
    <d v="2023-10-30T00:00:00"/>
    <n v="0"/>
    <m/>
    <n v="319.10556000000003"/>
    <n v="319.10556000000003"/>
    <n v="0"/>
    <s v="SFA"/>
    <d v="2023-09-28T00:00:00"/>
    <s v="ND0092/AIB RDC/2023"/>
    <s v="ONCE OFF"/>
    <s v="MARINE CARGO / GIT"/>
    <m/>
    <m/>
    <m/>
  </r>
  <r>
    <x v="9"/>
    <s v="Yes"/>
    <d v="2023-09-04T00:00:00"/>
    <d v="2023-08-28T00:00:00"/>
    <d v="2023-08-28T00:00:00"/>
    <d v="2023-10-11T00:00:00"/>
    <s v="000-681/AIB RDC/2023"/>
    <n v="0"/>
    <s v="SOUSCRIPTION"/>
    <s v="12002-33002-0014-111-00011333-2023"/>
    <s v="HELIOS INFRACO DRC SARL ( HT)"/>
    <m/>
    <s v="SYNTYCHE"/>
    <s v="Axel"/>
    <s v="MARINE CARGO / GIT"/>
    <s v="MARINE"/>
    <x v="1"/>
    <s v="ACTIVA"/>
    <n v="132009.32"/>
    <n v="446.99"/>
    <n v="0"/>
    <n v="0"/>
    <n v="10"/>
    <n v="353.78"/>
    <n v="58.21"/>
    <n v="2.679962293571393E-3"/>
    <n v="0.15"/>
    <n v="53.066999999999993"/>
    <n v="0"/>
    <n v="0"/>
    <n v="0"/>
    <n v="53.066999999999993"/>
    <n v="8.4907199999999996"/>
    <n v="61.557719999999989"/>
    <n v="1.06134"/>
    <n v="0"/>
    <n v="1.06134"/>
    <m/>
    <n v="52.005659999999992"/>
    <m/>
    <m/>
    <n v="0"/>
    <m/>
    <m/>
    <n v="0"/>
    <m/>
    <n v="61.557719999999989"/>
    <n v="61.557719999999989"/>
    <n v="0"/>
    <s v="ACTIVA"/>
    <d v="2023-10-23T00:00:00"/>
    <m/>
    <m/>
    <m/>
    <m/>
    <m/>
    <m/>
  </r>
  <r>
    <x v="9"/>
    <s v="Yes"/>
    <d v="2023-09-04T00:00:00"/>
    <d v="2023-08-15T00:00:00"/>
    <d v="2023-08-15T00:00:00"/>
    <d v="2023-09-28T00:00:00"/>
    <s v="000-682/AIB RDC/2023"/>
    <n v="0"/>
    <s v="SOUSCRIPTION"/>
    <s v="12001-33002-0014-111-00011062-2023"/>
    <s v="MAKEDA GREEN COFFEE-GIOVANNI MARCHETTI"/>
    <m/>
    <s v="SYNTYCHE"/>
    <s v="Axel"/>
    <s v="MARINE CARGO / GIT"/>
    <s v="MARINE"/>
    <x v="1"/>
    <s v="ACTIVA"/>
    <n v="47100"/>
    <n v="109.94"/>
    <n v="0"/>
    <n v="0"/>
    <n v="10"/>
    <n v="84.79"/>
    <n v="15.16"/>
    <n v="1.8002123142250531E-3"/>
    <n v="0.15"/>
    <n v="12.718500000000001"/>
    <n v="0"/>
    <n v="0"/>
    <n v="0"/>
    <n v="12.718500000000001"/>
    <n v="2.0349600000000003"/>
    <n v="14.75346"/>
    <n v="0.25437000000000004"/>
    <n v="0"/>
    <n v="0.25437000000000004"/>
    <m/>
    <n v="12.464130000000001"/>
    <m/>
    <m/>
    <n v="0"/>
    <m/>
    <m/>
    <n v="0"/>
    <m/>
    <n v="14.75346"/>
    <n v="14.75346"/>
    <n v="0"/>
    <s v="ACTIVA"/>
    <d v="2023-10-23T00:00:00"/>
    <m/>
    <m/>
    <m/>
    <m/>
    <m/>
    <m/>
  </r>
  <r>
    <x v="7"/>
    <s v="No"/>
    <d v="2023-07-14T00:00:00"/>
    <m/>
    <d v="2023-07-15T00:00:00"/>
    <d v="2024-07-14T00:00:00"/>
    <s v="000-683/AIB RDC/2023"/>
    <n v="2"/>
    <s v="RENOUVELLEMENT"/>
    <s v="12005-12003-0022-13001-00003068-2022"/>
    <s v="SOCOMETAL SARL"/>
    <m/>
    <s v="MICHEE"/>
    <s v="Tychique"/>
    <s v="PVT"/>
    <s v="POLITICAL VIOLENCE"/>
    <x v="5"/>
    <s v="MAYFAIR"/>
    <n v="0"/>
    <n v="23229.15"/>
    <n v="0"/>
    <n v="0"/>
    <n v="50"/>
    <n v="19635.78"/>
    <n v="3149.72"/>
    <e v="#DIV/0!"/>
    <n v="0.15"/>
    <n v="2945.3669999999997"/>
    <n v="0"/>
    <n v="0"/>
    <n v="0"/>
    <n v="2945.3669999999997"/>
    <n v="471.25871999999998"/>
    <n v="3416.6257199999995"/>
    <n v="58.907339999999998"/>
    <n v="0"/>
    <n v="58.907339999999998"/>
    <m/>
    <n v="2886.4596599999995"/>
    <m/>
    <m/>
    <n v="0"/>
    <m/>
    <m/>
    <n v="0"/>
    <m/>
    <m/>
    <n v="3416.6257199999995"/>
    <n v="3416.6257199999995"/>
    <s v="MAYFAIR"/>
    <m/>
    <m/>
    <m/>
    <m/>
    <m/>
    <m/>
    <m/>
  </r>
  <r>
    <x v="9"/>
    <s v="Yes"/>
    <d v="2023-08-01T00:00:00"/>
    <d v="2023-10-20T00:00:00"/>
    <d v="2023-10-20T00:00:00"/>
    <d v="2024-10-18T00:00:00"/>
    <s v="000-684/AIB RDC/2023"/>
    <n v="0"/>
    <s v="SOUSCRIPTION"/>
    <s v="12002-33002-0023-113-00024588-2023"/>
    <s v="STE. AFRISEC MANAGEMENT CONGO"/>
    <m/>
    <s v="MICHEE"/>
    <s v="Tychique"/>
    <s v="PI"/>
    <s v="LIABILITIES"/>
    <x v="0"/>
    <s v="SFA"/>
    <n v="1000000"/>
    <n v="11164.88"/>
    <n v="1411.76"/>
    <n v="0"/>
    <n v="50"/>
    <n v="8000"/>
    <n v="1513.88"/>
    <n v="8.0000000000000002E-3"/>
    <n v="0.1"/>
    <n v="800"/>
    <n v="0"/>
    <n v="0"/>
    <n v="0"/>
    <n v="800"/>
    <n v="128"/>
    <n v="928"/>
    <n v="16"/>
    <n v="0"/>
    <n v="16"/>
    <m/>
    <n v="784"/>
    <m/>
    <m/>
    <n v="0"/>
    <m/>
    <m/>
    <n v="0"/>
    <m/>
    <n v="231.99"/>
    <n v="928"/>
    <n v="696.01"/>
    <s v="SFA"/>
    <d v="2023-11-07T00:00:00"/>
    <m/>
    <m/>
    <m/>
    <m/>
    <m/>
    <m/>
  </r>
  <r>
    <x v="9"/>
    <s v="Yes"/>
    <d v="2023-08-02T00:00:00"/>
    <d v="2023-08-25T00:00:00"/>
    <d v="2023-08-22T00:00:00"/>
    <d v="2024-02-20T00:00:00"/>
    <s v="000-685/AIB RDC/2023"/>
    <n v="6"/>
    <s v="INCORPORATION"/>
    <s v="12001-33002-001-103-00000349-2020"/>
    <s v="BGFI BANK RDC"/>
    <s v="BANKING"/>
    <s v="MICHEE"/>
    <s v="Tychique"/>
    <s v="COMP MOTOR"/>
    <s v="MOTOR COMP"/>
    <x v="1"/>
    <s v="ACTIVA"/>
    <n v="44000"/>
    <n v="927.36"/>
    <n v="0"/>
    <n v="0"/>
    <n v="10"/>
    <n v="789.45"/>
    <n v="127.91"/>
    <n v="1.7942045454545457E-2"/>
    <n v="0.14474634239027201"/>
    <n v="114.27000000000024"/>
    <n v="0"/>
    <n v="0"/>
    <n v="0"/>
    <n v="114.27000000000024"/>
    <n v="18.28320000000004"/>
    <n v="132.55320000000029"/>
    <n v="2.285400000000005"/>
    <n v="0"/>
    <n v="2.285400000000005"/>
    <m/>
    <n v="111.98460000000023"/>
    <m/>
    <m/>
    <n v="0"/>
    <m/>
    <m/>
    <n v="0"/>
    <m/>
    <n v="132.55320000000029"/>
    <n v="132.55320000000029"/>
    <n v="0"/>
    <s v="ACTIVA"/>
    <d v="2023-10-23T00:00:00"/>
    <m/>
    <m/>
    <m/>
    <m/>
    <m/>
    <m/>
  </r>
  <r>
    <x v="7"/>
    <s v="No"/>
    <d v="2023-08-03T00:00:00"/>
    <d v="2023-08-25T00:00:00"/>
    <d v="2023-07-21T00:00:00"/>
    <d v="2023-12-31T00:00:00"/>
    <s v="000-686/AIB RDC/2023"/>
    <n v="1"/>
    <s v="INCORPORATION"/>
    <s v="12001-33002-9005-015-00001878-2022"/>
    <s v="FERONIA - PLANTATIONS ET HUILERIES DU CONGO ( PHC)"/>
    <m/>
    <s v="MICHEE"/>
    <s v="Tychique"/>
    <s v="MOTOR TPL - BOAT"/>
    <s v="MOTOR TPL"/>
    <x v="1"/>
    <s v="ACTIVA"/>
    <n v="0"/>
    <n v="1899.79"/>
    <n v="0"/>
    <n v="0"/>
    <n v="18.809999999999999"/>
    <n v="1880.96"/>
    <n v="0"/>
    <e v="#DIV/0!"/>
    <n v="0.1"/>
    <n v="188.096"/>
    <n v="0"/>
    <n v="0"/>
    <n v="0"/>
    <n v="188.096"/>
    <n v="30.095359999999999"/>
    <n v="218.19136"/>
    <n v="3.7619199999999999"/>
    <n v="0"/>
    <n v="3.7619199999999999"/>
    <m/>
    <n v="184.33408"/>
    <m/>
    <m/>
    <n v="0"/>
    <m/>
    <m/>
    <n v="0"/>
    <m/>
    <m/>
    <n v="218.19136"/>
    <n v="218.19136"/>
    <s v="ACTIVA"/>
    <m/>
    <m/>
    <m/>
    <m/>
    <m/>
    <m/>
    <m/>
  </r>
  <r>
    <x v="9"/>
    <s v="Yes"/>
    <d v="2023-08-03T00:00:00"/>
    <d v="2023-08-03T00:00:00"/>
    <d v="2023-08-03T00:00:00"/>
    <d v="2023-10-17T00:00:00"/>
    <s v="000-687/AIB RDC/2023"/>
    <n v="11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332.82"/>
    <n v="0"/>
    <n v="0"/>
    <n v="21.32"/>
    <n v="265.58999999999997"/>
    <n v="45.91"/>
    <e v="#DIV/0!"/>
    <n v="0.1"/>
    <n v="26.558999999999997"/>
    <n v="0"/>
    <n v="0"/>
    <n v="0"/>
    <n v="26.558999999999997"/>
    <n v="4.2494399999999999"/>
    <n v="30.808439999999997"/>
    <n v="0.53117999999999999"/>
    <n v="0"/>
    <n v="0.53117999999999999"/>
    <m/>
    <n v="26.027819999999998"/>
    <m/>
    <m/>
    <n v="0"/>
    <m/>
    <m/>
    <n v="0"/>
    <m/>
    <n v="30.808439999999997"/>
    <n v="30.808439999999997"/>
    <n v="0"/>
    <s v="SFA"/>
    <d v="2023-09-28T00:00:00"/>
    <s v="ND0092/AIB RDC/2023"/>
    <m/>
    <m/>
    <m/>
    <m/>
    <m/>
  </r>
  <r>
    <x v="9"/>
    <s v="Yes"/>
    <d v="2023-08-07T00:00:00"/>
    <d v="2023-08-07T00:00:00"/>
    <d v="2023-08-07T00:00:00"/>
    <d v="2024-08-06T00:00:00"/>
    <s v="000-688/AIB RDC/2023"/>
    <n v="0"/>
    <s v="SOUSCRIPTION"/>
    <s v="12002-33002-0021-111-00021532-2023"/>
    <s v="STE. FONDEG CATERING CONGO"/>
    <m/>
    <s v="MICHEE"/>
    <s v="Tychique"/>
    <s v="MARINE CARGO / GIT"/>
    <s v="MARINE"/>
    <x v="0"/>
    <s v="SFA"/>
    <n v="18411"/>
    <n v="50.67"/>
    <n v="0"/>
    <n v="0"/>
    <n v="6.43"/>
    <n v="15.7"/>
    <n v="3.54"/>
    <n v="8.5275107272826027E-4"/>
    <n v="0.15"/>
    <n v="2.355"/>
    <n v="0"/>
    <n v="0"/>
    <n v="0"/>
    <n v="2.355"/>
    <n v="0.37680000000000002"/>
    <n v="2.7317999999999998"/>
    <n v="4.7100000000000003E-2"/>
    <n v="0"/>
    <n v="4.7100000000000003E-2"/>
    <m/>
    <n v="2.3079000000000001"/>
    <m/>
    <m/>
    <n v="0"/>
    <m/>
    <m/>
    <n v="0"/>
    <m/>
    <n v="2.7317999999999998"/>
    <n v="2.7317999999999998"/>
    <n v="0"/>
    <s v="SFA"/>
    <d v="2023-09-28T00:00:00"/>
    <s v="ND0092/AIB RDC/2023"/>
    <m/>
    <m/>
    <m/>
    <m/>
    <m/>
  </r>
  <r>
    <x v="9"/>
    <s v="Yes"/>
    <d v="2023-08-09T00:00:00"/>
    <d v="2023-08-12T00:00:00"/>
    <d v="2023-08-12T00:00:00"/>
    <d v="2024-08-11T00:00:00"/>
    <s v="000-689/AIB RDC/2023"/>
    <n v="0"/>
    <s v="SOUSCRIPTION"/>
    <s v="12005-33002-003-13001-00006727-2023"/>
    <s v="FABRI METAL CONGO SARL ( FAMECO)"/>
    <m/>
    <s v="MICHEE"/>
    <s v="Tychique"/>
    <s v="COMP MOTOR"/>
    <s v="MOTOR COMP"/>
    <x v="5"/>
    <s v="MAYFAIR"/>
    <n v="105000"/>
    <n v="15178.14"/>
    <n v="0"/>
    <n v="0"/>
    <n v="220.26"/>
    <n v="12642.83"/>
    <n v="2058.0500000000002"/>
    <n v="0.12040790476190476"/>
    <n v="0.125"/>
    <n v="1580.35375"/>
    <n v="0"/>
    <n v="0"/>
    <n v="0"/>
    <n v="1580.35375"/>
    <n v="252.85660000000001"/>
    <n v="1833.2103500000001"/>
    <n v="31.607075000000002"/>
    <n v="0"/>
    <n v="31.607075000000002"/>
    <m/>
    <n v="1548.7466750000001"/>
    <m/>
    <m/>
    <n v="0"/>
    <m/>
    <m/>
    <n v="0"/>
    <m/>
    <n v="1833.2103500000001"/>
    <n v="1833.2103500000001"/>
    <n v="0"/>
    <s v="MAYFAIR"/>
    <d v="2023-10-04T00:00:00"/>
    <m/>
    <m/>
    <m/>
    <m/>
    <m/>
    <m/>
  </r>
  <r>
    <x v="9"/>
    <s v="Yes"/>
    <d v="2023-08-09T00:00:00"/>
    <d v="2023-08-09T00:00:00"/>
    <d v="2023-08-08T00:00:00"/>
    <d v="2023-10-17T00:00:00"/>
    <s v="000-690/AIB RDC/2023"/>
    <n v="12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505.01"/>
    <n v="0"/>
    <n v="0"/>
    <n v="22.53"/>
    <n v="412.83"/>
    <n v="69.650000000000006"/>
    <e v="#DIV/0!"/>
    <n v="0.1"/>
    <n v="41.283000000000001"/>
    <n v="0"/>
    <n v="0"/>
    <n v="0"/>
    <n v="41.283000000000001"/>
    <n v="6.6052800000000005"/>
    <n v="47.888280000000002"/>
    <n v="0.82566000000000006"/>
    <n v="0"/>
    <n v="0.82566000000000006"/>
    <m/>
    <n v="40.457340000000002"/>
    <m/>
    <m/>
    <n v="0"/>
    <m/>
    <m/>
    <n v="0"/>
    <m/>
    <n v="47.888280000000002"/>
    <n v="47.888280000000002"/>
    <n v="0"/>
    <s v="SFA"/>
    <d v="2023-09-28T00:00:00"/>
    <s v="ND0092/AIB RDC/2023"/>
    <m/>
    <m/>
    <m/>
    <m/>
    <m/>
  </r>
  <r>
    <x v="9"/>
    <s v="Yes"/>
    <d v="2023-08-18T00:00:00"/>
    <d v="2023-08-18T00:00:00"/>
    <d v="2023-08-17T00:00:00"/>
    <d v="2024-05-04T00:00:00"/>
    <s v="000-691/AIB RDC/2023"/>
    <n v="2"/>
    <s v="INCORPORATION"/>
    <s v="12001-33002-0001-103-00005217-2023"/>
    <s v="AMBASSADE DE LA BELGIQUE / GUILLAUME"/>
    <m/>
    <s v="MICHEE"/>
    <s v="Tychique"/>
    <s v="MOTOR TPL"/>
    <s v="MOTOR TPL"/>
    <x v="1"/>
    <s v="ACTIVA"/>
    <n v="0"/>
    <n v="196.71"/>
    <n v="0"/>
    <n v="0"/>
    <n v="10"/>
    <n v="186.71"/>
    <n v="0"/>
    <e v="#DIV/0!"/>
    <n v="0.115151839751486"/>
    <n v="21.499999999999954"/>
    <n v="0"/>
    <n v="0"/>
    <n v="0"/>
    <n v="21.499999999999954"/>
    <n v="3.4399999999999928"/>
    <n v="24.939999999999948"/>
    <n v="0.42999999999999911"/>
    <n v="0"/>
    <n v="0.42999999999999911"/>
    <m/>
    <n v="21.069999999999954"/>
    <m/>
    <m/>
    <n v="0"/>
    <m/>
    <m/>
    <n v="0"/>
    <m/>
    <n v="24.939999999999948"/>
    <n v="24.939999999999948"/>
    <n v="0"/>
    <s v="ACTIVA"/>
    <d v="2023-10-23T00:00:00"/>
    <m/>
    <m/>
    <m/>
    <m/>
    <m/>
    <m/>
  </r>
  <r>
    <x v="9"/>
    <s v="Yes"/>
    <d v="2023-08-18T00:00:00"/>
    <d v="2023-10-20T00:00:00"/>
    <d v="2023-10-16T00:00:00"/>
    <d v="2024-10-15T00:00:00"/>
    <s v="000-692/AIB RDC/2023"/>
    <n v="0"/>
    <s v="SOUSCRIPTION"/>
    <s v="301 - 59000005"/>
    <s v="RUASHI MINING MUSONOI"/>
    <m/>
    <s v="MICHEE"/>
    <s v="Tychique"/>
    <s v="PVT"/>
    <s v="POLITICAL VIOLENCE"/>
    <x v="6"/>
    <s v="RAWSUR"/>
    <n v="110266609"/>
    <n v="282000"/>
    <n v="0"/>
    <n v="0"/>
    <n v="100"/>
    <n v="238883.05"/>
    <n v="38237.29"/>
    <n v="2.1664133155668186E-3"/>
    <n v="0.15"/>
    <n v="35832.457499999997"/>
    <n v="0"/>
    <n v="0"/>
    <n v="0"/>
    <n v="35832.457499999997"/>
    <n v="5733.1931999999997"/>
    <n v="41565.650699999998"/>
    <n v="716.64914999999996"/>
    <n v="0"/>
    <n v="716.64914999999996"/>
    <m/>
    <n v="35115.808349999999"/>
    <m/>
    <m/>
    <n v="0"/>
    <m/>
    <m/>
    <n v="0"/>
    <m/>
    <n v="41565.650699999998"/>
    <n v="41565.650699999998"/>
    <n v="0"/>
    <s v="RAWSUR"/>
    <d v="2023-10-31T00:00:00"/>
    <m/>
    <m/>
    <s v="PVT"/>
    <m/>
    <m/>
    <m/>
  </r>
  <r>
    <x v="8"/>
    <s v="Yes"/>
    <d v="2023-08-18T00:00:00"/>
    <d v="2023-09-25T00:00:00"/>
    <d v="2023-09-05T00:00:00"/>
    <d v="2024-09-03T00:00:00"/>
    <s v="000-693/AIB RDC/2023"/>
    <n v="0"/>
    <s v="SOUSCRIPTION"/>
    <s v="12002-33002-0023-113-00023272-2023"/>
    <s v="RIDER LEVETT BUCKNALL DRC SARL"/>
    <m/>
    <s v="MICHEE"/>
    <s v="Tychique"/>
    <s v="PI"/>
    <s v="LIABILITIES"/>
    <x v="0"/>
    <s v="SFA"/>
    <n v="2000000"/>
    <n v="6859.86"/>
    <n v="467.13"/>
    <n v="0"/>
    <n v="152.41999999999999"/>
    <n v="5294.12"/>
    <n v="946.12"/>
    <n v="2.6470600000000001E-3"/>
    <n v="0.1"/>
    <n v="529.41200000000003"/>
    <n v="0"/>
    <n v="0"/>
    <n v="0"/>
    <n v="529.41200000000003"/>
    <n v="84.705920000000006"/>
    <n v="614.11792000000003"/>
    <n v="10.588240000000001"/>
    <n v="0"/>
    <n v="10.588240000000001"/>
    <m/>
    <n v="518.82375999999999"/>
    <m/>
    <m/>
    <n v="0"/>
    <m/>
    <m/>
    <n v="0"/>
    <m/>
    <n v="614.11792000000003"/>
    <n v="614.11792000000003"/>
    <n v="0"/>
    <s v="SFA"/>
    <d v="2023-10-17T00:00:00"/>
    <m/>
    <m/>
    <m/>
    <m/>
    <m/>
    <m/>
  </r>
  <r>
    <x v="9"/>
    <s v="Yes"/>
    <d v="2023-08-21T00:00:00"/>
    <d v="2023-08-22T00:00:00"/>
    <d v="2023-08-21T00:00:00"/>
    <d v="2024-06-11T00:00:00"/>
    <s v="000-694/AIB RDC/2023"/>
    <n v="4"/>
    <s v="INCORPORATION"/>
    <s v="12005-33002-0003-13002-00006088-2023/5/0700/1326/2024"/>
    <s v="GOLDEN AFRICAN RESSOURCES  SARL"/>
    <m/>
    <s v="MICHEE"/>
    <s v="Tychique"/>
    <s v="MOTOR TPL"/>
    <s v="MOTOR TPL"/>
    <x v="5"/>
    <s v="MAYFAIR"/>
    <n v="0"/>
    <n v="689.14"/>
    <n v="0"/>
    <n v="0"/>
    <n v="30"/>
    <n v="554.02"/>
    <n v="93.44"/>
    <e v="#DIV/0!"/>
    <n v="0.1"/>
    <n v="55.402000000000001"/>
    <n v="0"/>
    <n v="0"/>
    <n v="0"/>
    <n v="55.402000000000001"/>
    <n v="8.8643200000000011"/>
    <n v="64.266320000000007"/>
    <n v="1.1080400000000001"/>
    <n v="0"/>
    <n v="1.1080400000000001"/>
    <m/>
    <n v="54.293959999999998"/>
    <m/>
    <m/>
    <n v="0"/>
    <m/>
    <m/>
    <n v="0"/>
    <m/>
    <m/>
    <n v="64.266320000000007"/>
    <n v="64.266320000000007"/>
    <s v="MAYFAIR"/>
    <m/>
    <m/>
    <m/>
    <m/>
    <m/>
    <m/>
    <m/>
  </r>
  <r>
    <x v="9"/>
    <s v="Yes"/>
    <d v="2023-08-21T00:00:00"/>
    <d v="2023-08-21T00:00:00"/>
    <d v="2023-08-16T00:00:00"/>
    <d v="2023-10-17T00:00:00"/>
    <s v="000-695/AIB RDC/2023"/>
    <n v="13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342.61"/>
    <n v="0"/>
    <n v="0"/>
    <n v="16.14"/>
    <n v="285.25"/>
    <n v="48.22"/>
    <e v="#DIV/0!"/>
    <n v="0.1"/>
    <n v="28.525000000000002"/>
    <n v="0"/>
    <n v="0"/>
    <n v="0"/>
    <n v="28.525000000000002"/>
    <n v="4.5640000000000001"/>
    <n v="33.088999999999999"/>
    <n v="0.57050000000000001"/>
    <n v="0"/>
    <n v="0.57050000000000001"/>
    <m/>
    <n v="27.954500000000003"/>
    <m/>
    <m/>
    <n v="0"/>
    <m/>
    <m/>
    <n v="0"/>
    <m/>
    <n v="33.088999999999999"/>
    <n v="33.088999999999999"/>
    <n v="0"/>
    <s v="SFA"/>
    <d v="2023-09-28T00:00:00"/>
    <s v="ND0092/AIB RDC/2023"/>
    <m/>
    <m/>
    <m/>
    <m/>
    <m/>
  </r>
  <r>
    <x v="8"/>
    <s v="Yes"/>
    <d v="2023-08-22T00:00:00"/>
    <d v="2023-08-22T00:00:00"/>
    <d v="2023-09-09T00:00:00"/>
    <d v="2023-09-08T00:00:00"/>
    <s v="000-696/AIB RDC/2023"/>
    <n v="0"/>
    <s v="SOUSCRIPTION"/>
    <s v="12002-33002-0004-104-00021776-2023"/>
    <s v="STE. AFRISEC MANAGEMENT CONGO"/>
    <m/>
    <s v="MICHEE"/>
    <s v="Tychique"/>
    <s v="MOTOR TPL"/>
    <s v="MOTOR TPL"/>
    <x v="0"/>
    <s v="SFA"/>
    <n v="0"/>
    <n v="871.69"/>
    <n v="0"/>
    <n v="0"/>
    <n v="29.46"/>
    <n v="722"/>
    <n v="120.23"/>
    <e v="#DIV/0!"/>
    <n v="0.1"/>
    <n v="72.2"/>
    <n v="0"/>
    <n v="0"/>
    <n v="0"/>
    <n v="72.2"/>
    <n v="11.552000000000001"/>
    <n v="83.75200000000001"/>
    <n v="1.4440000000000002"/>
    <n v="0"/>
    <n v="1.4440000000000002"/>
    <m/>
    <n v="70.756"/>
    <m/>
    <m/>
    <n v="0"/>
    <m/>
    <m/>
    <n v="0"/>
    <m/>
    <n v="83.75200000000001"/>
    <n v="83.75200000000001"/>
    <n v="0"/>
    <s v="SFA"/>
    <d v="2023-09-28T00:00:00"/>
    <s v="ND0092/AIB RDC/2023"/>
    <m/>
    <m/>
    <m/>
    <m/>
    <m/>
  </r>
  <r>
    <x v="9"/>
    <s v="No"/>
    <d v="2023-08-22T00:00:00"/>
    <m/>
    <m/>
    <m/>
    <s v="000-697/AIB RDC/2023"/>
    <n v="0"/>
    <s v="SOUSCRIPTION"/>
    <m/>
    <s v="RUASHI MINING MUSONOI"/>
    <m/>
    <s v="MICHEE"/>
    <s v="Tychique"/>
    <s v="FIRE"/>
    <s v="PROPERTIES"/>
    <x v="0"/>
    <s v="SFA"/>
    <n v="14677600"/>
    <n v="30236.400000000001"/>
    <n v="0"/>
    <n v="0"/>
    <n v="640.91"/>
    <n v="25424.95"/>
    <n v="4170.54"/>
    <n v="1.7322280209298524E-3"/>
    <n v="0.15"/>
    <n v="3813.7424999999998"/>
    <n v="0"/>
    <n v="0"/>
    <n v="0"/>
    <n v="3813.7424999999998"/>
    <n v="610.19880000000001"/>
    <n v="4423.9412999999995"/>
    <n v="76.274850000000001"/>
    <n v="0"/>
    <n v="76.274850000000001"/>
    <m/>
    <n v="3737.46765"/>
    <m/>
    <m/>
    <n v="0"/>
    <m/>
    <m/>
    <n v="0"/>
    <m/>
    <n v="4423.9412999999995"/>
    <n v="4423.9412999999995"/>
    <n v="0"/>
    <s v="SFA"/>
    <d v="2023-11-06T00:00:00"/>
    <m/>
    <m/>
    <s v="FIRE"/>
    <m/>
    <m/>
    <m/>
  </r>
  <r>
    <x v="9"/>
    <s v="Yes"/>
    <d v="2023-08-24T00:00:00"/>
    <d v="2023-08-24T00:00:00"/>
    <d v="2023-08-18T00:00:00"/>
    <d v="2023-10-17T00:00:00"/>
    <s v="000-698/AIB RDC/2023"/>
    <n v="14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132.52000000000001"/>
    <n v="0"/>
    <n v="0"/>
    <n v="7.96"/>
    <n v="112.32"/>
    <n v="19.239999999999998"/>
    <e v="#DIV/0!"/>
    <n v="0.1"/>
    <n v="11.231999999999999"/>
    <n v="0"/>
    <n v="0"/>
    <n v="0"/>
    <n v="11.231999999999999"/>
    <n v="1.7971199999999998"/>
    <n v="13.029119999999999"/>
    <n v="0.22463999999999998"/>
    <n v="0"/>
    <n v="0.22463999999999998"/>
    <m/>
    <n v="11.007359999999998"/>
    <m/>
    <m/>
    <n v="0"/>
    <m/>
    <m/>
    <n v="0"/>
    <m/>
    <n v="13.029119999999999"/>
    <n v="13.029119999999999"/>
    <n v="0"/>
    <s v="SFA"/>
    <d v="2023-09-28T00:00:00"/>
    <s v="ND0092/AIB RDC/2023"/>
    <m/>
    <m/>
    <m/>
    <m/>
    <m/>
  </r>
  <r>
    <x v="9"/>
    <s v="Yes"/>
    <d v="2023-08-24T00:00:00"/>
    <d v="2023-08-24T00:00:00"/>
    <d v="2023-08-22T00:00:00"/>
    <d v="2023-10-17T00:00:00"/>
    <s v="000-699/AIB RDC/2023"/>
    <n v="15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1462.76"/>
    <n v="0"/>
    <n v="0"/>
    <n v="62.2"/>
    <n v="1198.8"/>
    <n v="201.76"/>
    <e v="#DIV/0!"/>
    <n v="0.1"/>
    <n v="119.88"/>
    <n v="0"/>
    <n v="0"/>
    <n v="0"/>
    <n v="119.88"/>
    <n v="19.180800000000001"/>
    <n v="139.0608"/>
    <n v="2.3976000000000002"/>
    <n v="0"/>
    <n v="2.3976000000000002"/>
    <m/>
    <n v="117.4824"/>
    <m/>
    <m/>
    <n v="0"/>
    <m/>
    <m/>
    <n v="0"/>
    <m/>
    <n v="139.0608"/>
    <n v="139.0608"/>
    <n v="0"/>
    <s v="SFA"/>
    <d v="2023-09-28T00:00:00"/>
    <s v="ND0092/AIB RDC/2023"/>
    <m/>
    <m/>
    <m/>
    <m/>
    <m/>
  </r>
  <r>
    <x v="8"/>
    <s v="No"/>
    <d v="2023-08-29T00:00:00"/>
    <m/>
    <d v="2023-09-01T00:00:00"/>
    <d v="2024-05-31T00:00:00"/>
    <s v="000-700/AIB RDC/2023"/>
    <n v="2"/>
    <s v="RENOUVELLEMENT"/>
    <s v="12005-33002-0022-13001-00003278-2022"/>
    <s v="FABRI METAL CONGO SARL ( FAMECO)"/>
    <m/>
    <s v="MICHEE"/>
    <s v="Tychique"/>
    <s v="PVT"/>
    <s v="POLITICAL VIOLENCE"/>
    <x v="5"/>
    <s v="MAYFAIR"/>
    <n v="10000000"/>
    <n v="49488.02"/>
    <n v="0"/>
    <n v="0"/>
    <n v="100"/>
    <n v="41835"/>
    <n v="6710.24"/>
    <n v="4.1834999999999997E-3"/>
    <n v="0.15"/>
    <n v="6275.25"/>
    <n v="0"/>
    <n v="0"/>
    <n v="0"/>
    <n v="6275.25"/>
    <n v="1004.0400000000001"/>
    <n v="7279.29"/>
    <n v="125.50500000000001"/>
    <n v="0"/>
    <n v="125.50500000000001"/>
    <m/>
    <n v="6149.7449999999999"/>
    <m/>
    <m/>
    <n v="0"/>
    <m/>
    <m/>
    <n v="0"/>
    <m/>
    <m/>
    <n v="7279.29"/>
    <n v="7279.29"/>
    <s v="MAYFAIR"/>
    <m/>
    <m/>
    <m/>
    <m/>
    <m/>
    <m/>
    <m/>
  </r>
  <r>
    <x v="9"/>
    <s v="Yes"/>
    <d v="2023-08-30T00:00:00"/>
    <d v="2023-09-08T00:00:00"/>
    <d v="2023-08-30T00:00:00"/>
    <d v="2023-11-29T00:00:00"/>
    <s v="000-701/AIB RDC/2023"/>
    <n v="0"/>
    <s v="SOUSCRIPTION"/>
    <s v="12005-0001-13001-00006993-2023"/>
    <s v="GROUPE  EUROPEEN DE DEVELOPPEMENT CONGO SARLU"/>
    <m/>
    <s v="MICHEE"/>
    <s v="Tychique"/>
    <s v="GPA"/>
    <s v="MEDICAL &amp; GPA"/>
    <x v="5"/>
    <s v="MAYFAIR"/>
    <n v="65000"/>
    <n v="1115.0999999999999"/>
    <n v="0"/>
    <n v="0"/>
    <n v="100"/>
    <n v="845"/>
    <n v="151.19999999999999"/>
    <n v="1.2999999999999999E-2"/>
    <n v="0.1"/>
    <n v="84.5"/>
    <n v="0"/>
    <n v="0"/>
    <n v="0"/>
    <n v="84.5"/>
    <n v="13.52"/>
    <n v="98.02"/>
    <n v="1.69"/>
    <n v="0"/>
    <n v="1.69"/>
    <m/>
    <n v="82.81"/>
    <m/>
    <m/>
    <n v="0"/>
    <m/>
    <m/>
    <n v="0"/>
    <m/>
    <n v="98.02"/>
    <n v="98.02"/>
    <n v="0"/>
    <s v="MAYFAIR"/>
    <d v="2023-11-01T00:00:00"/>
    <m/>
    <m/>
    <m/>
    <m/>
    <m/>
    <m/>
  </r>
  <r>
    <x v="9"/>
    <s v="Yes"/>
    <d v="2023-08-30T00:00:00"/>
    <d v="2023-09-08T00:00:00"/>
    <d v="2023-08-30T00:00:00"/>
    <d v="2023-11-29T00:00:00"/>
    <s v="000-702/AIB RDC/2023"/>
    <n v="0"/>
    <s v="SOUSCRIPTION"/>
    <s v="12005-33002-0014-13001-00006997-2023"/>
    <s v="GROUPE  EUROPEEN DE DEVELOPPEMENT CONGO SARLU"/>
    <m/>
    <s v="MICHEE"/>
    <s v="Tychique"/>
    <s v="TRC"/>
    <s v="CONSTRUCTIONS"/>
    <x v="5"/>
    <s v="MAYFAIR"/>
    <n v="782855.58"/>
    <n v="1514"/>
    <n v="0"/>
    <n v="0"/>
    <n v="50"/>
    <n v="1233"/>
    <n v="205"/>
    <n v="1.5750031442581019E-3"/>
    <n v="0.15"/>
    <n v="184.95"/>
    <n v="0"/>
    <n v="0"/>
    <n v="0"/>
    <n v="184.95"/>
    <n v="29.591999999999999"/>
    <n v="214.54199999999997"/>
    <n v="3.6989999999999998"/>
    <n v="0"/>
    <n v="3.6989999999999998"/>
    <m/>
    <n v="181.25099999999998"/>
    <m/>
    <m/>
    <n v="0"/>
    <m/>
    <m/>
    <n v="0"/>
    <m/>
    <n v="214.54199999999997"/>
    <n v="214.54199999999997"/>
    <n v="0"/>
    <s v="MAYFAIR"/>
    <d v="2023-11-01T00:00:00"/>
    <m/>
    <m/>
    <m/>
    <m/>
    <m/>
    <m/>
  </r>
  <r>
    <x v="9"/>
    <s v="Yes"/>
    <d v="2023-09-01T00:00:00"/>
    <d v="2023-09-01T00:00:00"/>
    <d v="2023-08-29T00:00:00"/>
    <d v="2024-05-04T00:00:00"/>
    <s v="000-703/AIB RDC/2023"/>
    <n v="3"/>
    <s v="INCORPORATION"/>
    <s v="12001-33002-0001-103-00005217-2023"/>
    <s v="AMBASSADE DE LA BELGIQUE / MICHELINE"/>
    <m/>
    <s v="MICHEE"/>
    <s v="Tychique"/>
    <s v="MOTOR TPL"/>
    <s v="MOTOR TPL"/>
    <x v="1"/>
    <s v="ACTIVA"/>
    <n v="0"/>
    <n v="132.26"/>
    <n v="0"/>
    <n v="0"/>
    <n v="10"/>
    <n v="122"/>
    <n v="0"/>
    <e v="#DIV/0!"/>
    <n v="0.125"/>
    <n v="15.25"/>
    <n v="0"/>
    <n v="0"/>
    <n v="0"/>
    <n v="15.25"/>
    <n v="2.44"/>
    <n v="17.690000000000001"/>
    <n v="0.30499999999999999"/>
    <n v="0"/>
    <n v="0.30499999999999999"/>
    <m/>
    <n v="14.945"/>
    <m/>
    <m/>
    <n v="0"/>
    <m/>
    <m/>
    <n v="0"/>
    <m/>
    <m/>
    <n v="17.690000000000001"/>
    <n v="17.690000000000001"/>
    <s v="ACTIVA"/>
    <m/>
    <m/>
    <m/>
    <m/>
    <m/>
    <m/>
    <m/>
  </r>
  <r>
    <x v="7"/>
    <s v="No"/>
    <d v="2023-08-18T00:00:00"/>
    <m/>
    <d v="2023-07-26T00:00:00"/>
    <d v="2024-07-26T00:00:00"/>
    <s v="000-704/AIB RDC/2023"/>
    <n v="0"/>
    <s v="SOUSCRIPTION"/>
    <m/>
    <s v="CSP Security Sarl"/>
    <s v="Security"/>
    <s v="ANDY"/>
    <s v="Andy"/>
    <s v="PI"/>
    <s v="LIABILITIES"/>
    <x v="4"/>
    <s v="SUNU"/>
    <n v="80000000"/>
    <n v="35148"/>
    <n v="0"/>
    <n v="0"/>
    <n v="300"/>
    <n v="30000"/>
    <n v="4848"/>
    <n v="3.7500000000000001E-4"/>
    <n v="0.1"/>
    <n v="3000"/>
    <n v="0"/>
    <n v="0"/>
    <n v="0"/>
    <n v="3000"/>
    <n v="480"/>
    <n v="3480"/>
    <n v="60"/>
    <n v="0"/>
    <n v="60"/>
    <m/>
    <n v="2940"/>
    <s v="Aucun"/>
    <m/>
    <n v="0"/>
    <m/>
    <m/>
    <n v="0"/>
    <m/>
    <m/>
    <n v="3480"/>
    <n v="3480"/>
    <s v="SUNU"/>
    <m/>
    <m/>
    <m/>
    <m/>
    <m/>
    <m/>
    <m/>
  </r>
  <r>
    <x v="9"/>
    <s v="Yes"/>
    <d v="2023-08-18T00:00:00"/>
    <d v="2023-08-22T00:00:00"/>
    <d v="2023-08-04T00:00:00"/>
    <d v="2024-03-20T00:00:00"/>
    <s v="000-705/AIB RDC/2023"/>
    <n v="1"/>
    <s v="INCORPORATION"/>
    <s v="12002-33002-0004-104-00018893-2023"/>
    <s v="Optorg / Tractafric Equipement"/>
    <s v="Distribution"/>
    <s v="ANDY"/>
    <s v="Axel"/>
    <s v="COMP MOTOR"/>
    <s v="MOTOR COMP"/>
    <x v="0"/>
    <s v="SFA"/>
    <n v="37636"/>
    <n v="1729.95"/>
    <n v="0"/>
    <n v="0"/>
    <n v="52.78"/>
    <n v="1438.56"/>
    <n v="238.61"/>
    <n v="3.8222977999787439E-2"/>
    <n v="0.15"/>
    <n v="215.78399999999999"/>
    <n v="0"/>
    <n v="0"/>
    <n v="0"/>
    <n v="215.78399999999999"/>
    <n v="34.525439999999996"/>
    <n v="250.30944"/>
    <n v="4.3156799999999995"/>
    <n v="0"/>
    <n v="4.3156799999999995"/>
    <m/>
    <n v="211.46832000000001"/>
    <s v="Aucun"/>
    <m/>
    <n v="0"/>
    <m/>
    <m/>
    <n v="0"/>
    <m/>
    <n v="250.30944"/>
    <n v="250.30944"/>
    <n v="0"/>
    <s v="SFA"/>
    <d v="2023-09-28T00:00:00"/>
    <s v="ND0092/AIB RDC/2023"/>
    <m/>
    <m/>
    <m/>
    <m/>
    <m/>
  </r>
  <r>
    <x v="9"/>
    <s v="No"/>
    <d v="2023-08-18T00:00:00"/>
    <m/>
    <d v="2023-08-01T00:00:00"/>
    <d v="2024-07-31T00:00:00"/>
    <s v="000-706/AIB RDC/2023"/>
    <n v="1"/>
    <s v="RENOUVELLEMENT"/>
    <s v="301-12200003"/>
    <s v="Glencore DRC"/>
    <s v="Mining"/>
    <s v="ANDY"/>
    <s v="Andy"/>
    <s v="GPA"/>
    <s v="MEDICAL &amp; GPA"/>
    <x v="6"/>
    <s v="RAWSUR"/>
    <n v="0"/>
    <n v="23433.33"/>
    <n v="2978.81"/>
    <n v="-1390.11"/>
    <n v="0"/>
    <n v="16879.939999999999"/>
    <n v="3177.4"/>
    <e v="#DIV/0!"/>
    <n v="0"/>
    <n v="0"/>
    <n v="476.61"/>
    <n v="0"/>
    <n v="0"/>
    <n v="476.61"/>
    <n v="76.257600000000011"/>
    <n v="552.86760000000004"/>
    <n v="9.5322000000000013"/>
    <n v="0"/>
    <n v="9.5322000000000013"/>
    <m/>
    <n v="467.07780000000002"/>
    <s v="Aucun"/>
    <m/>
    <n v="0"/>
    <m/>
    <m/>
    <n v="0"/>
    <m/>
    <m/>
    <n v="552.86760000000004"/>
    <n v="552.86760000000004"/>
    <s v="RAWSUR"/>
    <m/>
    <m/>
    <m/>
    <m/>
    <m/>
    <m/>
    <m/>
  </r>
  <r>
    <x v="9"/>
    <s v="Yes"/>
    <d v="2023-08-18T00:00:00"/>
    <d v="2023-08-01T00:00:00"/>
    <d v="2023-08-01T00:00:00"/>
    <d v="2024-07-31T00:00:00"/>
    <s v="000-707/AIB RDC/2023"/>
    <n v="3"/>
    <s v="RENOUVELLEMENT"/>
    <n v="12200004"/>
    <s v="Glencore / Mutanda Mining"/>
    <s v="Mining"/>
    <s v="ANDY"/>
    <s v="Andy"/>
    <s v="GPA"/>
    <s v="MEDICAL &amp; GPA"/>
    <x v="6"/>
    <s v="RAWSUR"/>
    <n v="0"/>
    <n v="278783.12"/>
    <n v="35438.53"/>
    <n v="-16537.98"/>
    <n v="0"/>
    <n v="200818.35"/>
    <n v="37801.1"/>
    <e v="#DIV/0!"/>
    <n v="0"/>
    <n v="0"/>
    <n v="5670.165"/>
    <n v="0"/>
    <n v="0"/>
    <n v="5670.165"/>
    <n v="907.22640000000001"/>
    <n v="6577.3914000000004"/>
    <n v="113.4033"/>
    <n v="0"/>
    <n v="113.4033"/>
    <m/>
    <n v="5556.7617"/>
    <s v="Aucun"/>
    <m/>
    <n v="0"/>
    <m/>
    <m/>
    <n v="0"/>
    <m/>
    <n v="6577.3914000000004"/>
    <n v="6577.3914000000004"/>
    <n v="0"/>
    <s v="RAWSUR"/>
    <d v="2023-10-20T00:00:00"/>
    <m/>
    <m/>
    <m/>
    <m/>
    <m/>
    <m/>
  </r>
  <r>
    <x v="9"/>
    <s v="Yes"/>
    <d v="2023-08-18T00:00:00"/>
    <d v="2023-09-05T00:00:00"/>
    <d v="2023-08-01T00:00:00"/>
    <d v="2024-07-31T00:00:00"/>
    <s v="000-708/AIB RDC/2023"/>
    <n v="3"/>
    <s v="RENOUVELLEMENT"/>
    <n v="12200005"/>
    <s v="Glencore / Watu Wetu"/>
    <s v="Mining"/>
    <s v="ANDY"/>
    <s v="Andy"/>
    <s v="GPA"/>
    <s v="MEDICAL &amp; GPA"/>
    <x v="6"/>
    <s v="RAWSUR"/>
    <n v="0"/>
    <n v="21025.41"/>
    <n v="2672.72"/>
    <n v="-1247.27"/>
    <n v="0"/>
    <n v="15145.42"/>
    <n v="2850.9"/>
    <e v="#DIV/0!"/>
    <n v="0"/>
    <n v="0"/>
    <n v="427.63499999999993"/>
    <n v="0"/>
    <n v="0"/>
    <n v="427.63499999999993"/>
    <n v="68.421599999999984"/>
    <n v="496.05659999999989"/>
    <n v="8.552699999999998"/>
    <n v="0"/>
    <n v="8.552699999999998"/>
    <m/>
    <n v="419.08229999999992"/>
    <s v="Aucun"/>
    <m/>
    <n v="0"/>
    <m/>
    <m/>
    <n v="0"/>
    <m/>
    <n v="496.05659999999995"/>
    <n v="496.05659999999989"/>
    <n v="0"/>
    <s v="RAWSUR"/>
    <d v="2023-10-20T00:00:00"/>
    <m/>
    <m/>
    <m/>
    <m/>
    <m/>
    <m/>
  </r>
  <r>
    <x v="9"/>
    <s v="No"/>
    <d v="2023-08-18T00:00:00"/>
    <d v="2023-10-09T00:00:00"/>
    <d v="2023-08-01T00:00:00"/>
    <d v="2024-07-31T00:00:00"/>
    <s v="000-709/AIB RDC/2023"/>
    <n v="4"/>
    <s v="RENOUVELLEMENT"/>
    <s v="301-12200003"/>
    <s v="Glencore / Kamoto Copper Company"/>
    <s v="Mining"/>
    <s v="ANDY"/>
    <s v="Andy"/>
    <s v="GPA"/>
    <s v="MEDICAL &amp; GPA"/>
    <x v="6"/>
    <s v="RAWSUR"/>
    <n v="0"/>
    <n v="1319912.3899999999"/>
    <n v="167785.47"/>
    <n v="-78299.89"/>
    <n v="0"/>
    <n v="950784.35"/>
    <n v="178971.17"/>
    <e v="#DIV/0!"/>
    <n v="0"/>
    <n v="0"/>
    <n v="26845.673999999999"/>
    <n v="0"/>
    <n v="0"/>
    <n v="26845.673999999999"/>
    <n v="4295.3078399999995"/>
    <n v="31140.98184"/>
    <n v="536.91347999999994"/>
    <n v="0"/>
    <n v="536.91347999999994"/>
    <m/>
    <n v="26308.76052"/>
    <s v="Aucun"/>
    <m/>
    <n v="0"/>
    <m/>
    <m/>
    <n v="0"/>
    <m/>
    <n v="31140.98184"/>
    <n v="31140.98184"/>
    <n v="0"/>
    <s v="RAWSUR"/>
    <d v="2023-11-10T00:00:00"/>
    <m/>
    <m/>
    <m/>
    <m/>
    <m/>
    <m/>
  </r>
  <r>
    <x v="9"/>
    <s v="Yes"/>
    <d v="2023-08-18T00:00:00"/>
    <d v="2023-08-09T00:00:00"/>
    <d v="2023-08-26T00:00:00"/>
    <d v="2023-09-09T00:00:00"/>
    <s v="000-710/AIB RDC/2023"/>
    <n v="0"/>
    <s v="SOUSCRIPTION"/>
    <s v="33002-0004-119-0010038 / 0001"/>
    <s v="Mbombo Kisonga Adolphine"/>
    <m/>
    <s v="ANDY"/>
    <s v="Sabrina"/>
    <s v="TRAVEL"/>
    <s v="MEDICAL &amp; GPA"/>
    <x v="4"/>
    <s v="SUNU"/>
    <n v="0"/>
    <n v="52.78"/>
    <n v="0"/>
    <n v="0"/>
    <n v="0.9"/>
    <n v="44.6"/>
    <n v="7.28"/>
    <e v="#DIV/0!"/>
    <n v="0.2"/>
    <n v="8.92"/>
    <n v="0"/>
    <n v="0"/>
    <n v="0"/>
    <n v="8.92"/>
    <n v="1.4272"/>
    <n v="10.347200000000001"/>
    <n v="0.1784"/>
    <n v="0"/>
    <n v="0.1784"/>
    <m/>
    <n v="8.7416"/>
    <s v="Aucun"/>
    <m/>
    <n v="0"/>
    <m/>
    <m/>
    <n v="0"/>
    <m/>
    <n v="10.347200000000001"/>
    <n v="10.347200000000001"/>
    <n v="0"/>
    <s v="SUNU"/>
    <d v="2023-10-19T00:00:00"/>
    <m/>
    <m/>
    <m/>
    <m/>
    <m/>
    <m/>
  </r>
  <r>
    <x v="2"/>
    <s v="Yes"/>
    <d v="2023-08-18T00:00:00"/>
    <d v="2023-03-01T00:00:00"/>
    <d v="2023-03-01T00:00:00"/>
    <d v="2024-07-31T00:00:00"/>
    <s v="000-711/AIB RDC/2023"/>
    <n v="0"/>
    <s v="SOUSCRIPTION"/>
    <s v="33002-0018-121-0010487 / 0001"/>
    <s v="Raxio Data Centres"/>
    <m/>
    <s v="ANDY"/>
    <s v="Andy"/>
    <s v="CAR"/>
    <s v="CONSTRUCTIONS"/>
    <x v="4"/>
    <s v="SUNU"/>
    <n v="28894000"/>
    <n v="99454.51"/>
    <n v="0"/>
    <n v="0"/>
    <n v="200"/>
    <n v="85536.65"/>
    <n v="13717.86"/>
    <n v="2.9603602824115733E-3"/>
    <n v="0.15"/>
    <n v="12830.497499999999"/>
    <n v="2483.6823529411736"/>
    <n v="2672.6876470588259"/>
    <n v="0"/>
    <n v="17986.8675"/>
    <n v="2877.8987999999999"/>
    <n v="20864.766299999999"/>
    <n v="359.73734999999999"/>
    <n v="0"/>
    <n v="359.73734999999999"/>
    <m/>
    <n v="17627.130150000001"/>
    <m/>
    <m/>
    <n v="0"/>
    <m/>
    <m/>
    <n v="0"/>
    <m/>
    <n v="20864.766299999999"/>
    <n v="20864.766299999999"/>
    <n v="0"/>
    <s v="SUNU"/>
    <d v="2023-10-19T00:00:00"/>
    <m/>
    <m/>
    <m/>
    <m/>
    <m/>
    <m/>
  </r>
  <r>
    <x v="2"/>
    <s v="Yes"/>
    <d v="2023-08-21T00:00:00"/>
    <d v="2023-03-01T00:00:00"/>
    <d v="2023-03-01T00:00:00"/>
    <d v="2023-07-31T00:00:00"/>
    <s v="000-712/AIB RDC/2023"/>
    <n v="0"/>
    <s v="SOUSCRIPTION"/>
    <s v="33002-0011-111-0010488 / 0001"/>
    <s v="Raxio Data Centres"/>
    <m/>
    <s v="ANDY"/>
    <s v="Andy"/>
    <s v="MARINE CARGO / GIT"/>
    <s v="MARINE"/>
    <x v="4"/>
    <s v="SUNU"/>
    <n v="0"/>
    <n v="37123.86"/>
    <n v="0"/>
    <n v="0"/>
    <n v="200"/>
    <n v="31803.33"/>
    <n v="5120.53"/>
    <e v="#DIV/0!"/>
    <n v="0.15"/>
    <n v="4770.4994999999999"/>
    <n v="636.49000000000115"/>
    <n v="1966.2456896551707"/>
    <n v="0"/>
    <n v="7373.2351896551718"/>
    <n v="1179.7176303448275"/>
    <n v="8552.9528199999986"/>
    <n v="147.46470379310344"/>
    <n v="0"/>
    <n v="147.46470379310344"/>
    <m/>
    <n v="7225.7704858620682"/>
    <m/>
    <m/>
    <n v="0"/>
    <m/>
    <m/>
    <n v="0"/>
    <m/>
    <n v="8552.9528199999986"/>
    <n v="8552.9528199999986"/>
    <n v="0"/>
    <s v="SUNU"/>
    <d v="2023-10-19T00:00:00"/>
    <m/>
    <m/>
    <m/>
    <m/>
    <m/>
    <m/>
  </r>
  <r>
    <x v="7"/>
    <s v="No"/>
    <d v="2023-07-24T00:00:00"/>
    <m/>
    <d v="2023-07-25T00:00:00"/>
    <d v="2024-07-24T00:00:00"/>
    <s v="000-713/AIB RDC/2023"/>
    <n v="0"/>
    <s v="SOUSCRIPTION"/>
    <s v="301-97261"/>
    <s v="GSM GROUP"/>
    <m/>
    <s v="MICHEE"/>
    <s v="Tychique"/>
    <s v="MOTOR TPL"/>
    <s v="MOTOR TPL"/>
    <x v="6"/>
    <s v="RAWSUR"/>
    <n v="0"/>
    <n v="881.52"/>
    <n v="0"/>
    <n v="0"/>
    <n v="20"/>
    <n v="727.05"/>
    <n v="119"/>
    <e v="#DIV/0!"/>
    <n v="0.1"/>
    <n v="72.704999999999998"/>
    <n v="0"/>
    <n v="0"/>
    <n v="0"/>
    <n v="72.704999999999998"/>
    <n v="11.6328"/>
    <n v="84.337800000000001"/>
    <n v="1.4540999999999999"/>
    <n v="0"/>
    <n v="1.4540999999999999"/>
    <m/>
    <n v="71.250900000000001"/>
    <m/>
    <m/>
    <n v="0"/>
    <m/>
    <m/>
    <n v="0"/>
    <m/>
    <m/>
    <n v="84.337800000000001"/>
    <n v="84.337800000000001"/>
    <s v="RAWSUR"/>
    <m/>
    <m/>
    <m/>
    <s v="MOTOR TPL"/>
    <m/>
    <m/>
    <m/>
  </r>
  <r>
    <x v="9"/>
    <s v="Yes"/>
    <d v="2023-07-07T00:00:00"/>
    <d v="2023-08-25T00:00:00"/>
    <d v="2023-08-25T00:00:00"/>
    <d v="2024-08-24T00:00:00"/>
    <s v="000-714/AIB RDC/2023"/>
    <n v="0"/>
    <s v="SOUSCRIPTION"/>
    <s v="12002-33002-0021-111-00021859-2023"/>
    <s v="Compagnie Africaine d'Aviation / CAA - GOMA"/>
    <s v="Aviation"/>
    <s v="MICHEE"/>
    <s v="Tychique"/>
    <s v="MARINE CARGO / GIT"/>
    <s v="MARINE"/>
    <x v="0"/>
    <s v="SFA"/>
    <n v="302935.78000000003"/>
    <n v="865.47"/>
    <n v="0"/>
    <n v="0"/>
    <n v="20.21"/>
    <n v="704.33"/>
    <n v="115.93"/>
    <n v="2.3250142323894521E-3"/>
    <n v="0.15"/>
    <n v="105.6495"/>
    <n v="0"/>
    <n v="0"/>
    <n v="0"/>
    <n v="105.6495"/>
    <n v="16.903919999999999"/>
    <n v="122.55342"/>
    <n v="2.1129899999999999"/>
    <n v="0"/>
    <n v="2.1129899999999999"/>
    <m/>
    <n v="103.53651000000001"/>
    <m/>
    <m/>
    <n v="0"/>
    <m/>
    <m/>
    <n v="0"/>
    <m/>
    <n v="122.55342"/>
    <n v="122.55342"/>
    <n v="0"/>
    <s v="SFA"/>
    <d v="2023-09-28T00:00:00"/>
    <s v="ND0092/AIB RDC/2023"/>
    <m/>
    <m/>
    <m/>
    <m/>
    <m/>
  </r>
  <r>
    <x v="7"/>
    <s v="No"/>
    <d v="2023-07-26T00:00:00"/>
    <d v="2023-07-26T00:00:00"/>
    <d v="2023-07-25T00:00:00"/>
    <d v="2024-07-24T00:00:00"/>
    <s v="000-715/AIB RDC/2023"/>
    <n v="1"/>
    <s v="RENOUVELLEMENT"/>
    <s v="12005-33002-0022-13001-00003145-2022"/>
    <s v="ETS Velocity (The seven eleven)"/>
    <s v="Supermarket"/>
    <s v="ANDY"/>
    <s v="Andy"/>
    <s v="PVT"/>
    <s v="POLITICAL VIOLENCE"/>
    <x v="5"/>
    <s v="MAYFAIR"/>
    <n v="550000"/>
    <n v="3395"/>
    <n v="0"/>
    <n v="0"/>
    <n v="20"/>
    <n v="2857.12"/>
    <n v="460"/>
    <n v="5.1947636363636361E-3"/>
    <n v="0.15"/>
    <n v="428.56799999999998"/>
    <n v="0"/>
    <n v="0"/>
    <n v="0"/>
    <n v="428.56799999999998"/>
    <n v="68.570880000000002"/>
    <n v="497.13887999999997"/>
    <n v="8.5713600000000003"/>
    <n v="0"/>
    <n v="8.5713600000000003"/>
    <m/>
    <n v="419.99663999999996"/>
    <m/>
    <m/>
    <n v="0"/>
    <m/>
    <m/>
    <n v="0"/>
    <m/>
    <n v="497.13887999999997"/>
    <n v="497.13887999999997"/>
    <n v="0"/>
    <s v="MAYFAIR"/>
    <d v="2023-08-31T00:00:00"/>
    <m/>
    <m/>
    <m/>
    <m/>
    <m/>
    <m/>
  </r>
  <r>
    <x v="8"/>
    <s v="Yes"/>
    <d v="2023-08-24T00:00:00"/>
    <d v="2023-08-26T00:00:00"/>
    <d v="2023-09-08T00:00:00"/>
    <d v="2024-09-07T00:00:00"/>
    <s v="000-716/AIB RDC/2023"/>
    <n v="0"/>
    <s v="SOUSCRIPTION"/>
    <s v="12002-33002-0004-103-00021877-2023"/>
    <s v="Teichmann Group / Durban Logistics"/>
    <m/>
    <s v="ANDY"/>
    <s v="Sabrina"/>
    <s v="MOTOR TPL"/>
    <s v="MOTOR TPL"/>
    <x v="0"/>
    <s v="SFA"/>
    <n v="0"/>
    <n v="13336.05"/>
    <n v="0"/>
    <n v="0"/>
    <n v="445.75"/>
    <n v="11050.85"/>
    <n v="1839.45"/>
    <e v="#DIV/0!"/>
    <n v="0.1"/>
    <n v="1105.085"/>
    <n v="0"/>
    <n v="0"/>
    <n v="0"/>
    <n v="1105.085"/>
    <n v="176.81360000000001"/>
    <n v="1281.8986"/>
    <n v="22.101700000000001"/>
    <n v="0"/>
    <n v="22.101700000000001"/>
    <m/>
    <n v="1082.9833000000001"/>
    <s v="O'NEILS"/>
    <n v="0.5"/>
    <n v="541.49165000000005"/>
    <m/>
    <m/>
    <n v="541.49165000000005"/>
    <m/>
    <n v="1281.8986"/>
    <n v="1281.8986"/>
    <n v="0"/>
    <s v="SFA"/>
    <d v="2023-10-17T00:00:00"/>
    <m/>
    <m/>
    <m/>
    <m/>
    <m/>
    <m/>
  </r>
  <r>
    <x v="7"/>
    <s v="No"/>
    <d v="2023-08-24T00:00:00"/>
    <d v="2023-07-13T00:00:00"/>
    <d v="2023-07-30T00:00:00"/>
    <d v="2023-12-31T00:00:00"/>
    <s v="000-717/AIB RDC/2023"/>
    <n v="1"/>
    <s v="ANNULATION"/>
    <s v="12005-33002-0014-13001-00004355-2022"/>
    <s v="Agence Française de Développement"/>
    <s v="ONG"/>
    <s v="ANDY"/>
    <s v="Andy"/>
    <s v="GENERAL LIABILITY"/>
    <s v="LIABILITIES"/>
    <x v="5"/>
    <s v="MAYFAIR"/>
    <n v="0"/>
    <n v="-265.75"/>
    <n v="0"/>
    <n v="0"/>
    <n v="0"/>
    <n v="0"/>
    <n v="0"/>
    <e v="#DIV/0!"/>
    <n v="0.15"/>
    <n v="0"/>
    <n v="0"/>
    <n v="0"/>
    <n v="0"/>
    <n v="0"/>
    <n v="0"/>
    <n v="0"/>
    <n v="0"/>
    <n v="0"/>
    <n v="0"/>
    <m/>
    <n v="0"/>
    <s v="Aucun"/>
    <m/>
    <n v="0"/>
    <m/>
    <m/>
    <n v="0"/>
    <m/>
    <m/>
    <n v="0"/>
    <n v="0"/>
    <s v="MAYFAIR"/>
    <m/>
    <m/>
    <m/>
    <m/>
    <m/>
    <m/>
    <m/>
  </r>
  <r>
    <x v="3"/>
    <s v="No"/>
    <d v="2023-08-24T00:00:00"/>
    <d v="2023-08-08T00:00:00"/>
    <d v="2023-06-01T00:00:00"/>
    <d v="2023-12-31T00:00:00"/>
    <s v="000-718/AIB RDC/2023"/>
    <n v="1"/>
    <s v="RISTOURNE"/>
    <s v="12005-33002-0012-13001-00004352-2022"/>
    <s v="Agence Française de Développement"/>
    <s v="ONG"/>
    <s v="ANDY"/>
    <s v="Andy"/>
    <s v="FIRE"/>
    <s v="PROPERTIES"/>
    <x v="5"/>
    <s v="MAYFAIR"/>
    <n v="0"/>
    <n v="-350"/>
    <n v="0"/>
    <n v="0"/>
    <n v="0"/>
    <n v="0"/>
    <n v="0"/>
    <e v="#DIV/0!"/>
    <n v="0.1"/>
    <n v="0"/>
    <n v="0"/>
    <n v="0"/>
    <n v="0"/>
    <n v="0"/>
    <n v="0"/>
    <n v="0"/>
    <n v="0"/>
    <n v="0"/>
    <n v="0"/>
    <m/>
    <n v="0"/>
    <s v="Aucun"/>
    <m/>
    <n v="0"/>
    <m/>
    <m/>
    <n v="0"/>
    <m/>
    <m/>
    <n v="0"/>
    <n v="0"/>
    <s v="MAYFAIR"/>
    <m/>
    <m/>
    <m/>
    <m/>
    <m/>
    <m/>
    <m/>
  </r>
  <r>
    <x v="3"/>
    <s v="No"/>
    <d v="2023-08-24T00:00:00"/>
    <d v="2023-08-08T00:00:00"/>
    <d v="2023-06-01T00:00:00"/>
    <d v="2023-12-31T00:00:00"/>
    <s v="000-719/AIB RDC/2023"/>
    <n v="1"/>
    <s v="INCORPORATION"/>
    <s v="12005-33002-0012-13001-0004352-2022"/>
    <s v="Agence Française de Développement"/>
    <s v="ONG"/>
    <s v="ANDY"/>
    <s v="Andy"/>
    <s v="FIRE"/>
    <s v="PROPERTIES"/>
    <x v="5"/>
    <s v="MAYFAIR"/>
    <n v="81443.3"/>
    <n v="223"/>
    <n v="0"/>
    <n v="0"/>
    <n v="20"/>
    <n v="169"/>
    <n v="30"/>
    <n v="2.0750632648726167E-3"/>
    <n v="0.1"/>
    <n v="16.900000000000002"/>
    <n v="0"/>
    <n v="0"/>
    <n v="0"/>
    <n v="16.900000000000002"/>
    <n v="2.7040000000000002"/>
    <n v="19.604000000000003"/>
    <n v="0.33800000000000002"/>
    <n v="0"/>
    <n v="0.33800000000000002"/>
    <m/>
    <n v="16.562000000000001"/>
    <s v="Aucun"/>
    <m/>
    <n v="0"/>
    <m/>
    <m/>
    <n v="0"/>
    <m/>
    <m/>
    <n v="19.604000000000003"/>
    <n v="19.604000000000003"/>
    <s v="MAYFAIR"/>
    <m/>
    <m/>
    <m/>
    <m/>
    <m/>
    <m/>
    <m/>
  </r>
  <r>
    <x v="8"/>
    <s v="Yes"/>
    <d v="2023-08-24T00:00:00"/>
    <d v="2023-08-24T00:00:00"/>
    <d v="2023-09-07T00:00:00"/>
    <d v="2024-09-06T00:00:00"/>
    <s v="000-720/AIB RDC/2023"/>
    <n v="1"/>
    <s v="RENOUVELLEMENT"/>
    <s v="12002-33002-0004-104-00021808-2023"/>
    <s v="Sandvik Mining &amp; Construction Sarl"/>
    <s v="Mining"/>
    <s v="ANDY"/>
    <s v="Andy"/>
    <s v="COMP MOTOR"/>
    <s v="MOTOR COMP"/>
    <x v="0"/>
    <s v="SFA"/>
    <n v="1497834.83"/>
    <n v="70291.16"/>
    <n v="0"/>
    <n v="0"/>
    <n v="2116.06"/>
    <n v="58479.77"/>
    <n v="9695.33"/>
    <n v="3.904286963336271E-2"/>
    <n v="0.15"/>
    <n v="8771.9654999999984"/>
    <n v="0"/>
    <n v="0"/>
    <n v="0"/>
    <n v="8771.9654999999984"/>
    <n v="1403.5144799999998"/>
    <n v="10175.479979999998"/>
    <n v="175.43930999999998"/>
    <n v="0"/>
    <n v="175.43930999999998"/>
    <m/>
    <n v="8596.5261899999987"/>
    <s v="AFINBRO"/>
    <n v="0.5"/>
    <n v="4298.2630949999993"/>
    <m/>
    <m/>
    <n v="4298.2630949999993"/>
    <m/>
    <n v="10175.479979999998"/>
    <n v="10175.479979999998"/>
    <n v="0"/>
    <s v="SFA"/>
    <d v="2023-09-28T00:00:00"/>
    <s v="ND0092/AIB RDC/2023"/>
    <m/>
    <m/>
    <m/>
    <m/>
    <m/>
  </r>
  <r>
    <x v="9"/>
    <s v="Yes"/>
    <d v="2023-08-25T00:00:00"/>
    <d v="2023-08-21T00:00:00"/>
    <d v="2023-08-21T00:00:00"/>
    <d v="2023-12-31T00:00:00"/>
    <s v="000-721/AIB RDC/2023"/>
    <n v="0"/>
    <s v="SOUSCRIPTION"/>
    <s v="12001-33002-0001-103-00011544-2023"/>
    <s v="Liberty SPRL"/>
    <s v="Supermarché"/>
    <s v="ANDY"/>
    <s v="Sabrina"/>
    <s v="COMP MOTOR"/>
    <s v="MOTOR COMP"/>
    <x v="1"/>
    <s v="ACTIVA"/>
    <n v="127329.13"/>
    <n v="2140.4699999999998"/>
    <n v="0"/>
    <n v="0"/>
    <n v="18.29"/>
    <n v="1829.47"/>
    <n v="292.70999999999998"/>
    <n v="1.4368039740788301E-2"/>
    <n v="0.148042875805561"/>
    <n v="270.83999999999969"/>
    <n v="0"/>
    <n v="0"/>
    <n v="0"/>
    <n v="270.83999999999969"/>
    <n v="43.334399999999953"/>
    <n v="314.17439999999965"/>
    <n v="5.4167999999999941"/>
    <n v="0"/>
    <n v="5.4167999999999941"/>
    <m/>
    <n v="265.42319999999972"/>
    <s v="Aucun"/>
    <m/>
    <n v="0"/>
    <m/>
    <m/>
    <n v="0"/>
    <m/>
    <n v="314.17439999999965"/>
    <n v="314.17439999999965"/>
    <n v="0"/>
    <s v="ACTIVA"/>
    <d v="2023-10-23T00:00:00"/>
    <m/>
    <m/>
    <m/>
    <m/>
    <m/>
    <m/>
  </r>
  <r>
    <x v="4"/>
    <s v="No"/>
    <d v="2023-08-25T00:00:00"/>
    <m/>
    <d v="2023-05-05T00:00:00"/>
    <d v="2023-12-31T00:00:00"/>
    <s v="000-722/AIB RDC/2023"/>
    <n v="1"/>
    <s v="INCORPORATION"/>
    <s v="301-45000018"/>
    <s v="Africa Global Logistics - AGL (Ex Bolloré)"/>
    <s v="Logistics"/>
    <s v="ANDY"/>
    <s v="Syntyche"/>
    <s v="FIRE"/>
    <s v="PROPERTIES"/>
    <x v="6"/>
    <s v="RAWSUR"/>
    <n v="53814983.68"/>
    <n v="112741.97"/>
    <n v="0"/>
    <n v="0"/>
    <n v="100"/>
    <n v="95444.04"/>
    <n v="15287.05"/>
    <n v="1.7735588394403095E-3"/>
    <n v="0.1"/>
    <n v="9544.4040000000005"/>
    <n v="0"/>
    <n v="0"/>
    <n v="0"/>
    <n v="9544.4040000000005"/>
    <n v="1527.10464"/>
    <n v="11071.50864"/>
    <n v="190.88808"/>
    <n v="0"/>
    <n v="190.88808"/>
    <m/>
    <n v="9353.5159199999998"/>
    <s v="OLEA"/>
    <m/>
    <n v="0"/>
    <m/>
    <m/>
    <n v="0"/>
    <m/>
    <m/>
    <n v="11071.50864"/>
    <n v="11071.50864"/>
    <s v="RAWSUR"/>
    <m/>
    <m/>
    <m/>
    <m/>
    <m/>
    <m/>
    <s v="en attente de paiement "/>
  </r>
  <r>
    <x v="9"/>
    <s v="No"/>
    <d v="2023-08-25T00:00:00"/>
    <d v="2023-08-16T00:00:00"/>
    <d v="2023-08-11T00:00:00"/>
    <d v="2023-11-30T00:00:00"/>
    <s v="000-723/AIB RDC/2023"/>
    <n v="2"/>
    <s v="INCORPORATION"/>
    <s v="301-30000016"/>
    <s v="TechnoServe"/>
    <s v="Agriculture"/>
    <s v="ANDY"/>
    <s v="Victor"/>
    <s v="COMP MOTOR"/>
    <s v="MOTOR TPL"/>
    <x v="6"/>
    <s v="RAWSUR"/>
    <n v="0"/>
    <n v="2127.3000000000002"/>
    <n v="0"/>
    <n v="0"/>
    <n v="20"/>
    <n v="1789.78"/>
    <n v="288.44"/>
    <e v="#DIV/0!"/>
    <n v="0.1"/>
    <n v="178.97800000000001"/>
    <n v="0"/>
    <n v="0"/>
    <n v="0"/>
    <n v="178.97800000000001"/>
    <n v="28.636480000000002"/>
    <n v="207.61448000000001"/>
    <n v="3.5795600000000003"/>
    <n v="0"/>
    <n v="3.5795600000000003"/>
    <m/>
    <n v="175.39844000000002"/>
    <s v="Aucun"/>
    <m/>
    <n v="0"/>
    <m/>
    <m/>
    <n v="0"/>
    <m/>
    <m/>
    <n v="207.61448000000001"/>
    <n v="207.61448000000001"/>
    <s v="RAWSUR"/>
    <m/>
    <m/>
    <m/>
    <m/>
    <m/>
    <m/>
    <m/>
  </r>
  <r>
    <x v="9"/>
    <s v="No"/>
    <d v="2023-08-25T00:00:00"/>
    <d v="2023-08-15T00:00:00"/>
    <d v="2023-08-11T00:00:00"/>
    <d v="2023-11-30T00:00:00"/>
    <s v="000-724/AIB RDC/2023"/>
    <n v="1"/>
    <s v="RISTOURNE"/>
    <s v="301-30000016"/>
    <s v="TechnoServe"/>
    <s v="Agriculture"/>
    <s v="ANDY"/>
    <s v="Victor"/>
    <s v="COMP MOTOR"/>
    <s v="MOTOR COMP"/>
    <x v="6"/>
    <s v="RAWSUR"/>
    <n v="0"/>
    <n v="-851.27"/>
    <n v="0"/>
    <n v="0"/>
    <n v="0"/>
    <n v="-721.41"/>
    <n v="-115.43"/>
    <e v="#DIV/0!"/>
    <n v="0.1"/>
    <n v="-72.141000000000005"/>
    <n v="0"/>
    <n v="0"/>
    <n v="0"/>
    <n v="-72.141000000000005"/>
    <n v="-11.542560000000002"/>
    <n v="-83.68356"/>
    <n v="-1.4428200000000002"/>
    <n v="0"/>
    <n v="-1.4428200000000002"/>
    <m/>
    <n v="-70.698180000000008"/>
    <s v="Aucun"/>
    <m/>
    <n v="0"/>
    <m/>
    <m/>
    <n v="0"/>
    <m/>
    <m/>
    <n v="-83.68356"/>
    <n v="-83.68356"/>
    <s v="RAWSUR"/>
    <m/>
    <m/>
    <m/>
    <m/>
    <m/>
    <m/>
    <m/>
  </r>
  <r>
    <x v="9"/>
    <s v="No"/>
    <d v="2023-08-25T00:00:00"/>
    <m/>
    <d v="2023-08-24T00:00:00"/>
    <d v="2023-11-30T00:00:00"/>
    <s v="000-725/AIB RDC/2023"/>
    <n v="2"/>
    <s v="INCORPORATION"/>
    <s v="301-30000015"/>
    <s v="TechnoServe"/>
    <s v="Agriculture"/>
    <s v="ANDY"/>
    <s v="Victor"/>
    <s v="MOTOR TPL"/>
    <s v="MOTOR COMP"/>
    <x v="6"/>
    <s v="RAWSUR"/>
    <n v="0"/>
    <n v="367.7"/>
    <n v="0"/>
    <n v="0"/>
    <n v="100"/>
    <n v="211.57"/>
    <n v="49.88"/>
    <e v="#DIV/0!"/>
    <n v="0.1"/>
    <n v="21.157"/>
    <n v="0"/>
    <n v="0"/>
    <n v="0"/>
    <n v="21.157"/>
    <n v="3.3851200000000001"/>
    <n v="24.542120000000001"/>
    <n v="0.42314000000000002"/>
    <n v="0"/>
    <n v="0.42314000000000002"/>
    <m/>
    <n v="20.73386"/>
    <s v="Aucun"/>
    <m/>
    <n v="0"/>
    <m/>
    <m/>
    <n v="0"/>
    <m/>
    <m/>
    <n v="24.542120000000001"/>
    <n v="24.542120000000001"/>
    <s v="RAWSUR"/>
    <m/>
    <m/>
    <m/>
    <m/>
    <m/>
    <m/>
    <m/>
  </r>
  <r>
    <x v="9"/>
    <s v="Yes"/>
    <d v="2023-08-25T00:00:00"/>
    <d v="2023-08-31T00:00:00"/>
    <d v="2023-08-31T00:00:00"/>
    <d v="2024-08-31T00:00:00"/>
    <s v="000-726/AIB RDC/2023"/>
    <n v="0"/>
    <s v="SOUSCRIPTION"/>
    <s v="12002-33002-0021-111-00021986-2023"/>
    <s v="Liberty SPRL"/>
    <s v="Supermarché"/>
    <s v="ANDY"/>
    <s v="Sabrina"/>
    <s v="MARINE CARGO / GIT"/>
    <s v="MARINE"/>
    <x v="0"/>
    <s v="SFA"/>
    <n v="633000"/>
    <n v="2129.21"/>
    <n v="0"/>
    <n v="0"/>
    <n v="41.57"/>
    <n v="1772.4"/>
    <n v="290.24"/>
    <n v="2.8E-3"/>
    <n v="0.15"/>
    <n v="265.86"/>
    <n v="0"/>
    <n v="0"/>
    <n v="0"/>
    <n v="265.86"/>
    <n v="42.537600000000005"/>
    <n v="308.39760000000001"/>
    <n v="5.3172000000000006"/>
    <n v="0"/>
    <n v="5.3172000000000006"/>
    <m/>
    <n v="260.5428"/>
    <s v="Aucun"/>
    <m/>
    <n v="0"/>
    <m/>
    <m/>
    <n v="0"/>
    <m/>
    <n v="308.39760000000001"/>
    <n v="308.39760000000001"/>
    <n v="0"/>
    <s v="SFA"/>
    <d v="2023-09-28T00:00:00"/>
    <s v="ND0092/AIB RDC/2023"/>
    <m/>
    <m/>
    <m/>
    <m/>
    <m/>
  </r>
  <r>
    <x v="8"/>
    <s v="Yes"/>
    <d v="2023-08-25T00:00:00"/>
    <d v="2023-09-05T00:00:00"/>
    <d v="2023-09-01T00:00:00"/>
    <d v="2024-12-31T00:00:00"/>
    <s v="000-727/AIB RDC/2023"/>
    <n v="1"/>
    <s v="RENOUVELLEMENT"/>
    <s v="12005-33002-0012-13001-00003387-2022"/>
    <s v="Cinetpay RDC"/>
    <m/>
    <s v="ANDY"/>
    <s v="Andy"/>
    <s v="FIRE"/>
    <s v="PROPERTIES"/>
    <x v="5"/>
    <s v="MAYFAIR"/>
    <n v="17500"/>
    <n v="684.84"/>
    <n v="0"/>
    <n v="0"/>
    <n v="40"/>
    <n v="540.37"/>
    <n v="92.86"/>
    <n v="3.0878285714285716E-2"/>
    <n v="0.15"/>
    <n v="81.055499999999995"/>
    <n v="0"/>
    <n v="0"/>
    <n v="0"/>
    <n v="81.055499999999995"/>
    <n v="12.968879999999999"/>
    <n v="94.024379999999994"/>
    <n v="1.6211099999999998"/>
    <n v="0"/>
    <n v="1.6211099999999998"/>
    <m/>
    <n v="79.434389999999993"/>
    <s v="Aucun"/>
    <m/>
    <n v="0"/>
    <m/>
    <m/>
    <n v="0"/>
    <m/>
    <n v="94.024379999999994"/>
    <n v="94.024379999999994"/>
    <n v="0"/>
    <s v="MAYFAIR"/>
    <d v="2023-11-01T00:00:00"/>
    <m/>
    <m/>
    <m/>
    <m/>
    <m/>
    <m/>
  </r>
  <r>
    <x v="8"/>
    <s v="Yes"/>
    <d v="2023-08-25T00:00:00"/>
    <d v="2023-09-05T00:00:00"/>
    <d v="2023-09-01T00:00:00"/>
    <d v="2023-12-31T00:00:00"/>
    <s v="000-728/AIB RDC/2023"/>
    <n v="1"/>
    <s v="RENOUVELLEMENT"/>
    <s v="12005-33002-0014-13001-00003386-2022"/>
    <s v="Cinetpay RDC"/>
    <m/>
    <s v="ANDY"/>
    <s v="Andy"/>
    <s v="GENERAL LIABILITY"/>
    <s v="LIABILITIES"/>
    <x v="5"/>
    <s v="MAYFAIR"/>
    <n v="0"/>
    <n v="2408.8200000000002"/>
    <n v="0"/>
    <n v="0"/>
    <n v="40"/>
    <n v="2001.37"/>
    <n v="326.62"/>
    <e v="#DIV/0!"/>
    <n v="0.15"/>
    <n v="300.20549999999997"/>
    <n v="0"/>
    <n v="0"/>
    <n v="0"/>
    <n v="300.20549999999997"/>
    <n v="48.032879999999999"/>
    <n v="348.23837999999995"/>
    <n v="6.0041099999999998"/>
    <n v="0"/>
    <n v="6.0041099999999998"/>
    <m/>
    <n v="294.20138999999995"/>
    <s v="Aucun"/>
    <m/>
    <n v="0"/>
    <m/>
    <m/>
    <n v="0"/>
    <m/>
    <n v="348.23837999999995"/>
    <n v="348.23837999999995"/>
    <n v="0"/>
    <s v="MAYFAIR"/>
    <d v="2023-11-01T00:00:00"/>
    <m/>
    <m/>
    <m/>
    <m/>
    <m/>
    <m/>
  </r>
  <r>
    <x v="8"/>
    <s v="Yes"/>
    <d v="2023-08-30T00:00:00"/>
    <d v="2023-09-21T00:00:00"/>
    <d v="2023-09-20T00:00:00"/>
    <d v="2024-09-19T00:00:00"/>
    <s v="000-729/AIB RDC/2023"/>
    <n v="0"/>
    <s v="SOUSCRIPTION"/>
    <s v="12002-33002-0002-112-00023158-2023"/>
    <s v="Glencore / Mutanda Mining"/>
    <s v="Mining"/>
    <s v="ANDY"/>
    <s v="Sabrina"/>
    <s v="FIRE"/>
    <s v="PROPERTIES"/>
    <x v="0"/>
    <s v="SFA"/>
    <n v="1990000"/>
    <n v="2719.46"/>
    <n v="0"/>
    <n v="0"/>
    <n v="67.36"/>
    <n v="2277"/>
    <n v="375.1"/>
    <n v="1.1442211055276382E-3"/>
    <n v="0.1"/>
    <n v="227.70000000000002"/>
    <n v="0"/>
    <n v="0"/>
    <n v="0"/>
    <n v="227.70000000000002"/>
    <n v="36.432000000000002"/>
    <n v="264.13200000000001"/>
    <n v="4.5540000000000003"/>
    <n v="0"/>
    <n v="4.5540000000000003"/>
    <m/>
    <n v="223.14600000000002"/>
    <s v="Aucun"/>
    <m/>
    <n v="0"/>
    <m/>
    <m/>
    <n v="0"/>
    <m/>
    <n v="264.13200000000001"/>
    <n v="264.13200000000001"/>
    <n v="0"/>
    <s v="SFA"/>
    <d v="2023-10-17T00:00:00"/>
    <m/>
    <m/>
    <s v="FIRE"/>
    <m/>
    <m/>
    <m/>
  </r>
  <r>
    <x v="8"/>
    <s v="Yes"/>
    <d v="2023-08-31T00:00:00"/>
    <d v="2023-09-01T00:00:00"/>
    <d v="2023-09-01T00:00:00"/>
    <d v="2024-08-31T00:00:00"/>
    <s v="000-730/AIB RDC/2023"/>
    <n v="0"/>
    <s v="SOUSCRIPTION"/>
    <s v="12002-33002-0004-103-00022022-2023"/>
    <s v="Marucchi Esterina"/>
    <m/>
    <s v="ANDY"/>
    <s v="Sabrina"/>
    <s v="MOTOR TPL"/>
    <s v="MOTOR TPL"/>
    <x v="0"/>
    <s v="SFA"/>
    <n v="0"/>
    <n v="289.35000000000002"/>
    <n v="0"/>
    <n v="0"/>
    <n v="10.44"/>
    <n v="239"/>
    <n v="39.909999999999997"/>
    <e v="#DIV/0!"/>
    <n v="0.125"/>
    <n v="29.875"/>
    <n v="0"/>
    <n v="0"/>
    <n v="0"/>
    <n v="29.875"/>
    <n v="4.78"/>
    <n v="34.655000000000001"/>
    <n v="0.59750000000000003"/>
    <n v="0"/>
    <n v="0.59750000000000003"/>
    <m/>
    <n v="29.2775"/>
    <s v="Aucun"/>
    <m/>
    <n v="0"/>
    <m/>
    <m/>
    <n v="0"/>
    <m/>
    <n v="34.655000000000001"/>
    <n v="34.655000000000001"/>
    <n v="0"/>
    <s v="SFA"/>
    <d v="2023-10-17T00:00:00"/>
    <m/>
    <m/>
    <m/>
    <m/>
    <m/>
    <m/>
  </r>
  <r>
    <x v="8"/>
    <s v="Yes"/>
    <d v="2023-08-31T00:00:00"/>
    <d v="2023-09-08T00:00:00"/>
    <d v="2023-09-07T00:00:00"/>
    <d v="2024-09-06T00:00:00"/>
    <s v="000-731/AIB RDC/2023"/>
    <n v="0"/>
    <s v="SOUSCRIPTION"/>
    <s v="12002-33002-0004-103-00022280-2023"/>
    <s v="Teichmann Group / Kongo River"/>
    <s v="Mining"/>
    <s v="ANDY"/>
    <s v="Sabrina"/>
    <s v="MOTOR TPL"/>
    <s v="MOTOR TPL"/>
    <x v="0"/>
    <s v="SFA"/>
    <n v="0"/>
    <n v="37481.86"/>
    <n v="0"/>
    <n v="0"/>
    <n v="1299.95"/>
    <n v="31012"/>
    <n v="5169.21"/>
    <e v="#DIV/0!"/>
    <n v="0.1"/>
    <n v="3101.2000000000003"/>
    <n v="0"/>
    <n v="0"/>
    <n v="0"/>
    <n v="3101.2000000000003"/>
    <n v="496.19200000000006"/>
    <n v="3597.3920000000003"/>
    <n v="62.024000000000008"/>
    <n v="0"/>
    <n v="62.024000000000008"/>
    <m/>
    <n v="3039.1760000000004"/>
    <s v="O'NEILS"/>
    <n v="0.5"/>
    <n v="1519.5880000000002"/>
    <m/>
    <m/>
    <n v="1519.5880000000002"/>
    <m/>
    <n v="3597.3920000000003"/>
    <n v="3597.3920000000003"/>
    <n v="0"/>
    <s v="SFA"/>
    <d v="2023-10-17T00:00:00"/>
    <m/>
    <m/>
    <s v="MOTOR TPL"/>
    <m/>
    <m/>
    <m/>
  </r>
  <r>
    <x v="8"/>
    <s v="Yes"/>
    <d v="2023-08-31T00:00:00"/>
    <d v="2023-09-04T00:00:00"/>
    <d v="2023-09-08T00:00:00"/>
    <d v="2024-09-07T00:00:00"/>
    <s v="000-732/AIB RDC/2023"/>
    <n v="0"/>
    <s v="SOUSCRIPTION"/>
    <s v="12002-33002-0004-103-00022097-2023"/>
    <s v="Teichmann Group / Mashamba Enterprises"/>
    <m/>
    <s v="ANDY"/>
    <s v="Sabrina"/>
    <s v="MOTOR TPL"/>
    <s v="MOTOR TPL"/>
    <x v="0"/>
    <s v="SFA"/>
    <n v="0"/>
    <n v="14247.37"/>
    <n v="0"/>
    <n v="0"/>
    <n v="478.47"/>
    <n v="11803.75"/>
    <n v="1965.15"/>
    <e v="#DIV/0!"/>
    <n v="0.1"/>
    <n v="1180.375"/>
    <n v="0"/>
    <n v="0"/>
    <n v="0"/>
    <n v="1180.375"/>
    <n v="188.86"/>
    <n v="1369.2350000000001"/>
    <n v="23.607500000000002"/>
    <n v="0"/>
    <n v="23.607500000000002"/>
    <m/>
    <n v="1156.7674999999999"/>
    <s v="O'NEILS"/>
    <n v="0.5"/>
    <n v="578.38374999999996"/>
    <m/>
    <m/>
    <n v="578.38374999999996"/>
    <m/>
    <n v="1369.2350000000001"/>
    <n v="1369.2350000000001"/>
    <n v="0"/>
    <s v="SFA"/>
    <d v="2023-10-17T00:00:00"/>
    <m/>
    <m/>
    <m/>
    <m/>
    <m/>
    <m/>
  </r>
  <r>
    <x v="9"/>
    <s v="Yes"/>
    <d v="2023-09-06T00:00:00"/>
    <d v="2023-07-11T00:00:00"/>
    <d v="2023-07-11T00:00:00"/>
    <d v="2023-08-10T00:00:00"/>
    <s v="000-733/AIB RDC/2023"/>
    <n v="0"/>
    <s v="SOUSCRIPTION"/>
    <n v="70100043"/>
    <s v="ORICA / Bolloré"/>
    <m/>
    <s v="SYNTYCHE"/>
    <s v="David"/>
    <s v="MARINE CARGO / GIT"/>
    <s v="MARINE"/>
    <x v="6"/>
    <s v="RAWSUR"/>
    <n v="0"/>
    <n v="1575"/>
    <n v="0"/>
    <n v="0"/>
    <n v="296"/>
    <n v="1038.74"/>
    <n v="213.57"/>
    <e v="#DIV/0!"/>
    <n v="0.15"/>
    <n v="155.81100000000001"/>
    <n v="0"/>
    <n v="0"/>
    <n v="0"/>
    <n v="155.81100000000001"/>
    <n v="24.929760000000002"/>
    <n v="180.74076000000002"/>
    <n v="3.1162200000000002"/>
    <n v="0"/>
    <n v="3.1162200000000002"/>
    <m/>
    <n v="152.69478000000001"/>
    <s v="BOLLORE"/>
    <n v="0.4"/>
    <n v="61.077912000000005"/>
    <n v="61.077912000000005"/>
    <d v="2023-10-30T00:00:00"/>
    <n v="0"/>
    <m/>
    <n v="180.74076000000002"/>
    <n v="180.74076000000002"/>
    <n v="0"/>
    <s v="RAWSUR"/>
    <d v="2023-09-05T00:00:00"/>
    <m/>
    <m/>
    <m/>
    <m/>
    <m/>
    <m/>
  </r>
  <r>
    <x v="9"/>
    <s v="Yes"/>
    <d v="2023-09-06T00:00:00"/>
    <d v="2023-07-11T00:00:00"/>
    <d v="2023-07-11T00:00:00"/>
    <d v="2023-08-10T00:00:00"/>
    <s v="000-734/AIB RDC/2023"/>
    <n v="0"/>
    <s v="SOUSCRIPTION"/>
    <n v="70100042"/>
    <s v="ORICA / Bolloré"/>
    <m/>
    <s v="SYNTYCHE"/>
    <s v="David"/>
    <s v="MARINE CARGO / GIT"/>
    <s v="MARINE"/>
    <x v="6"/>
    <s v="RAWSUR"/>
    <n v="0"/>
    <n v="871.28"/>
    <n v="0"/>
    <n v="0"/>
    <n v="148"/>
    <n v="590.37"/>
    <n v="118.13"/>
    <e v="#DIV/0!"/>
    <n v="0.15"/>
    <n v="88.555499999999995"/>
    <n v="0"/>
    <n v="0"/>
    <n v="0"/>
    <n v="88.555499999999995"/>
    <n v="14.16888"/>
    <n v="102.72438"/>
    <n v="1.77111"/>
    <n v="0"/>
    <n v="1.77111"/>
    <m/>
    <n v="86.784390000000002"/>
    <s v="BOLLORE"/>
    <n v="0.4"/>
    <n v="34.713756000000004"/>
    <n v="34.713756000000004"/>
    <d v="2023-10-30T00:00:00"/>
    <n v="0"/>
    <m/>
    <n v="102.72438"/>
    <n v="102.72438"/>
    <n v="0"/>
    <s v="RAWSUR"/>
    <d v="2023-09-05T00:00:00"/>
    <m/>
    <m/>
    <m/>
    <m/>
    <m/>
    <m/>
  </r>
  <r>
    <x v="9"/>
    <s v="Yes"/>
    <d v="2023-09-06T00:00:00"/>
    <d v="2023-07-11T00:00:00"/>
    <d v="2023-07-11T00:00:00"/>
    <d v="2023-08-10T00:00:00"/>
    <s v="000-735/AIB RDC/2023"/>
    <n v="0"/>
    <s v="SOUSCRIPTION"/>
    <n v="70100041"/>
    <s v="ORICA / Bolloré"/>
    <m/>
    <s v="SYNTYCHE"/>
    <s v="David"/>
    <s v="MARINE CARGO / GIT"/>
    <s v="MARINE"/>
    <x v="6"/>
    <s v="RAWSUR"/>
    <n v="0"/>
    <n v="330.57"/>
    <n v="0"/>
    <n v="0"/>
    <n v="37"/>
    <n v="243.15"/>
    <n v="44.82"/>
    <e v="#DIV/0!"/>
    <n v="0.15"/>
    <n v="36.472499999999997"/>
    <n v="0"/>
    <n v="0"/>
    <n v="0"/>
    <n v="36.472499999999997"/>
    <n v="5.8355999999999995"/>
    <n v="42.308099999999996"/>
    <n v="0.72944999999999993"/>
    <n v="0"/>
    <n v="0.72944999999999993"/>
    <m/>
    <n v="35.743049999999997"/>
    <s v="BOLLORE"/>
    <n v="0.4"/>
    <n v="14.297219999999999"/>
    <n v="14.297219999999999"/>
    <d v="2023-10-30T00:00:00"/>
    <n v="0"/>
    <m/>
    <n v="42.308099999999996"/>
    <n v="42.308099999999996"/>
    <n v="0"/>
    <s v="RAWSUR"/>
    <d v="2023-09-05T00:00:00"/>
    <m/>
    <m/>
    <m/>
    <m/>
    <m/>
    <m/>
  </r>
  <r>
    <x v="9"/>
    <s v="Yes"/>
    <d v="2023-09-06T00:00:00"/>
    <d v="2023-07-11T00:00:00"/>
    <d v="2023-07-11T00:00:00"/>
    <d v="2023-08-10T00:00:00"/>
    <s v="000-736/AIB RDC/2023"/>
    <n v="0"/>
    <s v="SOUSCRIPTION"/>
    <n v="70100040"/>
    <s v="ORICA / Bolloré"/>
    <m/>
    <s v="SYNTYCHE"/>
    <s v="David"/>
    <s v="MARINE CARGO / GIT"/>
    <s v="MARINE"/>
    <x v="6"/>
    <s v="RAWSUR"/>
    <n v="0"/>
    <n v="367.17"/>
    <n v="0"/>
    <n v="0"/>
    <n v="37"/>
    <n v="274.16000000000003"/>
    <n v="49.79"/>
    <e v="#DIV/0!"/>
    <n v="0.15"/>
    <n v="41.124000000000002"/>
    <n v="0"/>
    <n v="0"/>
    <n v="0"/>
    <n v="41.124000000000002"/>
    <n v="6.5798400000000008"/>
    <n v="47.70384"/>
    <n v="0.8224800000000001"/>
    <n v="0"/>
    <n v="0.8224800000000001"/>
    <m/>
    <n v="40.301520000000004"/>
    <s v="BOLLORE"/>
    <n v="0.4"/>
    <n v="16.120608000000001"/>
    <n v="16.120608000000001"/>
    <d v="2023-10-30T00:00:00"/>
    <n v="0"/>
    <m/>
    <n v="47.70384"/>
    <n v="47.70384"/>
    <n v="0"/>
    <s v="RAWSUR"/>
    <d v="2023-09-05T00:00:00"/>
    <m/>
    <m/>
    <m/>
    <m/>
    <m/>
    <m/>
  </r>
  <r>
    <x v="9"/>
    <s v="Yes"/>
    <d v="2023-09-06T00:00:00"/>
    <d v="2023-07-11T00:00:00"/>
    <d v="2023-07-11T00:00:00"/>
    <d v="2023-08-10T00:00:00"/>
    <s v="000-737/AIB RDC/2023"/>
    <n v="0"/>
    <s v="SOUSCRIPTION"/>
    <n v="70100039"/>
    <s v="ORICA / Bolloré"/>
    <m/>
    <s v="SYNTYCHE"/>
    <s v="David"/>
    <s v="MARINE CARGO / GIT"/>
    <s v="MARINE"/>
    <x v="6"/>
    <s v="RAWSUR"/>
    <n v="0"/>
    <n v="2131.9299999999998"/>
    <n v="0"/>
    <n v="0"/>
    <n v="370"/>
    <n v="1436.72"/>
    <n v="289.08999999999997"/>
    <e v="#DIV/0!"/>
    <n v="0.15"/>
    <n v="215.50800000000001"/>
    <n v="0"/>
    <n v="0"/>
    <n v="0"/>
    <n v="215.50800000000001"/>
    <n v="34.481280000000005"/>
    <n v="249.98928000000001"/>
    <n v="4.3101600000000007"/>
    <n v="0"/>
    <n v="4.3101600000000007"/>
    <m/>
    <n v="211.19784000000001"/>
    <s v="BOLLORE"/>
    <n v="0.4"/>
    <n v="84.479136000000011"/>
    <n v="84.479136000000011"/>
    <d v="2023-10-30T00:00:00"/>
    <n v="0"/>
    <m/>
    <n v="249.98928000000001"/>
    <n v="249.98928000000001"/>
    <n v="0"/>
    <s v="RAWSUR"/>
    <d v="2023-09-05T00:00:00"/>
    <m/>
    <m/>
    <m/>
    <m/>
    <m/>
    <m/>
  </r>
  <r>
    <x v="9"/>
    <s v="Yes"/>
    <d v="2023-09-06T00:00:00"/>
    <d v="2023-07-11T00:00:00"/>
    <d v="2023-07-11T00:00:00"/>
    <d v="2023-08-10T00:00:00"/>
    <s v="000-738/AIB RDC/2023"/>
    <n v="0"/>
    <s v="SOUSCRIPTION"/>
    <n v="70100044"/>
    <s v="ORICA / Bolloré"/>
    <m/>
    <s v="SYNTYCHE"/>
    <s v="David"/>
    <s v="MARINE CARGO / GIT"/>
    <s v="MARINE"/>
    <x v="6"/>
    <s v="RAWSUR"/>
    <n v="0"/>
    <n v="1638.56"/>
    <n v="0"/>
    <n v="0"/>
    <n v="333"/>
    <n v="1055.5999999999999"/>
    <n v="222.18"/>
    <e v="#DIV/0!"/>
    <n v="0.15"/>
    <n v="158.33999999999997"/>
    <n v="0"/>
    <n v="0"/>
    <n v="0"/>
    <n v="158.33999999999997"/>
    <n v="25.334399999999995"/>
    <n v="183.67439999999996"/>
    <n v="3.1667999999999994"/>
    <n v="0"/>
    <n v="3.1667999999999994"/>
    <m/>
    <n v="155.17319999999998"/>
    <s v="BOLLORE"/>
    <n v="0.4"/>
    <n v="62.069279999999992"/>
    <n v="62.069279999999992"/>
    <d v="2023-10-30T00:00:00"/>
    <n v="0"/>
    <m/>
    <n v="183.67439999999996"/>
    <n v="183.67439999999996"/>
    <n v="0"/>
    <s v="RAWSUR"/>
    <d v="2023-09-05T00:00:00"/>
    <m/>
    <m/>
    <m/>
    <m/>
    <m/>
    <m/>
  </r>
  <r>
    <x v="7"/>
    <s v="Yes"/>
    <d v="2023-08-31T00:00:00"/>
    <d v="2023-10-11T00:00:00"/>
    <d v="2023-10-11T00:00:00"/>
    <d v="2024-10-10T00:00:00"/>
    <s v="000-739/AIB RDC/2023"/>
    <n v="1"/>
    <s v="RENOUVELLEMENT"/>
    <n v="2022990768"/>
    <s v="EASTCASTLE INFRASTRUCTURE DRC SARLU"/>
    <m/>
    <s v="ALICE"/>
    <s v="Alice"/>
    <s v="LIFE"/>
    <s v="LIFE"/>
    <x v="8"/>
    <s v="ACTIVA - LIFE"/>
    <n v="0"/>
    <n v="43359.66"/>
    <n v="0"/>
    <n v="0"/>
    <n v="80"/>
    <n v="43279.66"/>
    <n v="0"/>
    <e v="#DIV/0!"/>
    <n v="0.1"/>
    <n v="4327.9660000000003"/>
    <n v="0"/>
    <n v="0"/>
    <n v="0"/>
    <n v="4327.9660000000003"/>
    <n v="0"/>
    <n v="4327.9660000000003"/>
    <n v="43.279660000000007"/>
    <n v="0"/>
    <n v="43.279660000000007"/>
    <m/>
    <n v="4284.6863400000002"/>
    <s v="MERCER"/>
    <n v="0.7"/>
    <n v="2999.2804379999998"/>
    <m/>
    <m/>
    <n v="2999.2804379999998"/>
    <m/>
    <m/>
    <n v="4327.9660000000003"/>
    <n v="4327.9660000000003"/>
    <s v="ACTIVA - LIFE"/>
    <m/>
    <m/>
    <m/>
    <s v="LIFE"/>
    <m/>
    <m/>
    <m/>
  </r>
  <r>
    <x v="9"/>
    <s v="Yes"/>
    <d v="2023-08-21T00:00:00"/>
    <d v="2023-08-21T00:00:00"/>
    <d v="2023-08-19T00:00:00"/>
    <d v="2024-08-18T00:00:00"/>
    <s v="000-740/AIB RDC/2023"/>
    <n v="1"/>
    <s v="RENOUVELLEMENT"/>
    <s v="12001-33002-0005-113-00002774-2022"/>
    <s v="First BANK DRC SA"/>
    <m/>
    <s v="ALICE"/>
    <s v="Alice"/>
    <s v="D&amp;O"/>
    <s v="LIABILITIES"/>
    <x v="1"/>
    <s v="ACTIVA"/>
    <n v="5000000"/>
    <n v="40258.82"/>
    <n v="5117.6499999999996"/>
    <n v="0"/>
    <n v="0"/>
    <n v="34177.65"/>
    <n v="5468.42"/>
    <n v="6.8355300000000003E-3"/>
    <n v="0.135255642210626"/>
    <n v="4622.7200000000021"/>
    <n v="1535.2949999999998"/>
    <n v="1200"/>
    <n v="0"/>
    <n v="7358.0150000000021"/>
    <n v="1177.2824000000003"/>
    <n v="8535.2974000000031"/>
    <n v="147.16030000000003"/>
    <n v="0"/>
    <n v="147.16030000000003"/>
    <m/>
    <n v="7210.8547000000017"/>
    <s v="Aucun"/>
    <m/>
    <n v="0"/>
    <m/>
    <m/>
    <n v="0"/>
    <m/>
    <n v="8535.2973999999995"/>
    <n v="8535.2974000000031"/>
    <n v="0"/>
    <s v="ACTIVA"/>
    <d v="2023-11-08T00:00:00"/>
    <m/>
    <m/>
    <m/>
    <m/>
    <m/>
    <m/>
  </r>
  <r>
    <x v="8"/>
    <s v="Yes"/>
    <d v="2023-09-05T00:00:00"/>
    <d v="2023-09-05T00:00:00"/>
    <d v="2023-09-01T00:00:00"/>
    <d v="2024-08-31T00:00:00"/>
    <s v="000-741/AIB RDC/2023"/>
    <n v="0"/>
    <s v="SOUSCRIPTION"/>
    <s v="11001-33002-0001-207-00000016-2023"/>
    <s v="PATH"/>
    <m/>
    <s v="ALICE"/>
    <s v="Alice"/>
    <s v="LIFE"/>
    <s v="LIFE"/>
    <x v="3"/>
    <s v="RAWSUR - LIFE"/>
    <n v="0"/>
    <n v="26036.79"/>
    <n v="0"/>
    <n v="0"/>
    <n v="257.79000000000002"/>
    <n v="25779"/>
    <n v="0"/>
    <e v="#DIV/0!"/>
    <n v="0.1"/>
    <n v="2577.9"/>
    <n v="0"/>
    <n v="0"/>
    <n v="0"/>
    <n v="2577.9"/>
    <n v="0"/>
    <n v="2577.9"/>
    <n v="25.779"/>
    <n v="0"/>
    <n v="25.779"/>
    <m/>
    <n v="2552.1210000000001"/>
    <s v="MERCER"/>
    <n v="0.7"/>
    <n v="1786.4847"/>
    <m/>
    <m/>
    <n v="1786.4847"/>
    <m/>
    <n v="2577.9"/>
    <n v="2577.9"/>
    <n v="0"/>
    <s v="RAWSUR - LIFE"/>
    <d v="2023-11-10T00:00:00"/>
    <m/>
    <m/>
    <m/>
    <m/>
    <m/>
    <m/>
  </r>
  <r>
    <x v="0"/>
    <s v="Yes"/>
    <d v="2023-09-08T00:00:00"/>
    <d v="2023-06-28T00:00:00"/>
    <d v="2023-01-01T00:00:00"/>
    <d v="2023-01-01T00:00:00"/>
    <s v="000-742/AIB RDC/2023"/>
    <n v="1"/>
    <s v="RESILIATION"/>
    <s v="00017008"/>
    <s v="Shoprite"/>
    <m/>
    <s v="SYNTYCHE"/>
    <s v="Syntyche"/>
    <s v="MOTOR TPL"/>
    <s v="MOTOR TPL"/>
    <x v="0"/>
    <s v="SFA"/>
    <n v="0"/>
    <n v="-512.12"/>
    <n v="0"/>
    <n v="0"/>
    <n v="0"/>
    <n v="-441.48"/>
    <n v="-70.64"/>
    <e v="#DIV/0!"/>
    <n v="0.1"/>
    <n v="-44.148000000000003"/>
    <n v="0"/>
    <n v="0"/>
    <n v="0"/>
    <n v="-44.148000000000003"/>
    <n v="-7.0636800000000006"/>
    <n v="-51.211680000000001"/>
    <n v="-0.88296000000000008"/>
    <n v="0"/>
    <n v="-0.88296000000000008"/>
    <m/>
    <n v="-43.265040000000006"/>
    <s v="MARSH"/>
    <m/>
    <n v="0"/>
    <m/>
    <m/>
    <n v="0"/>
    <m/>
    <n v="-51.211680000000001"/>
    <n v="-51.211680000000001"/>
    <n v="0"/>
    <s v="SFA"/>
    <d v="2023-09-28T00:00:00"/>
    <s v="ND0092/AIB RDC/2023"/>
    <m/>
    <m/>
    <m/>
    <m/>
    <m/>
  </r>
  <r>
    <x v="7"/>
    <s v="Yes"/>
    <d v="2023-08-31T00:00:00"/>
    <d v="2023-07-26T00:00:00"/>
    <d v="2023-07-26T00:00:00"/>
    <d v="2023-08-16T00:00:00"/>
    <s v="000-743/AIB RDC/2023"/>
    <n v="1"/>
    <s v="RISTOURNE"/>
    <s v="12002-33002-0002-112-00016892-2022"/>
    <s v="Mme CONTI"/>
    <m/>
    <s v="SYNTYCHE"/>
    <s v="Grâce"/>
    <s v="FIRE"/>
    <s v="PROPERTIES"/>
    <x v="0"/>
    <s v="SFA"/>
    <n v="0"/>
    <n v="-210.09"/>
    <n v="0"/>
    <n v="0"/>
    <n v="0"/>
    <n v="-181.11"/>
    <n v="-28.98"/>
    <e v="#DIV/0!"/>
    <n v="0.1"/>
    <n v="-18.111000000000001"/>
    <n v="0"/>
    <n v="0"/>
    <n v="0"/>
    <n v="-18.111000000000001"/>
    <n v="-2.8977600000000003"/>
    <n v="-21.008760000000002"/>
    <n v="-0.36222000000000004"/>
    <n v="0"/>
    <n v="-0.36222000000000004"/>
    <m/>
    <n v="-17.74878"/>
    <m/>
    <m/>
    <n v="0"/>
    <m/>
    <m/>
    <n v="0"/>
    <m/>
    <n v="-21.008760000000002"/>
    <n v="-21.008760000000002"/>
    <n v="0"/>
    <s v="SFA"/>
    <d v="2023-09-28T00:00:00"/>
    <s v="ND0092/AIB RDC/2023"/>
    <m/>
    <m/>
    <m/>
    <m/>
    <m/>
  </r>
  <r>
    <x v="7"/>
    <s v="Yes"/>
    <d v="2023-08-31T00:00:00"/>
    <d v="2023-07-26T00:00:00"/>
    <d v="2023-07-26T00:00:00"/>
    <d v="2023-08-21T00:00:00"/>
    <s v="000-744/AIB RDC/2023"/>
    <n v="1"/>
    <s v="RISTOURNE"/>
    <s v="12002-33002-0002-112-00016893-2022"/>
    <s v="TRANS AIR CARGO"/>
    <m/>
    <s v="SYNTYCHE"/>
    <s v="Grâce"/>
    <s v="FIRE"/>
    <s v="PROPERTIES"/>
    <x v="0"/>
    <s v="SFA"/>
    <n v="0"/>
    <n v="-335.73"/>
    <n v="0"/>
    <n v="0"/>
    <n v="0"/>
    <n v="-289.42"/>
    <n v="-46.31"/>
    <e v="#DIV/0!"/>
    <n v="0.1"/>
    <n v="-28.942000000000004"/>
    <n v="0"/>
    <n v="0"/>
    <n v="0"/>
    <n v="-28.942000000000004"/>
    <n v="-4.6307200000000011"/>
    <n v="-33.572720000000004"/>
    <n v="-0.57884000000000013"/>
    <n v="0"/>
    <n v="-0.57884000000000013"/>
    <m/>
    <n v="-28.363160000000004"/>
    <m/>
    <m/>
    <n v="0"/>
    <m/>
    <m/>
    <n v="0"/>
    <m/>
    <n v="-33.572720000000004"/>
    <n v="-33.572720000000004"/>
    <n v="0"/>
    <s v="SFA"/>
    <d v="2023-09-28T00:00:00"/>
    <s v="ND0092/AIB RDC/2023"/>
    <m/>
    <m/>
    <m/>
    <m/>
    <m/>
  </r>
  <r>
    <x v="3"/>
    <s v="Yes"/>
    <d v="2023-09-08T00:00:00"/>
    <d v="2023-08-03T00:00:00"/>
    <d v="2023-06-30T00:00:00"/>
    <d v="2024-06-29T00:00:00"/>
    <s v="000-745/AIB RDC/2023"/>
    <n v="2"/>
    <s v="RENOUVELLEMENT"/>
    <n v="60100010"/>
    <s v="Glencore / Mutanda Mining"/>
    <s v="Mining"/>
    <s v="ANDY"/>
    <s v="Andy"/>
    <s v="GENERAL LIABILITY"/>
    <s v="LIABILITIES"/>
    <x v="6"/>
    <s v="MILLER"/>
    <n v="0"/>
    <n v="176122.83"/>
    <n v="22388.5"/>
    <n v="-9979.36"/>
    <n v="0"/>
    <n v="126868.14"/>
    <n v="23881.06"/>
    <e v="#DIV/0!"/>
    <n v="0"/>
    <n v="0"/>
    <n v="3722.7419999999997"/>
    <n v="0"/>
    <n v="0"/>
    <n v="3722.7419999999997"/>
    <n v="595.63871999999992"/>
    <n v="4318.3807199999992"/>
    <n v="74.45483999999999"/>
    <n v="0"/>
    <n v="74.45483999999999"/>
    <m/>
    <n v="3648.2871599999999"/>
    <m/>
    <m/>
    <n v="0"/>
    <m/>
    <m/>
    <n v="0"/>
    <m/>
    <n v="4318.3807199999992"/>
    <n v="4318.3807199999992"/>
    <n v="0"/>
    <s v="RAWSUR"/>
    <d v="2023-10-20T00:00:00"/>
    <m/>
    <m/>
    <m/>
    <m/>
    <m/>
    <m/>
  </r>
  <r>
    <x v="7"/>
    <s v="Yes"/>
    <d v="2023-09-08T00:00:00"/>
    <d v="2023-08-01T00:00:00"/>
    <d v="2023-07-20T00:00:00"/>
    <d v="2024-07-19T00:00:00"/>
    <s v="000-746/AIB RDC/2023"/>
    <n v="1"/>
    <s v="RENOUVELLEMENT"/>
    <s v="301/42000014"/>
    <s v="MARSAVCO"/>
    <m/>
    <s v="ALICE"/>
    <s v="Alice"/>
    <s v="FIRE"/>
    <s v="PROPERTIES"/>
    <x v="6"/>
    <s v="RAWSUR"/>
    <n v="0"/>
    <n v="99051.42"/>
    <n v="0"/>
    <n v="0"/>
    <n v="100"/>
    <n v="97099.23"/>
    <n v="0"/>
    <e v="#DIV/0!"/>
    <n v="5.5500028167061698E-2"/>
    <n v="5389.010000000002"/>
    <n v="0"/>
    <n v="0"/>
    <n v="0"/>
    <n v="5389.010000000002"/>
    <n v="862.24160000000029"/>
    <n v="6251.2516000000023"/>
    <n v="107.78020000000004"/>
    <n v="0"/>
    <n v="107.78020000000004"/>
    <m/>
    <n v="5281.2298000000019"/>
    <m/>
    <m/>
    <n v="0"/>
    <m/>
    <m/>
    <n v="0"/>
    <m/>
    <n v="6251.2516000000023"/>
    <n v="6251.2516000000023"/>
    <n v="0"/>
    <s v="RAWSUR"/>
    <d v="2023-10-20T00:00:00"/>
    <m/>
    <m/>
    <m/>
    <m/>
    <m/>
    <m/>
  </r>
  <r>
    <x v="7"/>
    <s v="Yes"/>
    <d v="2023-09-08T00:00:00"/>
    <d v="2023-08-22T00:00:00"/>
    <d v="2023-07-20T00:00:00"/>
    <d v="2024-07-19T00:00:00"/>
    <s v="000-747/AIB RDC/2023"/>
    <n v="2"/>
    <s v="INCORPORATION"/>
    <s v="301/42000014"/>
    <s v="MARSAVCO"/>
    <m/>
    <s v="ALICE"/>
    <s v="Alice"/>
    <s v="FIRE"/>
    <s v="PROPERTIES"/>
    <x v="6"/>
    <s v="RAWSUR"/>
    <n v="0"/>
    <n v="99051.14"/>
    <n v="0"/>
    <n v="0"/>
    <n v="0"/>
    <n v="97008.960000000006"/>
    <n v="0"/>
    <e v="#DIV/0!"/>
    <n v="5.5500028038647099E-2"/>
    <n v="5383.9999999999955"/>
    <n v="0"/>
    <n v="0"/>
    <n v="0"/>
    <n v="5383.9999999999955"/>
    <n v="861.43999999999926"/>
    <n v="6245.4399999999951"/>
    <n v="107.67999999999991"/>
    <n v="0"/>
    <n v="107.67999999999991"/>
    <m/>
    <n v="5276.3199999999952"/>
    <m/>
    <m/>
    <n v="0"/>
    <m/>
    <m/>
    <n v="0"/>
    <m/>
    <n v="6245.4399999999951"/>
    <n v="6245.4399999999951"/>
    <n v="0"/>
    <s v="RAWSUR"/>
    <d v="2023-10-20T00:00:00"/>
    <m/>
    <m/>
    <m/>
    <m/>
    <m/>
    <m/>
  </r>
  <r>
    <x v="3"/>
    <s v="Yes"/>
    <d v="2023-09-08T00:00:00"/>
    <d v="2023-08-09T00:00:00"/>
    <d v="2023-06-23T00:00:00"/>
    <d v="2023-08-14T00:00:00"/>
    <s v="000-748/AIB RDC/2023"/>
    <n v="4"/>
    <s v="INCORPORATION"/>
    <n v="73200022"/>
    <s v="ORANGE COMPUTERS"/>
    <m/>
    <s v="ALICE"/>
    <s v="Apphia"/>
    <s v="MARINE CARGO / GIT"/>
    <s v="MARINE"/>
    <x v="6"/>
    <s v="RAWSUR"/>
    <n v="0"/>
    <n v="20000"/>
    <n v="0"/>
    <n v="0"/>
    <n v="1147"/>
    <n v="15802.16"/>
    <n v="2711.87"/>
    <e v="#DIV/0!"/>
    <n v="0.15"/>
    <n v="2370.3240000000001"/>
    <n v="0"/>
    <n v="0"/>
    <n v="0"/>
    <n v="2370.3240000000001"/>
    <n v="379.25184000000002"/>
    <n v="2749.57584"/>
    <n v="47.406480000000002"/>
    <n v="0"/>
    <n v="47.406480000000002"/>
    <m/>
    <n v="2322.91752"/>
    <m/>
    <m/>
    <n v="0"/>
    <m/>
    <m/>
    <n v="0"/>
    <m/>
    <n v="2749.57584"/>
    <n v="2749.57584"/>
    <n v="0"/>
    <s v="RAWSUR"/>
    <d v="2023-10-20T00:00:00"/>
    <m/>
    <m/>
    <m/>
    <m/>
    <m/>
    <m/>
  </r>
  <r>
    <x v="9"/>
    <s v="Yes"/>
    <d v="2023-09-08T00:00:00"/>
    <d v="2023-08-22T00:00:00"/>
    <d v="2023-08-18T00:00:00"/>
    <d v="2024-08-14T00:00:00"/>
    <s v="000-749/AIB RDC/2023"/>
    <n v="5"/>
    <s v="RENOUVELLEMENT"/>
    <n v="73200022"/>
    <s v="ORANGE COMPUTERS"/>
    <m/>
    <s v="ALICE"/>
    <s v="Apphia"/>
    <s v="MARINE CARGO / GIT"/>
    <s v="MARINE"/>
    <x v="6"/>
    <s v="RAWSUR"/>
    <n v="0"/>
    <n v="20100"/>
    <n v="0"/>
    <n v="0"/>
    <n v="1480"/>
    <n v="15553.9"/>
    <n v="2725.42"/>
    <e v="#DIV/0!"/>
    <n v="0.15"/>
    <n v="2333.085"/>
    <n v="0"/>
    <n v="0"/>
    <n v="0"/>
    <n v="2333.085"/>
    <n v="373.29360000000003"/>
    <n v="2706.3786"/>
    <n v="46.661700000000003"/>
    <n v="0"/>
    <n v="46.661700000000003"/>
    <m/>
    <n v="2286.4232999999999"/>
    <m/>
    <m/>
    <n v="0"/>
    <m/>
    <m/>
    <n v="0"/>
    <m/>
    <n v="2706.3786"/>
    <n v="2706.3786"/>
    <n v="0"/>
    <s v="RAWSUR"/>
    <d v="2023-10-20T00:00:00"/>
    <m/>
    <m/>
    <m/>
    <m/>
    <m/>
    <m/>
  </r>
  <r>
    <x v="7"/>
    <s v="Yes"/>
    <d v="2023-09-08T00:00:00"/>
    <d v="2023-08-29T00:00:00"/>
    <d v="2023-07-05T00:00:00"/>
    <d v="2024-02-19T00:00:00"/>
    <s v="000-750/AIB RDC/2023"/>
    <n v="3"/>
    <s v="INCORPORATION"/>
    <s v="33002-0017-104-0005032 / 0002"/>
    <s v="Bolloré Transport &amp; Logistics"/>
    <s v="Transport"/>
    <s v="SYNTYCHE"/>
    <s v="Syntyche"/>
    <s v="COMP MOTOR"/>
    <s v="MOTOR COMP"/>
    <x v="4"/>
    <s v="SUNU"/>
    <n v="0"/>
    <n v="3695.54"/>
    <n v="0"/>
    <n v="0"/>
    <n v="31.54"/>
    <n v="3154.26"/>
    <n v="509.74"/>
    <e v="#DIV/0!"/>
    <n v="0.15"/>
    <n v="473.13900000000001"/>
    <n v="0"/>
    <n v="0"/>
    <n v="0"/>
    <n v="473.13900000000001"/>
    <n v="75.702240000000003"/>
    <n v="548.84123999999997"/>
    <n v="9.4627800000000004"/>
    <n v="0"/>
    <n v="9.4627800000000004"/>
    <m/>
    <n v="463.67622"/>
    <s v="OLEA"/>
    <m/>
    <n v="0"/>
    <m/>
    <m/>
    <n v="0"/>
    <m/>
    <n v="548.84123999999997"/>
    <n v="548.84123999999997"/>
    <n v="0"/>
    <s v="SUNU"/>
    <d v="2023-10-19T00:00:00"/>
    <m/>
    <m/>
    <m/>
    <m/>
    <m/>
    <m/>
  </r>
  <r>
    <x v="7"/>
    <s v="Yes"/>
    <d v="2023-08-02T00:00:00"/>
    <d v="2023-07-17T00:00:00"/>
    <d v="2023-07-07T00:00:00"/>
    <d v="2024-07-06T00:00:00"/>
    <s v="000-751/AIB RDC/2023"/>
    <n v="5"/>
    <s v="RENOUVELLEMENT"/>
    <s v="12003-33002-0012-108-00000001-2022 / 75600001"/>
    <s v="MALU AVIATION (9S GKN)"/>
    <s v="Aviation"/>
    <s v="SYNTYCHE"/>
    <s v="Grâce"/>
    <s v="AVIATION HULL ALL RISK"/>
    <s v="AVIATION"/>
    <x v="6"/>
    <s v="RAWSUR"/>
    <n v="0"/>
    <n v="183839.52"/>
    <n v="23354.43"/>
    <n v="0"/>
    <n v="100"/>
    <n v="123000"/>
    <n v="24927.39"/>
    <e v="#DIV/0!"/>
    <n v="0"/>
    <n v="0"/>
    <n v="5838.6099999999951"/>
    <n v="9341.7699999999968"/>
    <n v="0"/>
    <n v="15180.379999999992"/>
    <n v="2428.8607999999986"/>
    <n v="17609.240799999992"/>
    <n v="303.60759999999982"/>
    <n v="0"/>
    <n v="303.60759999999982"/>
    <m/>
    <n v="14876.772399999993"/>
    <m/>
    <m/>
    <n v="0"/>
    <m/>
    <m/>
    <n v="0"/>
    <m/>
    <n v="8804.7099999999991"/>
    <n v="17609.240799999992"/>
    <n v="8804.5307999999932"/>
    <s v="RAWSUR"/>
    <d v="2023-11-10T00:00:00"/>
    <m/>
    <m/>
    <m/>
    <m/>
    <m/>
    <m/>
  </r>
  <r>
    <x v="7"/>
    <s v="No"/>
    <d v="2023-09-11T00:00:00"/>
    <d v="2023-07-17T00:00:00"/>
    <d v="2023-07-17T00:00:00"/>
    <d v="2024-07-16T00:00:00"/>
    <s v="000-752/AIB RDC/2023"/>
    <n v="1"/>
    <s v="RENOUVELLEMENT"/>
    <s v="12005-0022-13001-00003089-2022"/>
    <s v="ZAHIRA SARL"/>
    <m/>
    <s v="MICHEE"/>
    <s v="Tychique"/>
    <s v="PVT"/>
    <s v="POLITICAL VIOLENCE"/>
    <x v="5"/>
    <s v="MAYFAIR"/>
    <n v="0"/>
    <n v="12334.47"/>
    <n v="0"/>
    <n v="0"/>
    <n v="100"/>
    <n v="10352.94"/>
    <n v="1672.47"/>
    <e v="#DIV/0!"/>
    <n v="0.15"/>
    <n v="1552.941"/>
    <n v="0"/>
    <n v="0"/>
    <n v="0"/>
    <n v="1552.941"/>
    <n v="248.47056000000001"/>
    <n v="1801.41156"/>
    <n v="31.058820000000001"/>
    <n v="0"/>
    <n v="31.058820000000001"/>
    <m/>
    <n v="1521.8821800000001"/>
    <m/>
    <m/>
    <n v="0"/>
    <m/>
    <m/>
    <n v="0"/>
    <m/>
    <m/>
    <n v="1801.41156"/>
    <n v="1801.41156"/>
    <s v="MAYFAIR"/>
    <m/>
    <m/>
    <m/>
    <m/>
    <m/>
    <m/>
    <m/>
  </r>
  <r>
    <x v="7"/>
    <s v="No"/>
    <d v="2023-09-11T00:00:00"/>
    <d v="2023-07-17T00:00:00"/>
    <d v="2023-07-17T00:00:00"/>
    <d v="2024-07-16T00:00:00"/>
    <s v="000-753/AIB RDC/2023"/>
    <n v="1"/>
    <s v="RENOUVELLEMENT"/>
    <s v="12005-0022-13001-00003090-2022"/>
    <s v="PANAFRIQUE MOTORS SARL"/>
    <m/>
    <s v="MICHEE"/>
    <s v="Tychique"/>
    <s v="PVT"/>
    <s v="POLITICAL VIOLENCE"/>
    <x v="5"/>
    <s v="MAYFAIR"/>
    <n v="0"/>
    <n v="37532.639999999999"/>
    <n v="0"/>
    <n v="0"/>
    <n v="100"/>
    <n v="31707.32"/>
    <n v="5086.17"/>
    <e v="#DIV/0!"/>
    <n v="0.15"/>
    <n v="4756.098"/>
    <n v="0"/>
    <n v="0"/>
    <n v="0"/>
    <n v="4756.098"/>
    <n v="760.97568000000001"/>
    <n v="5517.0736799999995"/>
    <n v="95.121960000000001"/>
    <n v="0"/>
    <n v="95.121960000000001"/>
    <m/>
    <n v="4660.9760399999996"/>
    <m/>
    <m/>
    <n v="0"/>
    <m/>
    <m/>
    <n v="0"/>
    <m/>
    <m/>
    <n v="5517.0736799999995"/>
    <n v="5517.0736799999995"/>
    <s v="MAYFAIR"/>
    <m/>
    <m/>
    <m/>
    <m/>
    <m/>
    <m/>
    <m/>
  </r>
  <r>
    <x v="7"/>
    <s v="Yes"/>
    <d v="2023-09-12T00:00:00"/>
    <d v="2023-08-15T00:00:00"/>
    <d v="2023-07-01T00:00:00"/>
    <d v="2024-06-30T00:00:00"/>
    <s v="000-754/AIB RDC/2023"/>
    <n v="0"/>
    <s v="SOUSCRIPTION"/>
    <s v="12002-33002-0015-113-00021645-2023"/>
    <s v="TENKE FUNGURUME MINING SA avec Conseil d’Administration (TFM SA)"/>
    <s v="Mining"/>
    <s v="ANDY"/>
    <s v="Andy"/>
    <s v="D&amp;O"/>
    <s v="LIABILITIES"/>
    <x v="0"/>
    <s v="SFA"/>
    <n v="0"/>
    <n v="6440.15"/>
    <n v="0"/>
    <n v="0"/>
    <n v="141.85"/>
    <n v="5410"/>
    <n v="888.3"/>
    <e v="#DIV/0!"/>
    <n v="0.1"/>
    <n v="541"/>
    <n v="0"/>
    <n v="0"/>
    <n v="0"/>
    <n v="541"/>
    <n v="86.56"/>
    <n v="627.55999999999995"/>
    <n v="10.82"/>
    <n v="0"/>
    <n v="10.82"/>
    <m/>
    <n v="530.17999999999995"/>
    <m/>
    <m/>
    <n v="0"/>
    <m/>
    <m/>
    <n v="0"/>
    <m/>
    <n v="627.55999999999995"/>
    <n v="627.55999999999995"/>
    <n v="0"/>
    <s v="SFA"/>
    <d v="2023-09-28T00:00:00"/>
    <s v="ND0092/AIB RDC/2023"/>
    <m/>
    <m/>
    <m/>
    <m/>
    <m/>
  </r>
  <r>
    <x v="0"/>
    <s v="Yes"/>
    <d v="2023-09-12T00:00:00"/>
    <d v="2023-08-11T00:00:00"/>
    <d v="2023-01-01T00:00:00"/>
    <d v="2023-06-30T00:00:00"/>
    <s v="000-755/AIB RDC/2023"/>
    <n v="3"/>
    <s v="RESILIATION"/>
    <n v="45000001"/>
    <s v="Shoprite"/>
    <m/>
    <s v="SYNTYCHE"/>
    <s v="Syntyche"/>
    <s v="PROPERTY DAMAGE &amp; BI"/>
    <s v="PROPERTIES"/>
    <x v="6"/>
    <s v="RAWSUR"/>
    <n v="0"/>
    <n v="-15933.85"/>
    <n v="-2040.49"/>
    <n v="0"/>
    <n v="100"/>
    <n v="-10202.469999999999"/>
    <n v="-2160.52"/>
    <e v="#DIV/0!"/>
    <n v="0"/>
    <n v="0"/>
    <n v="-612.14699999999993"/>
    <n v="-1172.6972129310345"/>
    <n v="0"/>
    <n v="-1784.8442129310345"/>
    <n v="-285.57507406896553"/>
    <n v="-2070.4192870000002"/>
    <n v="-35.696884258620692"/>
    <n v="0"/>
    <n v="-35.696884258620692"/>
    <m/>
    <n v="-1749.1473286724138"/>
    <s v="MARSH"/>
    <m/>
    <n v="0"/>
    <m/>
    <m/>
    <n v="0"/>
    <m/>
    <n v="-2070.4192870000002"/>
    <n v="-2070.4192870000002"/>
    <n v="0"/>
    <s v="RAWSUR"/>
    <d v="2023-10-20T00:00:00"/>
    <m/>
    <m/>
    <m/>
    <m/>
    <m/>
    <m/>
  </r>
  <r>
    <x v="9"/>
    <s v="Yes"/>
    <d v="2023-09-12T00:00:00"/>
    <d v="2023-08-16T00:00:00"/>
    <d v="2023-08-15T00:00:00"/>
    <d v="2024-05-14T00:00:00"/>
    <s v="000-756/AIB RDC/2023"/>
    <n v="1"/>
    <s v="RENOUVELLEMENT"/>
    <n v="60100013"/>
    <s v="COBIL Aviation SA"/>
    <m/>
    <s v="ALICE"/>
    <s v="Alice"/>
    <s v="REFUELING LIABILITY"/>
    <s v="LIABILITIES"/>
    <x v="6"/>
    <s v="RAWSUR"/>
    <n v="0"/>
    <n v="50266.26"/>
    <n v="6386.03"/>
    <n v="0"/>
    <n v="25"/>
    <n v="36187.5"/>
    <n v="6815.76"/>
    <e v="#DIV/0!"/>
    <n v="0"/>
    <n v="0"/>
    <n v="1915.8089999999997"/>
    <n v="0"/>
    <n v="0"/>
    <n v="1915.8089999999997"/>
    <n v="306.52943999999997"/>
    <n v="2222.3384399999995"/>
    <n v="38.316179999999996"/>
    <n v="0"/>
    <n v="38.316179999999996"/>
    <m/>
    <n v="1877.4928199999997"/>
    <m/>
    <m/>
    <n v="0"/>
    <m/>
    <m/>
    <n v="0"/>
    <m/>
    <n v="2222.3384399999995"/>
    <n v="2222.3384399999995"/>
    <n v="0"/>
    <s v="RAWSUR"/>
    <d v="2023-10-20T00:00:00"/>
    <m/>
    <m/>
    <m/>
    <m/>
    <m/>
    <m/>
  </r>
  <r>
    <x v="9"/>
    <s v="Yes"/>
    <d v="2023-09-12T00:00:00"/>
    <d v="2023-08-08T00:00:00"/>
    <d v="2023-08-08T00:00:00"/>
    <d v="2023-09-07T00:00:00"/>
    <s v="000-757/AIB RDC/2023"/>
    <n v="0"/>
    <s v="SOUSCRIPTION"/>
    <n v="70100048"/>
    <s v="WUHUANG CONSTRUCTION ET COMMERCE RDC SAS ( WHCC) / Bolloré"/>
    <m/>
    <s v="SYNTYCHE"/>
    <s v="David"/>
    <s v="MARINE CARGO / GIT"/>
    <s v="MARINE"/>
    <x v="6"/>
    <s v="RAWSUR"/>
    <n v="0"/>
    <n v="2371.0500000000002"/>
    <n v="0"/>
    <n v="0"/>
    <n v="222"/>
    <n v="1787.38"/>
    <n v="321.5"/>
    <e v="#DIV/0!"/>
    <n v="0.15"/>
    <n v="268.10700000000003"/>
    <n v="0"/>
    <n v="0"/>
    <n v="0"/>
    <n v="268.10700000000003"/>
    <n v="42.897120000000008"/>
    <n v="311.00412000000006"/>
    <n v="5.362140000000001"/>
    <n v="0"/>
    <n v="5.362140000000001"/>
    <m/>
    <n v="262.74486000000002"/>
    <s v="BOLLORE"/>
    <n v="0.4"/>
    <n v="105.09794400000001"/>
    <m/>
    <m/>
    <n v="105.09794400000001"/>
    <m/>
    <n v="311.00412000000006"/>
    <n v="311.00412000000006"/>
    <n v="0"/>
    <s v="RAWSUR"/>
    <d v="2023-10-20T00:00:00"/>
    <m/>
    <s v="ONCE OFF"/>
    <s v="MARINE CARGO / GIT"/>
    <m/>
    <m/>
    <m/>
  </r>
  <r>
    <x v="10"/>
    <s v="Yes"/>
    <d v="2023-09-14T00:00:00"/>
    <d v="2023-09-08T00:00:00"/>
    <d v="2023-10-14T00:00:00"/>
    <d v="2023-10-21T00:00:00"/>
    <s v="000-758/AIB RDC/2023"/>
    <n v="0"/>
    <s v="SOUSCRIPTION"/>
    <n v="14400005"/>
    <s v="KABAMBA MULUMBA François"/>
    <s v="Person"/>
    <s v="ALICE"/>
    <s v="Apphia"/>
    <s v="TRAVEL"/>
    <s v="MEDICAL &amp; GPA"/>
    <x v="6"/>
    <s v="RAWSUR"/>
    <n v="0"/>
    <n v="45.2"/>
    <n v="0"/>
    <n v="0"/>
    <n v="2"/>
    <n v="36.299999999999997"/>
    <n v="6.13"/>
    <e v="#DIV/0!"/>
    <n v="0.2"/>
    <n v="7.26"/>
    <n v="0"/>
    <n v="0"/>
    <n v="0"/>
    <n v="7.26"/>
    <n v="1.1616"/>
    <n v="8.4215999999999998"/>
    <n v="0.1452"/>
    <n v="0"/>
    <n v="0.1452"/>
    <m/>
    <n v="7.1147999999999998"/>
    <m/>
    <m/>
    <n v="0"/>
    <m/>
    <m/>
    <n v="0"/>
    <m/>
    <n v="8.4215999999999998"/>
    <n v="8.4215999999999998"/>
    <n v="0"/>
    <s v="RAWSUR"/>
    <d v="2023-10-20T00:00:00"/>
    <m/>
    <m/>
    <m/>
    <m/>
    <m/>
    <m/>
  </r>
  <r>
    <x v="7"/>
    <s v="Yes"/>
    <d v="2023-09-14T00:00:00"/>
    <d v="2023-08-07T00:00:00"/>
    <d v="2023-07-31T00:00:00"/>
    <d v="2023-12-31T00:00:00"/>
    <s v="000-759/AIB RDC/2023"/>
    <n v="4"/>
    <s v="INCORPORATION"/>
    <s v="12001-33002-0001-103-00004929-2022"/>
    <s v="Bolloré Transport &amp; Logistics"/>
    <s v="Transport"/>
    <s v="SYNTYCHE"/>
    <s v="Grâce"/>
    <s v="MOTOR TPL"/>
    <s v="MOTOR TPL"/>
    <x v="1"/>
    <s v="ACTIVA"/>
    <n v="0"/>
    <n v="370.99"/>
    <n v="0"/>
    <n v="0"/>
    <n v="10"/>
    <n v="309.81"/>
    <n v="51.17"/>
    <e v="#DIV/0!"/>
    <n v="0.1"/>
    <n v="30.981000000000002"/>
    <n v="0"/>
    <n v="0"/>
    <n v="0"/>
    <n v="30.981000000000002"/>
    <n v="4.9569600000000005"/>
    <n v="35.937960000000004"/>
    <n v="0.61962000000000006"/>
    <n v="0"/>
    <n v="0.61962000000000006"/>
    <m/>
    <n v="30.36138"/>
    <s v="OLEA"/>
    <m/>
    <n v="0"/>
    <m/>
    <m/>
    <n v="0"/>
    <m/>
    <n v="35.937960000000004"/>
    <n v="35.937960000000004"/>
    <n v="0"/>
    <s v="ACTIVA"/>
    <d v="2023-10-23T00:00:00"/>
    <m/>
    <m/>
    <m/>
    <m/>
    <m/>
    <m/>
  </r>
  <r>
    <x v="0"/>
    <s v="Yes"/>
    <d v="2023-09-29T00:00:00"/>
    <d v="2023-08-07T00:00:00"/>
    <d v="2023-01-01T00:00:00"/>
    <d v="2023-12-31T00:00:00"/>
    <s v="000-760/AIB RDC/2023"/>
    <n v="1"/>
    <s v="RENOUVELLEMENT"/>
    <s v="12002-33002-0024-113-00021531-2023"/>
    <s v="Canal Plus RDC  SARLU"/>
    <s v="Audiovision"/>
    <s v="ANDY"/>
    <s v="Andy"/>
    <s v="GENERAL LIABILITY"/>
    <s v="LIABILITIES"/>
    <x v="0"/>
    <s v="SFA"/>
    <n v="800000"/>
    <n v="14835.55"/>
    <n v="0"/>
    <n v="0"/>
    <n v="72.5"/>
    <n v="12500"/>
    <n v="2011.6"/>
    <n v="1.5625E-2"/>
    <n v="0.15"/>
    <n v="1875"/>
    <n v="0"/>
    <n v="0"/>
    <n v="0"/>
    <n v="1875"/>
    <n v="300"/>
    <n v="2175"/>
    <n v="37.5"/>
    <n v="0"/>
    <n v="37.5"/>
    <m/>
    <n v="1837.5"/>
    <s v="OLEA"/>
    <n v="0.35"/>
    <n v="643.125"/>
    <m/>
    <m/>
    <n v="643.125"/>
    <m/>
    <n v="2175"/>
    <n v="2175"/>
    <n v="0"/>
    <s v="SFA"/>
    <d v="2023-09-28T00:00:00"/>
    <s v="ND0092/AIB RDC/2023"/>
    <m/>
    <s v="GENERAL LIABILITY"/>
    <m/>
    <m/>
    <m/>
  </r>
  <r>
    <x v="8"/>
    <s v="Yes"/>
    <d v="2023-08-22T00:00:00"/>
    <d v="2023-10-02T00:00:00"/>
    <d v="2023-09-15T00:00:00"/>
    <d v="2023-12-07T00:00:00"/>
    <s v="000-761/AIB RDC/2023"/>
    <n v="6"/>
    <s v="INCORPORATION"/>
    <s v="12001-33002-0002-101-00000801-2020"/>
    <s v="OPPORTUNITY INTERNATIONAL"/>
    <m/>
    <s v="ALICE"/>
    <s v="Alice"/>
    <s v="GPA"/>
    <s v="MEDICAL &amp; GPA"/>
    <x v="1"/>
    <s v="ACTIVA"/>
    <n v="22000"/>
    <n v="221.4"/>
    <n v="0"/>
    <n v="0"/>
    <n v="10"/>
    <n v="180.86"/>
    <n v="30.54"/>
    <n v="8.2209090909090912E-3"/>
    <n v="0.1"/>
    <n v="18.086000000000002"/>
    <n v="0"/>
    <n v="0"/>
    <n v="0"/>
    <n v="18.086000000000002"/>
    <n v="2.8937600000000003"/>
    <n v="20.979760000000002"/>
    <n v="0.36172000000000004"/>
    <n v="0"/>
    <n v="0.36172000000000004"/>
    <m/>
    <n v="17.72428"/>
    <s v="OLEA"/>
    <m/>
    <n v="0"/>
    <m/>
    <m/>
    <n v="0"/>
    <m/>
    <n v="20.979760000000002"/>
    <n v="20.979760000000002"/>
    <n v="0"/>
    <s v="ACTIVA"/>
    <d v="2023-10-23T00:00:00"/>
    <m/>
    <m/>
    <s v="GPA"/>
    <m/>
    <m/>
    <m/>
  </r>
  <r>
    <x v="8"/>
    <s v="No"/>
    <d v="2023-09-15T00:00:00"/>
    <d v="2023-09-15T00:00:00"/>
    <d v="2023-09-01T00:00:00"/>
    <d v="2023-12-31T00:00:00"/>
    <s v="000-762/AIB RDC/2023"/>
    <n v="1"/>
    <s v="INCORPORATION"/>
    <s v="33002-0001-101-0004308"/>
    <s v="RESOLVE TO SAVE LIFES"/>
    <m/>
    <s v="ALICE"/>
    <s v="Alice"/>
    <s v="GPA"/>
    <s v="MEDICAL &amp; GPA"/>
    <x v="4"/>
    <s v="SUNU"/>
    <n v="0"/>
    <n v="159.15"/>
    <n v="0"/>
    <n v="0"/>
    <n v="10"/>
    <n v="127.2"/>
    <n v="21.95"/>
    <e v="#DIV/0!"/>
    <n v="0.1"/>
    <n v="12.72"/>
    <n v="0"/>
    <n v="0"/>
    <n v="0"/>
    <n v="12.72"/>
    <n v="2.0352000000000001"/>
    <n v="14.7552"/>
    <n v="0.25440000000000002"/>
    <n v="0"/>
    <n v="0.25440000000000002"/>
    <m/>
    <n v="12.4656"/>
    <s v="OLEA"/>
    <m/>
    <n v="0"/>
    <m/>
    <m/>
    <n v="0"/>
    <m/>
    <m/>
    <n v="14.7552"/>
    <n v="14.7552"/>
    <s v="SUNU"/>
    <m/>
    <m/>
    <m/>
    <s v="GPA"/>
    <m/>
    <m/>
    <m/>
  </r>
  <r>
    <x v="8"/>
    <s v="No"/>
    <d v="2023-09-06T00:00:00"/>
    <d v="2023-09-06T00:00:00"/>
    <d v="2023-09-01T00:00:00"/>
    <d v="2023-12-31T00:00:00"/>
    <s v="000-763/AIB RDC/2023"/>
    <n v="5"/>
    <s v="INCORPORATION"/>
    <s v="12001-13001-0008-102-00004982-2022"/>
    <s v="RESOLVE TO SAVE LIFES"/>
    <m/>
    <s v="ALICE"/>
    <s v="Alice"/>
    <s v="MEDICAL"/>
    <s v="MEDICAL &amp; GPA"/>
    <x v="1"/>
    <s v="ACTIVA"/>
    <n v="0"/>
    <n v="3815"/>
    <n v="0"/>
    <n v="0"/>
    <n v="0"/>
    <n v="3815"/>
    <n v="0"/>
    <e v="#DIV/0!"/>
    <n v="0.05"/>
    <n v="190.75"/>
    <n v="0"/>
    <n v="0"/>
    <n v="0"/>
    <n v="190.75"/>
    <n v="30.52"/>
    <n v="221.27"/>
    <n v="3.8149999999999999"/>
    <n v="0"/>
    <n v="3.8149999999999999"/>
    <m/>
    <n v="186.935"/>
    <s v="OLEA"/>
    <m/>
    <n v="0"/>
    <m/>
    <m/>
    <n v="0"/>
    <m/>
    <m/>
    <n v="221.27"/>
    <n v="221.27"/>
    <s v="ACTIVA"/>
    <m/>
    <m/>
    <m/>
    <s v="MEDICAL"/>
    <m/>
    <m/>
    <m/>
  </r>
  <r>
    <x v="9"/>
    <s v="Yes"/>
    <d v="2023-09-25T00:00:00"/>
    <d v="2023-09-25T00:00:00"/>
    <d v="2023-08-25T00:00:00"/>
    <d v="2024-08-24T00:00:00"/>
    <s v="000-764/AIB RDC/2023"/>
    <n v="1"/>
    <s v="RENOUVELLEMENT"/>
    <s v="12005-33002-0011-13001-00003333-2022"/>
    <s v="AFRICAN TRADEX"/>
    <m/>
    <s v="ALICE"/>
    <s v="Alice"/>
    <s v="MARINE CARGO / GIT"/>
    <s v="MARINE"/>
    <x v="5"/>
    <s v="MAYFAIR"/>
    <n v="15000000"/>
    <n v="39001"/>
    <n v="0"/>
    <n v="0"/>
    <n v="979"/>
    <n v="32642"/>
    <n v="5379"/>
    <n v="2.1761333333333334E-3"/>
    <n v="0.15"/>
    <n v="4896.3"/>
    <n v="0"/>
    <n v="0"/>
    <n v="0"/>
    <n v="4896.3"/>
    <n v="783.40800000000002"/>
    <n v="5679.7080000000005"/>
    <n v="97.926000000000002"/>
    <n v="0"/>
    <n v="97.926000000000002"/>
    <m/>
    <n v="4798.3739999999998"/>
    <m/>
    <m/>
    <n v="0"/>
    <m/>
    <m/>
    <n v="0"/>
    <m/>
    <n v="5679.7080000000005"/>
    <n v="5679.7080000000005"/>
    <n v="0"/>
    <s v="MAYFAIR"/>
    <d v="2023-11-01T00:00:00"/>
    <m/>
    <m/>
    <s v="MARINE CARGO / GIT"/>
    <m/>
    <m/>
    <m/>
  </r>
  <r>
    <x v="9"/>
    <s v="No"/>
    <d v="2023-08-22T00:00:00"/>
    <d v="2023-08-15T00:00:00"/>
    <d v="2023-08-09T00:00:00"/>
    <d v="2025-10-30T00:00:00"/>
    <s v="000-765/AIB RDC/2023"/>
    <n v="0"/>
    <s v="SOUSCRIPTION"/>
    <s v="302-20500003"/>
    <s v="ANDY SAMBI"/>
    <m/>
    <s v="ALICE"/>
    <s v="Alice"/>
    <s v="LIFE"/>
    <s v="LIFE"/>
    <x v="9"/>
    <s v="AFRISSUR"/>
    <n v="14292"/>
    <n v="95.83"/>
    <n v="0"/>
    <n v="0"/>
    <n v="5"/>
    <n v="90.83"/>
    <n v="0"/>
    <n v="6.35530366638679E-3"/>
    <n v="0.3"/>
    <n v="27.248999999999999"/>
    <n v="0"/>
    <n v="0"/>
    <n v="0"/>
    <n v="27.248999999999999"/>
    <n v="0"/>
    <n v="27.248999999999999"/>
    <n v="0.27249000000000001"/>
    <n v="0"/>
    <n v="0.27249000000000001"/>
    <m/>
    <n v="26.976509999999998"/>
    <m/>
    <m/>
    <n v="0"/>
    <m/>
    <m/>
    <n v="0"/>
    <m/>
    <m/>
    <n v="27.248999999999999"/>
    <n v="27.248999999999999"/>
    <s v="AFRISSUR"/>
    <m/>
    <m/>
    <m/>
    <s v="LIFE"/>
    <m/>
    <m/>
    <m/>
  </r>
  <r>
    <x v="9"/>
    <s v="No"/>
    <d v="2023-08-22T00:00:00"/>
    <d v="2023-08-15T00:00:00"/>
    <d v="2023-08-21T00:00:00"/>
    <d v="2024-08-20T00:00:00"/>
    <s v="000-766/AIB RDC/2023"/>
    <n v="0"/>
    <s v="SOUSCRIPTION"/>
    <s v="302-20100001"/>
    <s v="ANDY SAMBI"/>
    <m/>
    <s v="ALICE"/>
    <s v="Alice"/>
    <s v="LIFE"/>
    <s v="LIFE"/>
    <x v="9"/>
    <s v="AFRISSUR"/>
    <n v="100000"/>
    <n v="341.18"/>
    <n v="0"/>
    <n v="0"/>
    <n v="1"/>
    <n v="340.18"/>
    <n v="0"/>
    <n v="3.4018E-3"/>
    <n v="0.3"/>
    <n v="102.054"/>
    <n v="0"/>
    <n v="0"/>
    <n v="0"/>
    <n v="102.054"/>
    <n v="0"/>
    <n v="102.054"/>
    <n v="1.02054"/>
    <n v="0"/>
    <n v="1.02054"/>
    <m/>
    <n v="101.03346000000001"/>
    <m/>
    <m/>
    <n v="0"/>
    <m/>
    <m/>
    <n v="0"/>
    <m/>
    <m/>
    <n v="102.054"/>
    <n v="102.054"/>
    <s v="AFRISSUR"/>
    <m/>
    <m/>
    <m/>
    <s v="LIFE"/>
    <m/>
    <m/>
    <m/>
  </r>
  <r>
    <x v="8"/>
    <s v="Yes"/>
    <d v="2023-09-08T00:00:00"/>
    <d v="2023-09-26T00:00:00"/>
    <d v="2023-09-26T00:00:00"/>
    <d v="2024-09-25T00:00:00"/>
    <s v="000-767/AIB RDC/2023"/>
    <n v="0"/>
    <s v="SOUSCRIPTION"/>
    <s v="33002-0017-103-0011657 / 0001"/>
    <s v="BIMUALA TUWIZANA GLOIRE"/>
    <m/>
    <s v="ALICE"/>
    <s v="Apphia"/>
    <s v="MOTOR TPL"/>
    <s v="MOTOR TPL"/>
    <x v="4"/>
    <s v="SUNU"/>
    <n v="0"/>
    <n v="416.44"/>
    <n v="0"/>
    <n v="0"/>
    <n v="10"/>
    <n v="349"/>
    <n v="57.44"/>
    <e v="#DIV/0!"/>
    <n v="0.125"/>
    <n v="43.625"/>
    <n v="0"/>
    <n v="0"/>
    <n v="0"/>
    <n v="43.625"/>
    <n v="6.98"/>
    <n v="50.605000000000004"/>
    <n v="0.87250000000000005"/>
    <n v="0"/>
    <n v="0.87250000000000005"/>
    <m/>
    <n v="42.752499999999998"/>
    <m/>
    <m/>
    <n v="0"/>
    <m/>
    <m/>
    <n v="0"/>
    <m/>
    <n v="50.605000000000004"/>
    <n v="50.605000000000004"/>
    <n v="0"/>
    <s v="SUNU"/>
    <d v="2023-11-07T00:00:00"/>
    <m/>
    <m/>
    <s v="MOTOR TPL"/>
    <m/>
    <m/>
    <m/>
  </r>
  <r>
    <x v="7"/>
    <s v="Yes"/>
    <d v="2023-07-19T00:00:00"/>
    <d v="2023-10-09T00:00:00"/>
    <d v="2023-10-07T00:00:00"/>
    <d v="2024-06-30T00:00:00"/>
    <s v="000-768/AIB RDC/2023"/>
    <n v="0"/>
    <s v="SOUSCRIPTION"/>
    <s v="12002-33002-0002-112-00023929-2023"/>
    <s v="CEGELEC RDC"/>
    <m/>
    <s v="ALICE"/>
    <s v="Alice"/>
    <s v="FIRE"/>
    <s v="PROPERTIES"/>
    <x v="0"/>
    <s v="SFA"/>
    <n v="0"/>
    <n v="621"/>
    <n v="0"/>
    <n v="0"/>
    <n v="23.05"/>
    <n v="512.29"/>
    <n v="85.66"/>
    <e v="#DIV/0!"/>
    <n v="0.1"/>
    <n v="51.228999999999999"/>
    <n v="0"/>
    <n v="0"/>
    <n v="0"/>
    <n v="51.228999999999999"/>
    <n v="8.1966400000000004"/>
    <n v="59.425640000000001"/>
    <n v="1.02458"/>
    <n v="0"/>
    <n v="1.02458"/>
    <m/>
    <n v="50.204419999999999"/>
    <m/>
    <m/>
    <n v="0"/>
    <m/>
    <m/>
    <n v="0"/>
    <m/>
    <n v="59.425640000000001"/>
    <n v="59.425640000000001"/>
    <n v="0"/>
    <s v="SFA"/>
    <d v="2023-11-07T00:00:00"/>
    <m/>
    <m/>
    <s v="FIRE"/>
    <m/>
    <m/>
    <m/>
  </r>
  <r>
    <x v="7"/>
    <s v="Yes"/>
    <d v="2023-07-13T00:00:00"/>
    <d v="2023-07-13T00:00:00"/>
    <d v="2023-07-13T00:00:00"/>
    <d v="2023-07-13T00:00:00"/>
    <s v="000-769/AIB RDC/2023"/>
    <n v="2"/>
    <s v="RESILIATION"/>
    <s v="12002-33002-0002-112-00019552-2023"/>
    <s v="CEGELEC RDC"/>
    <m/>
    <s v="ALICE"/>
    <s v="Alice"/>
    <s v="FIRE"/>
    <s v="PROPERTIES"/>
    <x v="0"/>
    <s v="SFA"/>
    <n v="0"/>
    <n v="-499.33"/>
    <n v="0"/>
    <n v="0"/>
    <n v="0"/>
    <n v="-430.46"/>
    <n v="-68.87"/>
    <e v="#DIV/0!"/>
    <n v="0.1"/>
    <n v="-43.045999999999999"/>
    <n v="0"/>
    <n v="0"/>
    <n v="0"/>
    <n v="-43.045999999999999"/>
    <n v="-6.8873600000000001"/>
    <n v="-49.93336"/>
    <n v="-0.86092000000000002"/>
    <n v="0"/>
    <n v="-0.86092000000000002"/>
    <m/>
    <n v="-42.185079999999999"/>
    <m/>
    <m/>
    <n v="0"/>
    <m/>
    <m/>
    <n v="0"/>
    <m/>
    <n v="-49.93336"/>
    <n v="-49.93336"/>
    <n v="0"/>
    <s v="SFA"/>
    <d v="2023-11-07T00:00:00"/>
    <m/>
    <m/>
    <s v="FIRE"/>
    <m/>
    <m/>
    <m/>
  </r>
  <r>
    <x v="4"/>
    <s v="No"/>
    <d v="2023-07-31T00:00:00"/>
    <d v="2023-09-26T00:00:00"/>
    <d v="2023-05-29T00:00:00"/>
    <d v="2023-05-29T00:00:00"/>
    <s v="000-770/AIB RDC/2023"/>
    <n v="11"/>
    <s v="RESILIATION"/>
    <s v="12001-3002-0001-103-00000251-2020"/>
    <s v="CEGELEC RDC"/>
    <m/>
    <s v="ALICE"/>
    <s v="Alice"/>
    <s v="MOTOR TPL"/>
    <s v="MOTOR TPL"/>
    <x v="1"/>
    <s v="ACTIVA"/>
    <n v="0"/>
    <n v="-3185.97"/>
    <n v="0"/>
    <n v="0"/>
    <n v="0"/>
    <n v="-2746.49"/>
    <n v="-439.48"/>
    <e v="#DIV/0!"/>
    <n v="0.1"/>
    <n v="-274.649"/>
    <n v="0"/>
    <n v="0"/>
    <n v="0"/>
    <n v="-274.649"/>
    <n v="-43.943840000000002"/>
    <n v="-318.59284000000002"/>
    <n v="-5.4929800000000002"/>
    <n v="0"/>
    <n v="-5.4929800000000002"/>
    <m/>
    <n v="-269.15602000000001"/>
    <m/>
    <m/>
    <n v="0"/>
    <m/>
    <m/>
    <n v="0"/>
    <m/>
    <m/>
    <n v="-318.59284000000002"/>
    <n v="-318.59284000000002"/>
    <s v="ACTIVA"/>
    <m/>
    <m/>
    <m/>
    <s v="MOTOR TPL"/>
    <m/>
    <m/>
    <m/>
  </r>
  <r>
    <x v="10"/>
    <s v="No"/>
    <d v="2023-08-03T00:00:00"/>
    <d v="2023-08-03T00:00:00"/>
    <d v="2023-10-16T00:00:00"/>
    <d v="2023-12-31T00:00:00"/>
    <s v="000-771/AIB RDC/2023"/>
    <n v="12"/>
    <s v="INCORPORATION"/>
    <s v="12001-3002-0001-103-00000251-2020"/>
    <s v="CEGELEC RDC"/>
    <m/>
    <s v="ALICE"/>
    <s v="Alice"/>
    <s v="MOTOR TPL"/>
    <s v="MOTOR TPL"/>
    <x v="1"/>
    <s v="ACTIVA"/>
    <n v="0"/>
    <n v="1510.91"/>
    <n v="0"/>
    <n v="0"/>
    <n v="12"/>
    <n v="1289.6099999999999"/>
    <n v="208.4"/>
    <e v="#DIV/0!"/>
    <n v="0.10153457246764526"/>
    <n v="130.94"/>
    <n v="0"/>
    <n v="0"/>
    <n v="0"/>
    <n v="130.94"/>
    <n v="20.950399999999998"/>
    <n v="151.8904"/>
    <n v="2.6187999999999998"/>
    <n v="0"/>
    <n v="2.6187999999999998"/>
    <m/>
    <n v="128.3212"/>
    <m/>
    <m/>
    <n v="0"/>
    <m/>
    <m/>
    <n v="0"/>
    <m/>
    <m/>
    <n v="151.8904"/>
    <n v="151.8904"/>
    <s v="ACTIVA"/>
    <m/>
    <m/>
    <m/>
    <s v="MOTOR TPL"/>
    <m/>
    <m/>
    <m/>
  </r>
  <r>
    <x v="8"/>
    <s v="Yes"/>
    <d v="2023-09-13T00:00:00"/>
    <d v="2023-09-13T00:00:00"/>
    <d v="2023-09-11T00:00:00"/>
    <d v="2024-09-10T00:00:00"/>
    <s v="000-772/AIB RDC/2023"/>
    <n v="0"/>
    <s v="SOUSCRIPTION"/>
    <s v="12002-33002-0021-111-00022545-2023"/>
    <s v="STE. FONDEG CATERING CONGO"/>
    <m/>
    <s v="MICHEE"/>
    <s v="Tychique"/>
    <s v="MARINE CARGO / GIT"/>
    <s v="MARINE"/>
    <x v="0"/>
    <s v="SFA"/>
    <n v="17674"/>
    <n v="54.68"/>
    <n v="0"/>
    <n v="0"/>
    <n v="6.5"/>
    <n v="19.09"/>
    <n v="4.09"/>
    <n v="1.0801176869978499E-3"/>
    <n v="0.15"/>
    <n v="2.8634999999999997"/>
    <n v="0"/>
    <n v="0"/>
    <n v="0"/>
    <n v="2.8634999999999997"/>
    <n v="0.45815999999999996"/>
    <n v="3.3216599999999996"/>
    <n v="5.7269999999999995E-2"/>
    <n v="0"/>
    <n v="5.7269999999999995E-2"/>
    <m/>
    <n v="2.8062299999999998"/>
    <m/>
    <m/>
    <n v="0"/>
    <m/>
    <m/>
    <n v="0"/>
    <m/>
    <n v="3.3216599999999996"/>
    <n v="3.3216599999999996"/>
    <n v="0"/>
    <s v="SFA"/>
    <d v="2023-11-07T00:00:00"/>
    <m/>
    <m/>
    <m/>
    <m/>
    <m/>
    <m/>
  </r>
  <r>
    <x v="8"/>
    <s v="No"/>
    <d v="2023-09-21T00:00:00"/>
    <d v="2023-09-21T00:00:00"/>
    <d v="2023-09-06T00:00:00"/>
    <d v="2023-04-01T00:00:00"/>
    <s v="000-773/AIB RDC/2023"/>
    <n v="1"/>
    <s v="INCORPORATION"/>
    <s v="12002-33002-0004-103-00019291-2023"/>
    <s v="AMBASSADE DE LA Belgique / ROXANE DE BELING"/>
    <m/>
    <s v="MICHEE"/>
    <s v="Tychique"/>
    <s v="MOTOR TPL"/>
    <s v="MOTOR TPL"/>
    <x v="0"/>
    <s v="SFA"/>
    <n v="0"/>
    <n v="158.08000000000001"/>
    <n v="0"/>
    <n v="0"/>
    <n v="7.32"/>
    <n v="150.76"/>
    <n v="0"/>
    <e v="#DIV/0!"/>
    <n v="0.125"/>
    <n v="18.844999999999999"/>
    <n v="0"/>
    <n v="0"/>
    <n v="0"/>
    <n v="18.844999999999999"/>
    <n v="3.0152000000000001"/>
    <n v="21.860199999999999"/>
    <n v="0.37690000000000001"/>
    <n v="0"/>
    <n v="0.37690000000000001"/>
    <m/>
    <n v="18.4681"/>
    <m/>
    <m/>
    <n v="0"/>
    <m/>
    <m/>
    <n v="0"/>
    <m/>
    <m/>
    <n v="21.860199999999999"/>
    <n v="21.860199999999999"/>
    <s v="SFA"/>
    <m/>
    <m/>
    <m/>
    <m/>
    <m/>
    <m/>
    <m/>
  </r>
  <r>
    <x v="8"/>
    <s v="Yes"/>
    <d v="2023-09-21T00:00:00"/>
    <d v="2023-09-21T00:00:00"/>
    <d v="2023-09-06T00:00:00"/>
    <d v="2024-04-01T00:00:00"/>
    <s v="000-774/AIB RDC/2023"/>
    <n v="0"/>
    <s v="SOUSCRIPTION"/>
    <s v="12002-33002-0004-104-00023089-2023"/>
    <s v="AMBASSADE DE LA Belgique / ROXANE DE BELING"/>
    <m/>
    <s v="MICHEE"/>
    <s v="Tychique"/>
    <s v="COMP MOTOR"/>
    <s v="MOTOR COMP"/>
    <x v="0"/>
    <s v="SFA"/>
    <n v="49500"/>
    <n v="1401.82"/>
    <n v="0"/>
    <n v="0"/>
    <n v="49.73"/>
    <n v="1352.09"/>
    <n v="0"/>
    <n v="2.7314949494949493E-2"/>
    <n v="0.15"/>
    <n v="202.81349999999998"/>
    <n v="0"/>
    <n v="0"/>
    <n v="0"/>
    <n v="202.81349999999998"/>
    <n v="32.450159999999997"/>
    <n v="235.26365999999996"/>
    <n v="4.0562699999999996"/>
    <n v="0"/>
    <n v="4.0562699999999996"/>
    <m/>
    <n v="198.75722999999996"/>
    <m/>
    <m/>
    <n v="0"/>
    <m/>
    <m/>
    <n v="0"/>
    <m/>
    <n v="235.26365999999996"/>
    <n v="235.26365999999996"/>
    <n v="0"/>
    <s v="SFA"/>
    <d v="2023-10-17T00:00:00"/>
    <m/>
    <m/>
    <m/>
    <m/>
    <m/>
    <m/>
  </r>
  <r>
    <x v="8"/>
    <s v="Yes"/>
    <d v="2023-09-21T00:00:00"/>
    <d v="2023-09-26T00:00:00"/>
    <d v="2023-09-28T00:00:00"/>
    <d v="2024-09-27T00:00:00"/>
    <s v="000-775/AIB RDC/2023"/>
    <n v="1"/>
    <s v="RENOUVELLEMENT"/>
    <s v="12005-33002-0011-13002-00003631-2022"/>
    <s v="GOLDEN AFRICAN RESSOURCES  SARL"/>
    <m/>
    <s v="MICHEE"/>
    <s v="Tychique"/>
    <s v="MARINE CARGO / GIT"/>
    <s v="MARINE"/>
    <x v="5"/>
    <s v="MAYFAIR"/>
    <n v="5000000"/>
    <n v="8701"/>
    <n v="0"/>
    <n v="0"/>
    <n v="228"/>
    <n v="7273"/>
    <n v="1200"/>
    <n v="1.4545999999999999E-3"/>
    <n v="0.15"/>
    <n v="1090.95"/>
    <n v="0"/>
    <n v="0"/>
    <n v="0"/>
    <n v="1090.95"/>
    <n v="174.55200000000002"/>
    <n v="1265.502"/>
    <n v="21.819000000000003"/>
    <n v="0"/>
    <n v="21.819000000000003"/>
    <m/>
    <n v="1069.1310000000001"/>
    <m/>
    <m/>
    <n v="0"/>
    <m/>
    <m/>
    <n v="0"/>
    <m/>
    <n v="949.13"/>
    <n v="1265.502"/>
    <n v="316.37199999999996"/>
    <s v="MAYFAIR"/>
    <d v="2023-11-01T00:00:00"/>
    <m/>
    <m/>
    <m/>
    <m/>
    <m/>
    <m/>
  </r>
  <r>
    <x v="8"/>
    <s v="Yes"/>
    <d v="2023-09-22T00:00:00"/>
    <d v="2023-09-22T00:00:00"/>
    <d v="2023-09-22T00:00:00"/>
    <d v="2023-10-17T00:00:00"/>
    <s v="000-776/AIB RDC/2023"/>
    <n v="16"/>
    <s v="INCORPORATION"/>
    <s v="12002-33002-0004-103-00017305-2022"/>
    <s v="FOURTUNE CONSTRUCTION CONGO (Group LAXMAN)"/>
    <m/>
    <s v="MICHEE"/>
    <s v="Tychique"/>
    <s v="MOTOR TPL"/>
    <s v="MOTOR TPL"/>
    <x v="0"/>
    <s v="SFA"/>
    <n v="0"/>
    <n v="237.86"/>
    <n v="0"/>
    <n v="0"/>
    <n v="18.55"/>
    <n v="186.5"/>
    <n v="32.81"/>
    <e v="#DIV/0!"/>
    <n v="0.1"/>
    <n v="18.650000000000002"/>
    <n v="0"/>
    <n v="0"/>
    <n v="0"/>
    <n v="18.650000000000002"/>
    <n v="2.9840000000000004"/>
    <n v="21.634000000000004"/>
    <n v="0.37300000000000005"/>
    <n v="0"/>
    <n v="0.37300000000000005"/>
    <m/>
    <n v="18.277000000000001"/>
    <m/>
    <m/>
    <n v="0"/>
    <m/>
    <m/>
    <n v="0"/>
    <m/>
    <n v="21.634000000000004"/>
    <n v="21.634000000000004"/>
    <n v="0"/>
    <s v="SFA"/>
    <d v="2023-10-17T00:00:00"/>
    <m/>
    <m/>
    <m/>
    <m/>
    <m/>
    <m/>
  </r>
  <r>
    <x v="8"/>
    <s v="No"/>
    <d v="2023-09-22T00:00:00"/>
    <d v="2023-09-22T00:00:00"/>
    <m/>
    <m/>
    <s v="000-777/AIB RDC/2023"/>
    <n v="0"/>
    <s v="SOUSCRIPTION"/>
    <m/>
    <s v="NAVITRANS"/>
    <m/>
    <s v="MICHEE"/>
    <s v="Tychique"/>
    <s v="MARINE CARGO / GIT"/>
    <s v="MARINE"/>
    <x v="0"/>
    <s v="SFA"/>
    <n v="67063.47"/>
    <n v="265.87"/>
    <n v="0"/>
    <n v="0"/>
    <n v="10.07"/>
    <n v="197.58"/>
    <n v="33.22"/>
    <n v="2.9461642828800838E-3"/>
    <n v="0.15"/>
    <n v="29.637"/>
    <n v="0"/>
    <n v="0"/>
    <n v="0"/>
    <n v="29.637"/>
    <n v="4.7419200000000004"/>
    <n v="34.378920000000001"/>
    <n v="0.59274000000000004"/>
    <n v="0"/>
    <n v="0.59274000000000004"/>
    <m/>
    <n v="29.044260000000001"/>
    <m/>
    <m/>
    <n v="0"/>
    <m/>
    <m/>
    <n v="0"/>
    <m/>
    <m/>
    <n v="34.378920000000001"/>
    <n v="34.378920000000001"/>
    <s v="SFA"/>
    <m/>
    <m/>
    <m/>
    <s v="MARINE CARGO / GIT"/>
    <m/>
    <m/>
    <m/>
  </r>
  <r>
    <x v="8"/>
    <s v="Yes"/>
    <d v="2023-09-26T00:00:00"/>
    <d v="2023-09-26T00:00:00"/>
    <d v="2023-09-27T00:00:00"/>
    <d v="2024-09-26T00:00:00"/>
    <s v="000-778/AIB RDC/2023"/>
    <n v="0"/>
    <s v="SOUSCRIPTION"/>
    <s v="12002-33002-0004-103-00023366-2023"/>
    <s v="NAVITRANS"/>
    <m/>
    <s v="MICHEE"/>
    <s v="Tychique"/>
    <s v="MOTOR TPL"/>
    <s v="MOTOR TPL"/>
    <x v="0"/>
    <s v="SFA"/>
    <n v="0"/>
    <n v="1817.85"/>
    <n v="0"/>
    <n v="0"/>
    <n v="61.12"/>
    <n v="1506"/>
    <n v="250.73"/>
    <e v="#DIV/0!"/>
    <n v="0.1"/>
    <n v="150.6"/>
    <n v="0"/>
    <n v="0"/>
    <n v="0"/>
    <n v="150.6"/>
    <n v="24.096"/>
    <n v="174.696"/>
    <n v="3.012"/>
    <n v="0"/>
    <n v="3.012"/>
    <m/>
    <n v="147.58799999999999"/>
    <m/>
    <m/>
    <n v="0"/>
    <m/>
    <m/>
    <n v="0"/>
    <m/>
    <n v="174.696"/>
    <n v="174.696"/>
    <n v="0"/>
    <s v="SFA"/>
    <d v="2023-10-17T00:00:00"/>
    <m/>
    <m/>
    <m/>
    <m/>
    <m/>
    <m/>
  </r>
  <r>
    <x v="8"/>
    <s v="Yes"/>
    <d v="2023-09-27T00:00:00"/>
    <d v="2023-09-27T00:00:00"/>
    <d v="2023-09-27T00:00:00"/>
    <d v="2024-05-04T00:00:00"/>
    <s v="000-779/AIB RDC/2023"/>
    <n v="4"/>
    <s v="INCORPORATION"/>
    <s v="12001-33002-0001-103-00005217-2023"/>
    <s v="AMBASSADE DE LA Belgique / DEBRUYNE DE LOT"/>
    <m/>
    <s v="MICHEE"/>
    <s v="Tychique"/>
    <s v="COMP MOTOR"/>
    <s v="MOTOR COMP"/>
    <x v="1"/>
    <s v="ACTIVA"/>
    <n v="20000"/>
    <n v="940"/>
    <n v="0"/>
    <n v="0"/>
    <n v="10"/>
    <n v="930"/>
    <n v="0"/>
    <n v="4.65E-2"/>
    <n v="0.14410752688171999"/>
    <n v="134.01999999999958"/>
    <n v="0"/>
    <n v="0"/>
    <n v="0"/>
    <n v="134.01999999999958"/>
    <n v="21.443199999999933"/>
    <n v="155.46319999999952"/>
    <n v="2.6803999999999917"/>
    <n v="0"/>
    <n v="2.6803999999999917"/>
    <m/>
    <n v="131.33959999999959"/>
    <m/>
    <m/>
    <n v="0"/>
    <m/>
    <m/>
    <n v="0"/>
    <m/>
    <n v="155.46319999999952"/>
    <n v="155.46319999999952"/>
    <n v="0"/>
    <s v="ACTIVA"/>
    <d v="2023-10-23T00:00:00"/>
    <m/>
    <m/>
    <m/>
    <m/>
    <m/>
    <m/>
  </r>
  <r>
    <x v="8"/>
    <s v="No"/>
    <d v="2023-09-27T00:00:00"/>
    <m/>
    <d v="2023-09-27T00:00:00"/>
    <d v="2024-03-16T00:00:00"/>
    <s v="000-780/AIB RDC/2023"/>
    <n v="1"/>
    <s v="INCORPORATION"/>
    <s v="120001-33002-001-103-00002051-2021"/>
    <s v="FERONIA - PLANTATIONS ET HUILERIES DU CONGO ( PHC)"/>
    <m/>
    <s v="MICHEE"/>
    <s v="Tychique"/>
    <s v="COMP MOTOR"/>
    <s v="MOTOR COMP"/>
    <x v="1"/>
    <s v="ACTIVA"/>
    <n v="82000"/>
    <n v="1811.17"/>
    <n v="0"/>
    <n v="0"/>
    <n v="17.93"/>
    <n v="1793.24"/>
    <n v="0"/>
    <n v="2.1868780487804877E-2"/>
    <n v="0.125"/>
    <n v="224.155"/>
    <n v="0"/>
    <n v="0"/>
    <n v="0"/>
    <n v="224.155"/>
    <n v="35.864800000000002"/>
    <n v="260.01980000000003"/>
    <n v="4.4831000000000003"/>
    <n v="0"/>
    <n v="4.4831000000000003"/>
    <m/>
    <n v="219.67189999999999"/>
    <m/>
    <m/>
    <n v="0"/>
    <m/>
    <m/>
    <n v="0"/>
    <m/>
    <m/>
    <n v="260.01980000000003"/>
    <n v="260.01980000000003"/>
    <s v="ACTIVA"/>
    <m/>
    <m/>
    <m/>
    <m/>
    <m/>
    <m/>
    <m/>
  </r>
  <r>
    <x v="8"/>
    <s v="No"/>
    <d v="2023-09-27T00:00:00"/>
    <d v="2023-10-02T00:00:00"/>
    <d v="2023-09-27T00:00:00"/>
    <d v="2024-09-26T00:00:00"/>
    <s v="000-781/AIB RDC/2023"/>
    <n v="1"/>
    <s v="RENOUVELLEMENT"/>
    <s v="12005-33002-0001-13001-00003575-2022"/>
    <s v="FABRI METAL CONGO SARL ( FAMECO)"/>
    <m/>
    <s v="MICHEE"/>
    <s v="Tychique"/>
    <s v="GPA"/>
    <s v="MEDICAL &amp; GPA"/>
    <x v="5"/>
    <s v="MAYFAIR"/>
    <n v="125000"/>
    <n v="10024"/>
    <n v="0"/>
    <n v="0"/>
    <n v="252"/>
    <n v="8389"/>
    <n v="1383"/>
    <n v="6.7112000000000005E-2"/>
    <n v="0.1"/>
    <n v="838.90000000000009"/>
    <n v="0"/>
    <n v="0"/>
    <n v="0"/>
    <n v="838.90000000000009"/>
    <n v="134.22400000000002"/>
    <n v="973.12400000000014"/>
    <n v="16.778000000000002"/>
    <n v="0"/>
    <n v="16.778000000000002"/>
    <m/>
    <n v="822.12200000000007"/>
    <m/>
    <m/>
    <n v="0"/>
    <m/>
    <m/>
    <n v="0"/>
    <m/>
    <m/>
    <n v="973.12400000000014"/>
    <n v="973.12400000000014"/>
    <s v="MAYFAIR"/>
    <m/>
    <m/>
    <m/>
    <m/>
    <m/>
    <m/>
    <m/>
  </r>
  <r>
    <x v="8"/>
    <s v="No"/>
    <d v="2023-09-27T00:00:00"/>
    <d v="2023-10-02T00:00:00"/>
    <d v="2023-09-27T00:00:00"/>
    <d v="2024-09-27T00:00:00"/>
    <s v="000-782/AIB RDC/2023"/>
    <n v="1"/>
    <s v="RENOUVELLEMENT"/>
    <s v="12005-33002-0001-13001-00003576-2022"/>
    <s v="FABRI METAL CONGO SARL ( FAMECO)"/>
    <m/>
    <s v="MICHEE"/>
    <s v="Tychique"/>
    <s v="GPA"/>
    <s v="MEDICAL &amp; GPA"/>
    <x v="5"/>
    <s v="MAYFAIR"/>
    <n v="125000"/>
    <n v="15016"/>
    <n v="0"/>
    <n v="0"/>
    <n v="377"/>
    <n v="12568"/>
    <n v="2071"/>
    <n v="0.10054399999999999"/>
    <n v="0.1"/>
    <n v="1256.8000000000002"/>
    <n v="0"/>
    <n v="0"/>
    <n v="0"/>
    <n v="1256.8000000000002"/>
    <n v="201.08800000000002"/>
    <n v="1457.8880000000001"/>
    <n v="25.136000000000003"/>
    <n v="0"/>
    <n v="25.136000000000003"/>
    <m/>
    <n v="1231.6640000000002"/>
    <m/>
    <m/>
    <n v="0"/>
    <m/>
    <m/>
    <n v="0"/>
    <m/>
    <m/>
    <n v="1457.8880000000001"/>
    <n v="1457.8880000000001"/>
    <s v="MAYFAIR"/>
    <m/>
    <m/>
    <m/>
    <m/>
    <m/>
    <m/>
    <m/>
  </r>
  <r>
    <x v="8"/>
    <s v="Yes"/>
    <d v="2023-09-27T00:00:00"/>
    <d v="2023-09-27T00:00:00"/>
    <d v="2023-09-26T00:00:00"/>
    <d v="2024-09-25T00:00:00"/>
    <s v="000-783/AIB RDC/2023"/>
    <n v="0"/>
    <s v="SOUSCRIPTION"/>
    <s v="12002-33002-0002-112-00023465-2023"/>
    <s v="BISOU BISOU / MILTEX SARLU"/>
    <m/>
    <s v="MICHEE"/>
    <s v="Tychique"/>
    <s v="FIRE"/>
    <s v="PROPERTIES"/>
    <x v="0"/>
    <s v="SFA"/>
    <n v="7015593"/>
    <n v="12433.4"/>
    <n v="0"/>
    <n v="0"/>
    <n v="272.39999999999998"/>
    <n v="10446"/>
    <n v="1714.95"/>
    <n v="1.4889689296400175E-3"/>
    <n v="0.1"/>
    <n v="1044.6000000000001"/>
    <n v="0"/>
    <n v="0"/>
    <n v="0"/>
    <n v="1044.6000000000001"/>
    <n v="167.13600000000002"/>
    <n v="1211.7360000000001"/>
    <n v="20.892000000000003"/>
    <n v="0"/>
    <n v="20.892000000000003"/>
    <m/>
    <n v="1023.7080000000001"/>
    <m/>
    <m/>
    <n v="0"/>
    <m/>
    <m/>
    <n v="0"/>
    <m/>
    <n v="577.54"/>
    <n v="1211.7360000000001"/>
    <n v="634.19600000000014"/>
    <s v="SFA"/>
    <d v="2023-10-17T00:00:00"/>
    <m/>
    <m/>
    <m/>
    <m/>
    <m/>
    <m/>
  </r>
  <r>
    <x v="10"/>
    <s v="No"/>
    <d v="2023-09-29T00:00:00"/>
    <d v="2023-10-13T00:00:00"/>
    <d v="2023-10-13T00:00:00"/>
    <d v="2024-10-12T00:00:00"/>
    <s v="000-784/AIB RDC/2023"/>
    <n v="1"/>
    <s v="RENOUVELLEMENT"/>
    <s v="33002-0009-113-0003954"/>
    <s v="PARAGON TAILINGS DRC SARL"/>
    <m/>
    <s v="MICHEE"/>
    <s v="Tychique"/>
    <s v="D&amp;O"/>
    <s v="LIABILITIES"/>
    <x v="4"/>
    <s v="SUNU"/>
    <n v="1000000"/>
    <n v="11130.2"/>
    <n v="0"/>
    <n v="0"/>
    <n v="95"/>
    <n v="9500"/>
    <n v="1535.2"/>
    <n v="9.4999999999999998E-3"/>
    <n v="0.15"/>
    <n v="1425"/>
    <n v="0"/>
    <n v="0"/>
    <n v="0"/>
    <n v="1425"/>
    <n v="228"/>
    <n v="1653"/>
    <n v="28.5"/>
    <n v="0"/>
    <n v="28.5"/>
    <m/>
    <n v="1396.5"/>
    <m/>
    <m/>
    <n v="0"/>
    <m/>
    <m/>
    <n v="0"/>
    <m/>
    <m/>
    <n v="1653"/>
    <n v="1653"/>
    <s v="SUNU"/>
    <m/>
    <m/>
    <m/>
    <m/>
    <m/>
    <m/>
    <m/>
  </r>
  <r>
    <x v="10"/>
    <s v="No"/>
    <d v="2023-09-29T00:00:00"/>
    <d v="2023-08-08T00:00:00"/>
    <d v="2023-10-08T00:00:00"/>
    <d v="2024-10-07T00:00:00"/>
    <s v="000-785/AIB RDC/2023"/>
    <n v="1"/>
    <s v="RENOUVELLEMENT"/>
    <s v="33002-0009-113-0003292 "/>
    <s v="PARAGON TAILINGS DRC SARL"/>
    <m/>
    <s v="MICHEE"/>
    <s v="Tychique"/>
    <s v="PI"/>
    <s v="LIABILITIES"/>
    <x v="4"/>
    <s v="SUNU"/>
    <n v="5000000"/>
    <n v="22260.400000000001"/>
    <n v="0"/>
    <n v="0"/>
    <n v="190"/>
    <n v="19000"/>
    <n v="3070.4"/>
    <n v="3.8E-3"/>
    <n v="0.1"/>
    <n v="1900"/>
    <n v="0"/>
    <n v="0"/>
    <n v="0"/>
    <n v="1900"/>
    <n v="304"/>
    <n v="2204"/>
    <n v="38"/>
    <n v="0"/>
    <n v="38"/>
    <m/>
    <n v="1862"/>
    <m/>
    <m/>
    <n v="0"/>
    <m/>
    <m/>
    <n v="0"/>
    <m/>
    <m/>
    <n v="2204"/>
    <n v="2204"/>
    <s v="SUNU"/>
    <m/>
    <m/>
    <m/>
    <m/>
    <m/>
    <m/>
    <m/>
  </r>
  <r>
    <x v="10"/>
    <s v="No"/>
    <d v="2023-09-29T00:00:00"/>
    <d v="2023-10-13T00:00:00"/>
    <d v="2023-10-13T00:00:00"/>
    <d v="2023-10-12T00:00:00"/>
    <s v="000-786/AIB RDC/2023"/>
    <n v="1"/>
    <s v="RENOUVELLEMENT"/>
    <s v="33002-0009-113-0003410"/>
    <s v="PARAGON TAILINGS DRC SARL"/>
    <m/>
    <s v="MICHEE"/>
    <s v="Tychique"/>
    <s v="GENERAL LIABILITY"/>
    <s v="LIABILITIES"/>
    <x v="4"/>
    <s v="SUNU"/>
    <n v="1000000"/>
    <n v="9372.7999999999993"/>
    <n v="0"/>
    <n v="0"/>
    <n v="80"/>
    <n v="8000"/>
    <n v="1292.8"/>
    <n v="8.0000000000000002E-3"/>
    <n v="0.1"/>
    <n v="800"/>
    <n v="0"/>
    <n v="0"/>
    <n v="0"/>
    <n v="800"/>
    <n v="128"/>
    <n v="928"/>
    <n v="16"/>
    <n v="0"/>
    <n v="16"/>
    <m/>
    <n v="784"/>
    <m/>
    <m/>
    <n v="0"/>
    <m/>
    <m/>
    <n v="0"/>
    <m/>
    <m/>
    <n v="928"/>
    <n v="928"/>
    <s v="SUNU"/>
    <m/>
    <m/>
    <m/>
    <m/>
    <m/>
    <m/>
    <m/>
  </r>
  <r>
    <x v="10"/>
    <s v="No"/>
    <d v="2023-09-29T00:00:00"/>
    <d v="2023-10-13T00:00:00"/>
    <d v="2023-10-13T00:00:00"/>
    <d v="2024-10-12T00:00:00"/>
    <s v="000-787/AIB RDC/2023"/>
    <n v="1"/>
    <s v="RENOUVELLEMENT"/>
    <s v="33002-0009-113-0003955"/>
    <s v="PARAGON TAILINGS DRC SARL"/>
    <m/>
    <s v="MICHEE"/>
    <s v="Tychique"/>
    <s v="GENERAL LIABILITY"/>
    <s v="LIABILITIES"/>
    <x v="4"/>
    <s v="SUNU"/>
    <n v="1000000"/>
    <n v="16988.2"/>
    <n v="0"/>
    <n v="0"/>
    <n v="145"/>
    <n v="14500"/>
    <n v="2343.1999999999998"/>
    <n v="1.4500000000000001E-2"/>
    <n v="0.1"/>
    <n v="1450"/>
    <n v="0"/>
    <n v="0"/>
    <n v="0"/>
    <n v="1450"/>
    <n v="232"/>
    <n v="1682"/>
    <n v="29"/>
    <n v="0"/>
    <n v="29"/>
    <m/>
    <n v="1421"/>
    <m/>
    <m/>
    <n v="0"/>
    <m/>
    <m/>
    <n v="0"/>
    <m/>
    <m/>
    <n v="1682"/>
    <n v="1682"/>
    <s v="SUNU"/>
    <m/>
    <m/>
    <m/>
    <m/>
    <m/>
    <m/>
    <m/>
  </r>
  <r>
    <x v="10"/>
    <s v="Yes"/>
    <d v="2023-09-29T00:00:00"/>
    <d v="2023-10-02T00:00:00"/>
    <d v="2023-09-29T00:00:00"/>
    <d v="2023-11-28T00:00:00"/>
    <s v="000-788/AIB RDC/2023"/>
    <n v="0"/>
    <s v="SOUSCRIPTION"/>
    <s v="12005-33002-0014-13001-00007402-2023"/>
    <s v="GROUPE  EUROPEEN DE DEVELOPPEMENT CONGO SARLU"/>
    <m/>
    <s v="MICHEE"/>
    <s v="Tychique"/>
    <s v="MACHINARY BREAKDOWN"/>
    <s v="PROPERTIES"/>
    <x v="5"/>
    <s v="MAYFAIR"/>
    <n v="646158"/>
    <n v="4710.76"/>
    <n v="0"/>
    <n v="0"/>
    <n v="100"/>
    <n v="3961"/>
    <n v="649.76"/>
    <n v="6.1300796399642189E-3"/>
    <n v="0.15"/>
    <n v="594.15"/>
    <n v="0"/>
    <n v="0"/>
    <n v="0"/>
    <n v="594.15"/>
    <n v="95.063999999999993"/>
    <n v="689.21399999999994"/>
    <n v="11.882999999999999"/>
    <n v="0"/>
    <n v="11.882999999999999"/>
    <m/>
    <n v="582.26699999999994"/>
    <m/>
    <m/>
    <n v="0"/>
    <m/>
    <m/>
    <n v="0"/>
    <m/>
    <n v="202.36"/>
    <n v="689.21399999999994"/>
    <n v="486.85399999999993"/>
    <s v="MAYFAIR"/>
    <d v="2023-11-01T00:00:00"/>
    <m/>
    <m/>
    <m/>
    <m/>
    <m/>
    <m/>
  </r>
  <r>
    <x v="10"/>
    <s v="Yes"/>
    <d v="2023-09-29T00:00:00"/>
    <d v="2023-10-02T00:00:00"/>
    <d v="2023-08-30T00:00:00"/>
    <d v="2023-11-29T00:00:00"/>
    <s v="000-789/AIB RDC/2023"/>
    <n v="1"/>
    <s v="INCORPORATION"/>
    <s v="12005-0001-13001-00006993-2023"/>
    <s v="GROUPE  EUROPEEN DE DEVELOPPEMENT CONGO SARLU"/>
    <m/>
    <s v="MICHEE"/>
    <s v="Tychique"/>
    <s v="GPA"/>
    <s v="MEDICAL &amp; GPA"/>
    <x v="5"/>
    <s v="MAYFAIR"/>
    <n v="65000"/>
    <n v="648.44000000000005"/>
    <n v="0"/>
    <n v="0"/>
    <n v="50"/>
    <n v="509"/>
    <n v="89.44"/>
    <n v="7.8307692307692314E-3"/>
    <n v="0.1"/>
    <n v="50.900000000000006"/>
    <n v="0"/>
    <n v="0"/>
    <n v="0"/>
    <n v="50.900000000000006"/>
    <n v="8.1440000000000019"/>
    <n v="59.044000000000011"/>
    <n v="1.0180000000000002"/>
    <n v="0"/>
    <n v="1.0180000000000002"/>
    <m/>
    <n v="49.882000000000005"/>
    <m/>
    <m/>
    <n v="0"/>
    <m/>
    <m/>
    <n v="0"/>
    <m/>
    <n v="59.044000000000011"/>
    <n v="59.044000000000011"/>
    <n v="0"/>
    <s v="MAYFAIR"/>
    <d v="2023-11-01T00:00:00"/>
    <m/>
    <m/>
    <m/>
    <m/>
    <m/>
    <m/>
  </r>
  <r>
    <x v="10"/>
    <s v="Yes"/>
    <d v="2023-09-29T00:00:00"/>
    <d v="2023-10-02T00:00:00"/>
    <d v="2023-10-02T00:00:00"/>
    <d v="2023-10-03T00:00:00"/>
    <s v="000-790/AIB RDC/2023"/>
    <n v="0"/>
    <s v="SOUSCRIPTION"/>
    <s v="12005-33002-0014-13001-00007403-2023"/>
    <s v="GROUPE  EUROPEEN DE DEVELOPPEMENT CONGO SARLU"/>
    <m/>
    <s v="MICHEE"/>
    <s v="Tychique"/>
    <s v="GENERAL LIABILITY"/>
    <s v="LIABILITIES"/>
    <x v="5"/>
    <s v="MAYFAIR"/>
    <n v="300000"/>
    <n v="1856"/>
    <n v="0"/>
    <n v="0"/>
    <n v="100"/>
    <n v="1500"/>
    <n v="256"/>
    <n v="5.0000000000000001E-3"/>
    <n v="0.15"/>
    <n v="225"/>
    <n v="0"/>
    <n v="0"/>
    <n v="0"/>
    <n v="225"/>
    <n v="36"/>
    <n v="261"/>
    <n v="4.5"/>
    <n v="0"/>
    <n v="4.5"/>
    <m/>
    <n v="220.5"/>
    <m/>
    <m/>
    <n v="0"/>
    <m/>
    <m/>
    <n v="0"/>
    <m/>
    <n v="261"/>
    <n v="261"/>
    <n v="0"/>
    <s v="MAYFAIR"/>
    <d v="2023-11-01T00:00:00"/>
    <m/>
    <m/>
    <m/>
    <m/>
    <m/>
    <m/>
  </r>
  <r>
    <x v="8"/>
    <s v="No"/>
    <d v="2023-10-02T00:00:00"/>
    <d v="2023-10-31T00:00:00"/>
    <d v="2023-10-30T00:00:00"/>
    <d v="2024-10-29T00:00:00"/>
    <s v="000-791/AIB RDC/2023"/>
    <n v="0"/>
    <s v="SOUSCRIPTION"/>
    <s v="12005-33002-0003-13001-00007808-2023"/>
    <s v="BERNARD BARASA"/>
    <m/>
    <s v="MICHEE"/>
    <s v="Tychique"/>
    <s v="MOTOR TPL"/>
    <s v="MOTOR TPL"/>
    <x v="5"/>
    <s v="MAYFAIR"/>
    <n v="0"/>
    <n v="427.81"/>
    <n v="0"/>
    <n v="0"/>
    <n v="15"/>
    <n v="353.8"/>
    <n v="59.01"/>
    <e v="#DIV/0!"/>
    <n v="0.125"/>
    <n v="44.225000000000001"/>
    <n v="0"/>
    <n v="0"/>
    <n v="0"/>
    <n v="44.225000000000001"/>
    <n v="7.0760000000000005"/>
    <n v="51.301000000000002"/>
    <n v="0.88450000000000006"/>
    <n v="0"/>
    <n v="0.88450000000000006"/>
    <m/>
    <n v="43.340499999999999"/>
    <m/>
    <m/>
    <n v="0"/>
    <m/>
    <m/>
    <n v="0"/>
    <m/>
    <m/>
    <n v="51.301000000000002"/>
    <n v="51.301000000000002"/>
    <s v="MAYFAIR"/>
    <m/>
    <m/>
    <m/>
    <m/>
    <m/>
    <m/>
    <m/>
  </r>
  <r>
    <x v="9"/>
    <s v="Yes"/>
    <d v="2023-09-06T00:00:00"/>
    <d v="2023-09-06T00:00:00"/>
    <d v="2023-08-03T00:00:00"/>
    <d v="2024-08-02T00:00:00"/>
    <s v="000-792/AIB RDC/2023"/>
    <n v="0"/>
    <s v="SOUSCRIPTION"/>
    <s v="12002-33002-0021-111-00022161-2023"/>
    <s v="SACIM SARL / Bolloré"/>
    <m/>
    <s v="SYNTYCHE"/>
    <s v="Axel"/>
    <s v="MARINE CARGO / GIT"/>
    <s v="MARINE"/>
    <x v="0"/>
    <s v="SFA"/>
    <n v="46851.88"/>
    <n v="85.32"/>
    <n v="0"/>
    <n v="0"/>
    <n v="31"/>
    <n v="44.98"/>
    <n v="8.32"/>
    <n v="9.6004685404299679E-4"/>
    <n v="0.15"/>
    <n v="6.746999999999999"/>
    <n v="0"/>
    <n v="0"/>
    <n v="0"/>
    <n v="6.746999999999999"/>
    <n v="1.0795199999999998"/>
    <n v="7.8265199999999986"/>
    <n v="0.13493999999999998"/>
    <n v="0"/>
    <n v="0.13493999999999998"/>
    <m/>
    <n v="6.6120599999999987"/>
    <s v="BOLLORE"/>
    <n v="0.4"/>
    <n v="2.6448239999999998"/>
    <m/>
    <m/>
    <n v="2.6448239999999998"/>
    <m/>
    <n v="7.8265199999999986"/>
    <n v="7.8265199999999986"/>
    <n v="0"/>
    <s v="SFA"/>
    <d v="2023-10-17T00:00:00"/>
    <m/>
    <s v="ONCE OFF"/>
    <s v="MARINE CARGO / GIT"/>
    <m/>
    <m/>
    <m/>
  </r>
  <r>
    <x v="8"/>
    <s v="Yes"/>
    <d v="2023-09-21T00:00:00"/>
    <d v="2023-09-02T00:00:00"/>
    <d v="2023-09-02T00:00:00"/>
    <d v="2023-11-01T00:00:00"/>
    <s v="000-793/AIB RDC/2023"/>
    <n v="0"/>
    <s v="SOUSCRIPTION"/>
    <n v="70100052"/>
    <s v="WUHUANG CONSTRUCTION ET COMMERCE RDC SAS ( WHCC) / Bolloré"/>
    <m/>
    <s v="SYNTYCHE"/>
    <s v="David"/>
    <s v="MARINE CARGO / GIT"/>
    <s v="MARINE"/>
    <x v="6"/>
    <s v="RAWSUR"/>
    <n v="1210068.6000000001"/>
    <n v="6235.47"/>
    <n v="0"/>
    <n v="0"/>
    <n v="444"/>
    <n v="4840.28"/>
    <n v="845.48"/>
    <n v="4.0000046278368014E-3"/>
    <n v="0.15"/>
    <n v="726.04199999999992"/>
    <n v="0"/>
    <n v="0"/>
    <n v="0"/>
    <n v="726.04199999999992"/>
    <n v="116.16671999999998"/>
    <n v="842.20871999999986"/>
    <n v="14.520839999999998"/>
    <n v="0"/>
    <n v="14.520839999999998"/>
    <m/>
    <n v="711.5211599999999"/>
    <s v="BOLLORE"/>
    <n v="0.4"/>
    <n v="284.60846399999997"/>
    <m/>
    <m/>
    <n v="284.60846399999997"/>
    <m/>
    <n v="842.20871999999986"/>
    <n v="842.20871999999986"/>
    <n v="0"/>
    <s v="RAWSUR"/>
    <d v="2023-10-20T00:00:00"/>
    <m/>
    <m/>
    <m/>
    <m/>
    <m/>
    <m/>
  </r>
  <r>
    <x v="9"/>
    <s v="Yes"/>
    <d v="2023-09-21T00:00:00"/>
    <d v="2023-09-07T00:00:00"/>
    <d v="2023-08-28T00:00:00"/>
    <d v="2023-10-27T00:00:00"/>
    <s v="000-794/AIB RDC/2023"/>
    <n v="0"/>
    <s v="SOUSCRIPTION"/>
    <n v="70100051"/>
    <s v="WUHUANG CONSTRUCTION ET COMMERCE RDC SAS ( WHCC) / Bolloré"/>
    <m/>
    <s v="SYNTYCHE"/>
    <s v="David"/>
    <s v="MARINE CARGO / GIT"/>
    <s v="MARINE"/>
    <x v="6"/>
    <s v="RAWSUR"/>
    <n v="666923.59"/>
    <n v="3548.48"/>
    <n v="0"/>
    <n v="0"/>
    <n v="370"/>
    <n v="2667.69"/>
    <n v="486.06"/>
    <n v="3.9999934625194475E-3"/>
    <n v="0.15"/>
    <n v="400.15350000000001"/>
    <n v="0"/>
    <n v="0"/>
    <n v="0"/>
    <n v="400.15350000000001"/>
    <n v="64.024560000000008"/>
    <n v="464.17806000000002"/>
    <n v="8.003070000000001"/>
    <n v="0"/>
    <n v="8.003070000000001"/>
    <m/>
    <n v="392.15043000000003"/>
    <s v="BOLLORE"/>
    <n v="0.4"/>
    <n v="156.86017200000003"/>
    <m/>
    <m/>
    <n v="156.86017200000003"/>
    <m/>
    <n v="464.17806000000002"/>
    <n v="464.17806000000002"/>
    <n v="0"/>
    <s v="RAWSUR"/>
    <d v="2023-10-20T00:00:00"/>
    <m/>
    <m/>
    <m/>
    <m/>
    <m/>
    <m/>
  </r>
  <r>
    <x v="3"/>
    <s v="No"/>
    <d v="2023-09-21T00:00:00"/>
    <d v="2023-07-09T00:00:00"/>
    <d v="2023-06-09T00:00:00"/>
    <d v="2024-04-09T00:00:00"/>
    <s v="000-795/AIB RDC/2023"/>
    <n v="0"/>
    <s v="SOUSCRIPTION"/>
    <s v="12002-33002-0021-111-00022249-2023"/>
    <s v="WUHUANG CONSTRUCTION ET COMMERCE RDC SAS ( WHCC) / Bolloré"/>
    <m/>
    <s v="SYNTYCHE"/>
    <s v="David"/>
    <s v="MARINE CARGO / GIT"/>
    <s v="MARINE"/>
    <x v="0"/>
    <s v="SFA"/>
    <n v="831662.9"/>
    <n v="1727.68"/>
    <n v="0"/>
    <n v="0"/>
    <n v="0"/>
    <n v="1297.4000000000001"/>
    <n v="214.35"/>
    <n v="1.5600070653626608E-3"/>
    <n v="0.15"/>
    <n v="194.61"/>
    <n v="0"/>
    <n v="0"/>
    <n v="0"/>
    <n v="194.61"/>
    <n v="31.137600000000003"/>
    <n v="225.74760000000001"/>
    <n v="3.8922000000000003"/>
    <n v="0"/>
    <n v="3.8922000000000003"/>
    <m/>
    <n v="190.71780000000001"/>
    <s v="BOLLORE"/>
    <n v="0.4"/>
    <n v="76.287120000000002"/>
    <m/>
    <m/>
    <n v="76.287120000000002"/>
    <m/>
    <m/>
    <n v="225.74760000000001"/>
    <n v="225.74760000000001"/>
    <s v="SFA"/>
    <m/>
    <m/>
    <m/>
    <m/>
    <m/>
    <m/>
    <m/>
  </r>
  <r>
    <x v="9"/>
    <s v="Yes"/>
    <d v="2023-09-22T00:00:00"/>
    <d v="2023-09-08T00:00:00"/>
    <d v="2023-08-28T00:00:00"/>
    <d v="2024-08-26T00:00:00"/>
    <s v="000-796/AIB RDC/2023"/>
    <n v="0"/>
    <s v="SOUSCRIPTION"/>
    <s v="12002-33002-0021-111-00022311-2023"/>
    <s v="SI TONG INTERNATIONAL DRC SARLU / Bolloré"/>
    <m/>
    <s v="SYNTYCHE"/>
    <s v="David"/>
    <s v="MARINE CARGO / GIT"/>
    <s v="MARINE"/>
    <x v="0"/>
    <s v="SFA"/>
    <n v="22890"/>
    <n v="86.7"/>
    <n v="0"/>
    <n v="0"/>
    <n v="0"/>
    <n v="46.15"/>
    <n v="8.51"/>
    <n v="2.0161642638706857E-3"/>
    <n v="0.15"/>
    <n v="6.9224999999999994"/>
    <n v="0"/>
    <n v="0"/>
    <n v="0"/>
    <n v="6.9224999999999994"/>
    <n v="1.1075999999999999"/>
    <n v="8.0300999999999991"/>
    <n v="0.13844999999999999"/>
    <n v="0"/>
    <n v="0.13844999999999999"/>
    <m/>
    <n v="6.7840499999999997"/>
    <s v="BOLLORE"/>
    <n v="0.4"/>
    <n v="2.7136200000000001"/>
    <m/>
    <m/>
    <n v="2.7136200000000001"/>
    <m/>
    <n v="8.0300999999999991"/>
    <n v="8.0300999999999991"/>
    <n v="0"/>
    <s v="SFA"/>
    <d v="2023-10-17T00:00:00"/>
    <m/>
    <m/>
    <m/>
    <m/>
    <m/>
    <m/>
  </r>
  <r>
    <x v="9"/>
    <s v="Yes"/>
    <d v="2023-09-22T00:00:00"/>
    <d v="2023-09-08T00:00:00"/>
    <d v="2023-08-28T00:00:00"/>
    <d v="2024-08-26T00:00:00"/>
    <s v="000-797/AIB RDC/2023"/>
    <n v="0"/>
    <s v="SOUSCRIPTION"/>
    <s v="12002-33002-0021-111-00022304-2023"/>
    <s v="SI TONG INTERNATIONAL DRC SARLU / Bolloré"/>
    <m/>
    <s v="SYNTYCHE"/>
    <s v="David"/>
    <s v="MARINE CARGO / GIT"/>
    <s v="MARINE"/>
    <x v="0"/>
    <s v="SFA"/>
    <n v="22890"/>
    <n v="86.7"/>
    <n v="0"/>
    <n v="0"/>
    <n v="0"/>
    <n v="46.15"/>
    <n v="8.51"/>
    <n v="2.0161642638706857E-3"/>
    <n v="0.15"/>
    <n v="6.9224999999999994"/>
    <n v="0"/>
    <n v="0"/>
    <n v="0"/>
    <n v="6.9224999999999994"/>
    <n v="1.1075999999999999"/>
    <n v="8.0300999999999991"/>
    <n v="0.13844999999999999"/>
    <n v="0"/>
    <n v="0.13844999999999999"/>
    <m/>
    <n v="6.7840499999999997"/>
    <s v="BOLLORE"/>
    <n v="0.4"/>
    <n v="2.7136200000000001"/>
    <m/>
    <m/>
    <n v="2.7136200000000001"/>
    <m/>
    <n v="8.0300999999999991"/>
    <n v="8.0300999999999991"/>
    <n v="0"/>
    <s v="SFA"/>
    <d v="2023-10-17T00:00:00"/>
    <m/>
    <m/>
    <m/>
    <m/>
    <m/>
    <m/>
  </r>
  <r>
    <x v="9"/>
    <s v="Yes"/>
    <d v="2023-09-22T00:00:00"/>
    <d v="2023-09-15T00:00:00"/>
    <d v="2023-08-16T00:00:00"/>
    <d v="2024-08-14T00:00:00"/>
    <s v="000-798/AIB RDC/2023"/>
    <n v="0"/>
    <s v="SOUSCRIPTION"/>
    <s v="12002-33002-0021-111-00022735-2023"/>
    <s v="Airtel Congo RDC S.A / Bolloré"/>
    <m/>
    <s v="SYNTYCHE"/>
    <s v="David"/>
    <s v="MARINE CARGO / GIT"/>
    <s v="MARINE"/>
    <x v="0"/>
    <s v="SFA"/>
    <n v="3855271"/>
    <n v="8653"/>
    <n v="0"/>
    <n v="0"/>
    <n v="162.69999999999999"/>
    <n v="7217.06"/>
    <n v="1180.76"/>
    <n v="1.8719981033758718E-3"/>
    <n v="0.15"/>
    <n v="1082.559"/>
    <n v="0"/>
    <n v="0"/>
    <n v="0"/>
    <n v="1082.559"/>
    <n v="173.20944"/>
    <n v="1255.7684400000001"/>
    <n v="21.65118"/>
    <n v="0"/>
    <n v="21.65118"/>
    <m/>
    <n v="1060.9078199999999"/>
    <s v="BOLLORE"/>
    <n v="0.4"/>
    <n v="424.36312799999996"/>
    <m/>
    <m/>
    <n v="424.36312799999996"/>
    <m/>
    <n v="1255.7684400000001"/>
    <n v="1255.7684400000001"/>
    <n v="0"/>
    <s v="SFA"/>
    <d v="2023-10-17T00:00:00"/>
    <m/>
    <s v="ONCE OFF"/>
    <s v="MARINE CARGO / GIT"/>
    <m/>
    <m/>
    <m/>
  </r>
  <r>
    <x v="8"/>
    <s v="Yes"/>
    <d v="2023-09-22T00:00:00"/>
    <d v="2023-09-11T00:00:00"/>
    <d v="2023-09-11T00:00:00"/>
    <d v="2024-09-09T00:00:00"/>
    <s v="000-799/AIB RDC/2023"/>
    <n v="0"/>
    <s v="SOUSCRIPTION"/>
    <s v="12002-33002-0021-111-00022446-2023"/>
    <s v="Airtel Congo RDC S.A / Bolloré"/>
    <m/>
    <s v="SYNTYCHE"/>
    <s v="David"/>
    <s v="MARINE CARGO / GIT"/>
    <s v="MARINE"/>
    <x v="0"/>
    <s v="SFA"/>
    <n v="311842"/>
    <n v="694.4"/>
    <n v="0"/>
    <n v="0"/>
    <n v="17.350000000000001"/>
    <n v="561.32000000000005"/>
    <n v="90.79"/>
    <n v="1.8000141097094043E-3"/>
    <n v="0.15"/>
    <n v="84.198000000000008"/>
    <n v="0"/>
    <n v="0"/>
    <n v="0"/>
    <n v="84.198000000000008"/>
    <n v="13.471680000000001"/>
    <n v="97.669680000000014"/>
    <n v="1.6839600000000001"/>
    <n v="0"/>
    <n v="1.6839600000000001"/>
    <m/>
    <n v="82.514040000000008"/>
    <s v="BOLLORE"/>
    <n v="0.4"/>
    <n v="33.005616000000003"/>
    <m/>
    <m/>
    <n v="33.005616000000003"/>
    <m/>
    <n v="97.669680000000014"/>
    <n v="97.669680000000014"/>
    <n v="0"/>
    <s v="SFA"/>
    <d v="2023-10-17T00:00:00"/>
    <m/>
    <s v="ONCE OFF"/>
    <s v="MARINE CARGO / GIT"/>
    <m/>
    <m/>
    <m/>
  </r>
  <r>
    <x v="8"/>
    <s v="Yes"/>
    <d v="2023-09-25T00:00:00"/>
    <d v="2023-09-22T00:00:00"/>
    <d v="2023-09-29T00:00:00"/>
    <d v="2023-11-13T00:00:00"/>
    <s v="000-800/AIB RDC/2023"/>
    <n v="1"/>
    <s v="PROROGATION"/>
    <s v="12001-33002-0014-111-00011062-2023"/>
    <s v="MAKEDA GREEN COFFEE-GIOVANNI MARCHETTI"/>
    <m/>
    <s v="SYNTYCHE"/>
    <s v="Axel"/>
    <s v="MARINE CARGO / GIT"/>
    <s v="MARINE"/>
    <x v="1"/>
    <s v="ACTIVA"/>
    <n v="47100"/>
    <n v="78.680000000000007"/>
    <n v="0"/>
    <n v="0"/>
    <n v="10"/>
    <n v="57.83"/>
    <n v="10"/>
    <n v="1.2278131634819534E-3"/>
    <n v="0.15"/>
    <n v="8.6745000000000001"/>
    <n v="0"/>
    <n v="0"/>
    <n v="0"/>
    <n v="8.6745000000000001"/>
    <n v="1.38792"/>
    <n v="10.062419999999999"/>
    <n v="0.17349000000000001"/>
    <n v="0"/>
    <n v="0.17349000000000001"/>
    <m/>
    <n v="8.5010100000000008"/>
    <m/>
    <m/>
    <n v="0"/>
    <m/>
    <m/>
    <n v="0"/>
    <m/>
    <n v="10.062419999999999"/>
    <n v="10.062419999999999"/>
    <n v="0"/>
    <s v="ACTIVA"/>
    <d v="2023-10-23T00:00:00"/>
    <m/>
    <m/>
    <m/>
    <m/>
    <m/>
    <m/>
  </r>
  <r>
    <x v="8"/>
    <s v="Yes"/>
    <d v="2023-09-25T00:00:00"/>
    <d v="2023-09-15T00:00:00"/>
    <d v="2023-09-15T00:00:00"/>
    <d v="2024-09-13T00:00:00"/>
    <s v="000-801/AIB RDC/2023"/>
    <n v="0"/>
    <s v="SOUSCRIPTION"/>
    <s v="12002-33002-0021-111-00022805-2023"/>
    <s v="SNEL / Bolloré"/>
    <m/>
    <s v="SYNTYCHE"/>
    <s v="David"/>
    <s v="MARINE CARGO / GIT"/>
    <s v="MARINE"/>
    <x v="0"/>
    <s v="SFA"/>
    <n v="3621473.62"/>
    <n v="10132.17"/>
    <n v="0"/>
    <n v="0"/>
    <n v="176.84"/>
    <n v="8536.24"/>
    <n v="1394.09"/>
    <n v="2.3571178187955432E-3"/>
    <n v="0.15"/>
    <n v="1280.4359999999999"/>
    <n v="0"/>
    <n v="0"/>
    <n v="0"/>
    <n v="1280.4359999999999"/>
    <n v="204.86975999999999"/>
    <n v="1485.30576"/>
    <n v="25.608719999999998"/>
    <n v="0"/>
    <n v="25.608719999999998"/>
    <m/>
    <n v="1254.82728"/>
    <s v="BOLLORE"/>
    <n v="0.4"/>
    <n v="501.93091200000003"/>
    <m/>
    <m/>
    <n v="501.93091200000003"/>
    <m/>
    <n v="1398.9"/>
    <n v="1485.30576"/>
    <n v="86.405759999999873"/>
    <s v="SFA"/>
    <d v="2023-11-07T00:00:00"/>
    <m/>
    <m/>
    <m/>
    <m/>
    <m/>
    <m/>
  </r>
  <r>
    <x v="3"/>
    <s v="Yes"/>
    <d v="2023-08-28T00:00:00"/>
    <d v="2023-07-15T00:00:00"/>
    <d v="2023-06-30T00:00:00"/>
    <d v="2024-06-29T00:00:00"/>
    <s v="000-802/AIB RDC/2023"/>
    <n v="2"/>
    <s v="RENOUVELLEMENT"/>
    <n v="60100009"/>
    <s v="Glencore / Kamoto Copper Company"/>
    <s v="Mining"/>
    <s v="ANDY"/>
    <s v="Andy"/>
    <s v="REFUELING LIABILITY"/>
    <s v="LIABILITIES"/>
    <x v="6"/>
    <s v="RAWSUR"/>
    <n v="0"/>
    <n v="476183.95"/>
    <n v="60531.86"/>
    <n v="-26981.24"/>
    <n v="0"/>
    <n v="343013.85"/>
    <n v="64567.32"/>
    <e v="#DIV/0!"/>
    <n v="0"/>
    <n v="0"/>
    <n v="10065.185999999998"/>
    <n v="0"/>
    <n v="0"/>
    <n v="10065.185999999998"/>
    <n v="1610.4297599999998"/>
    <n v="11675.615759999997"/>
    <n v="201.30371999999997"/>
    <n v="0"/>
    <n v="201.30371999999997"/>
    <m/>
    <n v="9863.882279999998"/>
    <m/>
    <m/>
    <n v="0"/>
    <m/>
    <m/>
    <n v="0"/>
    <m/>
    <n v="11675.615759999997"/>
    <n v="11675.615759999997"/>
    <n v="0"/>
    <s v="RAWSUR"/>
    <d v="2023-09-05T00:00:00"/>
    <m/>
    <m/>
    <m/>
    <m/>
    <m/>
    <m/>
  </r>
  <r>
    <x v="8"/>
    <s v="Yes"/>
    <d v="2023-09-27T00:00:00"/>
    <d v="2023-07-06T00:00:00"/>
    <d v="2023-09-05T00:00:00"/>
    <d v="2024-09-04T00:00:00"/>
    <s v="000-803/AIB RDC/2023"/>
    <n v="0"/>
    <s v="SOUSCRIPTION"/>
    <s v="301-70100068"/>
    <s v="ORICA / Bolloré"/>
    <m/>
    <s v="SYNTYCHE"/>
    <s v="David"/>
    <s v="MARINE CARGO / GIT"/>
    <s v="MARINE"/>
    <x v="6"/>
    <s v="RAWSUR"/>
    <n v="280438"/>
    <n v="1716"/>
    <n v="0"/>
    <n v="0"/>
    <n v="333"/>
    <n v="1121.75"/>
    <n v="232.76"/>
    <n v="3.9999928682988755E-3"/>
    <n v="0.15"/>
    <n v="168.26249999999999"/>
    <n v="0"/>
    <n v="0"/>
    <n v="0"/>
    <n v="168.26249999999999"/>
    <n v="26.921999999999997"/>
    <n v="195.18449999999999"/>
    <n v="3.3652499999999996"/>
    <n v="0"/>
    <n v="3.3652499999999996"/>
    <m/>
    <n v="164.89724999999999"/>
    <s v="BOLLORE"/>
    <n v="0.4"/>
    <n v="65.9589"/>
    <m/>
    <m/>
    <n v="65.9589"/>
    <m/>
    <n v="195.18449999999999"/>
    <n v="195.18449999999999"/>
    <n v="0"/>
    <s v="RAWSUR"/>
    <d v="2023-10-20T00:00:00"/>
    <m/>
    <m/>
    <m/>
    <m/>
    <m/>
    <m/>
  </r>
  <r>
    <x v="8"/>
    <s v="Yes"/>
    <d v="2023-09-27T00:00:00"/>
    <d v="2023-08-31T00:00:00"/>
    <d v="2023-09-05T00:00:00"/>
    <d v="2024-09-04T00:00:00"/>
    <s v="000-804/AIB RDC/2023"/>
    <n v="0"/>
    <s v="SOUSCRIPTION"/>
    <s v="301-70100057"/>
    <s v="ORICA / Bolloré"/>
    <m/>
    <s v="SYNTYCHE"/>
    <s v="David"/>
    <s v="MARINE CARGO / GIT"/>
    <s v="MARINE"/>
    <x v="6"/>
    <s v="RAWSUR"/>
    <n v="422282"/>
    <n v="2429.6999999999998"/>
    <n v="0"/>
    <n v="0"/>
    <n v="370"/>
    <n v="1689.12"/>
    <n v="329.16"/>
    <n v="3.9999810553137472E-3"/>
    <n v="0.15"/>
    <n v="253.36799999999997"/>
    <n v="0"/>
    <n v="0"/>
    <n v="0"/>
    <n v="253.36799999999997"/>
    <n v="40.538879999999999"/>
    <n v="293.90687999999994"/>
    <n v="5.0673599999999999"/>
    <n v="0"/>
    <n v="5.0673599999999999"/>
    <m/>
    <n v="248.30063999999996"/>
    <s v="BOLLORE"/>
    <n v="0.4"/>
    <n v="99.320255999999986"/>
    <m/>
    <m/>
    <n v="99.320255999999986"/>
    <m/>
    <n v="293.90687999999994"/>
    <n v="293.90687999999994"/>
    <n v="0"/>
    <s v="RAWSUR"/>
    <d v="2023-10-20T00:00:00"/>
    <m/>
    <m/>
    <m/>
    <m/>
    <m/>
    <m/>
  </r>
  <r>
    <x v="8"/>
    <s v="Yes"/>
    <d v="2023-09-27T00:00:00"/>
    <d v="2023-08-14T00:00:00"/>
    <d v="2023-09-05T00:00:00"/>
    <d v="2024-09-04T00:00:00"/>
    <s v="000-805/AIB RDC/2023"/>
    <n v="0"/>
    <s v="SOUSCRIPTION"/>
    <s v="301-70100063"/>
    <s v="ORICA / Bolloré"/>
    <m/>
    <s v="SYNTYCHE"/>
    <s v="David"/>
    <s v="MARINE CARGO / GIT"/>
    <s v="MARINE"/>
    <x v="6"/>
    <s v="RAWSUR"/>
    <n v="295192.28000000003"/>
    <n v="1821.16"/>
    <n v="0"/>
    <n v="0"/>
    <n v="333"/>
    <n v="1210.3699999999999"/>
    <n v="246.94"/>
    <n v="4.1002766061497267E-3"/>
    <n v="0.15"/>
    <n v="181.55549999999997"/>
    <n v="0"/>
    <n v="0"/>
    <n v="0"/>
    <n v="181.55549999999997"/>
    <n v="29.048879999999997"/>
    <n v="210.60437999999996"/>
    <n v="3.6311099999999996"/>
    <n v="0"/>
    <n v="3.6311099999999996"/>
    <m/>
    <n v="177.92438999999996"/>
    <s v="BOLLORE"/>
    <n v="0.4"/>
    <n v="71.169755999999992"/>
    <m/>
    <m/>
    <n v="71.169755999999992"/>
    <m/>
    <n v="210.60437999999996"/>
    <n v="210.60437999999996"/>
    <n v="0"/>
    <s v="RAWSUR"/>
    <d v="2023-10-20T00:00:00"/>
    <m/>
    <m/>
    <m/>
    <m/>
    <m/>
    <m/>
  </r>
  <r>
    <x v="8"/>
    <s v="Yes"/>
    <d v="2023-09-27T00:00:00"/>
    <d v="2023-09-01T00:00:00"/>
    <d v="2023-09-05T00:00:00"/>
    <d v="2024-09-04T00:00:00"/>
    <s v="000-806/AIB RDC/2023"/>
    <n v="0"/>
    <s v="SOUSCRIPTION"/>
    <s v="301-70100050"/>
    <s v="ORICA / Bolloré"/>
    <m/>
    <s v="SYNTYCHE"/>
    <s v="David"/>
    <s v="MARINE CARGO / GIT"/>
    <s v="MARINE"/>
    <x v="6"/>
    <s v="RAWSUR"/>
    <n v="186678"/>
    <n v="1235.83"/>
    <n v="0"/>
    <n v="0"/>
    <n v="259"/>
    <n v="788.32"/>
    <n v="167.58"/>
    <n v="4.2228864676073239E-3"/>
    <n v="0.15"/>
    <n v="118.248"/>
    <n v="0"/>
    <n v="0"/>
    <n v="0"/>
    <n v="118.248"/>
    <n v="18.91968"/>
    <n v="137.16768000000002"/>
    <n v="2.36496"/>
    <n v="0"/>
    <n v="2.36496"/>
    <m/>
    <n v="115.88304000000001"/>
    <s v="BOLLORE"/>
    <n v="0.4"/>
    <n v="46.353216000000003"/>
    <m/>
    <m/>
    <n v="46.353216000000003"/>
    <m/>
    <n v="137.16768000000002"/>
    <n v="137.16768000000002"/>
    <n v="0"/>
    <s v="RAWSUR"/>
    <d v="2023-10-20T00:00:00"/>
    <m/>
    <m/>
    <m/>
    <m/>
    <m/>
    <m/>
  </r>
  <r>
    <x v="8"/>
    <s v="Yes"/>
    <d v="2023-09-27T00:00:00"/>
    <d v="2023-08-14T00:00:00"/>
    <d v="2023-09-05T00:00:00"/>
    <d v="2024-09-04T00:00:00"/>
    <s v="000-807/AIB RDC/2023"/>
    <n v="0"/>
    <s v="SOUSCRIPTION"/>
    <s v="301-70100059"/>
    <s v="ORICA / Bolloré"/>
    <m/>
    <s v="SYNTYCHE"/>
    <s v="David"/>
    <s v="MARINE CARGO / GIT"/>
    <s v="MARINE"/>
    <x v="6"/>
    <s v="RAWSUR"/>
    <n v="421740.46"/>
    <n v="2768.16"/>
    <n v="0"/>
    <n v="0"/>
    <n v="481"/>
    <n v="1864.88"/>
    <n v="375.34"/>
    <n v="4.4218664720951841E-3"/>
    <n v="0.15"/>
    <n v="279.73200000000003"/>
    <n v="0"/>
    <n v="0"/>
    <n v="0"/>
    <n v="279.73200000000003"/>
    <n v="44.757120000000008"/>
    <n v="324.48912000000001"/>
    <n v="5.5946400000000009"/>
    <n v="0"/>
    <n v="5.5946400000000009"/>
    <m/>
    <n v="274.13736"/>
    <s v="BOLLORE"/>
    <n v="0.4"/>
    <n v="109.654944"/>
    <m/>
    <m/>
    <n v="109.654944"/>
    <m/>
    <n v="324.48912000000001"/>
    <n v="324.48912000000001"/>
    <n v="0"/>
    <s v="RAWSUR"/>
    <d v="2023-10-20T00:00:00"/>
    <m/>
    <m/>
    <m/>
    <m/>
    <m/>
    <m/>
  </r>
  <r>
    <x v="8"/>
    <s v="Yes"/>
    <d v="2023-09-27T00:00:00"/>
    <d v="2023-08-16T00:00:00"/>
    <d v="2023-09-05T00:00:00"/>
    <d v="2024-09-04T00:00:00"/>
    <s v="000-808/AIB RDC/2023"/>
    <n v="0"/>
    <s v="SOUSCRIPTION"/>
    <s v="301-70100062"/>
    <s v="ORICA / Bolloré"/>
    <m/>
    <s v="SYNTYCHE"/>
    <s v="David"/>
    <s v="MARINE CARGO / GIT"/>
    <s v="MARINE"/>
    <x v="6"/>
    <s v="RAWSUR"/>
    <n v="642731.54"/>
    <n v="3555.37"/>
    <n v="0"/>
    <n v="0"/>
    <n v="407"/>
    <n v="2606.1999999999998"/>
    <n v="482"/>
    <n v="4.0548811405769812E-3"/>
    <n v="0.15"/>
    <n v="390.92999999999995"/>
    <n v="0"/>
    <n v="0"/>
    <n v="0"/>
    <n v="390.92999999999995"/>
    <n v="62.548799999999993"/>
    <n v="453.47879999999992"/>
    <n v="7.8185999999999991"/>
    <n v="0"/>
    <n v="7.8185999999999991"/>
    <m/>
    <n v="383.11139999999995"/>
    <s v="BOLLORE"/>
    <n v="0.4"/>
    <n v="153.24455999999998"/>
    <m/>
    <m/>
    <n v="153.24455999999998"/>
    <m/>
    <n v="453.47879999999992"/>
    <n v="453.47879999999992"/>
    <n v="0"/>
    <s v="RAWSUR"/>
    <d v="2023-10-20T00:00:00"/>
    <m/>
    <m/>
    <m/>
    <m/>
    <m/>
    <m/>
  </r>
  <r>
    <x v="8"/>
    <s v="Yes"/>
    <d v="2023-09-28T00:00:00"/>
    <d v="2023-08-22T00:00:00"/>
    <d v="2023-09-05T00:00:00"/>
    <d v="2024-09-04T00:00:00"/>
    <s v="000-809/AIB RDC/2023"/>
    <n v="0"/>
    <s v="SOUSCRIPTION"/>
    <s v="301-70100053"/>
    <s v="ORICA / Bolloré"/>
    <m/>
    <s v="SYNTYCHE"/>
    <s v="David"/>
    <s v="MARINE CARGO / GIT"/>
    <s v="MARINE"/>
    <x v="6"/>
    <s v="RAWSUR"/>
    <n v="258261.52"/>
    <n v="1568.26"/>
    <n v="0"/>
    <n v="0"/>
    <n v="296"/>
    <n v="1033.03"/>
    <n v="212.65"/>
    <n v="3.9999377375305465E-3"/>
    <n v="0.15"/>
    <n v="154.9545"/>
    <n v="0"/>
    <n v="0"/>
    <n v="0"/>
    <n v="154.9545"/>
    <n v="24.792719999999999"/>
    <n v="179.74722"/>
    <n v="3.0990899999999999"/>
    <n v="0"/>
    <n v="3.0990899999999999"/>
    <m/>
    <n v="151.85541000000001"/>
    <s v="BOLLORE"/>
    <n v="0.4"/>
    <n v="60.742164000000002"/>
    <m/>
    <m/>
    <n v="60.742164000000002"/>
    <m/>
    <n v="179.74722"/>
    <n v="179.74722"/>
    <n v="0"/>
    <s v="RAWSUR"/>
    <d v="2023-10-20T00:00:00"/>
    <m/>
    <m/>
    <m/>
    <m/>
    <m/>
    <m/>
  </r>
  <r>
    <x v="8"/>
    <s v="Yes"/>
    <d v="2023-09-28T00:00:00"/>
    <d v="2023-08-04T00:00:00"/>
    <d v="2023-09-05T00:00:00"/>
    <d v="2024-09-04T00:00:00"/>
    <s v="000-810/AIB RDC/2023"/>
    <n v="0"/>
    <s v="SOUSCRIPTION"/>
    <s v="301-70100055"/>
    <s v="ORICA / Bolloré"/>
    <m/>
    <s v="SYNTYCHE"/>
    <s v="David"/>
    <s v="MARINE CARGO / GIT"/>
    <s v="MARINE"/>
    <x v="6"/>
    <s v="RAWSUR"/>
    <n v="638813.07999999996"/>
    <n v="3801"/>
    <n v="0"/>
    <n v="0"/>
    <n v="666"/>
    <n v="2555.2600000000002"/>
    <n v="464.11"/>
    <n v="4.0000120222960997E-3"/>
    <n v="0.15"/>
    <n v="383.28900000000004"/>
    <n v="0"/>
    <n v="0"/>
    <n v="0"/>
    <n v="383.28900000000004"/>
    <n v="61.326240000000006"/>
    <n v="444.61524000000003"/>
    <n v="7.6657800000000007"/>
    <n v="0"/>
    <n v="7.6657800000000007"/>
    <m/>
    <n v="375.62322000000006"/>
    <s v="BOLLORE"/>
    <n v="0.4"/>
    <n v="150.24928800000004"/>
    <m/>
    <m/>
    <n v="150.24928800000004"/>
    <m/>
    <n v="444.61524000000003"/>
    <n v="444.61524000000003"/>
    <n v="0"/>
    <s v="RAWSUR"/>
    <d v="2023-10-20T00:00:00"/>
    <m/>
    <m/>
    <m/>
    <m/>
    <m/>
    <m/>
  </r>
  <r>
    <x v="9"/>
    <s v="Yes"/>
    <d v="2023-02-10T00:00:00"/>
    <d v="2023-09-12T00:00:00"/>
    <d v="2023-08-24T00:00:00"/>
    <d v="2023-10-07T00:00:00"/>
    <s v="000-811/AIB RDC/2023"/>
    <n v="0"/>
    <s v="SOUSCRIPTION"/>
    <s v="12001-33002-0014-111-00012850-2023"/>
    <s v="Charlie PITCAIRN"/>
    <m/>
    <s v="SYNTYCHE"/>
    <s v="Axel"/>
    <s v="MARINE CARGO / GIT"/>
    <s v="MARINE"/>
    <x v="1"/>
    <s v="ACTIVA"/>
    <n v="4000"/>
    <n v="65.599999999999994"/>
    <n v="0"/>
    <n v="0"/>
    <n v="10"/>
    <n v="25"/>
    <n v="5.6"/>
    <n v="6.2500000000000003E-3"/>
    <n v="0.15"/>
    <n v="3.75"/>
    <n v="0"/>
    <n v="0"/>
    <n v="0"/>
    <n v="3.75"/>
    <n v="0.6"/>
    <n v="4.3499999999999996"/>
    <n v="7.4999999999999997E-2"/>
    <n v="0"/>
    <n v="7.4999999999999997E-2"/>
    <m/>
    <n v="3.6749999999999998"/>
    <m/>
    <n v="0"/>
    <n v="0"/>
    <m/>
    <m/>
    <n v="0"/>
    <m/>
    <n v="4.3499999999999996"/>
    <n v="4.3499999999999996"/>
    <n v="0"/>
    <s v="ACTIVA"/>
    <d v="2023-10-23T00:00:00"/>
    <m/>
    <m/>
    <m/>
    <m/>
    <m/>
    <m/>
  </r>
  <r>
    <x v="8"/>
    <s v="Yes"/>
    <d v="2023-10-02T00:00:00"/>
    <d v="2023-09-05T00:00:00"/>
    <d v="2023-09-05T00:00:00"/>
    <d v="2024-09-04T00:00:00"/>
    <s v="000-812/AIB RDC/2023"/>
    <n v="0"/>
    <s v="SOUSCRIPTION"/>
    <s v="301-70100054"/>
    <s v="ORICA / Bolloré"/>
    <m/>
    <s v="SYNTYCHE"/>
    <s v="David"/>
    <s v="MARINE CARGO / GIT"/>
    <s v="MARINE"/>
    <x v="6"/>
    <s v="RAWSUR"/>
    <n v="269147.2"/>
    <n v="1702.25"/>
    <n v="0"/>
    <n v="0"/>
    <n v="333"/>
    <n v="1109.58"/>
    <n v="280.31"/>
    <n v="4.1225767906929731E-3"/>
    <n v="0.15"/>
    <n v="166.43699999999998"/>
    <n v="0"/>
    <n v="0"/>
    <n v="0"/>
    <n v="166.43699999999998"/>
    <n v="26.629919999999998"/>
    <n v="193.06691999999998"/>
    <n v="3.3287399999999998"/>
    <n v="0"/>
    <n v="3.3287399999999998"/>
    <m/>
    <n v="163.10825999999997"/>
    <s v="BOLLORE"/>
    <n v="0.4"/>
    <n v="65.243303999999995"/>
    <m/>
    <m/>
    <n v="65.243303999999995"/>
    <m/>
    <n v="193.06691999999998"/>
    <n v="193.06691999999998"/>
    <n v="0"/>
    <s v="RAWSUR"/>
    <d v="2023-10-20T00:00:00"/>
    <m/>
    <m/>
    <m/>
    <m/>
    <m/>
    <m/>
  </r>
  <r>
    <x v="8"/>
    <s v="Yes"/>
    <d v="2023-10-02T00:00:00"/>
    <d v="2023-09-07T00:00:00"/>
    <d v="2023-09-07T00:00:00"/>
    <d v="2024-09-06T00:00:00"/>
    <s v="000-813/AIB RDC/2023"/>
    <n v="0"/>
    <s v="SOUSCRIPTION"/>
    <s v="301-70100049"/>
    <s v="ORICA / Bolloré"/>
    <m/>
    <s v="SYNTYCHE"/>
    <s v="David"/>
    <s v="MARINE CARGO / GIT"/>
    <s v="MARINE"/>
    <x v="6"/>
    <s v="RAWSUR"/>
    <n v="204301.48"/>
    <n v="1349.83"/>
    <n v="0"/>
    <n v="0"/>
    <n v="259"/>
    <n v="854.02"/>
    <n v="183.03"/>
    <n v="4.1801948767086752E-3"/>
    <n v="0.15"/>
    <n v="128.10299999999998"/>
    <n v="0"/>
    <n v="0"/>
    <n v="0"/>
    <n v="128.10299999999998"/>
    <n v="20.496479999999998"/>
    <n v="148.59947999999997"/>
    <n v="2.5620599999999998"/>
    <n v="0"/>
    <n v="2.5620599999999998"/>
    <m/>
    <n v="125.54093999999998"/>
    <s v="BOLLORE"/>
    <n v="0.4"/>
    <n v="50.216375999999997"/>
    <m/>
    <m/>
    <n v="50.216375999999997"/>
    <m/>
    <n v="148.59947999999997"/>
    <n v="148.59947999999997"/>
    <n v="0"/>
    <s v="RAWSUR"/>
    <d v="2023-10-20T00:00:00"/>
    <m/>
    <m/>
    <m/>
    <m/>
    <m/>
    <m/>
  </r>
  <r>
    <x v="8"/>
    <s v="Yes"/>
    <d v="2023-10-02T00:00:00"/>
    <d v="2023-09-07T00:00:00"/>
    <d v="2023-09-07T00:00:00"/>
    <d v="2024-09-06T00:00:00"/>
    <s v="000-814/AIB RDC/2023"/>
    <n v="0"/>
    <s v="SOUSCRIPTION"/>
    <s v="301-70100061"/>
    <s v="ORICA / Bolloré"/>
    <m/>
    <s v="SYNTYCHE"/>
    <s v="David"/>
    <s v="MARINE CARGO / GIT"/>
    <s v="MARINE"/>
    <x v="6"/>
    <s v="RAWSUR"/>
    <n v="525947.92000000004"/>
    <n v="3068.93"/>
    <n v="0"/>
    <n v="0"/>
    <n v="481"/>
    <n v="2119.79"/>
    <n v="416.13"/>
    <n v="4.0304180687700027E-3"/>
    <n v="0.15"/>
    <n v="317.96850000000001"/>
    <n v="0"/>
    <n v="0"/>
    <n v="0"/>
    <n v="317.96850000000001"/>
    <n v="50.874960000000002"/>
    <n v="368.84345999999999"/>
    <n v="6.3593700000000002"/>
    <n v="0"/>
    <n v="6.3593700000000002"/>
    <m/>
    <n v="311.60912999999999"/>
    <s v="BOLLORE"/>
    <n v="0.4"/>
    <n v="124.643652"/>
    <m/>
    <m/>
    <n v="124.643652"/>
    <m/>
    <n v="368.84345999999999"/>
    <n v="368.84345999999999"/>
    <n v="0"/>
    <s v="RAWSUR"/>
    <d v="2023-10-20T00:00:00"/>
    <m/>
    <m/>
    <m/>
    <m/>
    <m/>
    <m/>
  </r>
  <r>
    <x v="8"/>
    <s v="Yes"/>
    <d v="2023-10-02T00:00:00"/>
    <d v="2023-09-07T00:00:00"/>
    <d v="2023-09-07T00:00:00"/>
    <d v="2024-09-06T00:00:00"/>
    <s v="000-815/AIB RDC/2023"/>
    <n v="0"/>
    <s v="SOUSCRIPTION"/>
    <s v="301-70100058"/>
    <s v="ORICA / Bolloré"/>
    <m/>
    <s v="SYNTYCHE"/>
    <s v="David"/>
    <s v="MARINE CARGO / GIT"/>
    <s v="MARINE"/>
    <x v="6"/>
    <s v="RAWSUR"/>
    <n v="265752"/>
    <n v="1642.75"/>
    <n v="0"/>
    <n v="0"/>
    <n v="296"/>
    <n v="1096.1600000000001"/>
    <n v="222.76"/>
    <n v="4.1247478852463951E-3"/>
    <n v="0.15"/>
    <n v="164.42400000000001"/>
    <n v="0"/>
    <n v="0"/>
    <n v="0"/>
    <n v="164.42400000000001"/>
    <n v="26.307840000000002"/>
    <n v="190.73184000000001"/>
    <n v="3.2884800000000003"/>
    <n v="0"/>
    <n v="3.2884800000000003"/>
    <m/>
    <n v="161.13552000000001"/>
    <s v="BOLLORE"/>
    <n v="0.4"/>
    <n v="64.454208000000008"/>
    <m/>
    <m/>
    <n v="64.454208000000008"/>
    <m/>
    <n v="190.73184000000001"/>
    <n v="190.73184000000001"/>
    <n v="0"/>
    <s v="RAWSUR"/>
    <d v="2023-10-20T00:00:00"/>
    <m/>
    <m/>
    <m/>
    <m/>
    <m/>
    <m/>
  </r>
  <r>
    <x v="8"/>
    <s v="Yes"/>
    <d v="2023-10-02T00:00:00"/>
    <d v="2023-09-08T00:00:00"/>
    <d v="2023-09-08T00:00:00"/>
    <d v="2024-09-07T00:00:00"/>
    <s v="000-816/AIB RDC/2023"/>
    <n v="0"/>
    <s v="SOUSCRIPTION"/>
    <s v="301-70100067"/>
    <s v="ORICA / Bolloré"/>
    <m/>
    <s v="SYNTYCHE"/>
    <s v="David"/>
    <s v="MARINE CARGO / GIT"/>
    <s v="MARINE"/>
    <x v="6"/>
    <s v="RAWSUR"/>
    <n v="544779.68000000005"/>
    <n v="3099.17"/>
    <n v="0"/>
    <n v="0"/>
    <n v="370"/>
    <n v="2256.44"/>
    <n v="420.23"/>
    <n v="4.1419312849554149E-3"/>
    <n v="0.15"/>
    <n v="338.46600000000001"/>
    <n v="0"/>
    <n v="0"/>
    <n v="0"/>
    <n v="338.46600000000001"/>
    <n v="54.154560000000004"/>
    <n v="392.62056000000001"/>
    <n v="6.7693200000000004"/>
    <n v="0"/>
    <n v="6.7693200000000004"/>
    <m/>
    <n v="331.69668000000001"/>
    <s v="BOLLORE"/>
    <n v="0.4"/>
    <n v="132.67867200000001"/>
    <m/>
    <m/>
    <n v="132.67867200000001"/>
    <m/>
    <n v="392.62056000000001"/>
    <n v="392.62056000000001"/>
    <n v="0"/>
    <s v="RAWSUR"/>
    <d v="2023-10-20T00:00:00"/>
    <m/>
    <m/>
    <m/>
    <m/>
    <m/>
    <m/>
  </r>
  <r>
    <x v="3"/>
    <s v="No"/>
    <d v="2023-10-02T00:00:00"/>
    <d v="2023-09-28T00:00:00"/>
    <d v="2023-06-16T00:00:00"/>
    <d v="2024-06-14T00:00:00"/>
    <s v="000-817/AIB RDC/2023"/>
    <n v="0"/>
    <s v="SOUSCRIPTION"/>
    <s v="12002-33002-0021-111-00023488-2023"/>
    <s v="PANACO / Bolloré"/>
    <m/>
    <s v="SYNTYCHE"/>
    <s v="Axel"/>
    <s v="MARINE CARGO / GIT"/>
    <s v="MARINE"/>
    <x v="0"/>
    <s v="SFA"/>
    <n v="14200"/>
    <n v="63.55"/>
    <n v="0"/>
    <n v="0"/>
    <n v="6.65"/>
    <n v="26.58"/>
    <n v="5.32"/>
    <n v="1.8718309859154928E-3"/>
    <n v="0.15"/>
    <n v="3.9869999999999997"/>
    <n v="0"/>
    <n v="0"/>
    <n v="0"/>
    <n v="3.9869999999999997"/>
    <n v="0.63791999999999993"/>
    <n v="4.6249199999999995"/>
    <n v="7.9739999999999991E-2"/>
    <n v="0"/>
    <n v="7.9739999999999991E-2"/>
    <m/>
    <n v="3.9072599999999995"/>
    <s v="BOLLORE"/>
    <n v="0.4"/>
    <n v="1.5629039999999998"/>
    <m/>
    <m/>
    <n v="1.5629039999999998"/>
    <m/>
    <m/>
    <n v="4.6249199999999995"/>
    <n v="4.6249199999999995"/>
    <s v="SFA"/>
    <m/>
    <m/>
    <s v="ONCE OFF"/>
    <s v="MARINE CARGO / GIT"/>
    <m/>
    <m/>
    <m/>
  </r>
  <r>
    <x v="8"/>
    <s v="Yes"/>
    <d v="2023-10-03T00:00:00"/>
    <d v="2023-09-13T00:00:00"/>
    <d v="2023-09-08T00:00:00"/>
    <d v="2023-11-07T00:00:00"/>
    <s v="000-818/AIB RDC/2023"/>
    <n v="0"/>
    <s v="SOUSCRIPTION"/>
    <s v="301-70100064"/>
    <s v="SNEL / Bolloré"/>
    <m/>
    <s v="SYNTYCHE"/>
    <s v="Axel"/>
    <s v="MARINE CARGO / GIT"/>
    <s v="MARINE"/>
    <x v="6"/>
    <s v="RAWSUR"/>
    <n v="624507"/>
    <n v="2622.87"/>
    <n v="0"/>
    <n v="0"/>
    <n v="37"/>
    <n v="2185.77"/>
    <n v="355.64"/>
    <n v="3.4999927943161566E-3"/>
    <n v="0.15"/>
    <n v="327.8655"/>
    <n v="0"/>
    <n v="0"/>
    <n v="0"/>
    <n v="327.8655"/>
    <n v="52.458480000000002"/>
    <n v="380.32398000000001"/>
    <n v="6.5573100000000002"/>
    <n v="0"/>
    <n v="6.5573100000000002"/>
    <m/>
    <n v="321.30819000000002"/>
    <s v="BOLLORE"/>
    <n v="0.4"/>
    <n v="128.52327600000001"/>
    <m/>
    <m/>
    <n v="128.52327600000001"/>
    <m/>
    <n v="380.32398000000001"/>
    <n v="380.32398000000001"/>
    <n v="0"/>
    <s v="RAWSUR"/>
    <d v="2023-10-20T00:00:00"/>
    <m/>
    <m/>
    <m/>
    <m/>
    <m/>
    <m/>
  </r>
  <r>
    <x v="7"/>
    <s v="Yes"/>
    <d v="2023-10-03T00:00:00"/>
    <d v="2023-09-08T00:00:00"/>
    <d v="2023-09-08T00:00:00"/>
    <d v="2023-12-07T00:00:00"/>
    <s v="000-819/AIB RDC/2023"/>
    <n v="0"/>
    <s v="SOUSCRIPTION"/>
    <s v="301-73200036"/>
    <s v="SNEL / Bolloré"/>
    <m/>
    <s v="SYNTYCHE"/>
    <s v="Axel"/>
    <s v="MARINE CARGO / GIT"/>
    <s v="MARINE"/>
    <x v="6"/>
    <s v="RAWSUR"/>
    <n v="1107158"/>
    <n v="3963"/>
    <n v="0"/>
    <n v="0"/>
    <n v="37"/>
    <n v="3321.47"/>
    <n v="537.36"/>
    <n v="2.9999963871461884E-3"/>
    <n v="0.15"/>
    <n v="498.22049999999996"/>
    <n v="0"/>
    <n v="0"/>
    <n v="0"/>
    <n v="498.22049999999996"/>
    <n v="79.715279999999993"/>
    <n v="577.93577999999991"/>
    <n v="9.9644099999999991"/>
    <n v="0"/>
    <n v="9.9644099999999991"/>
    <m/>
    <n v="488.25608999999997"/>
    <s v="BOLLORE"/>
    <n v="0.4"/>
    <n v="195.302436"/>
    <m/>
    <m/>
    <n v="195.302436"/>
    <m/>
    <n v="577.93577999999991"/>
    <n v="577.93577999999991"/>
    <n v="0"/>
    <s v="RAWSUR"/>
    <d v="2023-10-20T00:00:00"/>
    <m/>
    <m/>
    <m/>
    <m/>
    <m/>
    <m/>
  </r>
  <r>
    <x v="8"/>
    <s v="Yes"/>
    <d v="2023-10-03T00:00:00"/>
    <d v="2023-09-07T00:00:00"/>
    <d v="2023-09-07T00:00:00"/>
    <d v="2023-11-06T00:00:00"/>
    <s v="000-820/AIB RDC/2023"/>
    <n v="0"/>
    <s v="SOUSCRIPTION"/>
    <s v="301-70100056"/>
    <s v="ETS AMI CONGO / Bolloré"/>
    <m/>
    <s v="SYNTYCHE"/>
    <s v="Axel"/>
    <s v="MARINE CARGO / GIT"/>
    <s v="MARINE"/>
    <x v="6"/>
    <s v="RAWSUR"/>
    <n v="288605"/>
    <n v="1863.31"/>
    <n v="0"/>
    <n v="0"/>
    <n v="407"/>
    <n v="1172.07"/>
    <n v="252.67"/>
    <n v="4.0611562516241918E-3"/>
    <n v="0.15"/>
    <n v="175.81049999999999"/>
    <n v="0"/>
    <n v="0"/>
    <n v="0"/>
    <n v="175.81049999999999"/>
    <n v="28.12968"/>
    <n v="203.94018"/>
    <n v="3.5162100000000001"/>
    <n v="0"/>
    <n v="3.5162100000000001"/>
    <m/>
    <n v="172.29428999999999"/>
    <s v="BOLLORE"/>
    <n v="0.4"/>
    <n v="68.917715999999999"/>
    <m/>
    <m/>
    <n v="68.917715999999999"/>
    <m/>
    <n v="203.94018"/>
    <n v="203.94018"/>
    <n v="0"/>
    <s v="RAWSUR"/>
    <d v="2023-10-20T00:00:00"/>
    <m/>
    <m/>
    <m/>
    <m/>
    <m/>
    <m/>
  </r>
  <r>
    <x v="8"/>
    <s v="Yes"/>
    <d v="2023-10-03T00:00:00"/>
    <d v="2023-09-21T00:00:00"/>
    <d v="2023-09-21T00:00:00"/>
    <d v="2024-09-20T00:00:00"/>
    <s v="000-821/AIB RDC/2023"/>
    <n v="0"/>
    <s v="SOUSCRIPTION"/>
    <s v="301-70100071"/>
    <s v="ORICA / Bolloré"/>
    <m/>
    <s v="SYNTYCHE"/>
    <s v="David"/>
    <s v="MARINE CARGO / GIT"/>
    <s v="MARINE"/>
    <x v="6"/>
    <s v="RAWSUR"/>
    <n v="473301.2"/>
    <n v="2954.81"/>
    <n v="0"/>
    <n v="0"/>
    <n v="592"/>
    <n v="1912.06"/>
    <n v="400.63"/>
    <n v="4.0398376340478326E-3"/>
    <n v="0.15"/>
    <n v="286.80899999999997"/>
    <n v="0"/>
    <n v="0"/>
    <n v="0"/>
    <n v="286.80899999999997"/>
    <n v="45.889439999999993"/>
    <n v="332.69843999999995"/>
    <n v="5.7361799999999992"/>
    <n v="0"/>
    <n v="5.7361799999999992"/>
    <m/>
    <n v="281.07281999999998"/>
    <s v="BOLLORE"/>
    <n v="0.4"/>
    <n v="112.42912799999999"/>
    <m/>
    <m/>
    <n v="112.42912799999999"/>
    <m/>
    <n v="332.69843999999995"/>
    <n v="332.69843999999995"/>
    <n v="0"/>
    <s v="RAWSUR"/>
    <d v="2023-10-20T00:00:00"/>
    <m/>
    <m/>
    <m/>
    <m/>
    <m/>
    <m/>
  </r>
  <r>
    <x v="8"/>
    <s v="Yes"/>
    <d v="2023-10-03T00:00:00"/>
    <d v="2023-09-21T00:00:00"/>
    <d v="2023-09-14T00:00:00"/>
    <d v="2023-11-13T00:00:00"/>
    <s v="000-822/AIB RDC/2023"/>
    <n v="0"/>
    <s v="SOUSCRIPTION"/>
    <s v="301-73200037"/>
    <s v="ORICA / Bolloré"/>
    <m/>
    <s v="SYNTYCHE"/>
    <s v="David"/>
    <s v="MARINE CARGO / GIT"/>
    <s v="MARINE"/>
    <x v="6"/>
    <s v="RAWSUR"/>
    <n v="49218"/>
    <n v="275.95"/>
    <n v="0"/>
    <n v="0"/>
    <n v="97"/>
    <n v="196.87"/>
    <n v="37.42"/>
    <n v="3.9999593644601573E-3"/>
    <n v="0.15"/>
    <n v="29.5305"/>
    <n v="0"/>
    <n v="0"/>
    <n v="0"/>
    <n v="29.5305"/>
    <n v="4.7248799999999997"/>
    <n v="34.255380000000002"/>
    <n v="0.59060999999999997"/>
    <n v="0"/>
    <n v="0.59060999999999997"/>
    <m/>
    <n v="28.939889999999998"/>
    <s v="BOLLORE"/>
    <n v="0.4"/>
    <n v="11.575956"/>
    <m/>
    <m/>
    <n v="11.575956"/>
    <m/>
    <n v="34.255380000000002"/>
    <n v="34.255380000000002"/>
    <n v="0"/>
    <s v="RAWSUR"/>
    <d v="2023-10-20T00:00:00"/>
    <m/>
    <m/>
    <m/>
    <m/>
    <m/>
    <m/>
  </r>
  <r>
    <x v="8"/>
    <s v="Yes"/>
    <d v="2023-10-03T00:00:00"/>
    <d v="2023-10-02T00:00:00"/>
    <d v="2023-09-28T00:00:00"/>
    <d v="2024-09-26T00:00:00"/>
    <s v="000-823/AIB RDC/2023"/>
    <n v="0"/>
    <s v="SOUSCRIPTION"/>
    <s v="12002-33002-0021-111-00023663-2023"/>
    <s v="PANACO / Bolloré"/>
    <m/>
    <s v="SYNTYCHE"/>
    <s v="David"/>
    <s v="MARINE CARGO / GIT"/>
    <s v="MARINE"/>
    <x v="0"/>
    <s v="SFA"/>
    <n v="1199338.04"/>
    <n v="2295.71"/>
    <n v="0"/>
    <n v="0"/>
    <n v="44.38"/>
    <n v="1913.13"/>
    <n v="313.2"/>
    <n v="1.5951549406370868E-3"/>
    <n v="0.15"/>
    <n v="286.96949999999998"/>
    <n v="0"/>
    <n v="0"/>
    <n v="0"/>
    <n v="286.96949999999998"/>
    <n v="45.915119999999995"/>
    <n v="332.88461999999998"/>
    <n v="5.7393899999999993"/>
    <n v="0"/>
    <n v="5.7393899999999993"/>
    <m/>
    <n v="281.23010999999997"/>
    <s v="BOLLORE"/>
    <n v="0.4"/>
    <n v="112.49204399999999"/>
    <m/>
    <m/>
    <n v="112.49204399999999"/>
    <m/>
    <n v="332.88461999999998"/>
    <n v="332.88461999999998"/>
    <n v="0"/>
    <s v="SFA"/>
    <d v="2023-10-17T00:00:00"/>
    <m/>
    <s v="ONCE OFF"/>
    <s v="MARINE CARGO / GIT"/>
    <m/>
    <m/>
    <m/>
  </r>
  <r>
    <x v="9"/>
    <s v="Yes"/>
    <d v="2023-08-24T00:00:00"/>
    <d v="2023-08-15T00:00:00"/>
    <d v="2023-08-15T00:00:00"/>
    <d v="2024-01-31T00:00:00"/>
    <s v="000-824/AIB RDC/2023"/>
    <n v="38"/>
    <s v="INCORPORATION"/>
    <s v="12001-33002-9001-103-00001852"/>
    <s v="CFAO RDC / Loxea RDC"/>
    <s v="Distribution"/>
    <s v="ANDY"/>
    <s v="Sabrina"/>
    <s v="COMP MOTOR"/>
    <s v="MOTOR COMP"/>
    <x v="1"/>
    <s v="ACTIVA"/>
    <n v="152474"/>
    <n v="4025.2"/>
    <n v="0"/>
    <n v="0"/>
    <n v="34.36"/>
    <n v="3435.64"/>
    <n v="555.20000000000005"/>
    <n v="2.2532628513713814E-2"/>
    <n v="0.14873998009116199"/>
    <n v="511.01702520039976"/>
    <n v="0"/>
    <n v="0"/>
    <n v="103.0692"/>
    <n v="614.08622520039978"/>
    <n v="98.253796032063974"/>
    <n v="712.34002123246376"/>
    <n v="10.220340504007995"/>
    <n v="0"/>
    <n v="10.220340504007995"/>
    <m/>
    <n v="603.86588469639173"/>
    <s v="Aucun"/>
    <m/>
    <n v="0"/>
    <m/>
    <m/>
    <n v="0"/>
    <m/>
    <n v="395.19"/>
    <n v="712.34002123246376"/>
    <n v="317.15002123246376"/>
    <s v="ACTIVA"/>
    <d v="2023-10-23T00:00:00"/>
    <m/>
    <m/>
    <m/>
    <m/>
    <m/>
    <m/>
  </r>
  <r>
    <x v="8"/>
    <s v="Yes"/>
    <d v="2023-10-03T00:00:00"/>
    <d v="2023-09-08T00:00:00"/>
    <d v="2023-09-08T00:00:00"/>
    <d v="2023-12-07T00:00:00"/>
    <s v="000-825/AIB RDC/2023"/>
    <n v="0"/>
    <s v="SOUSCRIPTION"/>
    <s v="301-73200033"/>
    <s v="SNEL / Bolloré"/>
    <m/>
    <s v="SYNTYCHE"/>
    <s v="Axel"/>
    <s v="MARINE CARGO / GIT"/>
    <s v="MARINE"/>
    <x v="6"/>
    <s v="RAWSUR"/>
    <n v="402386"/>
    <n v="1942.92"/>
    <n v="0"/>
    <n v="0"/>
    <n v="37"/>
    <n v="1609.54"/>
    <n v="263.45"/>
    <n v="3.9999900592962972E-3"/>
    <n v="0.15"/>
    <n v="241.43099999999998"/>
    <n v="0"/>
    <n v="0"/>
    <n v="0"/>
    <n v="241.43099999999998"/>
    <n v="38.628959999999999"/>
    <n v="280.05995999999999"/>
    <n v="4.8286199999999999"/>
    <n v="0"/>
    <n v="4.8286199999999999"/>
    <m/>
    <n v="236.60237999999998"/>
    <s v="BOLLORE"/>
    <n v="0.4"/>
    <n v="94.640951999999999"/>
    <m/>
    <m/>
    <n v="94.640951999999999"/>
    <m/>
    <n v="280.05995999999999"/>
    <n v="280.05995999999999"/>
    <n v="0"/>
    <s v="RAWSUR"/>
    <d v="2023-10-20T00:00:00"/>
    <m/>
    <m/>
    <m/>
    <m/>
    <m/>
    <m/>
  </r>
  <r>
    <x v="8"/>
    <s v="Yes"/>
    <d v="2023-10-03T00:00:00"/>
    <d v="2023-09-08T00:00:00"/>
    <d v="2023-09-08T00:00:00"/>
    <d v="2023-12-07T00:00:00"/>
    <s v="000-826/AIB RDC/2023"/>
    <n v="0"/>
    <s v="SOUSCRIPTION"/>
    <s v="301-73200035"/>
    <s v="SNEL / Bolloré"/>
    <m/>
    <s v="SYNTYCHE"/>
    <s v="Axel"/>
    <s v="MARINE CARGO / GIT"/>
    <s v="MARINE"/>
    <x v="6"/>
    <s v="RAWSUR"/>
    <n v="901409"/>
    <n v="4298.3100000000004"/>
    <n v="0"/>
    <n v="0"/>
    <n v="37"/>
    <n v="3605.64"/>
    <n v="582.82000000000005"/>
    <n v="4.0000044374972959E-3"/>
    <n v="0.15"/>
    <n v="540.846"/>
    <n v="0"/>
    <n v="0"/>
    <n v="0"/>
    <n v="540.846"/>
    <n v="86.535359999999997"/>
    <n v="627.38135999999997"/>
    <n v="10.81692"/>
    <n v="0"/>
    <n v="10.81692"/>
    <m/>
    <n v="530.02908000000002"/>
    <s v="BOLLORE"/>
    <n v="0.4"/>
    <n v="212.01163200000002"/>
    <m/>
    <m/>
    <n v="212.01163200000002"/>
    <m/>
    <n v="627.38135999999997"/>
    <n v="627.38135999999997"/>
    <n v="0"/>
    <s v="RAWSUR"/>
    <d v="2023-10-20T00:00:00"/>
    <m/>
    <m/>
    <m/>
    <m/>
    <m/>
    <m/>
  </r>
  <r>
    <x v="8"/>
    <s v="Yes"/>
    <d v="2023-10-03T00:00:00"/>
    <d v="2023-09-08T00:00:00"/>
    <d v="2023-09-08T00:00:00"/>
    <d v="2023-12-07T00:00:00"/>
    <s v="000-827/AIB RDC/2023"/>
    <n v="0"/>
    <s v="SOUSCRIPTION"/>
    <s v="301-73200032"/>
    <s v="SNEL / Bolloré"/>
    <m/>
    <s v="SYNTYCHE"/>
    <s v="Axel"/>
    <s v="MARINE CARGO / GIT"/>
    <s v="MARINE"/>
    <x v="6"/>
    <s v="RAWSUR"/>
    <n v="1977409"/>
    <n v="9377.0300000000007"/>
    <n v="0"/>
    <n v="0"/>
    <n v="37"/>
    <n v="7909.64"/>
    <n v="1271.46"/>
    <n v="4.0000020228490923E-3"/>
    <n v="0.15"/>
    <n v="1186.4459999999999"/>
    <n v="0"/>
    <n v="0"/>
    <n v="0"/>
    <n v="1186.4459999999999"/>
    <n v="189.83135999999999"/>
    <n v="1376.2773599999998"/>
    <n v="23.728919999999999"/>
    <n v="0"/>
    <n v="23.728919999999999"/>
    <m/>
    <n v="1162.7170799999999"/>
    <s v="BOLLORE"/>
    <n v="0.4"/>
    <n v="465.08683199999996"/>
    <m/>
    <m/>
    <n v="465.08683199999996"/>
    <m/>
    <n v="1376.2773599999998"/>
    <n v="1376.2773599999998"/>
    <n v="0"/>
    <s v="RAWSUR"/>
    <d v="2023-10-20T00:00:00"/>
    <m/>
    <m/>
    <m/>
    <m/>
    <m/>
    <m/>
  </r>
  <r>
    <x v="7"/>
    <s v="Yes"/>
    <d v="2023-10-03T00:00:00"/>
    <d v="2023-09-13T00:00:00"/>
    <d v="2023-07-19T00:00:00"/>
    <d v="2024-07-18T00:00:00"/>
    <s v="000-828/AIB RDC/2023"/>
    <n v="0"/>
    <s v="SOUSCRIPTION"/>
    <s v="12002-33002-0021-111-00022542-2023"/>
    <s v="SNEL / Bolloré"/>
    <m/>
    <s v="SYNTYCHE"/>
    <s v="Axel"/>
    <s v="MARINE CARGO / GIT"/>
    <s v="MARINE"/>
    <x v="0"/>
    <s v="SFA"/>
    <n v="2284786.6"/>
    <n v="8953.2000000000007"/>
    <n v="0"/>
    <n v="0"/>
    <n v="156.91999999999999"/>
    <n v="7539.8"/>
    <n v="1231.48"/>
    <n v="3.3000018469996279E-3"/>
    <n v="0.15"/>
    <n v="1130.97"/>
    <n v="0"/>
    <n v="0"/>
    <n v="0"/>
    <n v="1130.97"/>
    <n v="180.95520000000002"/>
    <n v="1311.9252000000001"/>
    <n v="22.619400000000002"/>
    <n v="0"/>
    <n v="22.619400000000002"/>
    <m/>
    <n v="1108.3506"/>
    <s v="BOLLORE"/>
    <n v="0.4"/>
    <n v="443.34023999999999"/>
    <m/>
    <m/>
    <n v="443.34023999999999"/>
    <m/>
    <n v="1311.9252000000001"/>
    <n v="1311.9252000000001"/>
    <n v="0"/>
    <s v="SFA"/>
    <d v="2023-11-07T00:00:00"/>
    <m/>
    <m/>
    <m/>
    <m/>
    <m/>
    <m/>
  </r>
  <r>
    <x v="8"/>
    <s v="Yes"/>
    <d v="2023-10-03T00:00:00"/>
    <d v="2023-09-08T00:00:00"/>
    <d v="2023-09-08T00:00:00"/>
    <d v="2023-12-07T00:00:00"/>
    <s v="000-829/AIB RDC/2023"/>
    <n v="0"/>
    <s v="SOUSCRIPTION"/>
    <s v="301-73200034"/>
    <s v="SNEL / Bolloré"/>
    <m/>
    <s v="SYNTYCHE"/>
    <s v="Axel"/>
    <s v="MARINE CARGO / GIT"/>
    <s v="MARINE"/>
    <x v="6"/>
    <s v="RAWSUR"/>
    <n v="840373"/>
    <n v="3018.58"/>
    <n v="0"/>
    <n v="0"/>
    <n v="37"/>
    <n v="2521.13"/>
    <n v="409.3"/>
    <n v="3.0000130894257669E-3"/>
    <n v="0.15"/>
    <n v="378.16950000000003"/>
    <n v="0"/>
    <n v="0"/>
    <n v="0"/>
    <n v="378.16950000000003"/>
    <n v="60.507120000000008"/>
    <n v="438.67662000000001"/>
    <n v="7.5633900000000009"/>
    <n v="0"/>
    <n v="7.5633900000000009"/>
    <m/>
    <n v="370.60611"/>
    <s v="BOLLORE"/>
    <n v="0.4"/>
    <n v="148.24244400000001"/>
    <m/>
    <m/>
    <n v="148.24244400000001"/>
    <m/>
    <n v="438.67662000000001"/>
    <n v="438.67662000000001"/>
    <n v="0"/>
    <s v="RAWSUR"/>
    <d v="2023-10-20T00:00:00"/>
    <m/>
    <m/>
    <m/>
    <m/>
    <m/>
    <m/>
  </r>
  <r>
    <x v="8"/>
    <s v="Yes"/>
    <d v="2023-10-03T00:00:00"/>
    <d v="2023-09-08T00:00:00"/>
    <d v="2023-09-12T00:00:00"/>
    <d v="2024-09-11T00:00:00"/>
    <s v="000-830/AIB RDC/2023"/>
    <n v="0"/>
    <s v="SOUSCRIPTION"/>
    <s v="301-70100065"/>
    <s v="ORICA / Bolloré"/>
    <m/>
    <s v="SYNTYCHE"/>
    <s v="David"/>
    <s v="MARINE CARGO / GIT"/>
    <s v="MARINE"/>
    <x v="6"/>
    <s v="RAWSUR"/>
    <n v="306614"/>
    <n v="1833.18"/>
    <n v="0"/>
    <n v="0"/>
    <n v="296"/>
    <n v="1257.54"/>
    <n v="248.57"/>
    <n v="4.1013782801829005E-3"/>
    <n v="0.15"/>
    <n v="188.631"/>
    <n v="0"/>
    <n v="0"/>
    <n v="0"/>
    <n v="188.631"/>
    <n v="30.180959999999999"/>
    <n v="218.81196"/>
    <n v="3.7726199999999999"/>
    <n v="0"/>
    <n v="3.7726199999999999"/>
    <m/>
    <n v="184.85838000000001"/>
    <s v="BOLLORE"/>
    <n v="0.4"/>
    <n v="73.943352000000004"/>
    <m/>
    <m/>
    <n v="73.943352000000004"/>
    <m/>
    <n v="218.81196"/>
    <n v="218.81196"/>
    <n v="0"/>
    <s v="RAWSUR"/>
    <d v="2023-10-20T00:00:00"/>
    <m/>
    <m/>
    <m/>
    <m/>
    <m/>
    <m/>
  </r>
  <r>
    <x v="8"/>
    <s v="Yes"/>
    <d v="2023-10-03T00:00:00"/>
    <d v="2023-09-21T00:00:00"/>
    <d v="2023-09-20T00:00:00"/>
    <d v="2023-11-19T00:00:00"/>
    <s v="000-831/AIB RDC/2023"/>
    <n v="0"/>
    <s v="SOUSCRIPTION"/>
    <s v="301-70100070"/>
    <s v="ETS AMI CONGO / Bolloré"/>
    <m/>
    <s v="SYNTYCHE"/>
    <s v="Axel"/>
    <s v="MARINE CARGO / GIT"/>
    <s v="MARINE"/>
    <x v="6"/>
    <s v="RAWSUR"/>
    <n v="829855"/>
    <n v="4047.9"/>
    <n v="0"/>
    <n v="0"/>
    <n v="111"/>
    <n v="3319.42"/>
    <n v="548.88"/>
    <n v="4.0000000000000001E-3"/>
    <n v="0.15"/>
    <n v="497.91300000000001"/>
    <n v="0"/>
    <n v="0"/>
    <n v="0"/>
    <n v="497.91300000000001"/>
    <n v="79.666080000000008"/>
    <n v="577.57907999999998"/>
    <n v="9.958260000000001"/>
    <n v="0"/>
    <n v="9.958260000000001"/>
    <m/>
    <n v="487.95474000000002"/>
    <s v="BOLLORE"/>
    <n v="0.4"/>
    <n v="195.18189600000002"/>
    <m/>
    <m/>
    <n v="195.18189600000002"/>
    <m/>
    <n v="577.57907999999998"/>
    <n v="577.57907999999998"/>
    <n v="0"/>
    <s v="RAWSUR"/>
    <d v="2023-10-20T00:00:00"/>
    <m/>
    <m/>
    <m/>
    <m/>
    <m/>
    <m/>
  </r>
  <r>
    <x v="8"/>
    <s v="Yes"/>
    <d v="2023-10-03T00:00:00"/>
    <d v="2023-09-08T00:00:00"/>
    <d v="2023-09-13T00:00:00"/>
    <d v="2024-09-12T00:00:00"/>
    <s v="000-832/AIB RDC/2023"/>
    <n v="0"/>
    <s v="SOUSCRIPTION"/>
    <s v="301-70100066"/>
    <s v="ORICA / Bolloré"/>
    <m/>
    <s v="SYNTYCHE"/>
    <s v="David"/>
    <s v="MARINE CARGO / GIT"/>
    <s v="MARINE"/>
    <x v="6"/>
    <s v="RAWSUR"/>
    <n v="315618"/>
    <n v="1962.48"/>
    <n v="0"/>
    <n v="0"/>
    <n v="333"/>
    <n v="1330.12"/>
    <n v="266.10000000000002"/>
    <n v="4.2143350505991417E-3"/>
    <n v="0.15"/>
    <n v="199.51799999999997"/>
    <n v="0"/>
    <n v="0"/>
    <n v="0"/>
    <n v="199.51799999999997"/>
    <n v="31.922879999999996"/>
    <n v="231.44087999999996"/>
    <n v="3.9903599999999995"/>
    <n v="0"/>
    <n v="3.9903599999999995"/>
    <m/>
    <n v="195.52763999999996"/>
    <s v="BOLLORE"/>
    <n v="0.4"/>
    <n v="78.211055999999985"/>
    <m/>
    <m/>
    <n v="78.211055999999985"/>
    <m/>
    <n v="231.44087999999996"/>
    <n v="231.44087999999996"/>
    <n v="0"/>
    <s v="RAWSUR"/>
    <d v="2023-10-20T00:00:00"/>
    <m/>
    <m/>
    <m/>
    <m/>
    <m/>
    <m/>
  </r>
  <r>
    <x v="9"/>
    <s v="Yes"/>
    <d v="2023-10-03T00:00:00"/>
    <d v="2023-09-13T00:00:00"/>
    <d v="2023-08-31T00:00:00"/>
    <d v="2024-08-30T00:00:00"/>
    <s v="000-833/AIB RDC/2023"/>
    <n v="0"/>
    <s v="SOUSCRIPTION"/>
    <s v="12002-33002-0021-111-00022615-2023"/>
    <s v="Airtel Congo RDC S.A / Bolloré"/>
    <m/>
    <s v="SYNTYCHE"/>
    <s v="David"/>
    <s v="MARINE CARGO / GIT"/>
    <s v="MARINE"/>
    <x v="0"/>
    <s v="SFA"/>
    <n v="439900"/>
    <n v="856.56"/>
    <n v="0"/>
    <n v="0"/>
    <n v="20.059999999999999"/>
    <n v="696.82"/>
    <n v="114.7"/>
    <n v="1.584041827688111E-3"/>
    <n v="0.15"/>
    <n v="104.52300000000001"/>
    <n v="0"/>
    <n v="0"/>
    <n v="0"/>
    <n v="104.52300000000001"/>
    <n v="16.723680000000002"/>
    <n v="121.24668000000001"/>
    <n v="2.0904600000000002"/>
    <n v="0"/>
    <n v="2.0904600000000002"/>
    <m/>
    <n v="102.43254000000002"/>
    <s v="BOLLORE"/>
    <n v="0.4"/>
    <n v="40.973016000000008"/>
    <m/>
    <m/>
    <n v="40.973016000000008"/>
    <m/>
    <n v="121.24668000000001"/>
    <n v="121.24668000000001"/>
    <n v="0"/>
    <s v="SFA"/>
    <d v="2023-10-17T00:00:00"/>
    <m/>
    <s v="ONCE OFF"/>
    <s v="MARINE CARGO / GIT"/>
    <m/>
    <m/>
    <m/>
  </r>
  <r>
    <x v="9"/>
    <s v="No"/>
    <d v="2023-10-03T00:00:00"/>
    <d v="2023-09-20T00:00:00"/>
    <d v="2023-08-30T00:00:00"/>
    <d v="2024-08-29T00:00:00"/>
    <s v="000-834/AIB RDC/2023"/>
    <n v="0"/>
    <s v="SOUSCRIPTION"/>
    <s v="12002-33002-0021-111-00023012-2023"/>
    <s v="WUHUANG CONSTRUCTION ET COMMERCE RDC SAS ( WHCC) / Bolloré"/>
    <m/>
    <s v="SYNTYCHE"/>
    <s v="David"/>
    <s v="MARINE CARGO / GIT"/>
    <s v="MARINE"/>
    <x v="0"/>
    <s v="SFA"/>
    <n v="7813.09"/>
    <n v="49.85"/>
    <n v="0"/>
    <n v="0"/>
    <n v="6.42"/>
    <n v="15"/>
    <n v="3.43"/>
    <n v="1.9198550125494522E-3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m/>
    <m/>
    <n v="0.88200000000000012"/>
    <m/>
    <m/>
    <n v="2.61"/>
    <n v="2.61"/>
    <s v="SFA"/>
    <m/>
    <m/>
    <m/>
    <m/>
    <m/>
    <m/>
    <m/>
  </r>
  <r>
    <x v="8"/>
    <s v="Yes"/>
    <d v="2023-10-03T00:00:00"/>
    <d v="2023-09-25T00:00:00"/>
    <d v="2023-09-21T00:00:00"/>
    <d v="2023-12-20T00:00:00"/>
    <s v="000-835/AIB RDC/2023"/>
    <n v="0"/>
    <s v="SOUSCRIPTION"/>
    <s v="301-73200038"/>
    <s v="ETS AMI CONGO / Bolloré"/>
    <m/>
    <s v="SYNTYCHE"/>
    <s v="Axel"/>
    <s v="MARINE CARGO / GIT"/>
    <s v="MARINE"/>
    <x v="6"/>
    <s v="RAWSUR"/>
    <n v="85855"/>
    <n v="453.62"/>
    <n v="0"/>
    <n v="0"/>
    <n v="37"/>
    <n v="347.42"/>
    <n v="61.51"/>
    <n v="4.0465901811193297E-3"/>
    <n v="0.15"/>
    <n v="52.113"/>
    <n v="0"/>
    <n v="0"/>
    <n v="0"/>
    <n v="52.113"/>
    <n v="8.3380799999999997"/>
    <n v="60.451079999999997"/>
    <n v="1.04226"/>
    <n v="0"/>
    <n v="1.04226"/>
    <m/>
    <n v="51.070740000000001"/>
    <s v="BOLLORE"/>
    <n v="0.4"/>
    <n v="20.428296000000003"/>
    <m/>
    <m/>
    <n v="20.428296000000003"/>
    <m/>
    <n v="60.451079999999997"/>
    <n v="60.451079999999997"/>
    <n v="0"/>
    <s v="RAWSUR"/>
    <d v="2023-10-20T00:00:00"/>
    <m/>
    <m/>
    <m/>
    <m/>
    <m/>
    <m/>
  </r>
  <r>
    <x v="8"/>
    <s v="Yes"/>
    <d v="2023-10-03T00:00:00"/>
    <d v="2023-09-13T00:00:00"/>
    <d v="2023-09-15T00:00:00"/>
    <d v="2024-09-14T00:00:00"/>
    <s v="000-836/AIB RDC/2023"/>
    <n v="0"/>
    <s v="SOUSCRIPTION"/>
    <s v="301-70100069"/>
    <s v="ORICA / Bolloré"/>
    <m/>
    <s v="SYNTYCHE"/>
    <s v="David"/>
    <s v="MARINE CARGO / GIT"/>
    <s v="MARINE"/>
    <x v="6"/>
    <s v="RAWSUR"/>
    <n v="377332.66"/>
    <n v="2282"/>
    <n v="0"/>
    <n v="0"/>
    <n v="407"/>
    <n v="1526.94"/>
    <n v="307.44"/>
    <n v="4.0466679984711637E-3"/>
    <n v="0.15"/>
    <n v="229.041"/>
    <n v="0"/>
    <n v="0"/>
    <n v="0"/>
    <n v="229.041"/>
    <n v="36.646560000000001"/>
    <n v="265.68756000000002"/>
    <n v="4.5808200000000001"/>
    <n v="0"/>
    <n v="4.5808200000000001"/>
    <m/>
    <n v="224.46018000000001"/>
    <s v="BOLLORE"/>
    <n v="0.4"/>
    <n v="89.784072000000009"/>
    <m/>
    <m/>
    <n v="89.784072000000009"/>
    <m/>
    <n v="265.68756000000002"/>
    <n v="265.68756000000002"/>
    <n v="0"/>
    <s v="RAWSUR"/>
    <d v="2023-10-20T00:00:00"/>
    <m/>
    <m/>
    <m/>
    <m/>
    <m/>
    <m/>
  </r>
  <r>
    <x v="3"/>
    <s v="Yes"/>
    <d v="2023-10-03T00:00:00"/>
    <d v="2023-09-21T00:00:00"/>
    <d v="2023-06-04T00:00:00"/>
    <d v="2024-06-03T00:00:00"/>
    <s v="000-837/AIB RDC/2023"/>
    <n v="0"/>
    <s v="SOUSCRIPTION"/>
    <s v="12002-33002-0021-111-00023122-2023"/>
    <s v="PANACO / Bolloré"/>
    <m/>
    <s v="SYNTYCHE"/>
    <s v="David"/>
    <s v="MARINE CARGO / GIT"/>
    <s v="MARINE"/>
    <x v="0"/>
    <s v="SFA"/>
    <n v="13340"/>
    <n v="49.85"/>
    <n v="0"/>
    <n v="0"/>
    <n v="6.42"/>
    <n v="15"/>
    <n v="3.43"/>
    <n v="1.1244377811094452E-3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m/>
    <m/>
    <n v="0.88200000000000012"/>
    <m/>
    <n v="2.61"/>
    <n v="2.61"/>
    <n v="0"/>
    <s v="SFA"/>
    <d v="2023-10-17T00:00:00"/>
    <m/>
    <s v="ONCE OFF"/>
    <s v="MARINE CARGO / GIT"/>
    <m/>
    <m/>
    <m/>
  </r>
  <r>
    <x v="8"/>
    <s v="No"/>
    <d v="2023-10-03T00:00:00"/>
    <d v="2023-09-28T00:00:00"/>
    <d v="2023-09-28T00:00:00"/>
    <d v="2024-09-27T00:00:00"/>
    <s v="000-838/AIB RDC/2023"/>
    <n v="0"/>
    <s v="SOUSCRIPTION"/>
    <s v="12002-33002-0021-111-00023524-2023"/>
    <s v="WUHUANG CONSTRUCTION ET COMMERCE RDC SAS ( WHCC) / Bolloré"/>
    <m/>
    <s v="SYNTYCHE"/>
    <s v="David"/>
    <s v="MARINE CARGO / GIT"/>
    <s v="MARINE"/>
    <x v="0"/>
    <s v="SFA"/>
    <n v="137650.39000000001"/>
    <n v="410.77"/>
    <n v="0"/>
    <n v="0"/>
    <n v="12.52"/>
    <n v="320.04000000000002"/>
    <n v="53.21"/>
    <n v="2.3250206555898607E-3"/>
    <n v="0.15"/>
    <n v="48.006"/>
    <n v="0"/>
    <n v="0"/>
    <n v="0"/>
    <n v="48.006"/>
    <n v="7.6809599999999998"/>
    <n v="55.686959999999999"/>
    <n v="0.96011999999999997"/>
    <n v="0"/>
    <n v="0.96011999999999997"/>
    <m/>
    <n v="47.045879999999997"/>
    <s v="BOLLORE"/>
    <n v="0.4"/>
    <n v="18.818352000000001"/>
    <m/>
    <m/>
    <n v="18.818352000000001"/>
    <m/>
    <m/>
    <n v="55.686959999999999"/>
    <n v="55.686959999999999"/>
    <s v="SFA"/>
    <m/>
    <m/>
    <m/>
    <m/>
    <m/>
    <m/>
    <m/>
  </r>
  <r>
    <x v="8"/>
    <s v="Yes"/>
    <d v="2023-10-04T00:00:00"/>
    <d v="2023-09-29T00:00:00"/>
    <d v="2023-09-04T00:00:00"/>
    <d v="2023-12-31T00:00:00"/>
    <s v="000-839/AIB RDC/2023"/>
    <n v="0"/>
    <s v="SOUSCRIPTION"/>
    <s v="12002-33002-0002-112-00023610-2023"/>
    <s v="GSA"/>
    <m/>
    <s v="SYNTYCHE"/>
    <s v="Grâce"/>
    <s v="FIRE"/>
    <s v="PROPERTIES"/>
    <x v="0"/>
    <s v="SFA"/>
    <n v="2583000"/>
    <n v="1181.98"/>
    <n v="0"/>
    <n v="0"/>
    <n v="58.62"/>
    <n v="960.33"/>
    <n v="163.03"/>
    <n v="3.7178861788617887E-4"/>
    <n v="0.1"/>
    <n v="96.033000000000015"/>
    <n v="0"/>
    <n v="0"/>
    <n v="0"/>
    <n v="96.033000000000015"/>
    <n v="15.365280000000002"/>
    <n v="111.39828000000001"/>
    <n v="1.9206600000000003"/>
    <n v="0"/>
    <n v="1.9206600000000003"/>
    <m/>
    <n v="94.112340000000017"/>
    <m/>
    <m/>
    <n v="0"/>
    <m/>
    <m/>
    <n v="0"/>
    <m/>
    <n v="111.39828000000001"/>
    <n v="111.39828000000001"/>
    <n v="0"/>
    <s v="SFA"/>
    <d v="2023-10-17T00:00:00"/>
    <m/>
    <m/>
    <m/>
    <m/>
    <m/>
    <m/>
  </r>
  <r>
    <x v="10"/>
    <s v="Yes"/>
    <d v="2023-10-04T00:00:00"/>
    <d v="2023-10-02T00:00:00"/>
    <d v="2023-10-10T00:00:00"/>
    <d v="2023-12-31T00:00:00"/>
    <s v="000-840/AIB RDC/2023"/>
    <n v="1"/>
    <s v="PROROGATION"/>
    <s v="00017391"/>
    <s v="GSA"/>
    <m/>
    <s v="SYNTYCHE"/>
    <s v="Grâce"/>
    <s v="GPA"/>
    <s v="MEDICAL &amp; GPA"/>
    <x v="0"/>
    <s v="SFA"/>
    <n v="0"/>
    <n v="3751.62"/>
    <n v="0"/>
    <n v="0"/>
    <n v="86.79"/>
    <n v="2675.26"/>
    <n v="517.46"/>
    <e v="#DIV/0!"/>
    <n v="0.1"/>
    <n v="267.52600000000001"/>
    <n v="0"/>
    <n v="0"/>
    <n v="0"/>
    <n v="267.52600000000001"/>
    <n v="42.804160000000003"/>
    <n v="310.33016000000003"/>
    <n v="5.3505200000000004"/>
    <n v="0"/>
    <n v="5.3505200000000004"/>
    <m/>
    <n v="262.17547999999999"/>
    <m/>
    <m/>
    <n v="0"/>
    <m/>
    <m/>
    <n v="0"/>
    <m/>
    <n v="310.33016000000003"/>
    <n v="310.33016000000003"/>
    <n v="0"/>
    <s v="SFA"/>
    <d v="2023-10-17T00:00:00"/>
    <m/>
    <m/>
    <m/>
    <m/>
    <m/>
    <m/>
  </r>
  <r>
    <x v="8"/>
    <s v="Yes"/>
    <d v="2023-10-04T00:00:00"/>
    <d v="2023-09-30T00:00:00"/>
    <d v="2023-09-01T00:00:00"/>
    <d v="2023-12-31T00:00:00"/>
    <s v="000-841/AIB RDC/2023"/>
    <n v="0"/>
    <s v="SOUSCRIPTION"/>
    <s v="12002-33002-0012-106-00023649-2023"/>
    <s v="GSA"/>
    <m/>
    <s v="SYNTYCHE"/>
    <s v="Grâce"/>
    <s v="MOTOR TPL - BOAT"/>
    <s v="MARINE"/>
    <x v="0"/>
    <s v="SFA"/>
    <n v="0"/>
    <n v="1500.02"/>
    <n v="0"/>
    <n v="0"/>
    <n v="44.1"/>
    <n v="1249.02"/>
    <n v="206.9"/>
    <e v="#DIV/0!"/>
    <n v="0.1"/>
    <n v="124.902"/>
    <n v="0"/>
    <n v="0"/>
    <n v="0"/>
    <n v="124.902"/>
    <n v="19.98432"/>
    <n v="144.88632000000001"/>
    <n v="2.49804"/>
    <n v="0"/>
    <n v="2.49804"/>
    <m/>
    <n v="122.40396"/>
    <m/>
    <m/>
    <n v="0"/>
    <m/>
    <m/>
    <n v="0"/>
    <m/>
    <n v="144.88632000000001"/>
    <n v="144.88632000000001"/>
    <n v="0"/>
    <s v="SFA"/>
    <d v="2023-10-17T00:00:00"/>
    <m/>
    <m/>
    <m/>
    <m/>
    <m/>
    <m/>
  </r>
  <r>
    <x v="8"/>
    <s v="Yes"/>
    <d v="2023-10-04T00:00:00"/>
    <d v="2023-08-29T00:00:00"/>
    <d v="2023-09-19T00:00:00"/>
    <d v="2024-02-19T00:00:00"/>
    <s v="000-842/AIB RDC/2023"/>
    <n v="4"/>
    <s v="INCORPORATION"/>
    <s v="33002-0017-104-0005032 / 0002"/>
    <s v="Bolloré Transport &amp; Logistics"/>
    <m/>
    <s v="SYNTYCHE"/>
    <s v="Grâce"/>
    <s v="COMP MOTOR"/>
    <s v="MOTOR COMP"/>
    <x v="4"/>
    <s v="SUNU"/>
    <n v="0"/>
    <n v="2194.08"/>
    <n v="0"/>
    <n v="0"/>
    <n v="18.73"/>
    <n v="1872.72"/>
    <n v="302.63"/>
    <e v="#DIV/0!"/>
    <n v="0.15"/>
    <n v="280.90800000000002"/>
    <n v="0"/>
    <n v="0"/>
    <n v="0"/>
    <n v="280.90800000000002"/>
    <n v="44.945280000000004"/>
    <n v="325.85328000000004"/>
    <n v="5.6181600000000005"/>
    <n v="0"/>
    <n v="5.6181600000000005"/>
    <m/>
    <n v="275.28984000000003"/>
    <m/>
    <m/>
    <n v="0"/>
    <m/>
    <m/>
    <n v="0"/>
    <m/>
    <n v="325.85328000000004"/>
    <n v="325.85328000000004"/>
    <n v="0"/>
    <s v="SUNU"/>
    <d v="2023-11-07T00:00:00"/>
    <m/>
    <m/>
    <m/>
    <m/>
    <m/>
    <m/>
  </r>
  <r>
    <x v="8"/>
    <s v="Yes"/>
    <d v="2023-10-04T00:00:00"/>
    <d v="2023-09-22T00:00:00"/>
    <d v="2023-09-07T00:00:00"/>
    <d v="2023-12-31T00:00:00"/>
    <s v="000-843/AIB RDC/2023"/>
    <n v="5"/>
    <s v="INCORPORATION"/>
    <s v="12001-33002-0001-103-00004929-2022"/>
    <s v="Bolloré Transport &amp; Logistics"/>
    <m/>
    <s v="SYNTYCHE"/>
    <s v="Grâce"/>
    <s v="MOTOR TPL"/>
    <s v="MOTOR TPL"/>
    <x v="1"/>
    <s v="ACTIVA"/>
    <n v="0"/>
    <n v="115.87"/>
    <n v="0"/>
    <n v="0"/>
    <n v="10"/>
    <n v="89.89"/>
    <n v="15.98"/>
    <e v="#DIV/0!"/>
    <n v="0.1"/>
    <n v="8.9890000000000008"/>
    <n v="0"/>
    <n v="0"/>
    <n v="0"/>
    <n v="8.9890000000000008"/>
    <n v="1.4382400000000002"/>
    <n v="10.427240000000001"/>
    <n v="0.17978000000000002"/>
    <n v="0"/>
    <n v="0.17978000000000002"/>
    <m/>
    <n v="8.8092200000000016"/>
    <s v="OLEA"/>
    <m/>
    <n v="0"/>
    <m/>
    <m/>
    <n v="0"/>
    <m/>
    <n v="10.427240000000001"/>
    <n v="10.427240000000001"/>
    <n v="0"/>
    <s v="ACTIVA"/>
    <d v="2023-10-23T00:00:00"/>
    <m/>
    <m/>
    <m/>
    <m/>
    <m/>
    <m/>
  </r>
  <r>
    <x v="4"/>
    <s v="Yes"/>
    <d v="2023-10-04T00:00:00"/>
    <d v="2023-09-25T00:00:00"/>
    <d v="2023-05-01T00:00:00"/>
    <d v="2024-04-30T00:00:00"/>
    <s v="000-844/AIB RDC/2023"/>
    <n v="0"/>
    <s v="SOUSCRIPTION"/>
    <s v="12001-33002-005-113-00010668-2023"/>
    <s v="CMA CGM RDC SA"/>
    <m/>
    <s v="SYNTYCHE"/>
    <s v="Grâce"/>
    <s v="GENERAL LIABILITY"/>
    <s v="LIABILITIES"/>
    <x v="1"/>
    <s v="ACTIVA"/>
    <n v="0"/>
    <n v="4643.33"/>
    <n v="0"/>
    <n v="0"/>
    <n v="39.630000000000003"/>
    <n v="3963.24"/>
    <n v="640.46"/>
    <e v="#DIV/0!"/>
    <n v="0.15"/>
    <n v="594.48599999999999"/>
    <n v="0"/>
    <n v="0"/>
    <n v="0"/>
    <n v="594.48599999999999"/>
    <n v="95.117760000000004"/>
    <n v="689.60375999999997"/>
    <n v="11.889720000000001"/>
    <n v="0"/>
    <n v="11.889720000000001"/>
    <m/>
    <n v="582.59627999999998"/>
    <s v="OLEA"/>
    <m/>
    <n v="0"/>
    <m/>
    <m/>
    <n v="0"/>
    <m/>
    <n v="689.60375999999997"/>
    <n v="689.60375999999997"/>
    <n v="0"/>
    <s v="ACTIVA"/>
    <d v="2023-10-23T00:00:00"/>
    <m/>
    <m/>
    <m/>
    <m/>
    <m/>
    <m/>
  </r>
  <r>
    <x v="8"/>
    <s v="Yes"/>
    <d v="2023-10-04T00:00:00"/>
    <d v="2023-08-24T00:00:00"/>
    <d v="2023-09-25T00:00:00"/>
    <d v="2024-09-24T00:00:00"/>
    <s v="000-845/AIB RDC/2023"/>
    <n v="2"/>
    <s v="RENOUVELLEMENT"/>
    <n v="70100002"/>
    <s v="LEREXCOM PETROLEUM (Groupe Ledya)"/>
    <m/>
    <s v="SYNTYCHE"/>
    <s v="Grâce"/>
    <s v="MARINE CARGO / GIT"/>
    <s v="MARINE"/>
    <x v="6"/>
    <s v="RAWSUR"/>
    <n v="50000000"/>
    <n v="123000"/>
    <n v="0"/>
    <n v="0"/>
    <n v="100"/>
    <n v="104137.79"/>
    <n v="16677.97"/>
    <n v="2.0827557999999998E-3"/>
    <n v="0.15"/>
    <n v="15620.668499999998"/>
    <n v="0"/>
    <n v="0"/>
    <n v="0"/>
    <n v="15620.668499999998"/>
    <n v="2499.3069599999999"/>
    <n v="18119.975459999998"/>
    <n v="312.41336999999999"/>
    <n v="0"/>
    <n v="312.41336999999999"/>
    <m/>
    <n v="15308.255129999998"/>
    <m/>
    <m/>
    <n v="0"/>
    <m/>
    <m/>
    <n v="0"/>
    <m/>
    <n v="6039.96"/>
    <n v="18119.975459999998"/>
    <n v="12080.015459999999"/>
    <s v="RAWSUR"/>
    <d v="2023-10-20T00:00:00"/>
    <m/>
    <m/>
    <m/>
    <m/>
    <m/>
    <m/>
  </r>
  <r>
    <x v="8"/>
    <s v="No"/>
    <d v="2023-10-04T00:00:00"/>
    <d v="2023-09-25T00:00:00"/>
    <d v="2023-09-25T00:00:00"/>
    <d v="2024-09-24T00:00:00"/>
    <s v="000-846/AIB RDC/2023"/>
    <n v="1"/>
    <s v="RENOUVELLEMENT"/>
    <s v="301-30000005"/>
    <s v="LEREXCOM PETROLEUM (Groupe Ledya)"/>
    <m/>
    <s v="SYNTYCHE"/>
    <s v="Grâce"/>
    <s v="MOTOR TPL"/>
    <s v="MOTOR TPL"/>
    <x v="6"/>
    <s v="RAWSUR"/>
    <n v="0"/>
    <n v="77849.39"/>
    <n v="0"/>
    <n v="0"/>
    <n v="1489"/>
    <n v="64483.86"/>
    <n v="10555.94"/>
    <e v="#DIV/0!"/>
    <n v="0.1"/>
    <n v="6448.3860000000004"/>
    <n v="0"/>
    <n v="0"/>
    <n v="0"/>
    <n v="6448.3860000000004"/>
    <n v="1031.7417600000001"/>
    <n v="7480.1277600000003"/>
    <n v="128.96772000000001"/>
    <n v="0"/>
    <n v="128.96772000000001"/>
    <m/>
    <n v="6319.4182800000008"/>
    <m/>
    <m/>
    <n v="0"/>
    <m/>
    <m/>
    <n v="0"/>
    <m/>
    <m/>
    <n v="7480.1277600000003"/>
    <n v="7480.1277600000003"/>
    <s v="RAWSUR"/>
    <m/>
    <m/>
    <m/>
    <m/>
    <m/>
    <m/>
    <m/>
  </r>
  <r>
    <x v="8"/>
    <s v="No"/>
    <d v="2023-10-04T00:00:00"/>
    <m/>
    <m/>
    <m/>
    <s v="000-847/AIB RDC/2023"/>
    <n v="0"/>
    <s v="SOUSCRIPTION"/>
    <s v="12002-33002-0021-111-00023528-2023"/>
    <s v="WUHUANG CONSTRUCTION ET COMMERCE RDC SAS ( WHCC) / Bolloré"/>
    <m/>
    <s v="SYNTYCHE"/>
    <s v="David"/>
    <s v="MARINE CARGO / GIT"/>
    <s v="MARINE"/>
    <x v="0"/>
    <s v="SFA"/>
    <n v="108782.03"/>
    <n v="232.88"/>
    <n v="0"/>
    <n v="0"/>
    <n v="9.51"/>
    <n v="169.7"/>
    <n v="28.67"/>
    <n v="1.5600003051974669E-3"/>
    <n v="0.15"/>
    <n v="25.454999999999998"/>
    <n v="0"/>
    <n v="0"/>
    <n v="0"/>
    <n v="25.454999999999998"/>
    <n v="4.0728"/>
    <n v="29.527799999999999"/>
    <n v="0.5091"/>
    <n v="0"/>
    <n v="0.5091"/>
    <m/>
    <n v="24.945899999999998"/>
    <s v="BOLLORE"/>
    <n v="0.4"/>
    <n v="9.9783600000000003"/>
    <m/>
    <m/>
    <n v="9.9783600000000003"/>
    <m/>
    <m/>
    <n v="29.527799999999999"/>
    <n v="29.527799999999999"/>
    <s v="SFA"/>
    <m/>
    <m/>
    <m/>
    <s v="MARINE CARGO / GIT"/>
    <m/>
    <m/>
    <m/>
  </r>
  <r>
    <x v="8"/>
    <s v="Yes"/>
    <d v="2023-10-04T00:00:00"/>
    <d v="2023-09-28T00:00:00"/>
    <d v="2023-09-28T00:00:00"/>
    <d v="2024-01-19T00:00:00"/>
    <s v="000-848/AIB RDC/2023"/>
    <n v="0"/>
    <s v="SOUSCRIPTION"/>
    <s v="12002-33002-0004-104-00023526-2023"/>
    <s v="GSA"/>
    <m/>
    <s v="SYNTYCHE"/>
    <s v="Axel"/>
    <s v="COMP MOTOR"/>
    <s v="MOTOR COMP"/>
    <x v="0"/>
    <s v="SFA"/>
    <n v="0"/>
    <n v="1306.68"/>
    <n v="0"/>
    <n v="0"/>
    <n v="40.340000000000003"/>
    <n v="1086.1099999999999"/>
    <n v="180.23"/>
    <e v="#DIV/0!"/>
    <n v="0.15"/>
    <n v="162.91649999999998"/>
    <n v="0"/>
    <n v="0"/>
    <n v="0"/>
    <n v="162.91649999999998"/>
    <n v="26.06664"/>
    <n v="188.98313999999999"/>
    <n v="3.2583299999999999"/>
    <n v="0"/>
    <n v="3.2583299999999999"/>
    <m/>
    <n v="159.65816999999998"/>
    <m/>
    <m/>
    <n v="0"/>
    <m/>
    <m/>
    <n v="0"/>
    <m/>
    <n v="188.98313999999999"/>
    <n v="188.98313999999999"/>
    <n v="0"/>
    <s v="SFA"/>
    <d v="2023-10-17T00:00:00"/>
    <m/>
    <m/>
    <m/>
    <m/>
    <m/>
    <m/>
  </r>
  <r>
    <x v="8"/>
    <s v="Yes"/>
    <d v="2023-10-04T00:00:00"/>
    <d v="2023-09-28T00:00:00"/>
    <d v="2023-09-28T00:00:00"/>
    <d v="2024-09-27T00:00:00"/>
    <s v="000-849/AIB RDC/2023"/>
    <n v="0"/>
    <s v="SOUSCRIPTION"/>
    <s v="301-70100072"/>
    <s v="ORICA / Bolloré"/>
    <m/>
    <s v="SYNTYCHE"/>
    <s v="David"/>
    <s v="MARINE CARGO / GIT"/>
    <s v="MARINE"/>
    <x v="6"/>
    <s v="RAWSUR"/>
    <n v="277096"/>
    <n v="1814.68"/>
    <n v="0"/>
    <n v="0"/>
    <n v="40.340000000000003"/>
    <n v="1204.8599999999999"/>
    <n v="246.05"/>
    <n v="4.3481681438923689E-3"/>
    <n v="0.15"/>
    <n v="180.72899999999998"/>
    <n v="0"/>
    <n v="0"/>
    <n v="0"/>
    <n v="180.72899999999998"/>
    <n v="28.916639999999997"/>
    <n v="209.64563999999999"/>
    <n v="3.6145799999999997"/>
    <n v="0"/>
    <n v="3.6145799999999997"/>
    <m/>
    <n v="177.11442"/>
    <s v="BOLLORE"/>
    <n v="0.4"/>
    <n v="70.845768000000007"/>
    <m/>
    <m/>
    <n v="70.845768000000007"/>
    <m/>
    <n v="209.64563999999999"/>
    <n v="209.64563999999999"/>
    <n v="0"/>
    <s v="RAWSUR"/>
    <d v="2023-10-20T00:00:00"/>
    <m/>
    <m/>
    <m/>
    <m/>
    <m/>
    <m/>
  </r>
  <r>
    <x v="8"/>
    <s v="Yes"/>
    <d v="2023-10-04T00:00:00"/>
    <d v="2023-09-29T00:00:00"/>
    <d v="2023-09-29T00:00:00"/>
    <d v="2024-09-28T00:00:00"/>
    <s v="000-850/AIB RDC/2023"/>
    <n v="0"/>
    <s v="SOUSCRIPTION"/>
    <s v="12002-33002-0021-111-00023612-2023"/>
    <s v="Africa Global Logistics - AGL  / Bolloré"/>
    <m/>
    <s v="SYNTYCHE"/>
    <s v="David"/>
    <s v="MARINE CARGO / GIT"/>
    <s v="MARINE"/>
    <x v="0"/>
    <s v="SFA"/>
    <n v="559.33000000000004"/>
    <n v="49.85"/>
    <n v="0"/>
    <n v="0"/>
    <n v="6.42"/>
    <n v="15"/>
    <n v="3.43"/>
    <n v="2.6817799867698854E-2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n v="0.88200000000000012"/>
    <d v="2023-10-30T00:00:00"/>
    <n v="0"/>
    <m/>
    <n v="2.61"/>
    <n v="2.61"/>
    <n v="0"/>
    <s v="SFA"/>
    <d v="2023-10-17T00:00:00"/>
    <m/>
    <m/>
    <m/>
    <m/>
    <m/>
    <m/>
  </r>
  <r>
    <x v="8"/>
    <s v="No"/>
    <d v="2023-10-05T00:00:00"/>
    <d v="2023-09-28T00:00:00"/>
    <d v="2023-09-28T00:00:00"/>
    <d v="2024-09-26T00:00:00"/>
    <s v="000-851/AIB RDC/2023"/>
    <n v="0"/>
    <s v="SOUSCRIPTION"/>
    <s v="12002-33002-0021-111-00023551-2023"/>
    <s v="WUHUANG CONSTRUCTION ET COMMERCE RDC SAS ( WHCC) / Bolloré"/>
    <m/>
    <s v="SYNTYCHE"/>
    <s v="David"/>
    <s v="MARINE CARGO / GIT"/>
    <s v="MARINE"/>
    <x v="0"/>
    <s v="SFA"/>
    <n v="468500.92"/>
    <n v="1158.29"/>
    <n v="0"/>
    <n v="0"/>
    <n v="47.47"/>
    <n v="843.3"/>
    <n v="142.52000000000001"/>
    <n v="1.7999964653217756E-3"/>
    <n v="0.15"/>
    <n v="126.49499999999999"/>
    <n v="0"/>
    <n v="0"/>
    <n v="0"/>
    <n v="126.49499999999999"/>
    <n v="20.2392"/>
    <n v="146.73419999999999"/>
    <n v="2.5299"/>
    <n v="0"/>
    <n v="2.5299"/>
    <m/>
    <n v="123.96509999999999"/>
    <s v="BOLLORE"/>
    <n v="0.4"/>
    <n v="49.586039999999997"/>
    <m/>
    <m/>
    <n v="49.586039999999997"/>
    <m/>
    <m/>
    <n v="146.73419999999999"/>
    <n v="146.73419999999999"/>
    <s v="SFA"/>
    <m/>
    <m/>
    <m/>
    <m/>
    <m/>
    <m/>
    <m/>
  </r>
  <r>
    <x v="8"/>
    <s v="Yes"/>
    <d v="2023-10-05T00:00:00"/>
    <d v="2023-09-29T00:00:00"/>
    <d v="2023-09-22T00:00:00"/>
    <d v="2024-09-20T00:00:00"/>
    <s v="000-852/AIB RDC/2023"/>
    <n v="0"/>
    <s v="SOUSCRIPTION"/>
    <s v="12002-33002-0021-111-00023582-2023"/>
    <s v="PANACO / Bolloré"/>
    <m/>
    <s v="SYNTYCHE"/>
    <s v="David"/>
    <s v="MARINE CARGO / GIT"/>
    <s v="MARINE"/>
    <x v="0"/>
    <s v="SFA"/>
    <n v="383965.32"/>
    <n v="644.20000000000005"/>
    <n v="0"/>
    <n v="0"/>
    <n v="16.47"/>
    <n v="517.32000000000005"/>
    <n v="85.41"/>
    <n v="1.347309178860216E-3"/>
    <n v="0.15"/>
    <n v="77.597999999999999"/>
    <n v="0"/>
    <n v="0"/>
    <n v="0"/>
    <n v="77.597999999999999"/>
    <n v="12.41568"/>
    <n v="90.013679999999994"/>
    <n v="1.55196"/>
    <n v="0"/>
    <n v="1.55196"/>
    <m/>
    <n v="76.046040000000005"/>
    <s v="BOLLORE"/>
    <n v="0.4"/>
    <n v="30.418416000000004"/>
    <m/>
    <m/>
    <n v="30.418416000000004"/>
    <m/>
    <n v="90.013679999999994"/>
    <n v="90.013679999999994"/>
    <n v="0"/>
    <s v="SFA"/>
    <d v="2023-10-17T00:00:00"/>
    <m/>
    <s v="ONCE OFF"/>
    <s v="MARINE CARGO / GIT"/>
    <m/>
    <m/>
    <m/>
  </r>
  <r>
    <x v="8"/>
    <s v="Yes"/>
    <d v="2023-10-05T00:00:00"/>
    <d v="2023-09-29T00:00:00"/>
    <d v="2023-09-22T00:00:00"/>
    <d v="2024-09-20T00:00:00"/>
    <s v="000-853/AIB RDC/2023"/>
    <n v="0"/>
    <s v="SOUSCRIPTION"/>
    <s v="12002-33002-0021-111-00023625-2023"/>
    <s v="PANACO / Bolloré"/>
    <m/>
    <s v="SYNTYCHE"/>
    <s v="David"/>
    <s v="MARINE CARGO / GIT"/>
    <s v="MARINE"/>
    <x v="0"/>
    <s v="SFA"/>
    <n v="19818.03"/>
    <n v="75.989999999999995"/>
    <n v="0"/>
    <n v="0"/>
    <n v="6.86"/>
    <n v="37.1"/>
    <n v="7.03"/>
    <n v="1.8720326894247311E-3"/>
    <n v="0.15"/>
    <n v="5.5650000000000004"/>
    <n v="0"/>
    <n v="0"/>
    <n v="0"/>
    <n v="5.5650000000000004"/>
    <n v="0.89040000000000008"/>
    <n v="6.4554000000000009"/>
    <n v="0.11130000000000001"/>
    <n v="0"/>
    <n v="0.11130000000000001"/>
    <m/>
    <n v="5.4537000000000004"/>
    <s v="BOLLORE"/>
    <n v="0.4"/>
    <n v="2.1814800000000001"/>
    <m/>
    <m/>
    <n v="2.1814800000000001"/>
    <m/>
    <n v="6.4554000000000009"/>
    <n v="6.4554000000000009"/>
    <n v="0"/>
    <s v="SFA"/>
    <d v="2023-10-17T00:00:00"/>
    <m/>
    <s v="ONCE OFF"/>
    <s v="MARINE CARGO / GIT"/>
    <m/>
    <m/>
    <m/>
  </r>
  <r>
    <x v="8"/>
    <s v="Yes"/>
    <d v="2023-10-05T00:00:00"/>
    <d v="2023-09-29T00:00:00"/>
    <d v="2023-09-29T00:00:00"/>
    <d v="2024-09-27T00:00:00"/>
    <s v="000-854/AIB RDC/2023"/>
    <n v="0"/>
    <s v="SOUSCRIPTION"/>
    <s v="12002-33002-0021-111-00023626-2023"/>
    <s v="PANACO / Bolloré"/>
    <m/>
    <s v="SYNTYCHE"/>
    <s v="David"/>
    <s v="MARINE CARGO / GIT"/>
    <s v="MARINE"/>
    <x v="0"/>
    <s v="SFA"/>
    <n v="223188.06"/>
    <n v="526.44000000000005"/>
    <n v="0"/>
    <n v="0"/>
    <n v="14.48"/>
    <n v="417.8"/>
    <n v="69.16"/>
    <n v="1.871963939289584E-3"/>
    <n v="0.15"/>
    <n v="62.67"/>
    <n v="0"/>
    <n v="0"/>
    <n v="0"/>
    <n v="62.67"/>
    <n v="10.027200000000001"/>
    <n v="72.697200000000009"/>
    <n v="1.2534000000000001"/>
    <n v="0"/>
    <n v="1.2534000000000001"/>
    <m/>
    <n v="61.416600000000003"/>
    <s v="BOLLORE"/>
    <n v="0.4"/>
    <n v="24.566640000000003"/>
    <m/>
    <m/>
    <n v="24.566640000000003"/>
    <m/>
    <n v="72.697200000000009"/>
    <n v="72.697200000000009"/>
    <n v="0"/>
    <s v="SFA"/>
    <d v="2023-10-17T00:00:00"/>
    <m/>
    <s v="ONCE OFF"/>
    <s v="MARINE CARGO / GIT"/>
    <m/>
    <m/>
    <m/>
  </r>
  <r>
    <x v="10"/>
    <s v="Yes"/>
    <d v="2023-10-05T00:00:00"/>
    <d v="2023-10-02T00:00:00"/>
    <d v="2023-10-02T00:00:00"/>
    <d v="2024-10-01T00:00:00"/>
    <s v="000-855/AIB RDC/2023"/>
    <n v="0"/>
    <s v="SOUSCRIPTION"/>
    <s v="12002-33002-0021-111-00023661-2023"/>
    <s v="PANACO / Bolloré"/>
    <m/>
    <s v="SYNTYCHE"/>
    <s v="David"/>
    <s v="MARINE CARGO / GIT"/>
    <s v="MARINE"/>
    <x v="0"/>
    <s v="SFA"/>
    <n v="91239.09"/>
    <n v="315.48"/>
    <n v="0"/>
    <n v="0"/>
    <n v="10.91"/>
    <n v="239.5"/>
    <n v="40.01"/>
    <n v="2.6249713801398066E-3"/>
    <n v="0.15"/>
    <n v="35.924999999999997"/>
    <n v="0"/>
    <n v="0"/>
    <n v="0"/>
    <n v="35.924999999999997"/>
    <n v="5.7479999999999993"/>
    <n v="41.672999999999995"/>
    <n v="0.71849999999999992"/>
    <n v="0"/>
    <n v="0.71849999999999992"/>
    <m/>
    <n v="35.206499999999998"/>
    <s v="BOLLORE"/>
    <n v="0.4"/>
    <n v="14.082599999999999"/>
    <m/>
    <m/>
    <n v="14.082599999999999"/>
    <m/>
    <n v="41.672999999999995"/>
    <n v="41.672999999999995"/>
    <n v="0"/>
    <s v="SFA"/>
    <d v="2023-10-17T00:00:00"/>
    <m/>
    <s v="ONCE OFF"/>
    <s v="MARINE CARGO / GIT"/>
    <m/>
    <m/>
    <m/>
  </r>
  <r>
    <x v="8"/>
    <s v="Yes"/>
    <d v="2023-10-05T00:00:00"/>
    <d v="2023-10-06T00:00:00"/>
    <d v="2023-09-25T00:00:00"/>
    <d v="2024-09-24T00:00:00"/>
    <s v="000-856/AIB RDC/2023"/>
    <n v="3"/>
    <s v="RENOUVELLEMENT"/>
    <s v="12002-33002-0024-113-00023884-2023"/>
    <s v="LEREXCOM PETROLEUM (Groupe Ledya)"/>
    <m/>
    <s v="SYNTYCHE"/>
    <s v="Grâce"/>
    <s v="GENERAL LIABILITY"/>
    <s v="LIABILITIES"/>
    <x v="0"/>
    <s v="SFA"/>
    <n v="0"/>
    <n v="83691.759999999995"/>
    <n v="10584.5"/>
    <n v="0"/>
    <n v="1780.28"/>
    <n v="59978.8"/>
    <n v="11348.18"/>
    <e v="#DIV/0!"/>
    <n v="0.2148332410785144"/>
    <n v="12885.44"/>
    <n v="0"/>
    <n v="0"/>
    <n v="0"/>
    <n v="12885.44"/>
    <n v="2061.6704"/>
    <n v="14947.110400000001"/>
    <n v="257.7088"/>
    <n v="0"/>
    <n v="257.7088"/>
    <m/>
    <n v="12627.7312"/>
    <m/>
    <m/>
    <n v="0"/>
    <m/>
    <m/>
    <n v="0"/>
    <m/>
    <n v="2458.11"/>
    <n v="14947.110400000001"/>
    <n v="12489.000400000001"/>
    <s v="SFA"/>
    <m/>
    <m/>
    <m/>
    <m/>
    <m/>
    <m/>
    <m/>
  </r>
  <r>
    <x v="8"/>
    <s v="Yes"/>
    <d v="2023-10-05T00:00:00"/>
    <d v="2023-10-07T00:00:00"/>
    <d v="2023-09-25T00:00:00"/>
    <d v="2024-09-24T00:00:00"/>
    <s v="000-857/AIB RDC/2023"/>
    <n v="3"/>
    <s v="RENOUVELLEMENT"/>
    <s v="12002-33002-0002-112-00023919-2023"/>
    <s v="LEREXCOM PETROLEUM (Groupe Ledya)"/>
    <m/>
    <s v="SYNTYCHE"/>
    <s v="Grâce"/>
    <s v="PROPERTY DAMAGE &amp; BI"/>
    <s v="PROPERTIES"/>
    <x v="0"/>
    <s v="SFA"/>
    <n v="0"/>
    <n v="239053.15"/>
    <n v="0"/>
    <n v="0"/>
    <n v="4905.83"/>
    <n v="201174.47"/>
    <n v="32972.85"/>
    <e v="#DIV/0!"/>
    <n v="0.18448941359209201"/>
    <n v="37114.559999999903"/>
    <n v="0"/>
    <n v="0"/>
    <n v="0"/>
    <n v="37114.559999999903"/>
    <n v="5938.3295999999846"/>
    <n v="43052.889599999886"/>
    <n v="742.29119999999807"/>
    <n v="0"/>
    <n v="742.29119999999807"/>
    <m/>
    <n v="36372.268799999903"/>
    <m/>
    <m/>
    <n v="0"/>
    <m/>
    <m/>
    <n v="0"/>
    <m/>
    <n v="6946.88"/>
    <n v="43052.889599999886"/>
    <n v="36106.009599999888"/>
    <s v="SFA"/>
    <m/>
    <m/>
    <m/>
    <m/>
    <m/>
    <m/>
    <m/>
  </r>
  <r>
    <x v="8"/>
    <s v="Yes"/>
    <d v="2023-10-06T00:00:00"/>
    <d v="2023-09-18T00:00:00"/>
    <d v="2023-09-18T00:00:00"/>
    <d v="2023-12-15T00:00:00"/>
    <s v="000-858/AIB RDC/2023"/>
    <n v="2"/>
    <s v="INCORPORATION"/>
    <s v="33002-0017-104-0004313 / 0002"/>
    <s v="GROUP VIVENDI AFRICA RDC ( GVA RDC)"/>
    <m/>
    <s v="ALICE"/>
    <s v="Apphia"/>
    <s v="COMP MOTOR"/>
    <s v="MOTOR COMP"/>
    <x v="4"/>
    <s v="SUNU"/>
    <n v="0"/>
    <n v="6146.2"/>
    <n v="0"/>
    <n v="0"/>
    <n v="52.46"/>
    <n v="5246"/>
    <n v="847.74"/>
    <e v="#DIV/0!"/>
    <n v="0.15"/>
    <n v="786.9"/>
    <n v="0"/>
    <n v="0"/>
    <n v="0"/>
    <n v="786.9"/>
    <n v="125.904"/>
    <n v="912.80399999999997"/>
    <n v="15.738"/>
    <n v="0"/>
    <n v="15.738"/>
    <m/>
    <n v="771.16200000000003"/>
    <m/>
    <m/>
    <n v="0"/>
    <m/>
    <m/>
    <n v="0"/>
    <m/>
    <n v="903.63"/>
    <n v="912.80399999999997"/>
    <n v="9.1739999999999782"/>
    <s v="SUNU"/>
    <d v="2023-11-07T00:00:00"/>
    <m/>
    <m/>
    <m/>
    <m/>
    <m/>
    <m/>
  </r>
  <r>
    <x v="8"/>
    <s v="Yes"/>
    <d v="2023-04-10T00:00:00"/>
    <d v="2023-09-15T00:00:00"/>
    <d v="2023-09-15T00:00:00"/>
    <d v="2024-06-30T00:00:00"/>
    <s v="000-859/AIB RDC/2023"/>
    <n v="0"/>
    <s v="SOUSCRIPTION"/>
    <s v="12002-33002-0004-104-00022738-2023"/>
    <s v="Teichmann Group / T3 projects"/>
    <s v="Construction"/>
    <s v="ANDY"/>
    <s v="Sabrina"/>
    <s v="COMP MOTOR"/>
    <s v="MOTOR COMP"/>
    <x v="0"/>
    <s v="SFA"/>
    <n v="71455"/>
    <n v="3345.28"/>
    <n v="0"/>
    <n v="0"/>
    <n v="100.26"/>
    <n v="2783.6"/>
    <n v="461.42"/>
    <n v="3.8955986285074524E-2"/>
    <n v="0.15"/>
    <n v="417.53999999999996"/>
    <n v="0"/>
    <n v="0"/>
    <n v="0"/>
    <n v="417.53999999999996"/>
    <n v="66.806399999999996"/>
    <n v="484.34639999999996"/>
    <n v="8.3507999999999996"/>
    <n v="0"/>
    <n v="8.3507999999999996"/>
    <m/>
    <n v="409.18919999999997"/>
    <s v="O'NEILS"/>
    <n v="0.5"/>
    <n v="204.59459999999999"/>
    <m/>
    <m/>
    <n v="204.59459999999999"/>
    <m/>
    <n v="484.34639999999996"/>
    <n v="484.34639999999996"/>
    <n v="0"/>
    <s v="SFA"/>
    <d v="2023-10-17T00:00:00"/>
    <m/>
    <m/>
    <s v="COMP MOTOR"/>
    <m/>
    <m/>
    <m/>
  </r>
  <r>
    <x v="8"/>
    <s v="No"/>
    <d v="2023-04-10T00:00:00"/>
    <d v="2023-09-04T00:00:00"/>
    <d v="2023-09-04T00:00:00"/>
    <d v="2024-10-03T00:00:00"/>
    <s v="000-860/AIB RDC/2023"/>
    <n v="0"/>
    <s v="SOUSCRIPTION"/>
    <s v="33002-0012-111-0010883 / 0001"/>
    <s v="Teichmann Group / Mashamba Enterprises"/>
    <m/>
    <s v="ANDY"/>
    <s v="Sabrina"/>
    <s v="MARINE CARGO / GIT"/>
    <s v="MARINE"/>
    <x v="4"/>
    <s v="SUNU"/>
    <n v="2042781"/>
    <n v="4786.6400000000003"/>
    <n v="0"/>
    <n v="0"/>
    <n v="40.85"/>
    <n v="4088.56"/>
    <n v="660.23"/>
    <n v="2.0014676071492734E-3"/>
    <n v="0.15"/>
    <n v="613.28399999999999"/>
    <n v="0"/>
    <n v="0"/>
    <n v="0"/>
    <n v="613.28399999999999"/>
    <n v="98.125439999999998"/>
    <n v="711.40944000000002"/>
    <n v="12.26568"/>
    <n v="0"/>
    <n v="12.26568"/>
    <m/>
    <n v="601.01832000000002"/>
    <s v="O'NEILS"/>
    <n v="0.5"/>
    <n v="300.50916000000001"/>
    <m/>
    <m/>
    <n v="300.50916000000001"/>
    <m/>
    <n v="711.40944000000002"/>
    <n v="711.40944000000002"/>
    <n v="0"/>
    <s v="SUNU"/>
    <d v="2023-11-07T00:00:00"/>
    <m/>
    <m/>
    <s v="MARINE CARGO / GIT"/>
    <m/>
    <m/>
    <m/>
  </r>
  <r>
    <x v="8"/>
    <s v="Yes"/>
    <d v="2023-04-10T00:00:00"/>
    <d v="2023-09-11T00:00:00"/>
    <d v="2023-09-08T00:00:00"/>
    <d v="2024-09-07T00:00:00"/>
    <s v="000-861/AIB RDC/2023"/>
    <n v="0"/>
    <s v="SOUSCRIPTION"/>
    <s v="12002-33002-0004-103-00022404-2023"/>
    <s v="Teichmann Group / T3 Drilling"/>
    <m/>
    <s v="ANDY"/>
    <s v="Sabrina"/>
    <s v="MOTOR TPL"/>
    <s v="MOTOR TPL"/>
    <x v="0"/>
    <s v="SFA"/>
    <n v="0"/>
    <n v="25572.54"/>
    <n v="0"/>
    <n v="0"/>
    <n v="869.08"/>
    <n v="21176.22"/>
    <n v="3527.24"/>
    <e v="#DIV/0!"/>
    <n v="0.1"/>
    <n v="2117.6220000000003"/>
    <n v="0"/>
    <n v="0"/>
    <n v="0"/>
    <n v="2117.6220000000003"/>
    <n v="338.81952000000007"/>
    <n v="2456.4415200000003"/>
    <n v="42.352440000000009"/>
    <n v="0"/>
    <n v="42.352440000000009"/>
    <m/>
    <n v="2075.2695600000002"/>
    <s v="O'NEILS"/>
    <n v="0.5"/>
    <n v="1037.6347800000001"/>
    <m/>
    <m/>
    <n v="1037.6347800000001"/>
    <m/>
    <n v="2456.4415200000003"/>
    <n v="2456.4415200000003"/>
    <n v="0"/>
    <s v="SFA"/>
    <d v="2023-10-17T00:00:00"/>
    <m/>
    <m/>
    <s v="MOTOR TPL"/>
    <m/>
    <m/>
    <m/>
  </r>
  <r>
    <x v="8"/>
    <s v="No"/>
    <d v="2023-04-10T00:00:00"/>
    <m/>
    <d v="2023-09-01T00:00:00"/>
    <d v="2024-01-31T00:00:00"/>
    <s v="000-862/AIB RDC/2023"/>
    <n v="39"/>
    <s v="INCORPORATION"/>
    <s v="12001-33002-0001-103-00001852"/>
    <s v="CFAO RDC / Loxea RDC"/>
    <s v="Distribution"/>
    <s v="ANDY"/>
    <s v="Sabrina"/>
    <s v="COMP MOTOR"/>
    <s v="MOTOR COMP"/>
    <x v="1"/>
    <s v="ACTIVA"/>
    <n v="37927"/>
    <n v="928.86"/>
    <n v="0"/>
    <n v="0"/>
    <n v="10"/>
    <n v="790.74"/>
    <n v="128.12"/>
    <n v="2.0848999393571863E-2"/>
    <n v="0.14860000000000001"/>
    <n v="117.50396400000001"/>
    <n v="0"/>
    <n v="0"/>
    <n v="23.722200000000001"/>
    <n v="141.22616400000001"/>
    <n v="22.596186240000002"/>
    <n v="163.82235024000002"/>
    <n v="2.3500792800000001"/>
    <n v="0"/>
    <n v="2.3500792800000001"/>
    <m/>
    <n v="138.87608472000002"/>
    <s v="Aucun"/>
    <m/>
    <n v="0"/>
    <m/>
    <m/>
    <n v="0"/>
    <m/>
    <m/>
    <n v="163.82235024000002"/>
    <n v="163.82235024000002"/>
    <s v="ACTIVA"/>
    <m/>
    <m/>
    <m/>
    <s v="COMP MOTOR"/>
    <m/>
    <m/>
    <m/>
  </r>
  <r>
    <x v="8"/>
    <s v="No"/>
    <d v="2023-04-10T00:00:00"/>
    <m/>
    <d v="2023-09-08T00:00:00"/>
    <d v="2024-01-31T00:00:00"/>
    <s v="000-863/AIB RDC/2023"/>
    <n v="40"/>
    <s v="INCORPORATION"/>
    <s v="12001-33002-0001-103-00001852"/>
    <s v="CFAO RDC / Loxea RDC"/>
    <s v="Distribution"/>
    <s v="ANDY"/>
    <s v="Sabrina"/>
    <s v="COMP MOTOR"/>
    <s v="MOTOR COMP"/>
    <x v="1"/>
    <s v="ACTIVA"/>
    <n v="234375.8"/>
    <n v="4508.2299999999996"/>
    <n v="0"/>
    <n v="0"/>
    <n v="38.479999999999997"/>
    <n v="3848.01"/>
    <n v="621.84"/>
    <n v="1.6418119959483873E-2"/>
    <n v="0.14885616201621096"/>
    <n v="572.79999999999995"/>
    <n v="0"/>
    <n v="0"/>
    <n v="115.44030000000001"/>
    <n v="688.24029999999993"/>
    <n v="110.11844799999999"/>
    <n v="798.35874799999988"/>
    <n v="11.456"/>
    <n v="0"/>
    <n v="11.456"/>
    <m/>
    <n v="676.78429999999992"/>
    <s v="Aucun"/>
    <m/>
    <n v="0"/>
    <m/>
    <m/>
    <n v="0"/>
    <m/>
    <m/>
    <n v="798.35874799999988"/>
    <n v="798.35874799999988"/>
    <s v="ACTIVA"/>
    <m/>
    <m/>
    <m/>
    <s v="COMP MOTOR"/>
    <m/>
    <m/>
    <m/>
  </r>
  <r>
    <x v="9"/>
    <s v="Yes"/>
    <d v="2023-04-10T00:00:00"/>
    <d v="2023-10-17T00:00:00"/>
    <d v="2023-08-01T00:00:00"/>
    <d v="2025-03-31T00:00:00"/>
    <s v="000-864/AIB RDC/2023"/>
    <n v="0"/>
    <s v="SOUSCRIPTION"/>
    <s v="12002-13001-0006-114-00024316-2023"/>
    <s v="ERG / Frontier SA ( Metalkol)"/>
    <s v="Mining"/>
    <s v="ANDY"/>
    <s v="Andy"/>
    <s v="CAR"/>
    <s v="CONSTRUCTIONS"/>
    <x v="0"/>
    <s v="SFA"/>
    <n v="0"/>
    <n v="797988.91"/>
    <n v="76813.05"/>
    <n v="0"/>
    <n v="16471.84"/>
    <n v="594636.57999999996"/>
    <n v="110067.44"/>
    <e v="#DIV/0!"/>
    <n v="3.8231990369647299E-2"/>
    <n v="22734.140000000003"/>
    <n v="0"/>
    <n v="5000"/>
    <n v="0"/>
    <n v="27734.140000000003"/>
    <n v="4437.4624000000003"/>
    <n v="32171.602400000003"/>
    <n v="554.68280000000004"/>
    <n v="0"/>
    <n v="554.68280000000004"/>
    <m/>
    <n v="27179.457200000004"/>
    <s v="Aucun"/>
    <m/>
    <n v="0"/>
    <m/>
    <m/>
    <n v="0"/>
    <m/>
    <n v="26371.599999999999"/>
    <n v="32171.602400000003"/>
    <n v="5800.0024000000049"/>
    <s v="SFA"/>
    <d v="2023-11-07T00:00:00"/>
    <m/>
    <m/>
    <s v="CAR"/>
    <m/>
    <m/>
    <m/>
  </r>
  <r>
    <x v="9"/>
    <s v="No"/>
    <d v="2023-05-10T00:00:00"/>
    <m/>
    <d v="2023-08-01T00:00:00"/>
    <d v="2023-01-08T00:00:00"/>
    <s v="000-865/AIB RDC/2023"/>
    <n v="3"/>
    <s v="INCORPORATION"/>
    <s v="12002-33002-0010-108-00019847-2023/2"/>
    <s v="Compagnie Africaine d'Aviation - CAA"/>
    <s v="Aviation"/>
    <s v="ANDY"/>
    <s v="Andy"/>
    <s v="AVIATION HULL ALL RISK"/>
    <s v="AVIATION"/>
    <x v="0"/>
    <s v="ARTHUR J. GALLAGHERS"/>
    <n v="0"/>
    <n v="-174457.97"/>
    <n v="-8757.0300000000007"/>
    <n v="0"/>
    <n v="-100"/>
    <n v="-141537"/>
    <n v="-24063.17"/>
    <e v="#DIV/0!"/>
    <n v="0"/>
    <n v="0"/>
    <n v="-2627.1089999999999"/>
    <n v="0"/>
    <n v="0"/>
    <n v="-2627.1089999999999"/>
    <n v="-420.33744000000002"/>
    <n v="-3047.4464399999997"/>
    <n v="-52.542180000000002"/>
    <n v="0"/>
    <n v="-52.542180000000002"/>
    <m/>
    <n v="-2574.56682"/>
    <s v="Aucun"/>
    <m/>
    <n v="0"/>
    <m/>
    <m/>
    <n v="0"/>
    <m/>
    <m/>
    <n v="-3047.4464399999997"/>
    <n v="-3047.4464399999997"/>
    <s v="SFA"/>
    <m/>
    <m/>
    <m/>
    <s v="AVIATION HULL ALL RISK"/>
    <m/>
    <m/>
    <m/>
  </r>
  <r>
    <x v="9"/>
    <s v="No"/>
    <d v="2023-05-10T00:00:00"/>
    <m/>
    <d v="2023-08-01T00:00:00"/>
    <d v="2023-01-08T00:00:00"/>
    <s v="000-866/AIB RDC/2023"/>
    <n v="1"/>
    <s v="ANNULATION"/>
    <m/>
    <s v="Compagnie Africaine d'Aviation - CAA"/>
    <s v="Aviation"/>
    <s v="ANDY"/>
    <s v="Andy"/>
    <s v="AVIATION HULL ALL RISK"/>
    <s v="AVIATION"/>
    <x v="0"/>
    <s v="ARTHUR J. GALLAGHERS"/>
    <n v="0"/>
    <n v="-691453.4"/>
    <n v="-34725.199999999997"/>
    <n v="0"/>
    <n v="-100"/>
    <n v="-561255.31999999995"/>
    <n v="-95372.88"/>
    <e v="#DIV/0!"/>
    <n v="0"/>
    <n v="0"/>
    <n v="-10417.56"/>
    <n v="0"/>
    <n v="0"/>
    <n v="-10417.56"/>
    <n v="-1666.8096"/>
    <n v="-12084.3696"/>
    <n v="-208.35120000000001"/>
    <n v="0"/>
    <n v="-208.35120000000001"/>
    <m/>
    <n v="-10209.2088"/>
    <s v="Aucun"/>
    <m/>
    <n v="0"/>
    <m/>
    <m/>
    <n v="0"/>
    <m/>
    <m/>
    <n v="-12084.3696"/>
    <n v="-12084.3696"/>
    <s v="SFA"/>
    <m/>
    <m/>
    <m/>
    <s v="AVIATION HULL ALL RISK"/>
    <m/>
    <m/>
    <m/>
  </r>
  <r>
    <x v="9"/>
    <s v="No"/>
    <d v="2023-05-10T00:00:00"/>
    <m/>
    <d v="2023-08-01T00:00:00"/>
    <d v="2023-01-08T00:00:00"/>
    <s v="000-867/AIB RDC/2023"/>
    <n v="0"/>
    <s v="AUTRES MODIFICATIONS"/>
    <m/>
    <s v="Compagnie Africaine d'Aviation - CAA"/>
    <s v="Aviation"/>
    <s v="ANDY"/>
    <s v="Andy"/>
    <s v="AVIATION HULL ALL RISK"/>
    <s v="AVIATION"/>
    <x v="0"/>
    <s v="ARTHUR J. GALLAGHERS"/>
    <n v="0"/>
    <n v="2021234.49"/>
    <n v="256921.59"/>
    <n v="-193540.06"/>
    <n v="100"/>
    <n v="1455889"/>
    <n v="274065.69"/>
    <e v="#DIV/0!"/>
    <n v="0"/>
    <n v="0"/>
    <n v="19014.458999999999"/>
    <n v="0"/>
    <n v="0"/>
    <n v="19014.458999999999"/>
    <n v="3042.3134399999999"/>
    <n v="22056.772440000001"/>
    <n v="380.28917999999999"/>
    <n v="0"/>
    <n v="380.28917999999999"/>
    <m/>
    <n v="18634.169819999999"/>
    <s v="Aucun"/>
    <m/>
    <n v="0"/>
    <m/>
    <m/>
    <n v="0"/>
    <m/>
    <m/>
    <n v="22056.772440000001"/>
    <n v="22056.772440000001"/>
    <s v="SFA"/>
    <m/>
    <m/>
    <m/>
    <s v="AVIATION HULL ALL RISK"/>
    <m/>
    <m/>
    <m/>
  </r>
  <r>
    <x v="8"/>
    <s v="No"/>
    <d v="2023-05-10T00:00:00"/>
    <d v="2023-10-10T00:00:00"/>
    <d v="2023-09-19T00:00:00"/>
    <d v="2024-11-18T00:00:00"/>
    <s v="000-868/AIB RDC/2023"/>
    <n v="0"/>
    <s v="SOUSCRIPTION"/>
    <s v="33002-0011-111-0013176 / 0001"/>
    <s v="Canal Plus RDC  SARLU"/>
    <s v="Distribution"/>
    <s v="ANDY"/>
    <s v="Sabrina"/>
    <s v="MARINE CARGO / GIT"/>
    <s v="MARINE"/>
    <x v="4"/>
    <s v="SUNU"/>
    <n v="1088000"/>
    <n v="2963.68"/>
    <n v="0"/>
    <n v="0"/>
    <n v="25.29"/>
    <n v="2529.6"/>
    <n v="408.79"/>
    <n v="2.3249999999999998E-3"/>
    <n v="0.15"/>
    <n v="379.44"/>
    <n v="0"/>
    <n v="0"/>
    <n v="0"/>
    <n v="379.44"/>
    <n v="60.7104"/>
    <n v="440.15039999999999"/>
    <n v="7.5888"/>
    <n v="0"/>
    <n v="7.5888"/>
    <m/>
    <n v="371.85120000000001"/>
    <s v="OLEA"/>
    <m/>
    <n v="0"/>
    <m/>
    <m/>
    <n v="0"/>
    <m/>
    <m/>
    <n v="440.15039999999999"/>
    <n v="440.15039999999999"/>
    <s v="SUNU"/>
    <m/>
    <m/>
    <m/>
    <s v="MARINE CARGO / GIT"/>
    <m/>
    <m/>
    <m/>
  </r>
  <r>
    <x v="10"/>
    <s v="No"/>
    <d v="2023-05-10T00:00:00"/>
    <d v="2023-10-04T00:00:00"/>
    <d v="2023-10-05T00:00:00"/>
    <d v="2024-10-04T00:00:00"/>
    <s v="000-869/AIB RDC/2023"/>
    <n v="1"/>
    <s v="RENOUVELLEMENT"/>
    <s v="33002-0009-113-0000601 / 0003"/>
    <s v="Cilu Heidelberg"/>
    <s v="Cimenterie"/>
    <s v="ANDY"/>
    <s v="Sabrina"/>
    <s v="GENERAL LIABILITY"/>
    <s v="LIABILITIES"/>
    <x v="4"/>
    <s v="SUNU"/>
    <n v="41316000"/>
    <n v="18364.830000000002"/>
    <n v="0"/>
    <n v="0"/>
    <n v="156.75"/>
    <n v="15675"/>
    <n v="2533.08"/>
    <n v="3.7939297124600641E-4"/>
    <n v="0.1"/>
    <n v="1567.5"/>
    <n v="0"/>
    <n v="0"/>
    <n v="0"/>
    <n v="1567.5"/>
    <n v="250.8"/>
    <n v="1818.3"/>
    <n v="31.35"/>
    <n v="0"/>
    <n v="31.35"/>
    <m/>
    <n v="1536.15"/>
    <s v="Aucun"/>
    <m/>
    <n v="0"/>
    <m/>
    <m/>
    <n v="0"/>
    <m/>
    <m/>
    <n v="1818.3"/>
    <n v="1818.3"/>
    <s v="SUNU"/>
    <m/>
    <m/>
    <m/>
    <s v="GENERAL LIABILITY"/>
    <m/>
    <m/>
    <m/>
  </r>
  <r>
    <x v="8"/>
    <s v="No"/>
    <d v="2023-05-10T00:00:00"/>
    <m/>
    <m/>
    <m/>
    <s v="000-870/AIB RDC/2023"/>
    <n v="0"/>
    <s v="SOUSCRIPTION"/>
    <m/>
    <s v="Mr Colla"/>
    <m/>
    <s v="ANDY"/>
    <s v="Andy"/>
    <s v="MOTOR TPL"/>
    <s v="MOTOR TPL"/>
    <x v="4"/>
    <s v="SUNU"/>
    <n v="0"/>
    <n v="55.45"/>
    <n v="0"/>
    <n v="0"/>
    <n v="10"/>
    <n v="37.799999999999997"/>
    <n v="7.65"/>
    <e v="#DIV/0!"/>
    <n v="0.1"/>
    <n v="3.78"/>
    <n v="0"/>
    <n v="0"/>
    <n v="0"/>
    <n v="3.78"/>
    <n v="0.6048"/>
    <n v="4.3848000000000003"/>
    <n v="7.5600000000000001E-2"/>
    <n v="0"/>
    <n v="7.5600000000000001E-2"/>
    <m/>
    <n v="3.7043999999999997"/>
    <s v="Aucun"/>
    <m/>
    <n v="0"/>
    <m/>
    <m/>
    <n v="0"/>
    <m/>
    <m/>
    <n v="4.3848000000000003"/>
    <n v="4.3848000000000003"/>
    <s v="SUNU"/>
    <m/>
    <m/>
    <m/>
    <s v="MOTOR TPL"/>
    <m/>
    <m/>
    <m/>
  </r>
  <r>
    <x v="8"/>
    <s v="Yes"/>
    <d v="2023-05-10T00:00:00"/>
    <d v="2023-09-25T00:00:00"/>
    <d v="2023-09-26T00:00:00"/>
    <d v="2024-09-25T00:00:00"/>
    <s v="000-871/AIB RDC/2023"/>
    <n v="0"/>
    <s v="SOUSCRIPTION"/>
    <s v="12002-33002-0004-104-00023294-2023"/>
    <s v="Optorg / Tractafric Equipement - Katanga Motors - Tractafric Motor Corporation"/>
    <s v="Distribution"/>
    <s v="ANDY"/>
    <s v="Axel"/>
    <s v="COMP MOTOR"/>
    <s v="MOTOR COMP"/>
    <x v="0"/>
    <s v="SFA"/>
    <n v="162188"/>
    <n v="8527.51"/>
    <n v="0"/>
    <n v="0"/>
    <n v="258.36"/>
    <n v="7092.95"/>
    <n v="1176.2"/>
    <n v="4.3732890226157298E-2"/>
    <n v="0.15"/>
    <n v="1063.9424999999999"/>
    <n v="0"/>
    <n v="0"/>
    <n v="0"/>
    <n v="1063.9424999999999"/>
    <n v="170.23079999999999"/>
    <n v="1234.1732999999999"/>
    <n v="21.278849999999998"/>
    <n v="0"/>
    <n v="21.278849999999998"/>
    <m/>
    <n v="1042.66365"/>
    <s v="OLEA"/>
    <m/>
    <n v="0"/>
    <m/>
    <m/>
    <n v="0"/>
    <m/>
    <n v="1234.1732999999999"/>
    <n v="1234.1732999999999"/>
    <n v="0"/>
    <s v="SFA"/>
    <d v="2023-11-07T00:00:00"/>
    <m/>
    <m/>
    <s v="COMP MOTOR"/>
    <m/>
    <m/>
    <m/>
  </r>
  <r>
    <x v="3"/>
    <s v="No"/>
    <d v="2023-05-10T00:00:00"/>
    <m/>
    <d v="2023-06-01T00:00:00"/>
    <d v="2024-02-29T00:00:00"/>
    <s v="000-872/AIB RDC/2023"/>
    <n v="0"/>
    <s v="AUTRES MODIFICATIONS"/>
    <s v="301-45000005"/>
    <s v="Ivanhoe Limited / IMEs &amp; KICO"/>
    <s v="Mining"/>
    <s v="ANDY"/>
    <s v="Andy"/>
    <s v="PROPERTY DAMAGE &amp; BI"/>
    <s v="PROPERTIES"/>
    <x v="6"/>
    <s v="RAWSUR"/>
    <n v="185746117.06"/>
    <n v="-580.03"/>
    <n v="-73.73"/>
    <n v="37.700000000000003"/>
    <n v="0"/>
    <n v="-417.82"/>
    <n v="-78.650000000000006"/>
    <n v="-2.2494144513666204E-6"/>
    <n v="0"/>
    <n v="0"/>
    <n v="-10.808999999999999"/>
    <n v="0"/>
    <n v="0"/>
    <n v="-10.808999999999999"/>
    <n v="-1.7294399999999999"/>
    <n v="-12.53844"/>
    <n v="-0.21617999999999998"/>
    <n v="0"/>
    <n v="-0.21617999999999998"/>
    <m/>
    <n v="-10.59282"/>
    <s v="Aucun"/>
    <m/>
    <n v="0"/>
    <m/>
    <m/>
    <n v="0"/>
    <m/>
    <m/>
    <n v="-12.53844"/>
    <n v="-12.53844"/>
    <s v="RAWSUR"/>
    <m/>
    <m/>
    <m/>
    <s v="PROPERTY DAMAGE &amp; BI"/>
    <m/>
    <m/>
    <m/>
  </r>
  <r>
    <x v="2"/>
    <s v="No"/>
    <d v="2023-05-10T00:00:00"/>
    <d v="2023-10-01T00:00:00"/>
    <d v="2023-03-01T00:00:00"/>
    <d v="2024-02-29T00:00:00"/>
    <s v="000-873/AIB RDC/2023"/>
    <n v="0"/>
    <s v="AUTRES MODIFICATIONS"/>
    <s v="301-60100003"/>
    <s v="Ivanhoe Limited / IMEs &amp; KICO"/>
    <s v="Mining"/>
    <s v="ANDY"/>
    <s v="Andy"/>
    <s v="GENERAL LIABILITY"/>
    <s v="LIABILITIES"/>
    <x v="6"/>
    <s v="SHA"/>
    <n v="185746117.06"/>
    <n v="2654.27"/>
    <n v="362.82"/>
    <n v="-199.94"/>
    <n v="0"/>
    <n v="2056"/>
    <n v="387.01"/>
    <n v="1.106887203104153E-5"/>
    <n v="0"/>
    <n v="0"/>
    <n v="48.863999999999997"/>
    <n v="0"/>
    <n v="0"/>
    <n v="48.863999999999997"/>
    <n v="7.8182399999999994"/>
    <n v="56.682239999999993"/>
    <n v="0.97727999999999993"/>
    <n v="0"/>
    <n v="0.97727999999999993"/>
    <m/>
    <n v="47.886719999999997"/>
    <s v="MARSH"/>
    <m/>
    <n v="0"/>
    <m/>
    <m/>
    <n v="0"/>
    <m/>
    <n v="56.682239999999993"/>
    <n v="56.682239999999993"/>
    <n v="0"/>
    <s v="RAWSUR"/>
    <d v="2023-11-10T00:00:00"/>
    <m/>
    <m/>
    <s v="GENERAL LIABILITY"/>
    <m/>
    <m/>
    <m/>
  </r>
  <r>
    <x v="10"/>
    <s v="No"/>
    <d v="2023-06-10T00:00:00"/>
    <d v="2023-10-21T00:00:00"/>
    <d v="2023-10-21T00:00:00"/>
    <d v="2024-10-20T00:00:00"/>
    <s v="000-874/AIB RDC/2023"/>
    <n v="1"/>
    <s v="RENOUVELLEMENT"/>
    <s v="33002-0006-112-0000699 / 0003"/>
    <s v="Teichmann Group / Mashamba Mill"/>
    <m/>
    <s v="ANDY"/>
    <s v="Sabrina"/>
    <s v="FIRE"/>
    <s v="PROPERTIES"/>
    <x v="4"/>
    <s v="SUNU"/>
    <n v="0"/>
    <n v="15287.65"/>
    <n v="0"/>
    <n v="0"/>
    <n v="130.47999999999999"/>
    <n v="13048.53"/>
    <n v="2108.64"/>
    <e v="#DIV/0!"/>
    <n v="0.15"/>
    <n v="1957.2795000000001"/>
    <n v="0"/>
    <n v="0"/>
    <n v="0"/>
    <n v="1957.2795000000001"/>
    <n v="313.16472000000005"/>
    <n v="2270.4442200000003"/>
    <n v="39.145590000000006"/>
    <n v="0"/>
    <n v="39.145590000000006"/>
    <m/>
    <n v="1918.13391"/>
    <s v="O'NEILS"/>
    <n v="0.5"/>
    <n v="959.06695500000001"/>
    <m/>
    <m/>
    <n v="959.06695500000001"/>
    <m/>
    <m/>
    <n v="2270.4442200000003"/>
    <n v="2270.4442200000003"/>
    <s v="SUNU"/>
    <m/>
    <m/>
    <m/>
    <s v="FIRE"/>
    <m/>
    <m/>
    <m/>
  </r>
  <r>
    <x v="10"/>
    <s v="No"/>
    <d v="2023-06-10T00:00:00"/>
    <d v="2023-10-21T00:00:00"/>
    <d v="2023-10-21T00:00:00"/>
    <d v="2024-10-20T00:00:00"/>
    <s v="000-875/AIB RDC/2023"/>
    <n v="1"/>
    <s v="RENOUVELLEMENT"/>
    <s v="33002-0006-112-0000700 / 0003"/>
    <s v="Teichmann Group / Mashamba Farm"/>
    <m/>
    <s v="ANDY"/>
    <s v="Sabrina"/>
    <s v="FIRE"/>
    <s v="PROPERTIES"/>
    <x v="4"/>
    <s v="SUNU"/>
    <n v="0"/>
    <n v="34796.86"/>
    <n v="0"/>
    <n v="0"/>
    <n v="297"/>
    <n v="29700.3"/>
    <n v="4799.5600000000004"/>
    <e v="#DIV/0!"/>
    <n v="0.15"/>
    <n v="4455.0450000000001"/>
    <n v="0"/>
    <n v="0"/>
    <n v="0"/>
    <n v="4455.0450000000001"/>
    <n v="712.80720000000008"/>
    <n v="5167.8522000000003"/>
    <n v="89.10090000000001"/>
    <n v="0"/>
    <n v="89.10090000000001"/>
    <m/>
    <n v="4365.9440999999997"/>
    <s v="O'NEILS"/>
    <n v="0.5"/>
    <n v="2182.9720499999999"/>
    <m/>
    <m/>
    <n v="2182.9720499999999"/>
    <m/>
    <m/>
    <n v="5167.8522000000003"/>
    <n v="5167.8522000000003"/>
    <s v="SUNU"/>
    <m/>
    <m/>
    <m/>
    <s v="FIRE"/>
    <m/>
    <m/>
    <m/>
  </r>
  <r>
    <x v="8"/>
    <s v="Yes"/>
    <d v="2023-06-10T00:00:00"/>
    <d v="2023-09-28T00:00:00"/>
    <d v="2023-09-06T00:00:00"/>
    <d v="2024-01-31T00:00:00"/>
    <s v="000-876/AIB RDC/2023"/>
    <n v="2"/>
    <s v="RESILIATION"/>
    <s v="12002-33002-0004-104-00018031-2023"/>
    <s v="Confiance DRC Sarl"/>
    <s v="Transport"/>
    <s v="ANDY"/>
    <s v="Sabrina"/>
    <s v="COMP MOTOR"/>
    <s v="MOTOR COMP"/>
    <x v="0"/>
    <s v="SFA"/>
    <n v="51127"/>
    <n v="-1221"/>
    <n v="0"/>
    <n v="0"/>
    <n v="0"/>
    <n v="-1052.5899999999999"/>
    <n v="-168.41"/>
    <n v="-2.0587752068378741E-2"/>
    <n v="0.15"/>
    <n v="-157.88849999999999"/>
    <n v="0"/>
    <n v="0"/>
    <n v="0"/>
    <n v="-157.88849999999999"/>
    <n v="-25.262159999999998"/>
    <n v="-183.15065999999999"/>
    <n v="-3.1577699999999997"/>
    <n v="0"/>
    <n v="-3.1577699999999997"/>
    <m/>
    <n v="-154.73072999999999"/>
    <s v="O'NEILS"/>
    <n v="0.5"/>
    <n v="-77.365364999999997"/>
    <m/>
    <m/>
    <n v="-77.365364999999997"/>
    <m/>
    <n v="-183.15065999999999"/>
    <n v="-183.15065999999999"/>
    <n v="0"/>
    <s v="SFA"/>
    <d v="2023-11-07T00:00:00"/>
    <m/>
    <m/>
    <s v="COMP MOTOR"/>
    <m/>
    <m/>
    <m/>
  </r>
  <r>
    <x v="7"/>
    <s v="No"/>
    <d v="2023-06-10T00:00:00"/>
    <d v="2023-09-28T00:00:00"/>
    <d v="2023-07-15T00:00:00"/>
    <d v="2024-12-15T00:00:00"/>
    <s v="000-877/AIB RDC/2023"/>
    <n v="0"/>
    <s v="SOUSCRIPTION"/>
    <s v="33002-0014-122-0011794 / 0001"/>
    <s v="Raxio Data Centres"/>
    <s v="Data Center"/>
    <s v="ANDY"/>
    <s v="Sabrina"/>
    <s v="PVT"/>
    <s v="POLITICAL VIOLENCE"/>
    <x v="4"/>
    <s v="SUNU"/>
    <n v="34805000"/>
    <n v="144468.18"/>
    <n v="18185.82"/>
    <n v="0"/>
    <n v="1212"/>
    <n v="103053"/>
    <n v="19592.189999999999"/>
    <n v="2.960867691423646E-3"/>
    <n v="0"/>
    <n v="0"/>
    <n v="5455.7460000000001"/>
    <n v="0"/>
    <n v="0"/>
    <n v="5455.7460000000001"/>
    <n v="872.91935999999998"/>
    <n v="6328.66536"/>
    <n v="109.11492"/>
    <n v="0"/>
    <n v="109.11492"/>
    <m/>
    <n v="5346.6310800000001"/>
    <m/>
    <m/>
    <n v="0"/>
    <m/>
    <m/>
    <n v="0"/>
    <m/>
    <n v="6328.66536"/>
    <n v="6328.66536"/>
    <n v="0"/>
    <s v="SUNU"/>
    <d v="2023-11-07T00:00:00"/>
    <m/>
    <m/>
    <s v="PVT"/>
    <m/>
    <m/>
    <m/>
  </r>
  <r>
    <x v="9"/>
    <s v="Yes"/>
    <d v="2023-08-28T00:00:00"/>
    <d v="2023-08-28T00:00:00"/>
    <d v="2023-08-28T00:00:00"/>
    <d v="2024-08-27T00:00:00"/>
    <s v="000-878/AIB RDC/2023"/>
    <n v="0"/>
    <s v="SOUSCRIPTION"/>
    <s v="12002-33002-0021-111-00021920-2023"/>
    <s v="STE. FONDEG CATERING CONGO"/>
    <m/>
    <s v="MICHEE"/>
    <s v="Tychique"/>
    <s v="MARINE CARGO / GIT"/>
    <s v="MARINE"/>
    <x v="0"/>
    <s v="SFA"/>
    <n v="0"/>
    <n v="49.85"/>
    <n v="0"/>
    <n v="0"/>
    <n v="6"/>
    <n v="15"/>
    <n v="3.43"/>
    <e v="#DIV/0!"/>
    <n v="0.15"/>
    <n v="2.25"/>
    <n v="0"/>
    <n v="0"/>
    <n v="0"/>
    <n v="2.25"/>
    <n v="0.36"/>
    <n v="2.61"/>
    <n v="4.4999999999999998E-2"/>
    <n v="0"/>
    <n v="4.4999999999999998E-2"/>
    <m/>
    <n v="2.2050000000000001"/>
    <m/>
    <m/>
    <n v="0"/>
    <m/>
    <m/>
    <n v="0"/>
    <m/>
    <n v="2.61"/>
    <n v="2.61"/>
    <n v="0"/>
    <s v="SFA"/>
    <d v="2023-10-17T00:00:00"/>
    <m/>
    <m/>
    <m/>
    <m/>
    <m/>
    <m/>
  </r>
  <r>
    <x v="8"/>
    <s v="Yes"/>
    <d v="2023-09-22T00:00:00"/>
    <d v="2023-09-22T00:00:00"/>
    <d v="2023-09-22T00:00:00"/>
    <d v="2024-09-21T00:00:00"/>
    <s v="000-879/AIB RDC/2023"/>
    <n v="0"/>
    <s v="SOUSCRIPTION"/>
    <s v="12002-33002-0021-111-00023209-2023"/>
    <s v="SACIM SARL / Bolloré"/>
    <m/>
    <s v="SYNTYCHE"/>
    <s v="Axel"/>
    <s v="MARINE CARGO / GIT"/>
    <s v="MARINE"/>
    <x v="0"/>
    <s v="SFA"/>
    <n v="0"/>
    <n v="377.28"/>
    <n v="0"/>
    <n v="0"/>
    <n v="6"/>
    <n v="291.74"/>
    <n v="48.59"/>
    <e v="#DIV/0!"/>
    <n v="0.15"/>
    <n v="43.761000000000003"/>
    <n v="0"/>
    <n v="0"/>
    <n v="0"/>
    <n v="43.761000000000003"/>
    <n v="7.0017600000000009"/>
    <n v="50.76276"/>
    <n v="0.87522000000000011"/>
    <n v="0"/>
    <n v="0.87522000000000011"/>
    <m/>
    <n v="42.885780000000004"/>
    <s v="BOLLORE"/>
    <n v="0.4"/>
    <n v="17.154312000000001"/>
    <m/>
    <m/>
    <n v="17.154312000000001"/>
    <m/>
    <n v="50.76276"/>
    <n v="50.76276"/>
    <n v="0"/>
    <s v="SFA"/>
    <d v="2023-10-17T00:00:00"/>
    <m/>
    <s v="ONCE OFF"/>
    <s v="MARINE CARGO / GIT"/>
    <m/>
    <m/>
    <m/>
  </r>
  <r>
    <x v="8"/>
    <s v="Yes"/>
    <d v="2023-09-07T00:00:00"/>
    <d v="2023-09-07T00:00:00"/>
    <d v="2023-09-06T00:00:00"/>
    <d v="2024-09-04T00:00:00"/>
    <s v="000-880/AIB RDC/2023"/>
    <n v="0"/>
    <s v="SOUSCRIPTION"/>
    <s v="12002-33002-0021-111-00022249-2023"/>
    <s v="WUHUANG CONSTRUCTION ET COMMERCE RDC SAS ( WHCC) / Bolloré"/>
    <m/>
    <s v="SYNTYCHE"/>
    <s v="David"/>
    <s v="MARINE CARGO / GIT"/>
    <s v="MARINE"/>
    <x v="0"/>
    <s v="SFA"/>
    <n v="0"/>
    <n v="1727.68"/>
    <n v="0"/>
    <n v="0"/>
    <n v="36"/>
    <n v="1297.4000000000001"/>
    <n v="217.61"/>
    <e v="#DIV/0!"/>
    <n v="0.15"/>
    <n v="194.61"/>
    <n v="0"/>
    <n v="0"/>
    <n v="0"/>
    <n v="194.61"/>
    <n v="31.137600000000003"/>
    <n v="225.74760000000001"/>
    <n v="3.8922000000000003"/>
    <n v="0"/>
    <n v="3.8922000000000003"/>
    <m/>
    <n v="190.71780000000001"/>
    <s v="BOLLORE"/>
    <n v="0.4"/>
    <n v="76.287120000000002"/>
    <m/>
    <m/>
    <n v="76.287120000000002"/>
    <m/>
    <n v="225.74760000000001"/>
    <n v="225.74760000000001"/>
    <n v="0"/>
    <s v="SFA"/>
    <d v="2023-10-17T00:00:00"/>
    <m/>
    <s v="ONCE OFF"/>
    <s v="MARINE CARGO / GIT"/>
    <m/>
    <m/>
    <m/>
  </r>
  <r>
    <x v="9"/>
    <s v="Yes"/>
    <d v="2023-09-20T00:00:00"/>
    <d v="2023-09-20T00:00:00"/>
    <d v="2023-08-30T00:00:00"/>
    <d v="2024-08-29T00:00:00"/>
    <s v="000-881/AIB RDC/2023"/>
    <n v="0"/>
    <s v="SOUSCRIPTION"/>
    <s v="12002-33002-0021-111-00023012-2023"/>
    <s v="WUHUANG CONSTRUCTION ET COMMERCE RDC SAS ( WHCC) / Bolloré"/>
    <m/>
    <s v="SYNTYCHE"/>
    <s v="David"/>
    <s v="MARINE CARGO / GIT"/>
    <s v="MARINE"/>
    <x v="0"/>
    <s v="SFA"/>
    <n v="0"/>
    <n v="49.85"/>
    <n v="0"/>
    <n v="0"/>
    <n v="6"/>
    <n v="15"/>
    <n v="3.43"/>
    <e v="#DIV/0!"/>
    <n v="0.15"/>
    <n v="2.25"/>
    <n v="0"/>
    <n v="0"/>
    <n v="0"/>
    <n v="2.25"/>
    <n v="0.36"/>
    <n v="2.61"/>
    <n v="4.4999999999999998E-2"/>
    <n v="0"/>
    <n v="4.4999999999999998E-2"/>
    <m/>
    <n v="2.2050000000000001"/>
    <s v="BOLLORE"/>
    <n v="0.4"/>
    <n v="0.88200000000000012"/>
    <m/>
    <m/>
    <n v="0.88200000000000012"/>
    <m/>
    <n v="2.61"/>
    <n v="2.61"/>
    <n v="0"/>
    <s v="SFA"/>
    <d v="2023-10-17T00:00:00"/>
    <m/>
    <s v="ONCE OFF"/>
    <s v="MARINE CARGO / GIT"/>
    <m/>
    <m/>
    <m/>
  </r>
  <r>
    <x v="8"/>
    <s v="Yes"/>
    <d v="2023-09-28T00:00:00"/>
    <d v="2023-09-28T00:00:00"/>
    <d v="2023-09-28T00:00:00"/>
    <d v="2024-09-27T00:00:00"/>
    <s v="000-882/AIB RDC/2023"/>
    <n v="0"/>
    <s v="SOUSCRIPTION"/>
    <s v="12002-33002-0021-111-00023524-2023"/>
    <s v="WUHUANG CONSTRUCTION ET COMMERCE RDC SAS ( WHCC) / Bolloré"/>
    <m/>
    <s v="SYNTYCHE"/>
    <s v="David"/>
    <s v="MARINE CARGO / GIT"/>
    <s v="MARINE"/>
    <x v="0"/>
    <s v="SFA"/>
    <n v="0"/>
    <n v="410.77"/>
    <n v="0"/>
    <n v="0"/>
    <n v="6"/>
    <n v="320.04000000000002"/>
    <n v="53.21"/>
    <e v="#DIV/0!"/>
    <n v="0.15"/>
    <n v="48.006"/>
    <n v="0"/>
    <n v="0"/>
    <n v="0"/>
    <n v="48.006"/>
    <n v="7.6809599999999998"/>
    <n v="55.686959999999999"/>
    <n v="0.96011999999999997"/>
    <n v="0"/>
    <n v="0.96011999999999997"/>
    <m/>
    <n v="47.045879999999997"/>
    <s v="BOLLORE"/>
    <n v="0.4"/>
    <n v="18.818352000000001"/>
    <m/>
    <m/>
    <n v="18.818352000000001"/>
    <m/>
    <n v="55.686959999999999"/>
    <n v="55.686959999999999"/>
    <n v="0"/>
    <s v="SFA"/>
    <d v="2023-10-17T00:00:00"/>
    <m/>
    <s v="ONCE OFF"/>
    <s v="MARINE CARGO / GIT"/>
    <m/>
    <m/>
    <m/>
  </r>
  <r>
    <x v="8"/>
    <s v="Yes"/>
    <d v="2023-09-28T00:00:00"/>
    <d v="2023-09-28T00:00:00"/>
    <d v="2023-09-28T00:00:00"/>
    <d v="2024-09-26T00:00:00"/>
    <s v="000-883/AIB RDC/2023"/>
    <n v="0"/>
    <s v="SOUSCRIPTION"/>
    <s v="12002-33002-0021-111-00023528-2023"/>
    <s v="WUHUANG CONSTRUCTION ET COMMERCE RDC SAS ( WHCC) / Bolloré"/>
    <m/>
    <s v="SYNTYCHE"/>
    <s v="David"/>
    <s v="MARINE CARGO / GIT"/>
    <s v="MARINE"/>
    <x v="0"/>
    <s v="SFA"/>
    <n v="0"/>
    <n v="232.88"/>
    <n v="0"/>
    <n v="0"/>
    <n v="6"/>
    <n v="169.7"/>
    <n v="28.67"/>
    <e v="#DIV/0!"/>
    <n v="0.15"/>
    <n v="25.454999999999998"/>
    <n v="0"/>
    <n v="0"/>
    <n v="0"/>
    <n v="25.454999999999998"/>
    <n v="4.0728"/>
    <n v="29.527799999999999"/>
    <n v="0.5091"/>
    <n v="0"/>
    <n v="0.5091"/>
    <m/>
    <n v="24.945899999999998"/>
    <s v="BOLLORE"/>
    <n v="0.4"/>
    <n v="9.9783600000000003"/>
    <m/>
    <m/>
    <n v="9.9783600000000003"/>
    <m/>
    <n v="29.527799999999999"/>
    <n v="29.527799999999999"/>
    <n v="0"/>
    <s v="SFA"/>
    <d v="2023-10-17T00:00:00"/>
    <m/>
    <s v="ONCE OFF"/>
    <s v="MARINE CARGO / GIT"/>
    <m/>
    <m/>
    <m/>
  </r>
  <r>
    <x v="8"/>
    <s v="Yes"/>
    <d v="2023-09-28T00:00:00"/>
    <d v="2023-09-28T00:00:00"/>
    <d v="2023-09-28T00:00:00"/>
    <d v="2024-09-26T00:00:00"/>
    <s v="000-884/AIB RDC/2023"/>
    <n v="0"/>
    <s v="SOUSCRIPTION"/>
    <s v="12002-33002-0021-111-00023551-2023"/>
    <s v="WUHUANG CONSTRUCTION ET COMMERCE RDC SAS ( WHCC) / Bolloré"/>
    <m/>
    <s v="SYNTYCHE"/>
    <s v="David"/>
    <s v="MARINE CARGO / GIT"/>
    <s v="MARINE"/>
    <x v="0"/>
    <s v="SFA"/>
    <n v="0"/>
    <n v="1158.29"/>
    <n v="0"/>
    <n v="0"/>
    <n v="30"/>
    <n v="843.3"/>
    <n v="142.52000000000001"/>
    <e v="#DIV/0!"/>
    <n v="0.15"/>
    <n v="126.49499999999999"/>
    <n v="0"/>
    <n v="0"/>
    <n v="0"/>
    <n v="126.49499999999999"/>
    <n v="20.2392"/>
    <n v="146.73419999999999"/>
    <n v="2.5299"/>
    <n v="0"/>
    <n v="2.5299"/>
    <m/>
    <n v="123.96509999999999"/>
    <s v="BOLLORE"/>
    <n v="0.4"/>
    <n v="49.586039999999997"/>
    <m/>
    <m/>
    <n v="49.586039999999997"/>
    <m/>
    <n v="146.73419999999999"/>
    <n v="146.73419999999999"/>
    <n v="0"/>
    <s v="SFA"/>
    <d v="2023-10-17T00:00:00"/>
    <m/>
    <s v="ONCE OFF"/>
    <s v="MARINE CARGO / GIT"/>
    <m/>
    <m/>
    <m/>
  </r>
  <r>
    <x v="8"/>
    <s v="Yes"/>
    <d v="2023-09-21T00:00:00"/>
    <d v="2023-09-21T00:00:00"/>
    <d v="2023-09-18T00:00:00"/>
    <d v="2024-09-06T00:00:00"/>
    <s v="000-885/AIB RDC/2023"/>
    <n v="1"/>
    <s v="INCORPORATION"/>
    <s v="12002-33002-0004-103-00022280-2023"/>
    <s v="Teichmann Group / Kongo River"/>
    <s v="Mining"/>
    <s v="ANDY"/>
    <s v="Sabrina"/>
    <s v="MOTOR TPL"/>
    <s v="MOTOR TPL"/>
    <x v="0"/>
    <s v="SFA"/>
    <n v="0"/>
    <n v="976.12"/>
    <n v="0"/>
    <n v="0"/>
    <n v="30.62"/>
    <n v="810.87"/>
    <n v="134.63"/>
    <e v="#DIV/0!"/>
    <n v="0.1"/>
    <n v="81.087000000000003"/>
    <n v="0"/>
    <n v="0"/>
    <n v="0"/>
    <n v="81.087000000000003"/>
    <n v="12.973920000000001"/>
    <n v="94.06092000000001"/>
    <n v="1.6217400000000002"/>
    <n v="0"/>
    <n v="1.6217400000000002"/>
    <m/>
    <n v="79.465260000000001"/>
    <s v="O'NEILS"/>
    <n v="0.5"/>
    <n v="39.73263"/>
    <m/>
    <m/>
    <n v="39.73263"/>
    <m/>
    <n v="94.06092000000001"/>
    <n v="94.06092000000001"/>
    <n v="0"/>
    <s v="SFA"/>
    <d v="2023-10-17T00:00:00"/>
    <m/>
    <m/>
    <m/>
    <m/>
    <m/>
    <m/>
  </r>
  <r>
    <x v="3"/>
    <s v="Yes"/>
    <d v="2023-06-12T00:00:00"/>
    <d v="2023-09-02T00:00:00"/>
    <d v="2023-06-01T00:00:00"/>
    <d v="2024-02-29T00:00:00"/>
    <s v="000-886/AIB RDC/2023"/>
    <n v="5"/>
    <s v="RENOUVELLEMENT"/>
    <n v="45000005"/>
    <s v="Ivanhoe Limited / IMEs &amp; KICO"/>
    <s v="Mining"/>
    <s v="ANDY"/>
    <s v="Andy"/>
    <s v="PROPERTY DAMAGE &amp; BI"/>
    <s v="PROPERTIES"/>
    <x v="6"/>
    <s v="MARSH"/>
    <n v="185746117.06"/>
    <n v="318302.92"/>
    <n v="40447.24"/>
    <n v="-20682.02"/>
    <n v="100"/>
    <n v="229201"/>
    <n v="43159.72"/>
    <n v="1.2339477326783802E-3"/>
    <n v="0"/>
    <n v="0"/>
    <n v="5929.5659999999989"/>
    <n v="0"/>
    <n v="5000"/>
    <n v="10929.565999999999"/>
    <n v="1748.73056"/>
    <n v="12678.296559999999"/>
    <n v="118.59131999999998"/>
    <n v="0"/>
    <n v="118.59131999999998"/>
    <m/>
    <n v="10810.974679999999"/>
    <s v="MARSH"/>
    <m/>
    <n v="0"/>
    <m/>
    <m/>
    <n v="0"/>
    <m/>
    <n v="12678.296559999999"/>
    <n v="12678.296559999999"/>
    <n v="0"/>
    <s v="RAWSUR"/>
    <d v="2023-10-20T00:00:00"/>
    <m/>
    <m/>
    <m/>
    <m/>
    <m/>
    <m/>
  </r>
  <r>
    <x v="2"/>
    <s v="Yes"/>
    <d v="2023-06-12T00:00:00"/>
    <d v="2023-03-01T00:00:00"/>
    <d v="2023-03-01T00:00:00"/>
    <d v="2023-05-31T00:00:00"/>
    <s v="000-887/AIB RDC/2023"/>
    <n v="4"/>
    <s v="PROROGATION"/>
    <n v="45000005"/>
    <s v="Ivanhoe Limited / IMEs &amp; KICO"/>
    <s v="Mining"/>
    <s v="ANDY"/>
    <s v="Andy"/>
    <s v="FIRE"/>
    <s v="PROPERTIES"/>
    <x v="6"/>
    <s v="RAWSUR"/>
    <n v="0"/>
    <n v="154891.34"/>
    <n v="19674.580000000002"/>
    <n v="0"/>
    <n v="100"/>
    <n v="111489.27"/>
    <n v="21002.22"/>
    <e v="#DIV/0!"/>
    <n v="0"/>
    <n v="0"/>
    <n v="5902.3740000000007"/>
    <n v="0"/>
    <n v="0"/>
    <n v="5902.3740000000007"/>
    <n v="944.37984000000017"/>
    <n v="6846.7538400000012"/>
    <n v="118.04748000000002"/>
    <n v="0"/>
    <n v="118.04748000000002"/>
    <m/>
    <n v="5784.3265200000005"/>
    <s v="MARSH"/>
    <m/>
    <n v="0"/>
    <m/>
    <m/>
    <n v="0"/>
    <m/>
    <n v="6846.7538400000012"/>
    <n v="6846.7538400000012"/>
    <n v="0"/>
    <s v="RAWSUR"/>
    <d v="2023-10-20T00:00:00"/>
    <m/>
    <m/>
    <m/>
    <m/>
    <m/>
    <m/>
  </r>
  <r>
    <x v="2"/>
    <s v="Yes"/>
    <d v="2023-06-12T00:00:00"/>
    <d v="2023-09-02T00:00:00"/>
    <d v="2023-03-01T00:00:00"/>
    <d v="2024-02-28T00:00:00"/>
    <s v="000-888/AIB RDC/2023"/>
    <n v="4"/>
    <s v="RENOUVELLEMENT"/>
    <n v="60100003"/>
    <s v="Ivanhoe Limited / IMEs &amp; KICO"/>
    <s v="Mining"/>
    <s v="ANDY"/>
    <s v="Andy"/>
    <s v="GENERAL LIABILITY"/>
    <s v="LIABILITIES"/>
    <x v="6"/>
    <s v="RAWSUR"/>
    <n v="0"/>
    <n v="11537.07"/>
    <n v="1451.58"/>
    <n v="-799.91"/>
    <n v="100"/>
    <n v="8225.6"/>
    <n v="1564.35"/>
    <e v="#DIV/0!"/>
    <n v="0"/>
    <n v="0"/>
    <n v="195.50099999999998"/>
    <n v="0"/>
    <n v="0"/>
    <n v="195.50099999999998"/>
    <n v="31.280159999999999"/>
    <n v="226.78115999999997"/>
    <n v="3.9100199999999998"/>
    <n v="0"/>
    <n v="3.9100199999999998"/>
    <m/>
    <n v="191.59097999999997"/>
    <s v="MARSH"/>
    <m/>
    <n v="0"/>
    <m/>
    <m/>
    <n v="0"/>
    <m/>
    <n v="226.78115999999997"/>
    <n v="226.78115999999997"/>
    <n v="0"/>
    <s v="RAWSUR"/>
    <d v="2023-10-20T00:00:00"/>
    <m/>
    <m/>
    <m/>
    <m/>
    <m/>
    <m/>
  </r>
  <r>
    <x v="8"/>
    <s v="Yes"/>
    <d v="2023-10-02T00:00:00"/>
    <d v="2023-09-05T00:00:00"/>
    <d v="2023-09-05T00:00:00"/>
    <d v="2023-11-04T00:00:00"/>
    <s v="000-889/AIB RDC/2023"/>
    <n v="0"/>
    <s v="SOUSCRIPTION"/>
    <s v="301-70100060"/>
    <s v="ORICA / Bolloré"/>
    <m/>
    <s v="SYNTYCHE"/>
    <s v="David"/>
    <s v="MARINE CARGO / GIT"/>
    <s v="MARINE"/>
    <x v="6"/>
    <s v="RAWSUR"/>
    <n v="0"/>
    <n v="2076.9499999999998"/>
    <n v="0"/>
    <n v="0"/>
    <n v="296"/>
    <n v="1464.13"/>
    <n v="281.63"/>
    <e v="#DIV/0!"/>
    <n v="0.15"/>
    <n v="219.61950000000002"/>
    <n v="0"/>
    <n v="0"/>
    <n v="0"/>
    <n v="219.61950000000002"/>
    <n v="35.139120000000005"/>
    <n v="254.75862000000001"/>
    <n v="4.3923900000000007"/>
    <n v="0"/>
    <n v="4.3923900000000007"/>
    <m/>
    <n v="215.22711000000001"/>
    <s v="BOLLORE"/>
    <n v="0.4"/>
    <n v="86.090844000000004"/>
    <m/>
    <m/>
    <n v="86.090844000000004"/>
    <m/>
    <n v="254.75862000000001"/>
    <n v="254.75862000000001"/>
    <n v="0"/>
    <s v="RAWSUR"/>
    <d v="2023-10-20T00:00:00"/>
    <m/>
    <m/>
    <m/>
    <m/>
    <m/>
    <m/>
  </r>
  <r>
    <x v="8"/>
    <s v="Yes"/>
    <d v="2023-10-30T00:00:00"/>
    <d v="2023-09-05T00:00:00"/>
    <d v="2023-09-05T00:00:00"/>
    <d v="2024-08-14T00:00:00"/>
    <s v="000-890/AIB RDC/2023"/>
    <n v="7"/>
    <s v="INCORPORATION"/>
    <n v="73200022"/>
    <s v="ORANGE COMPUTERS"/>
    <m/>
    <s v="ALICE"/>
    <s v="Apphia"/>
    <s v="MARINE CARGO / GIT"/>
    <s v="MARINE"/>
    <x v="6"/>
    <s v="RAWSUR"/>
    <n v="0"/>
    <n v="7262"/>
    <n v="0"/>
    <n v="0"/>
    <n v="100"/>
    <n v="6054.24"/>
    <n v="984.68"/>
    <e v="#DIV/0!"/>
    <n v="0.15"/>
    <n v="908.13599999999997"/>
    <n v="0"/>
    <n v="0"/>
    <n v="0"/>
    <n v="908.13599999999997"/>
    <n v="145.30176"/>
    <n v="1053.43776"/>
    <n v="18.16272"/>
    <n v="0"/>
    <n v="18.16272"/>
    <m/>
    <n v="889.97327999999993"/>
    <m/>
    <m/>
    <n v="0"/>
    <m/>
    <m/>
    <n v="0"/>
    <m/>
    <n v="1053.43776"/>
    <n v="1053.43776"/>
    <n v="0"/>
    <s v="RAWSUR"/>
    <d v="2023-10-20T00:00:00"/>
    <m/>
    <m/>
    <m/>
    <m/>
    <m/>
    <m/>
  </r>
  <r>
    <x v="8"/>
    <s v="Yes"/>
    <d v="2023-10-30T00:00:00"/>
    <d v="2023-09-01T00:00:00"/>
    <d v="2023-09-02T00:00:00"/>
    <d v="2024-08-14T00:00:00"/>
    <s v="000-891/AIB RDC/2023"/>
    <n v="6"/>
    <s v="INCORPORATION"/>
    <n v="73200022"/>
    <s v="ORANGE COMPUTERS"/>
    <m/>
    <s v="ALICE"/>
    <s v="Apphia"/>
    <s v="MARINE CARGO / GIT"/>
    <s v="MARINE"/>
    <x v="6"/>
    <s v="RAWSUR"/>
    <n v="0"/>
    <n v="27998.35"/>
    <n v="0"/>
    <n v="0"/>
    <n v="1258"/>
    <n v="22469.41"/>
    <n v="3796.39"/>
    <e v="#DIV/0!"/>
    <n v="0.15"/>
    <n v="3370.4114999999997"/>
    <n v="0"/>
    <n v="0"/>
    <n v="0"/>
    <n v="3370.4114999999997"/>
    <n v="539.26583999999991"/>
    <n v="3909.6773399999997"/>
    <n v="67.408229999999989"/>
    <n v="0"/>
    <n v="67.408229999999989"/>
    <m/>
    <n v="3303.0032699999997"/>
    <m/>
    <m/>
    <n v="0"/>
    <m/>
    <m/>
    <n v="0"/>
    <m/>
    <n v="3909.6773399999997"/>
    <n v="3909.6773399999997"/>
    <n v="0"/>
    <s v="RAWSUR"/>
    <d v="2023-10-20T00:00:00"/>
    <m/>
    <m/>
    <m/>
    <m/>
    <m/>
    <m/>
  </r>
  <r>
    <x v="4"/>
    <s v="Yes"/>
    <d v="2023-10-31T00:00:00"/>
    <d v="2023-09-07T00:00:00"/>
    <d v="2023-05-15T00:00:00"/>
    <d v="2024-05-14T00:00:00"/>
    <s v="000-892/AIB RDC/2023"/>
    <n v="3"/>
    <s v="RENOUVELLEMENT"/>
    <s v="12005-33002-0008-13001-00001525-2022"/>
    <s v="Liquid Telecom DRC"/>
    <m/>
    <s v="ANDY"/>
    <s v="Tychique"/>
    <s v="FIRE"/>
    <s v="PROPERTIES"/>
    <x v="5"/>
    <s v="MAYFAIR"/>
    <n v="0"/>
    <n v="8132.42"/>
    <n v="0"/>
    <n v="0"/>
    <n v="100"/>
    <n v="6791.88"/>
    <n v="1102.7"/>
    <e v="#DIV/0!"/>
    <n v="7.4999999999999997E-2"/>
    <n v="509.39099999999996"/>
    <n v="0"/>
    <n v="0"/>
    <n v="0"/>
    <n v="509.39099999999996"/>
    <n v="81.502560000000003"/>
    <n v="590.89355999999998"/>
    <n v="10.18782"/>
    <n v="0"/>
    <n v="10.18782"/>
    <m/>
    <n v="499.20317999999997"/>
    <s v="MARSH"/>
    <n v="0.3"/>
    <n v="149.760954"/>
    <m/>
    <m/>
    <n v="149.760954"/>
    <m/>
    <n v="590.89355999999998"/>
    <n v="590.89355999999998"/>
    <n v="0"/>
    <s v="MAYFAIR"/>
    <d v="2023-11-01T00:00:00"/>
    <m/>
    <m/>
    <m/>
    <m/>
    <m/>
    <m/>
  </r>
  <r>
    <x v="2"/>
    <s v="No"/>
    <d v="2023-05-18T00:00:00"/>
    <d v="2023-04-04T00:00:00"/>
    <d v="2023-03-31T00:00:00"/>
    <d v="2023-10-31T00:00:00"/>
    <s v="000-893/AIB RDC/2023"/>
    <n v="4"/>
    <s v="PROROGATION"/>
    <s v="01-TRC-2020-000014"/>
    <s v="Luano City"/>
    <s v="Construction"/>
    <s v="ANDY"/>
    <s v="Andy"/>
    <s v="CAR"/>
    <s v="CONSTRUCTIONS"/>
    <x v="0"/>
    <s v="SFA"/>
    <n v="0"/>
    <n v="4141.16"/>
    <n v="0"/>
    <n v="0"/>
    <n v="27.41"/>
    <n v="3482.05"/>
    <n v="561.51"/>
    <e v="#DIV/0!"/>
    <n v="0.15"/>
    <n v="522.3075"/>
    <n v="0"/>
    <n v="0"/>
    <n v="0"/>
    <n v="522.3075"/>
    <n v="83.569200000000009"/>
    <n v="605.87670000000003"/>
    <n v="10.446150000000001"/>
    <n v="0"/>
    <n v="10.446150000000001"/>
    <m/>
    <n v="511.86135000000002"/>
    <s v="Aucun"/>
    <m/>
    <n v="0"/>
    <m/>
    <m/>
    <n v="0"/>
    <m/>
    <m/>
    <n v="605.87670000000003"/>
    <n v="605.87670000000003"/>
    <s v="SFA"/>
    <m/>
    <m/>
    <s v="EXTENDED"/>
    <s v="CAR"/>
    <m/>
    <m/>
    <m/>
  </r>
  <r>
    <x v="6"/>
    <s v="No"/>
    <d v="2023-05-18T00:00:00"/>
    <d v="2023-04-21T00:00:00"/>
    <d v="2023-04-30T00:00:00"/>
    <d v="2024-11-21T00:00:00"/>
    <s v="000-894/AIB RDC/2023"/>
    <n v="3"/>
    <s v="PROROGATION"/>
    <s v="12001-33006-0012-114-00001374-2021"/>
    <s v="Luano City"/>
    <s v="Construction"/>
    <s v="ANDY"/>
    <s v="Andy"/>
    <s v="CAR"/>
    <s v="CONSTRUCTIONS"/>
    <x v="1"/>
    <s v="ACTIVA"/>
    <n v="0"/>
    <n v="6684.02"/>
    <n v="0"/>
    <n v="0"/>
    <n v="57.05"/>
    <n v="5705.04"/>
    <n v="921.93"/>
    <e v="#DIV/0!"/>
    <n v="0.15"/>
    <n v="855.75599999999997"/>
    <n v="0"/>
    <n v="0"/>
    <n v="0"/>
    <n v="855.75599999999997"/>
    <n v="136.92096000000001"/>
    <n v="992.67696000000001"/>
    <n v="17.115120000000001"/>
    <n v="0"/>
    <n v="17.115120000000001"/>
    <m/>
    <n v="838.64087999999992"/>
    <s v="Aucun"/>
    <m/>
    <n v="0"/>
    <m/>
    <m/>
    <n v="0"/>
    <m/>
    <m/>
    <n v="992.67696000000001"/>
    <n v="992.67696000000001"/>
    <s v="ACTIVA"/>
    <m/>
    <m/>
    <s v="EXTENDED"/>
    <s v="CAR"/>
    <m/>
    <m/>
    <m/>
  </r>
  <r>
    <x v="6"/>
    <s v="No"/>
    <d v="2023-05-18T00:00:00"/>
    <d v="2023-04-21T00:00:00"/>
    <d v="2023-04-01T00:00:00"/>
    <d v="2023-06-30T00:00:00"/>
    <s v="000-895/AIB RDC/2023"/>
    <n v="6"/>
    <s v="PROROGATION"/>
    <s v="01-TRC-2020-000013"/>
    <s v="Luano City"/>
    <s v="Construction"/>
    <s v="ANDY"/>
    <s v="Andy"/>
    <s v="CAR"/>
    <s v="CONSTRUCTIONS"/>
    <x v="0"/>
    <s v="SFA"/>
    <n v="0"/>
    <n v="3470.02"/>
    <n v="0"/>
    <n v="0"/>
    <n v="24.58"/>
    <n v="2916.12"/>
    <n v="470.51"/>
    <e v="#DIV/0!"/>
    <n v="0.15"/>
    <n v="437.41799999999995"/>
    <n v="0"/>
    <n v="0"/>
    <n v="0"/>
    <n v="437.41799999999995"/>
    <n v="69.986879999999999"/>
    <n v="507.40487999999993"/>
    <n v="8.7483599999999999"/>
    <n v="0"/>
    <n v="8.7483599999999999"/>
    <m/>
    <n v="428.66963999999996"/>
    <s v="Aucun"/>
    <m/>
    <n v="0"/>
    <m/>
    <m/>
    <n v="0"/>
    <m/>
    <m/>
    <n v="507.40487999999993"/>
    <n v="507.40487999999993"/>
    <s v="SFA"/>
    <m/>
    <m/>
    <s v="EXTENDED"/>
    <s v="CAR"/>
    <m/>
    <m/>
    <m/>
  </r>
  <r>
    <x v="2"/>
    <s v="No"/>
    <d v="2023-05-18T00:00:00"/>
    <d v="2023-04-21T00:00:00"/>
    <d v="2023-03-01T00:00:00"/>
    <d v="2023-06-30T00:00:00"/>
    <s v="000-896/AIB RDC/2023"/>
    <n v="7"/>
    <s v="PROROGATION"/>
    <s v="01-TRC-2020-000015"/>
    <s v="Luano City"/>
    <s v="Construction"/>
    <s v="ANDY"/>
    <s v="Andy"/>
    <s v="CAR"/>
    <s v="CONSTRUCTIONS"/>
    <x v="0"/>
    <s v="SFA"/>
    <n v="0"/>
    <n v="8159.14"/>
    <n v="0"/>
    <n v="0"/>
    <n v="44.35"/>
    <n v="6869.59"/>
    <n v="1106.23"/>
    <e v="#DIV/0!"/>
    <n v="0.15"/>
    <n v="1030.4385"/>
    <n v="0"/>
    <n v="0"/>
    <n v="0"/>
    <n v="1030.4385"/>
    <n v="164.87016"/>
    <n v="1195.3086599999999"/>
    <n v="20.60877"/>
    <n v="0"/>
    <n v="20.60877"/>
    <m/>
    <n v="1009.8297299999999"/>
    <s v="Aucun"/>
    <m/>
    <n v="0"/>
    <m/>
    <m/>
    <n v="0"/>
    <m/>
    <m/>
    <n v="1195.3086599999999"/>
    <n v="1195.3086599999999"/>
    <s v="SFA"/>
    <m/>
    <m/>
    <s v="EXTENDED"/>
    <s v="CAR"/>
    <m/>
    <m/>
    <m/>
  </r>
  <r>
    <x v="8"/>
    <s v="No"/>
    <d v="2023-11-02T00:00:00"/>
    <d v="2023-10-10T00:00:00"/>
    <d v="2023-09-01T00:00:00"/>
    <d v="2023-11-30T00:00:00"/>
    <s v="000-897/AIB RDC/2023"/>
    <n v="1"/>
    <s v="RENOUVELLEMENT"/>
    <n v="10200002"/>
    <s v="PATH"/>
    <m/>
    <s v="ALICE"/>
    <s v="Alice"/>
    <s v="MEDICAL"/>
    <s v="MEDICAL &amp; GPA"/>
    <x v="6"/>
    <s v="RAWSUR"/>
    <n v="0"/>
    <n v="123825.14"/>
    <n v="0"/>
    <n v="0"/>
    <n v="0"/>
    <n v="121397.2"/>
    <n v="0"/>
    <e v="#DIV/0!"/>
    <n v="0.1"/>
    <n v="12139.720000000001"/>
    <n v="0"/>
    <n v="0"/>
    <n v="0"/>
    <n v="12139.720000000001"/>
    <n v="1942.3552000000002"/>
    <n v="14082.075200000001"/>
    <n v="242.79440000000002"/>
    <n v="0"/>
    <n v="242.79440000000002"/>
    <m/>
    <n v="11896.9256"/>
    <s v="MERCER"/>
    <n v="0.7"/>
    <n v="8327.8479200000002"/>
    <m/>
    <m/>
    <n v="8327.8479200000002"/>
    <m/>
    <n v="7041.04"/>
    <n v="14082.075200000001"/>
    <n v="7041.0352000000012"/>
    <s v="RAWSUR"/>
    <d v="2023-11-10T00:00:00"/>
    <m/>
    <m/>
    <m/>
    <m/>
    <m/>
    <m/>
  </r>
  <r>
    <x v="2"/>
    <s v="Yes"/>
    <d v="2023-03-04T00:00:00"/>
    <d v="2023-03-01T00:00:00"/>
    <d v="2023-03-01T00:00:00"/>
    <d v="2023-05-31T00:00:00"/>
    <s v="000-898/AIB RDC/2023"/>
    <n v="1"/>
    <s v="PROROGATION"/>
    <s v="101-10200012"/>
    <s v="PATH"/>
    <m/>
    <s v="ALICE"/>
    <s v="Alice"/>
    <s v="MEDICAL"/>
    <s v="MEDICAL &amp; GPA"/>
    <x v="6"/>
    <s v="AEB"/>
    <n v="0"/>
    <n v="126462.5"/>
    <n v="0"/>
    <n v="0"/>
    <n v="0"/>
    <n v="123982.84"/>
    <n v="0"/>
    <e v="#DIV/0!"/>
    <n v="0.1"/>
    <n v="12398.284"/>
    <n v="0"/>
    <n v="0"/>
    <n v="0"/>
    <n v="12398.284"/>
    <n v="0"/>
    <n v="12398.284"/>
    <n v="247.96567999999999"/>
    <n v="0"/>
    <n v="247.96567999999999"/>
    <m/>
    <n v="12150.31832"/>
    <s v="MERCER"/>
    <n v="0.7"/>
    <n v="8505.2228240000004"/>
    <m/>
    <m/>
    <n v="8505.2228240000004"/>
    <m/>
    <m/>
    <n v="12398.284"/>
    <n v="12398.284"/>
    <s v="RAWSUR"/>
    <m/>
    <m/>
    <m/>
    <m/>
    <m/>
    <m/>
    <m/>
  </r>
  <r>
    <x v="2"/>
    <s v="Yes"/>
    <d v="2023-06-04T00:00:00"/>
    <d v="2023-06-01T00:00:00"/>
    <d v="2023-06-01T00:00:00"/>
    <d v="2023-08-31T00:00:00"/>
    <s v="000-899/AIB RDC/2023"/>
    <n v="2"/>
    <s v="PROROGATION"/>
    <s v="101-10200012"/>
    <s v="PATH"/>
    <m/>
    <s v="ALICE"/>
    <s v="Alice"/>
    <s v="MEDICAL"/>
    <s v="MEDICAL &amp; GPA"/>
    <x v="6"/>
    <s v="AEB"/>
    <n v="0"/>
    <n v="86393.89"/>
    <n v="0"/>
    <n v="0"/>
    <n v="0"/>
    <n v="84699.89"/>
    <n v="0"/>
    <e v="#DIV/0!"/>
    <n v="0.1"/>
    <n v="8469.9889999999996"/>
    <n v="0"/>
    <n v="0"/>
    <n v="0"/>
    <n v="8469.9889999999996"/>
    <n v="1355.1982399999999"/>
    <n v="9825.1872399999993"/>
    <n v="169.39977999999999"/>
    <n v="0"/>
    <n v="169.39977999999999"/>
    <m/>
    <n v="8300.5892199999998"/>
    <s v="MERCER"/>
    <n v="0.7"/>
    <n v="5810.4124539999993"/>
    <m/>
    <m/>
    <n v="5810.4124539999993"/>
    <m/>
    <n v="9825.1872399999993"/>
    <n v="9825.1872399999993"/>
    <n v="0"/>
    <s v="RAWSUR"/>
    <d v="2023-09-06T00:00:00"/>
    <s v="ND0088/AIB RDC/2023"/>
    <m/>
    <m/>
    <m/>
    <m/>
    <m/>
  </r>
  <r>
    <x v="9"/>
    <s v="No"/>
    <d v="2023-08-18T00:00:00"/>
    <d v="2023-10-03T00:00:00"/>
    <d v="2023-03-01T00:00:00"/>
    <d v="2023-07-31T00:00:00"/>
    <s v="000-900/AIB RDC/2023"/>
    <n v="3"/>
    <s v="INCORPORATION"/>
    <s v="301-12200003"/>
    <s v="Glencore / Kamoto Copper Company"/>
    <s v="Mining"/>
    <s v="ANDY"/>
    <s v="Andy"/>
    <s v="GPA"/>
    <s v="MEDICAL &amp; GPA"/>
    <x v="6"/>
    <s v="HARBOUR INSURANCE PTE Ltd"/>
    <n v="0"/>
    <n v="107821.36"/>
    <n v="13706.11"/>
    <n v="-6396.18"/>
    <n v="0"/>
    <n v="77667.929999999993"/>
    <n v="14619.85"/>
    <e v="#DIV/0!"/>
    <n v="0"/>
    <n v="0"/>
    <n v="2192.9789999999998"/>
    <n v="0"/>
    <n v="0"/>
    <n v="2192.9789999999998"/>
    <n v="350.87663999999995"/>
    <n v="2543.8556399999998"/>
    <n v="43.859579999999994"/>
    <n v="0"/>
    <n v="43.859579999999994"/>
    <m/>
    <n v="2149.11942"/>
    <m/>
    <m/>
    <n v="0"/>
    <m/>
    <m/>
    <n v="0"/>
    <m/>
    <n v="2543.8556399999998"/>
    <n v="2543.8556399999998"/>
    <n v="0"/>
    <s v="RAWSUR"/>
    <d v="2023-11-10T00:00:00"/>
    <m/>
    <m/>
    <m/>
    <m/>
    <m/>
    <m/>
  </r>
  <r>
    <x v="9"/>
    <s v="No"/>
    <d v="2023-11-10T00:00:00"/>
    <d v="2023-11-09T00:00:00"/>
    <d v="2023-08-15T00:00:00"/>
    <d v="2024-01-31T00:00:00"/>
    <s v="000-901/AIB RDC/2023"/>
    <n v="41"/>
    <s v="INCORPORATION"/>
    <s v="12001-33002-0001-103-00001852"/>
    <s v="CFAO RDC / Loxea RDC"/>
    <s v="Distribution"/>
    <s v="ANDY"/>
    <s v="Sabrina"/>
    <s v="COMP MOTOR"/>
    <s v="MOTOR COMP"/>
    <x v="1"/>
    <s v="ACTIVA"/>
    <n v="0"/>
    <n v="-1341.74"/>
    <n v="0"/>
    <n v="0"/>
    <n v="-11.45"/>
    <n v="-1145.22"/>
    <n v="-185.07"/>
    <e v="#DIV/0!"/>
    <n v="0.14873998009116199"/>
    <n v="-170.34000000000054"/>
    <n v="0"/>
    <n v="0"/>
    <n v="-34.3566"/>
    <n v="-204.69660000000056"/>
    <n v="-32.75145600000009"/>
    <n v="-237.44805600000063"/>
    <n v="-3.4068000000000112"/>
    <n v="0"/>
    <n v="-3.4068000000000112"/>
    <m/>
    <n v="-201.28980000000055"/>
    <s v="Aucun"/>
    <m/>
    <n v="0"/>
    <m/>
    <m/>
    <n v="0"/>
    <m/>
    <m/>
    <n v="-237.44805600000063"/>
    <n v="-237.44805600000063"/>
    <s v="ACTIVA"/>
    <m/>
    <m/>
    <m/>
    <m/>
    <m/>
    <m/>
    <m/>
  </r>
  <r>
    <x v="10"/>
    <s v="No"/>
    <d v="2023-11-14T00:00:00"/>
    <d v="2023-10-02T00:00:00"/>
    <d v="2023-10-07T00:00:00"/>
    <d v="2023-11-12T00:00:00"/>
    <s v="000-902/AIB RDC/2023"/>
    <n v="0"/>
    <s v="SOUSCRIPTION"/>
    <s v="33002-0004-119-0011898 / 0001"/>
    <s v="Syntyche MWEMA wa MBUYA"/>
    <m/>
    <s v="ALICE"/>
    <s v="Alice"/>
    <s v="TRAVEL"/>
    <s v="MEDICAL &amp; GPA"/>
    <x v="4"/>
    <s v="SUNU"/>
    <n v="0"/>
    <n v="79.59"/>
    <n v="0"/>
    <n v="0"/>
    <n v="1.35"/>
    <n v="67.260000000000005"/>
    <n v="10.98"/>
    <e v="#DIV/0!"/>
    <n v="0.2"/>
    <n v="13.452000000000002"/>
    <n v="0"/>
    <n v="0"/>
    <n v="0"/>
    <n v="13.452000000000002"/>
    <n v="2.1523200000000005"/>
    <n v="15.604320000000001"/>
    <n v="0.26904000000000006"/>
    <n v="0"/>
    <n v="0.26904000000000006"/>
    <m/>
    <n v="13.182960000000001"/>
    <m/>
    <m/>
    <n v="0"/>
    <m/>
    <m/>
    <n v="0"/>
    <m/>
    <m/>
    <n v="15.604320000000001"/>
    <n v="15.604320000000001"/>
    <s v="SUNU"/>
    <m/>
    <m/>
    <m/>
    <m/>
    <m/>
    <m/>
    <m/>
  </r>
  <r>
    <x v="5"/>
    <s v="No"/>
    <d v="2023-11-16T00:00:00"/>
    <d v="2023-10-21T00:00:00"/>
    <d v="2023-11-01T00:00:00"/>
    <d v="2024-10-31T00:00:00"/>
    <s v="000-903/AIB RDC/2023"/>
    <n v="1"/>
    <s v="RENOUVELLEMENT"/>
    <m/>
    <s v="First BANK DRC SA"/>
    <s v="BANKING"/>
    <s v="ALICE"/>
    <s v="Alice"/>
    <s v="BBB"/>
    <s v="PROPERTIES"/>
    <x v="1"/>
    <s v="ACTIVA"/>
    <n v="40000000"/>
    <m/>
    <m/>
    <m/>
    <m/>
    <m/>
    <m/>
    <n v="0"/>
    <n v="0"/>
    <n v="0"/>
    <n v="0"/>
    <n v="41744"/>
    <n v="0"/>
    <n v="41744"/>
    <n v="6679.04"/>
    <n v="48423.040000000001"/>
    <n v="834.88"/>
    <n v="0"/>
    <n v="834.88"/>
    <m/>
    <n v="40909.120000000003"/>
    <m/>
    <m/>
    <n v="0"/>
    <m/>
    <m/>
    <n v="0"/>
    <m/>
    <m/>
    <n v="48423.040000000001"/>
    <n v="48423.040000000001"/>
    <s v="ACTIVA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FA339-39C8-4557-8DFD-DBE193AC5140}" name="Tableau croisé dynamique2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H70" firstHeaderRow="0" firstDataRow="1" firstDataCol="1"/>
  <pivotFields count="57">
    <pivotField axis="axisRow" showAll="0">
      <items count="12">
        <item x="0"/>
        <item x="1"/>
        <item x="2"/>
        <item x="6"/>
        <item x="4"/>
        <item x="3"/>
        <item x="7"/>
        <item x="9"/>
        <item x="8"/>
        <item x="10"/>
        <item h="1" x="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1"/>
        <item x="8"/>
        <item x="2"/>
        <item x="9"/>
        <item x="7"/>
        <item x="5"/>
        <item x="6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showAll="0"/>
    <pivotField showAll="0"/>
    <pivotField numFmtId="166" showAll="0"/>
    <pivotField dataField="1" numFmtId="166" showAll="0"/>
    <pivotField dataField="1" numFmtId="166" showAll="0"/>
    <pivotField dataField="1" numFmtId="166" showAll="0"/>
    <pivotField numFmtId="166" showAll="0"/>
    <pivotField showAll="0"/>
    <pivotField numFmtId="166" showAll="0"/>
    <pivotField showAll="0"/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6" showAll="0"/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6"/>
  </rowFields>
  <rowItems count="69">
    <i>
      <x/>
    </i>
    <i r="1">
      <x/>
    </i>
    <i r="1">
      <x v="2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5"/>
    </i>
    <i r="1">
      <x v="6"/>
    </i>
    <i r="1">
      <x v="8"/>
    </i>
    <i r="1">
      <x v="9"/>
    </i>
    <i>
      <x v="2"/>
    </i>
    <i r="1">
      <x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5"/>
    </i>
    <i r="1">
      <x v="6"/>
    </i>
    <i r="1">
      <x v="8"/>
    </i>
    <i r="1">
      <x v="9"/>
    </i>
    <i>
      <x v="4"/>
    </i>
    <i r="1">
      <x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5"/>
    </i>
    <i r="1">
      <x v="6"/>
    </i>
    <i r="1">
      <x v="8"/>
    </i>
    <i r="1">
      <x v="9"/>
    </i>
    <i>
      <x v="6"/>
    </i>
    <i r="1">
      <x/>
    </i>
    <i r="1">
      <x v="1"/>
    </i>
    <i r="1">
      <x v="5"/>
    </i>
    <i r="1">
      <x v="6"/>
    </i>
    <i r="1">
      <x v="8"/>
    </i>
    <i r="1">
      <x v="9"/>
    </i>
    <i>
      <x v="7"/>
    </i>
    <i r="1">
      <x/>
    </i>
    <i r="1">
      <x v="3"/>
    </i>
    <i r="1">
      <x v="5"/>
    </i>
    <i r="1">
      <x v="6"/>
    </i>
    <i r="1">
      <x v="8"/>
    </i>
    <i r="1">
      <x v="9"/>
    </i>
    <i>
      <x v="8"/>
    </i>
    <i r="1">
      <x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5"/>
    </i>
    <i r="1">
      <x v="6"/>
    </i>
    <i r="1">
      <x v="8"/>
    </i>
    <i r="1"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tal Gorss Premium" fld="19" baseField="0" baseItem="0"/>
    <dataField name="Net Com(-Arca)" fld="31" baseField="0" baseItem="0"/>
    <dataField name="Vat@16%" fld="32" baseField="0" baseItem="0"/>
    <dataField name="Net Com(-Arca-Vat)" fld="38" baseField="0" baseItem="0"/>
    <dataField name="Total Com" fld="33" baseField="0" baseItem="0"/>
    <dataField name="Total TReceived" fld="46" baseField="0" baseItem="0"/>
    <dataField name="Balance Due" fld="48" baseField="0" baseItem="0"/>
  </dataFields>
  <formats count="19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3"/>
          </reference>
          <reference field="16" count="5">
            <x v="0"/>
            <x v="5"/>
            <x v="6"/>
            <x v="8"/>
            <x v="9"/>
          </reference>
        </references>
      </pivotArea>
    </format>
    <format dxfId="12">
      <pivotArea dataOnly="0" labelOnly="1" fieldPosition="0">
        <references count="2">
          <reference field="0" count="1" selected="0">
            <x v="7"/>
          </reference>
          <reference field="16" count="6">
            <x v="0"/>
            <x v="3"/>
            <x v="5"/>
            <x v="6"/>
            <x v="8"/>
            <x v="9"/>
          </reference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16" count="5">
            <x v="0"/>
            <x v="5"/>
            <x v="6"/>
            <x v="8"/>
            <x v="9"/>
          </reference>
        </references>
      </pivotArea>
    </format>
    <format dxfId="10">
      <pivotArea dataOnly="0" labelOnly="1" fieldPosition="0">
        <references count="2">
          <reference field="0" count="1" selected="0">
            <x v="0"/>
          </reference>
          <reference field="16" count="7">
            <x v="0"/>
            <x v="2"/>
            <x v="5"/>
            <x v="6"/>
            <x v="7"/>
            <x v="8"/>
            <x v="9"/>
          </reference>
        </references>
      </pivotArea>
    </format>
    <format dxfId="9">
      <pivotArea dataOnly="0" labelOnly="1" fieldPosition="0">
        <references count="2">
          <reference field="0" count="1" selected="0">
            <x v="6"/>
          </reference>
          <reference field="16" count="6">
            <x v="0"/>
            <x v="1"/>
            <x v="5"/>
            <x v="6"/>
            <x v="8"/>
            <x v="9"/>
          </reference>
        </references>
      </pivotArea>
    </format>
    <format dxfId="8">
      <pivotArea dataOnly="0" labelOnly="1" fieldPosition="0">
        <references count="2">
          <reference field="0" count="1" selected="0">
            <x v="5"/>
          </reference>
          <reference field="16" count="5">
            <x v="0"/>
            <x v="5"/>
            <x v="6"/>
            <x v="8"/>
            <x v="9"/>
          </reference>
        </references>
      </pivotArea>
    </format>
    <format dxfId="7">
      <pivotArea dataOnly="0" labelOnly="1" fieldPosition="0">
        <references count="2">
          <reference field="0" count="1" selected="0">
            <x v="2"/>
          </reference>
          <reference field="16" count="7">
            <x v="0"/>
            <x v="4"/>
            <x v="5"/>
            <x v="6"/>
            <x v="7"/>
            <x v="8"/>
            <x v="9"/>
          </reference>
        </references>
      </pivotArea>
    </format>
    <format dxfId="6">
      <pivotArea dataOnly="0" labelOnly="1" fieldPosition="0">
        <references count="2">
          <reference field="0" count="1" selected="0">
            <x v="4"/>
          </reference>
          <reference field="16" count="6">
            <x v="0"/>
            <x v="5"/>
            <x v="6"/>
            <x v="7"/>
            <x v="8"/>
            <x v="9"/>
          </reference>
        </references>
      </pivotArea>
    </format>
    <format dxfId="5">
      <pivotArea dataOnly="0" labelOnly="1" fieldPosition="0">
        <references count="2">
          <reference field="0" count="1" selected="0">
            <x v="10"/>
          </reference>
          <reference field="16" count="2">
            <x v="0"/>
            <x v="6"/>
          </reference>
        </references>
      </pivotArea>
    </format>
    <format dxfId="4">
      <pivotArea dataOnly="0" labelOnly="1" fieldPosition="0">
        <references count="2">
          <reference field="0" count="1" selected="0">
            <x v="9"/>
          </reference>
          <reference field="16" count="5">
            <x v="0"/>
            <x v="5"/>
            <x v="6"/>
            <x v="8"/>
            <x v="9"/>
          </reference>
        </references>
      </pivotArea>
    </format>
    <format dxfId="3">
      <pivotArea dataOnly="0" labelOnly="1" fieldPosition="0">
        <references count="2">
          <reference field="0" count="1" selected="0">
            <x v="8"/>
          </reference>
          <reference field="16" count="6">
            <x v="0"/>
            <x v="5"/>
            <x v="6"/>
            <x v="7"/>
            <x v="8"/>
            <x v="9"/>
          </reference>
        </references>
      </pivotArea>
    </format>
    <format dxfId="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8FACEE-17D0-4775-BA40-CE833F117B10}" name="Tableau1" displayName="Tableau1" ref="A1:BE905" totalsRowCount="1" headerRowDxfId="135" dataDxfId="134" totalsRowDxfId="133">
  <autoFilter ref="A1:BE904" xr:uid="{00000000-0001-0000-0000-000000000000}">
    <filterColumn colId="0">
      <filters>
        <filter val="APRIL"/>
        <filter val="AUGUST"/>
        <filter val="FEBRUARY"/>
        <filter val="JANUARY"/>
        <filter val="JULY"/>
        <filter val="JUNE"/>
        <filter val="MARCH"/>
        <filter val="MAY"/>
        <filter val="OCTOBER"/>
        <filter val="SEPTEMBER"/>
      </filters>
    </filterColumn>
    <filterColumn colId="48">
      <filters>
        <filter val="$1 116,86"/>
        <filter val="$1 135,91"/>
        <filter val="$1 195,31"/>
        <filter val="$1 252,80"/>
        <filter val="$1 457,89"/>
        <filter val="$1 606,94"/>
        <filter val="$1 653,00"/>
        <filter val="$1 682,00"/>
        <filter val="$1 801,41"/>
        <filter val="$1 818,30"/>
        <filter val="$1 900,32"/>
        <filter val="$1,83"/>
        <filter val="$102,05"/>
        <filter val="$104,40"/>
        <filter val="$11 071,51"/>
        <filter val="$12 080,02"/>
        <filter val="$-12 084,37"/>
        <filter val="$12 398,28"/>
        <filter val="$12 489,00"/>
        <filter val="$-12,54"/>
        <filter val="$14,13"/>
        <filter val="$14,76"/>
        <filter val="$146,73"/>
        <filter val="$15,60"/>
        <filter val="$151,89"/>
        <filter val="$163,82"/>
        <filter val="$166,69"/>
        <filter val="$169,82"/>
        <filter val="$17,69"/>
        <filter val="$18 290,74"/>
        <filter val="$19 930,46"/>
        <filter val="$19,60"/>
        <filter val="$195,68"/>
        <filter val="$2 117,04"/>
        <filter val="$2 134,78"/>
        <filter val="$2 204,00"/>
        <filter val="$2 270,44"/>
        <filter val="$2 392,50"/>
        <filter val="$2,61"/>
        <filter val="$2,67"/>
        <filter val="$207,61"/>
        <filter val="$21,86"/>
        <filter val="$218,19"/>
        <filter val="$22 056,77"/>
        <filter val="$221,27"/>
        <filter val="$222,26"/>
        <filter val="$224,53"/>
        <filter val="$224,66"/>
        <filter val="$225,75"/>
        <filter val="$-237,45"/>
        <filter val="$24,54"/>
        <filter val="$250,55"/>
        <filter val="$260,02"/>
        <filter val="$264,68"/>
        <filter val="$27,25"/>
        <filter val="$274,81"/>
        <filter val="$29 015,87"/>
        <filter val="$29,53"/>
        <filter val="$-3 047,45"/>
        <filter val="$3 318,13"/>
        <filter val="$3 416,63"/>
        <filter val="$3 480,00"/>
        <filter val="$3 998,91"/>
        <filter val="$3,26"/>
        <filter val="$316,37"/>
        <filter val="$317,15"/>
        <filter val="$-318,59"/>
        <filter val="$34,38"/>
        <filter val="$-34,39"/>
        <filter val="$36 106,01"/>
        <filter val="$4 327,97"/>
        <filter val="$4 431,17"/>
        <filter val="$4,38"/>
        <filter val="$4,62"/>
        <filter val="$42,23"/>
        <filter val="$440,15"/>
        <filter val="$452,56"/>
        <filter val="$48,36"/>
        <filter val="$486,85"/>
        <filter val="$5 167,85"/>
        <filter val="$5 517,07"/>
        <filter val="$5 800,00"/>
        <filter val="$5,35"/>
        <filter val="$507,40"/>
        <filter val="$51,30"/>
        <filter val="$51,94"/>
        <filter val="$513,30"/>
        <filter val="$524,52"/>
        <filter val="$55,69"/>
        <filter val="$552,87"/>
        <filter val="$56 920,75"/>
        <filter val="$6,29"/>
        <filter val="$60,17"/>
        <filter val="$605,88"/>
        <filter val="$61,34"/>
        <filter val="$634,20"/>
        <filter val="$64,27"/>
        <filter val="$65 105,82"/>
        <filter val="$66,34"/>
        <filter val="$67,73"/>
        <filter val="$696,01"/>
        <filter val="$7 041,04"/>
        <filter val="$7 279,29"/>
        <filter val="$7 480,13"/>
        <filter val="$709,31"/>
        <filter val="$731,38"/>
        <filter val="$770,47"/>
        <filter val="$798,36"/>
        <filter val="$8 804,53"/>
        <filter val="$-802,26"/>
        <filter val="$83,63"/>
        <filter val="$-83,68"/>
        <filter val="$84,34"/>
        <filter val="$86,41"/>
        <filter val="$865,65"/>
        <filter val="$87,09"/>
        <filter val="$889,01"/>
        <filter val="$9,17"/>
        <filter val="$9,44"/>
        <filter val="$9,63"/>
        <filter val="$-9,63"/>
        <filter val="$928,00"/>
        <filter val="$973,12"/>
        <filter val="$992,68"/>
      </filters>
    </filterColumn>
  </autoFilter>
  <sortState xmlns:xlrd2="http://schemas.microsoft.com/office/spreadsheetml/2017/richdata2" ref="A6:BE903">
    <sortCondition ref="K1:K904"/>
  </sortState>
  <tableColumns count="57">
    <tableColumn id="1" xr3:uid="{A80E96B3-E774-4466-9DA5-0A2BBAB85E0C}" name="MONTH" totalsRowLabel="Total" dataDxfId="132" totalsRowDxfId="131"/>
    <tableColumn id="2" xr3:uid="{385D7707-5746-4B27-836C-B907CC8D3AF3}" name="DECLARED TO ARCA" dataDxfId="130" totalsRowDxfId="129"/>
    <tableColumn id="3" xr3:uid="{930F6C33-9D30-4FD5-8E64-7424766B5F35}" name="OPERATION DATE" dataDxfId="128" totalsRowDxfId="127"/>
    <tableColumn id="4" xr3:uid="{3D77B8F9-9CF6-4DB9-8D91-A590A32CBD49}" name="ISSUE DATE" dataDxfId="126" totalsRowDxfId="125"/>
    <tableColumn id="5" xr3:uid="{B2ABD879-4897-4FD6-A08E-D5501B763A78}" name="EFFECT DATE" dataDxfId="124" totalsRowDxfId="123"/>
    <tableColumn id="6" xr3:uid="{53B7FE98-EF23-4F61-AB6D-108648AC2B82}" name="EXPIRY DATE" dataDxfId="122" totalsRowDxfId="121"/>
    <tableColumn id="7" xr3:uid="{93133A91-DB82-46D9-AABB-C4504D347906}" name="AIB REF." dataDxfId="120" totalsRowDxfId="119">
      <calculatedColumnFormula>TEXT(ROW(G2)-1,"000-000") &amp; "/AIB RDC/2023"</calculatedColumnFormula>
    </tableColumn>
    <tableColumn id="8" xr3:uid="{687C878E-39D1-4439-987B-E3BD3933E8D7}" name="N° D'AVENANT" dataDxfId="118" totalsRowDxfId="117"/>
    <tableColumn id="9" xr3:uid="{AE7233D0-A5E3-4A8A-B238-AA270AAF30ED}" name="TYPE D'AVENANT" dataDxfId="116" totalsRowDxfId="115"/>
    <tableColumn id="10" xr3:uid="{5389BC23-9602-40F7-89FA-BF16F8823D5E}" name="POLICY REF" dataDxfId="114" totalsRowDxfId="113"/>
    <tableColumn id="11" xr3:uid="{9556029A-F2E5-477A-ACA6-F8A414F7633D}" name="CLIENT" dataDxfId="112" totalsRowDxfId="111"/>
    <tableColumn id="12" xr3:uid="{55BADBDE-F1F7-4B88-82CC-F7A846A7D5E5}" name="INDUSTRY" dataDxfId="110" totalsRowDxfId="109"/>
    <tableColumn id="13" xr3:uid="{D6A4A25D-3C88-495D-97F4-E9A001DDED9A}" name="ACC. MANAGER" dataDxfId="108" totalsRowDxfId="107"/>
    <tableColumn id="14" xr3:uid="{170FDAA0-A7E7-43C3-9ED6-4828983FD329}" name="ASSISTED BY" dataDxfId="106" totalsRowDxfId="105"/>
    <tableColumn id="15" xr3:uid="{E3002877-79CC-4E23-81FE-4D0E9617EF54}" name="PRODUCT NAME" dataDxfId="104" totalsRowDxfId="103"/>
    <tableColumn id="16" xr3:uid="{97DB88D1-0950-483F-8860-A863D9CC7891}" name="CATEGORY" dataDxfId="102" totalsRowDxfId="101"/>
    <tableColumn id="17" xr3:uid="{29EFE6C2-151E-47F3-A7B8-56C09E9ECED5}" name="INSURER" dataDxfId="100" totalsRowDxfId="99"/>
    <tableColumn id="18" xr3:uid="{34038537-1252-4606-B87F-8E8B2E5BE812}" name="REINSURER" dataDxfId="98" totalsRowDxfId="97"/>
    <tableColumn id="19" xr3:uid="{BF55F876-3969-4511-A2FC-DE716A064713}" name="SUM INSURED" dataDxfId="96" totalsRowDxfId="95"/>
    <tableColumn id="20" xr3:uid="{018122E2-E1C3-4493-AD19-DACBDDB704A7}" name="GROSS PREMIUMS" dataDxfId="94" totalsRowDxfId="93"/>
    <tableColumn id="21" xr3:uid="{8A7149F3-90EB-4886-A8CB-A709D2F3BB22}" name="FRONTING" dataDxfId="92" totalsRowDxfId="91"/>
    <tableColumn id="22" xr3:uid="{DEA576C5-940A-4F9C-BCD7-521F878C95D5}" name="FRONTING DISCOUNT" dataDxfId="90" totalsRowDxfId="89"/>
    <tableColumn id="23" xr3:uid="{6E4F63F4-CDA8-4C14-A548-D1455C3357B9}" name="ACCESSOIRES" dataDxfId="88" totalsRowDxfId="87"/>
    <tableColumn id="24" xr3:uid="{E234FEEA-C860-43D9-AB24-7E098EC8CA9D}" name="NET PREMIUM" dataDxfId="86" totalsRowDxfId="85"/>
    <tableColumn id="25" xr3:uid="{54188E15-FBA9-4F42-ACC7-8C84FC7175D2}" name="VAT" dataDxfId="84" totalsRowDxfId="83"/>
    <tableColumn id="26" xr3:uid="{C2D680FA-1237-4981-AEB3-54211C8E5404}" name="RI RATE" dataDxfId="82" totalsRowDxfId="81">
      <calculatedColumnFormula>X2/S2</calculatedColumnFormula>
    </tableColumn>
    <tableColumn id="27" xr3:uid="{52E35263-33AF-4E0A-AADF-878326232ACF}" name="AIB Com %" dataDxfId="80" totalsRowDxfId="79"/>
    <tableColumn id="28" xr3:uid="{76DBF0CE-71EF-40C7-A963-34F07DFC240C}" name="LOCAL COM." dataDxfId="78" totalsRowDxfId="77">
      <calculatedColumnFormula>AA2*X2</calculatedColumnFormula>
    </tableColumn>
    <tableColumn id="29" xr3:uid="{025C61E7-9401-4EAB-BA43-5733AC94C2DA}" name="FRONTING COM." dataDxfId="76" totalsRowDxfId="75"/>
    <tableColumn id="30" xr3:uid="{4B0A4641-0FE6-4D6A-8571-B6EF09DE7437}" name="RI COM." dataDxfId="74" totalsRowDxfId="73"/>
    <tableColumn id="31" xr3:uid="{1F1351D1-0245-445A-AF56-52F2207CB949}" name="HON. FEES" dataDxfId="72" totalsRowDxfId="71"/>
    <tableColumn id="32" xr3:uid="{0D925D48-6176-4E4A-BC83-3BF5ED5F551D}" name="TOTAL NET / REVENUE (+ Arca)" dataDxfId="70" totalsRowDxfId="69">
      <calculatedColumnFormula>SUM(AB2:AE2)</calculatedColumnFormula>
    </tableColumn>
    <tableColumn id="33" xr3:uid="{3A264A85-BACB-49F8-9BFA-58B9EFD5A566}" name="TOTAL VAT / REVENUE" dataDxfId="68" totalsRowDxfId="67">
      <calculatedColumnFormula>16%*AF2</calculatedColumnFormula>
    </tableColumn>
    <tableColumn id="34" xr3:uid="{663968B0-1CB4-4A9B-930F-5B672CCA13F9}" name="GROSS REVENUE" dataDxfId="66" totalsRowDxfId="65">
      <calculatedColumnFormula>AF2+AG2</calculatedColumnFormula>
    </tableColumn>
    <tableColumn id="35" xr3:uid="{8EF88300-B6E0-4ACA-AED9-AD2991BBA9F6}" name="ARCA fees (2%)" dataDxfId="64" totalsRowDxfId="63">
      <calculatedColumnFormula>2%*(AB2+AC2+AD2)</calculatedColumnFormula>
    </tableColumn>
    <tableColumn id="36" xr3:uid="{8E34771F-A5D5-497A-B9D9-79B3FEBF8355}" name="A. PAID TO ARCA" dataDxfId="62" totalsRowDxfId="61"/>
    <tableColumn id="37" xr3:uid="{1187DDC8-2EB5-4327-B798-E2663A12524A}" name="BALANCE DUE TO ARCA" dataDxfId="60" totalsRowDxfId="59">
      <calculatedColumnFormula>AI2-AJ2</calculatedColumnFormula>
    </tableColumn>
    <tableColumn id="38" xr3:uid="{F43B2354-986D-4234-8941-FFB582BF0D6C}" name="Date of Pymt to ARCA" dataDxfId="58" totalsRowDxfId="57"/>
    <tableColumn id="39" xr3:uid="{2A1094B6-59FD-4B37-B374-0D34727D9262}" name="NET COM (Excl all taxes)" dataDxfId="56" totalsRowDxfId="55">
      <calculatedColumnFormula>AF2-AI2</calculatedColumnFormula>
    </tableColumn>
    <tableColumn id="40" xr3:uid="{1DE6573C-BF93-45E0-931D-A2D3C7564EFF}" name="PARTNER" dataDxfId="54" totalsRowDxfId="53"/>
    <tableColumn id="41" xr3:uid="{43ED2F02-8D35-4B7F-B817-FB009C8AB1FA}" name="% RATE TO PARTNER" dataDxfId="52" totalsRowDxfId="51"/>
    <tableColumn id="42" xr3:uid="{7B891180-52B8-46CA-ADD7-E6D05ED60884}" name="A. DUE TO PARTNER" dataDxfId="50" totalsRowDxfId="49">
      <calculatedColumnFormula>AO2*AM2</calculatedColumnFormula>
    </tableColumn>
    <tableColumn id="43" xr3:uid="{05265C73-A3B4-41C5-91E1-4C2E5A6CC0C7}" name="A. PAID TO PARTNER" dataDxfId="48" totalsRowDxfId="47"/>
    <tableColumn id="44" xr3:uid="{1BB7E6DD-8F11-4B9B-A2D4-E1E0A1C3C78F}" name="DATE OF PAYMT TO PARTNER" dataDxfId="46" totalsRowDxfId="45"/>
    <tableColumn id="45" xr3:uid="{AE117AA2-DECA-4494-B088-8FE1AA5465D4}" name="BALANCE DUE TO PARTNER" dataDxfId="44" totalsRowDxfId="43">
      <calculatedColumnFormula>AP2-AQ2</calculatedColumnFormula>
    </tableColumn>
    <tableColumn id="46" xr3:uid="{2A0CCA65-5D57-4259-A0B8-2DB910C6D7E2}" name="REF PYMNT TO PARTNER" dataDxfId="42" totalsRowDxfId="41"/>
    <tableColumn id="47" xr3:uid="{344DDDCD-A266-4071-81C2-FF7E7C6C0FC2}" name="COM RECEIVED" dataDxfId="40" totalsRowDxfId="39"/>
    <tableColumn id="48" xr3:uid="{A937CB0F-72F1-412D-B991-09DFFFEE8953}" name="COM INVOICED" dataDxfId="38" totalsRowDxfId="37">
      <calculatedColumnFormula>AH2</calculatedColumnFormula>
    </tableColumn>
    <tableColumn id="49" xr3:uid="{7BF09058-F066-42F0-8B40-E765FFE3BBD0}" name="BALANCE DUE TO AIB" totalsRowFunction="sum" dataDxfId="36" totalsRowDxfId="35">
      <calculatedColumnFormula>AV2-AU2</calculatedColumnFormula>
    </tableColumn>
    <tableColumn id="50" xr3:uid="{E18A9034-59DA-4D9E-B35E-A7B3BB76A314}" name="DUE BY" dataDxfId="34" totalsRowDxfId="33">
      <calculatedColumnFormula>Q2</calculatedColumnFormula>
    </tableColumn>
    <tableColumn id="51" xr3:uid="{ED970EE9-A5A6-41C6-B692-F8CB1D2A18E0}" name="DATE OF RECEIPT" dataDxfId="32" totalsRowDxfId="31"/>
    <tableColumn id="52" xr3:uid="{5DA77C7C-FCCE-4740-87B3-3DE291CA6B6A}" name="DEBIT NOTE REF." dataDxfId="30" totalsRowDxfId="29"/>
    <tableColumn id="53" xr3:uid="{DBE2F726-467D-4308-96D8-C2AF2A6EA23F}" name="RENEWAL STATUS" dataDxfId="28" totalsRowDxfId="27"/>
    <tableColumn id="54" xr3:uid="{CFAD3C81-805A-4AF1-8B85-E53E58EB12C6}" name="COVER TO RENEW" dataDxfId="26" totalsRowDxfId="25"/>
    <tableColumn id="55" xr3:uid="{1E94A044-D784-43B1-AE81-8312D746E6AE}" name="RENEWAL PREMIUM" dataDxfId="24" totalsRowDxfId="23"/>
    <tableColumn id="56" xr3:uid="{8B103C90-E241-492A-8459-8D13918AB28A}" name="RENEWAL INSURER" dataDxfId="22" totalsRowDxfId="21"/>
    <tableColumn id="57" xr3:uid="{00583D34-D6B9-465B-B254-76DE4BD3A0F5}" name="COMMENTS" totalsRowFunction="count" dataDxfId="20" totalsRow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05"/>
  <sheetViews>
    <sheetView topLeftCell="AS858" zoomScale="80" zoomScaleNormal="80" workbookViewId="0">
      <selection activeCell="AU910" sqref="AU910"/>
    </sheetView>
  </sheetViews>
  <sheetFormatPr baseColWidth="10" defaultColWidth="14.42578125" defaultRowHeight="15.75" customHeight="1"/>
  <cols>
    <col min="1" max="1" width="11.28515625" customWidth="1"/>
    <col min="2" max="2" width="18.42578125" customWidth="1"/>
    <col min="3" max="3" width="16.7109375" customWidth="1"/>
    <col min="4" max="4" width="11.7109375" customWidth="1"/>
    <col min="5" max="6" width="12.85546875" customWidth="1"/>
    <col min="7" max="7" width="19" customWidth="1"/>
    <col min="8" max="8" width="14.7109375" customWidth="1"/>
    <col min="9" max="9" width="17.140625" customWidth="1"/>
    <col min="10" max="10" width="33.28515625" customWidth="1"/>
    <col min="11" max="11" width="37.140625" customWidth="1"/>
    <col min="12" max="12" width="11.85546875" customWidth="1"/>
    <col min="13" max="13" width="20.28515625" customWidth="1"/>
    <col min="14" max="14" width="17.140625" customWidth="1"/>
    <col min="15" max="15" width="21.85546875" customWidth="1"/>
    <col min="16" max="16" width="18.5703125" customWidth="1"/>
    <col min="17" max="17" width="18.42578125" customWidth="1"/>
    <col min="18" max="18" width="18.28515625" customWidth="1"/>
    <col min="19" max="19" width="18.42578125" customWidth="1"/>
    <col min="20" max="20" width="23.7109375" customWidth="1"/>
    <col min="21" max="21" width="16.7109375" customWidth="1"/>
    <col min="22" max="22" width="22" customWidth="1"/>
    <col min="23" max="25" width="20.140625" customWidth="1"/>
    <col min="26" max="26" width="9" customWidth="1"/>
    <col min="27" max="27" width="16.140625" customWidth="1"/>
    <col min="28" max="28" width="19" customWidth="1"/>
    <col min="29" max="29" width="26.7109375" customWidth="1"/>
    <col min="30" max="30" width="19.7109375" customWidth="1"/>
    <col min="31" max="31" width="13.140625" customWidth="1"/>
    <col min="32" max="32" width="29" customWidth="1"/>
    <col min="33" max="33" width="21.5703125" customWidth="1"/>
    <col min="34" max="34" width="22.140625" customWidth="1"/>
    <col min="35" max="35" width="20.7109375" customWidth="1"/>
    <col min="36" max="36" width="22.140625" customWidth="1"/>
    <col min="37" max="37" width="22.28515625" customWidth="1"/>
    <col min="38" max="38" width="23.42578125" customWidth="1"/>
    <col min="39" max="39" width="28.5703125" customWidth="1"/>
    <col min="40" max="40" width="15.5703125" customWidth="1"/>
    <col min="41" max="41" width="20.140625" customWidth="1"/>
    <col min="42" max="42" width="20.7109375" customWidth="1"/>
    <col min="43" max="43" width="21" customWidth="1"/>
    <col min="44" max="44" width="26.85546875" customWidth="1"/>
    <col min="45" max="45" width="25.140625" customWidth="1"/>
    <col min="46" max="46" width="24.28515625" customWidth="1"/>
    <col min="47" max="47" width="16.85546875" customWidth="1"/>
    <col min="48" max="48" width="17" customWidth="1"/>
    <col min="49" max="49" width="21.85546875" customWidth="1"/>
    <col min="50" max="50" width="13.7109375" customWidth="1"/>
    <col min="51" max="51" width="17.42578125" customWidth="1"/>
    <col min="52" max="52" width="18.85546875" customWidth="1"/>
    <col min="53" max="53" width="21" customWidth="1"/>
    <col min="54" max="54" width="25" customWidth="1"/>
    <col min="55" max="55" width="21" customWidth="1"/>
    <col min="56" max="56" width="17.85546875" customWidth="1"/>
    <col min="57" max="57" width="56" customWidth="1"/>
  </cols>
  <sheetData>
    <row r="1" spans="1:57" ht="14.25" customHeight="1">
      <c r="A1" s="1" t="s">
        <v>0</v>
      </c>
      <c r="B1" s="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" t="s">
        <v>7</v>
      </c>
      <c r="I1" s="1" t="s">
        <v>8</v>
      </c>
      <c r="J1" s="14" t="s">
        <v>9</v>
      </c>
      <c r="K1" s="1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7" t="s">
        <v>25</v>
      </c>
      <c r="AA1" s="18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9" t="s">
        <v>37</v>
      </c>
      <c r="AM1" s="16" t="s">
        <v>38</v>
      </c>
      <c r="AN1" s="16" t="s">
        <v>39</v>
      </c>
      <c r="AO1" s="20" t="s">
        <v>40</v>
      </c>
      <c r="AP1" s="16" t="s">
        <v>41</v>
      </c>
      <c r="AQ1" s="16" t="s">
        <v>42</v>
      </c>
      <c r="AR1" s="15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60" t="s">
        <v>48</v>
      </c>
      <c r="AX1" s="15" t="s">
        <v>49</v>
      </c>
      <c r="AY1" s="12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ht="14.25" hidden="1" customHeight="1">
      <c r="A2" s="1" t="s">
        <v>57</v>
      </c>
      <c r="B2" s="1" t="s">
        <v>58</v>
      </c>
      <c r="C2" s="21">
        <v>44888</v>
      </c>
      <c r="D2" s="21">
        <v>44911</v>
      </c>
      <c r="E2" s="21">
        <v>44931</v>
      </c>
      <c r="F2" s="21">
        <v>45213</v>
      </c>
      <c r="G2" s="13" t="str">
        <f t="shared" ref="G2:G5" si="0">TEXT(ROW(G2)-1,"000-000") &amp; "/AIB RDC/2023"</f>
        <v>000-001/AIB RDC/2023</v>
      </c>
      <c r="H2" s="1">
        <v>7</v>
      </c>
      <c r="I2" s="1" t="s">
        <v>59</v>
      </c>
      <c r="J2" s="14" t="s">
        <v>60</v>
      </c>
      <c r="K2" s="2" t="s">
        <v>61</v>
      </c>
      <c r="L2" s="1" t="s">
        <v>62</v>
      </c>
      <c r="M2" s="1" t="s">
        <v>63</v>
      </c>
      <c r="N2" s="1" t="s">
        <v>64</v>
      </c>
      <c r="O2" s="1" t="s">
        <v>65</v>
      </c>
      <c r="P2" s="1" t="s">
        <v>65</v>
      </c>
      <c r="Q2" s="1" t="s">
        <v>66</v>
      </c>
      <c r="R2" s="1" t="s">
        <v>66</v>
      </c>
      <c r="S2" s="16">
        <v>0</v>
      </c>
      <c r="T2" s="16">
        <v>2212.14</v>
      </c>
      <c r="U2" s="16">
        <v>0</v>
      </c>
      <c r="V2" s="16">
        <v>0</v>
      </c>
      <c r="W2" s="16">
        <v>27.64</v>
      </c>
      <c r="X2" s="16">
        <v>1847.06</v>
      </c>
      <c r="Y2" s="16">
        <v>299.95</v>
      </c>
      <c r="Z2" s="17" t="e">
        <f t="shared" ref="Z2:Z5" si="1">X2/S2</f>
        <v>#DIV/0!</v>
      </c>
      <c r="AA2" s="18">
        <v>0.1</v>
      </c>
      <c r="AB2" s="16">
        <f t="shared" ref="AB2:AB3" si="2">AA2*X2</f>
        <v>184.70600000000002</v>
      </c>
      <c r="AC2" s="16">
        <v>0</v>
      </c>
      <c r="AD2" s="16">
        <v>0</v>
      </c>
      <c r="AE2" s="16">
        <v>0</v>
      </c>
      <c r="AF2" s="16">
        <f t="shared" ref="AF2:AF5" si="3">SUM(AB2:AE2)</f>
        <v>184.70600000000002</v>
      </c>
      <c r="AG2" s="16">
        <f t="shared" ref="AG2:AG5" si="4">16%*AF2</f>
        <v>29.552960000000002</v>
      </c>
      <c r="AH2" s="16">
        <f t="shared" ref="AH2:AH5" si="5">AF2+AG2</f>
        <v>214.25896000000003</v>
      </c>
      <c r="AI2" s="16">
        <f t="shared" ref="AI2:AI5" si="6">2%*(AB2+AC2+AD2)</f>
        <v>3.6941200000000003</v>
      </c>
      <c r="AJ2" s="16">
        <v>0</v>
      </c>
      <c r="AK2" s="16">
        <f t="shared" ref="AK2:AK5" si="7">AI2-AJ2</f>
        <v>3.6941200000000003</v>
      </c>
      <c r="AL2" s="1"/>
      <c r="AM2" s="16">
        <f t="shared" ref="AM2:AM5" si="8">AF2-AI2</f>
        <v>181.01188000000002</v>
      </c>
      <c r="AN2" s="16"/>
      <c r="AO2" s="20"/>
      <c r="AP2" s="16">
        <f t="shared" ref="AP2:AP5" si="9">AO2*AM2</f>
        <v>0</v>
      </c>
      <c r="AQ2" s="16"/>
      <c r="AR2" s="15"/>
      <c r="AS2" s="16">
        <f t="shared" ref="AS2:AS5" si="10">AP2-AQ2</f>
        <v>0</v>
      </c>
      <c r="AT2" s="16"/>
      <c r="AU2" s="16">
        <v>214.25896000000003</v>
      </c>
      <c r="AV2" s="16">
        <f t="shared" ref="AV2:AV5" si="11">AH2</f>
        <v>214.25896000000003</v>
      </c>
      <c r="AW2" s="16">
        <f t="shared" ref="AW2:AW5" si="12">AV2-AU2</f>
        <v>0</v>
      </c>
      <c r="AX2" s="16" t="str">
        <f t="shared" ref="AX2:AX5" si="13">Q2</f>
        <v>SFA</v>
      </c>
      <c r="AY2" s="22">
        <v>44949</v>
      </c>
      <c r="AZ2" s="22"/>
      <c r="BA2" s="22"/>
      <c r="BB2" s="22" t="str">
        <f t="shared" ref="BB2:BB5" si="14">O2</f>
        <v>MOTOR TPL</v>
      </c>
      <c r="BC2" s="22"/>
      <c r="BD2" s="22"/>
      <c r="BE2" s="1" t="s">
        <v>67</v>
      </c>
    </row>
    <row r="3" spans="1:57" ht="14.25" hidden="1" customHeight="1">
      <c r="A3" s="1" t="s">
        <v>57</v>
      </c>
      <c r="B3" s="1" t="s">
        <v>58</v>
      </c>
      <c r="C3" s="21">
        <v>44888</v>
      </c>
      <c r="D3" s="21">
        <v>44911</v>
      </c>
      <c r="E3" s="21">
        <v>44951</v>
      </c>
      <c r="F3" s="21">
        <v>45213</v>
      </c>
      <c r="G3" s="13" t="str">
        <f t="shared" si="0"/>
        <v>000-002/AIB RDC/2023</v>
      </c>
      <c r="H3" s="1">
        <v>8</v>
      </c>
      <c r="I3" s="1" t="s">
        <v>59</v>
      </c>
      <c r="J3" s="14" t="s">
        <v>60</v>
      </c>
      <c r="K3" s="2" t="s">
        <v>61</v>
      </c>
      <c r="L3" s="1" t="s">
        <v>62</v>
      </c>
      <c r="M3" s="1" t="s">
        <v>63</v>
      </c>
      <c r="N3" s="1" t="s">
        <v>64</v>
      </c>
      <c r="O3" s="1" t="s">
        <v>65</v>
      </c>
      <c r="P3" s="1" t="s">
        <v>65</v>
      </c>
      <c r="Q3" s="1" t="s">
        <v>66</v>
      </c>
      <c r="R3" s="1" t="s">
        <v>66</v>
      </c>
      <c r="S3" s="16">
        <v>0</v>
      </c>
      <c r="T3" s="16">
        <v>3224.99</v>
      </c>
      <c r="U3" s="16">
        <v>0</v>
      </c>
      <c r="V3" s="16">
        <v>0</v>
      </c>
      <c r="W3" s="16">
        <v>40.35</v>
      </c>
      <c r="X3" s="16">
        <v>2692.7</v>
      </c>
      <c r="Y3" s="16">
        <v>437.28</v>
      </c>
      <c r="Z3" s="17" t="e">
        <f t="shared" si="1"/>
        <v>#DIV/0!</v>
      </c>
      <c r="AA3" s="18">
        <v>0.1</v>
      </c>
      <c r="AB3" s="16">
        <f t="shared" si="2"/>
        <v>269.27</v>
      </c>
      <c r="AC3" s="16">
        <v>0</v>
      </c>
      <c r="AD3" s="16">
        <v>0</v>
      </c>
      <c r="AE3" s="16">
        <v>0</v>
      </c>
      <c r="AF3" s="16">
        <f t="shared" si="3"/>
        <v>269.27</v>
      </c>
      <c r="AG3" s="16">
        <f t="shared" si="4"/>
        <v>43.083199999999998</v>
      </c>
      <c r="AH3" s="16">
        <f t="shared" si="5"/>
        <v>312.35319999999996</v>
      </c>
      <c r="AI3" s="16">
        <f t="shared" si="6"/>
        <v>5.3853999999999997</v>
      </c>
      <c r="AJ3" s="16">
        <v>0</v>
      </c>
      <c r="AK3" s="16">
        <f t="shared" si="7"/>
        <v>5.3853999999999997</v>
      </c>
      <c r="AL3" s="19"/>
      <c r="AM3" s="16">
        <f t="shared" si="8"/>
        <v>263.88459999999998</v>
      </c>
      <c r="AN3" s="16"/>
      <c r="AO3" s="20"/>
      <c r="AP3" s="16">
        <f t="shared" si="9"/>
        <v>0</v>
      </c>
      <c r="AQ3" s="16"/>
      <c r="AR3" s="15"/>
      <c r="AS3" s="16">
        <f t="shared" si="10"/>
        <v>0</v>
      </c>
      <c r="AT3" s="16"/>
      <c r="AU3" s="16">
        <v>312.35319999999996</v>
      </c>
      <c r="AV3" s="16">
        <f t="shared" si="11"/>
        <v>312.35319999999996</v>
      </c>
      <c r="AW3" s="16">
        <f t="shared" si="12"/>
        <v>0</v>
      </c>
      <c r="AX3" s="16" t="str">
        <f t="shared" si="13"/>
        <v>SFA</v>
      </c>
      <c r="AY3" s="22">
        <v>44949</v>
      </c>
      <c r="AZ3" s="22"/>
      <c r="BA3" s="22"/>
      <c r="BB3" s="22" t="str">
        <f t="shared" si="14"/>
        <v>MOTOR TPL</v>
      </c>
      <c r="BC3" s="22"/>
      <c r="BD3" s="22"/>
      <c r="BE3" s="22"/>
    </row>
    <row r="4" spans="1:57" ht="14.25" hidden="1" customHeight="1">
      <c r="A4" s="1" t="s">
        <v>57</v>
      </c>
      <c r="B4" s="1" t="s">
        <v>58</v>
      </c>
      <c r="C4" s="21">
        <v>44876</v>
      </c>
      <c r="D4" s="21">
        <v>44924</v>
      </c>
      <c r="E4" s="21">
        <v>44940</v>
      </c>
      <c r="F4" s="21">
        <v>45304</v>
      </c>
      <c r="G4" s="13" t="str">
        <f t="shared" si="0"/>
        <v>000-003/AIB RDC/2023</v>
      </c>
      <c r="H4" s="1">
        <v>2</v>
      </c>
      <c r="I4" s="1" t="s">
        <v>68</v>
      </c>
      <c r="J4" s="23" t="s">
        <v>69</v>
      </c>
      <c r="K4" s="2" t="s">
        <v>70</v>
      </c>
      <c r="L4" s="1" t="s">
        <v>62</v>
      </c>
      <c r="M4" s="1" t="s">
        <v>63</v>
      </c>
      <c r="N4" s="1" t="s">
        <v>71</v>
      </c>
      <c r="O4" s="1" t="s">
        <v>65</v>
      </c>
      <c r="P4" s="1" t="s">
        <v>65</v>
      </c>
      <c r="Q4" s="1" t="s">
        <v>66</v>
      </c>
      <c r="R4" s="1" t="s">
        <v>66</v>
      </c>
      <c r="S4" s="16">
        <v>0</v>
      </c>
      <c r="T4" s="16">
        <v>125061.45</v>
      </c>
      <c r="U4" s="16">
        <v>0</v>
      </c>
      <c r="V4" s="16">
        <v>-6056.27</v>
      </c>
      <c r="W4" s="16">
        <v>1565.9</v>
      </c>
      <c r="X4" s="16">
        <v>104418.39</v>
      </c>
      <c r="Y4" s="16">
        <v>16122.55</v>
      </c>
      <c r="Z4" s="17" t="e">
        <f t="shared" si="1"/>
        <v>#DIV/0!</v>
      </c>
      <c r="AA4" s="18">
        <v>0.05</v>
      </c>
      <c r="AB4" s="16">
        <f>(AA4*X4)</f>
        <v>5220.9195</v>
      </c>
      <c r="AC4" s="16">
        <v>0</v>
      </c>
      <c r="AD4" s="16">
        <v>0</v>
      </c>
      <c r="AE4" s="16">
        <v>0</v>
      </c>
      <c r="AF4" s="16">
        <f t="shared" si="3"/>
        <v>5220.9195</v>
      </c>
      <c r="AG4" s="16">
        <f t="shared" si="4"/>
        <v>835.34712000000002</v>
      </c>
      <c r="AH4" s="16">
        <f t="shared" si="5"/>
        <v>6056.2666200000003</v>
      </c>
      <c r="AI4" s="16">
        <f t="shared" si="6"/>
        <v>104.41839</v>
      </c>
      <c r="AJ4" s="16">
        <v>0</v>
      </c>
      <c r="AK4" s="16">
        <f t="shared" si="7"/>
        <v>104.41839</v>
      </c>
      <c r="AL4" s="19"/>
      <c r="AM4" s="16">
        <f t="shared" si="8"/>
        <v>5116.5011100000002</v>
      </c>
      <c r="AN4" s="16"/>
      <c r="AO4" s="20"/>
      <c r="AP4" s="16">
        <f t="shared" si="9"/>
        <v>0</v>
      </c>
      <c r="AQ4" s="16"/>
      <c r="AR4" s="15"/>
      <c r="AS4" s="16">
        <f t="shared" si="10"/>
        <v>0</v>
      </c>
      <c r="AT4" s="16"/>
      <c r="AU4" s="16">
        <v>6056.2666200000003</v>
      </c>
      <c r="AV4" s="16">
        <f t="shared" si="11"/>
        <v>6056.2666200000003</v>
      </c>
      <c r="AW4" s="16">
        <f t="shared" si="12"/>
        <v>0</v>
      </c>
      <c r="AX4" s="16" t="str">
        <f t="shared" si="13"/>
        <v>SFA</v>
      </c>
      <c r="AY4" s="22">
        <v>44949</v>
      </c>
      <c r="AZ4" s="22"/>
      <c r="BA4" s="1"/>
      <c r="BB4" s="22" t="str">
        <f t="shared" si="14"/>
        <v>MOTOR TPL</v>
      </c>
      <c r="BC4" s="22"/>
      <c r="BD4" s="22"/>
      <c r="BE4" s="22"/>
    </row>
    <row r="5" spans="1:57" ht="14.25" hidden="1" customHeight="1">
      <c r="A5" s="1" t="s">
        <v>57</v>
      </c>
      <c r="B5" s="1" t="s">
        <v>58</v>
      </c>
      <c r="C5" s="21">
        <v>44919</v>
      </c>
      <c r="D5" s="21">
        <v>44902</v>
      </c>
      <c r="E5" s="21">
        <v>44927</v>
      </c>
      <c r="F5" s="21">
        <v>45291</v>
      </c>
      <c r="G5" s="13" t="str">
        <f t="shared" si="0"/>
        <v>000-004/AIB RDC/2023</v>
      </c>
      <c r="H5" s="1">
        <v>10</v>
      </c>
      <c r="I5" s="1" t="s">
        <v>68</v>
      </c>
      <c r="J5" s="14" t="s">
        <v>72</v>
      </c>
      <c r="K5" s="1" t="s">
        <v>73</v>
      </c>
      <c r="L5" s="15"/>
      <c r="M5" s="1" t="s">
        <v>74</v>
      </c>
      <c r="N5" s="1" t="s">
        <v>75</v>
      </c>
      <c r="O5" s="1" t="s">
        <v>65</v>
      </c>
      <c r="P5" s="1" t="s">
        <v>65</v>
      </c>
      <c r="Q5" s="1" t="s">
        <v>76</v>
      </c>
      <c r="R5" s="1" t="s">
        <v>76</v>
      </c>
      <c r="S5" s="16">
        <v>0</v>
      </c>
      <c r="T5" s="16">
        <v>9474.31</v>
      </c>
      <c r="U5" s="16">
        <v>0</v>
      </c>
      <c r="V5" s="16">
        <v>0</v>
      </c>
      <c r="W5" s="16">
        <v>80.87</v>
      </c>
      <c r="X5" s="16">
        <v>8086.58</v>
      </c>
      <c r="Y5" s="16">
        <v>1306.8499999999999</v>
      </c>
      <c r="Z5" s="17" t="e">
        <f t="shared" si="1"/>
        <v>#DIV/0!</v>
      </c>
      <c r="AA5" s="18">
        <v>0.1</v>
      </c>
      <c r="AB5" s="16">
        <f t="shared" ref="AB5" si="15">AA5*X5</f>
        <v>808.65800000000002</v>
      </c>
      <c r="AC5" s="16">
        <v>0</v>
      </c>
      <c r="AD5" s="16">
        <v>0</v>
      </c>
      <c r="AE5" s="16">
        <v>0</v>
      </c>
      <c r="AF5" s="16">
        <f t="shared" si="3"/>
        <v>808.65800000000002</v>
      </c>
      <c r="AG5" s="16">
        <f t="shared" si="4"/>
        <v>129.38527999999999</v>
      </c>
      <c r="AH5" s="16">
        <f t="shared" si="5"/>
        <v>938.04327999999998</v>
      </c>
      <c r="AI5" s="16">
        <f t="shared" si="6"/>
        <v>16.173159999999999</v>
      </c>
      <c r="AJ5" s="16">
        <v>0</v>
      </c>
      <c r="AK5" s="16">
        <f t="shared" si="7"/>
        <v>16.173159999999999</v>
      </c>
      <c r="AL5" s="19"/>
      <c r="AM5" s="16">
        <f t="shared" si="8"/>
        <v>792.48483999999996</v>
      </c>
      <c r="AN5" s="16" t="s">
        <v>77</v>
      </c>
      <c r="AO5" s="20"/>
      <c r="AP5" s="16">
        <f t="shared" si="9"/>
        <v>0</v>
      </c>
      <c r="AQ5" s="16"/>
      <c r="AR5" s="15"/>
      <c r="AS5" s="16">
        <f t="shared" si="10"/>
        <v>0</v>
      </c>
      <c r="AT5" s="16"/>
      <c r="AU5" s="16">
        <v>938.04327999999998</v>
      </c>
      <c r="AV5" s="16">
        <f t="shared" si="11"/>
        <v>938.04327999999998</v>
      </c>
      <c r="AW5" s="16">
        <f t="shared" si="12"/>
        <v>0</v>
      </c>
      <c r="AX5" s="16" t="str">
        <f t="shared" si="13"/>
        <v>ACTIVA</v>
      </c>
      <c r="AY5" s="22">
        <v>44957</v>
      </c>
      <c r="AZ5" s="22"/>
      <c r="BA5" s="22"/>
      <c r="BB5" s="22" t="str">
        <f t="shared" si="14"/>
        <v>MOTOR TPL</v>
      </c>
      <c r="BC5" s="22"/>
      <c r="BD5" s="22"/>
      <c r="BE5" s="22"/>
    </row>
    <row r="6" spans="1:57" ht="14.25" customHeight="1">
      <c r="A6" s="2" t="s">
        <v>770</v>
      </c>
      <c r="B6" s="1" t="s">
        <v>169</v>
      </c>
      <c r="C6" s="27">
        <v>45128</v>
      </c>
      <c r="D6" s="27"/>
      <c r="E6" s="27">
        <v>45128</v>
      </c>
      <c r="F6" s="27">
        <v>45493</v>
      </c>
      <c r="G6" s="13" t="str">
        <f t="shared" ref="G6:G69" si="16">TEXT(ROW(G6)-1,"000-000") &amp; "/AIB RDC/2023"</f>
        <v>000-005/AIB RDC/2023</v>
      </c>
      <c r="H6" s="1">
        <v>0</v>
      </c>
      <c r="I6" s="1" t="s">
        <v>83</v>
      </c>
      <c r="J6" s="29" t="s">
        <v>865</v>
      </c>
      <c r="K6" s="1" t="s">
        <v>866</v>
      </c>
      <c r="L6" s="1"/>
      <c r="M6" s="1" t="s">
        <v>99</v>
      </c>
      <c r="N6" s="1" t="s">
        <v>75</v>
      </c>
      <c r="O6" s="1" t="s">
        <v>233</v>
      </c>
      <c r="P6" s="1" t="s">
        <v>234</v>
      </c>
      <c r="Q6" s="1" t="s">
        <v>127</v>
      </c>
      <c r="R6" s="1" t="s">
        <v>127</v>
      </c>
      <c r="S6" s="25">
        <v>5000000</v>
      </c>
      <c r="T6" s="25">
        <v>16434</v>
      </c>
      <c r="U6" s="25">
        <v>0</v>
      </c>
      <c r="V6" s="25">
        <v>0</v>
      </c>
      <c r="W6" s="25">
        <v>100</v>
      </c>
      <c r="X6" s="25">
        <v>13750</v>
      </c>
      <c r="Y6" s="25">
        <v>2216</v>
      </c>
      <c r="Z6" s="17">
        <f t="shared" ref="Z6:Z69" si="17">X6/S6</f>
        <v>2.7499999999999998E-3</v>
      </c>
      <c r="AA6" s="18">
        <v>0.15</v>
      </c>
      <c r="AB6" s="16">
        <f t="shared" ref="AB6:AB27" si="18">AA6*X6</f>
        <v>2062.5</v>
      </c>
      <c r="AC6" s="16">
        <v>0</v>
      </c>
      <c r="AD6" s="16">
        <v>0</v>
      </c>
      <c r="AE6" s="16">
        <v>0</v>
      </c>
      <c r="AF6" s="16">
        <f t="shared" ref="AF6:AF69" si="19">SUM(AB6:AE6)</f>
        <v>2062.5</v>
      </c>
      <c r="AG6" s="16">
        <f>16%*AF6</f>
        <v>330</v>
      </c>
      <c r="AH6" s="16">
        <f t="shared" ref="AH6:AH69" si="20">AF6+AG6</f>
        <v>2392.5</v>
      </c>
      <c r="AI6" s="16">
        <f>2%*(AB6+AC6+AD6)</f>
        <v>41.25</v>
      </c>
      <c r="AJ6" s="16">
        <v>0</v>
      </c>
      <c r="AK6" s="16">
        <f t="shared" ref="AK6:AK69" si="21">AI6-AJ6</f>
        <v>41.25</v>
      </c>
      <c r="AL6" s="19"/>
      <c r="AM6" s="16">
        <f t="shared" ref="AM6:AM69" si="22">AF6-AI6</f>
        <v>2021.25</v>
      </c>
      <c r="AN6" s="16"/>
      <c r="AO6" s="20"/>
      <c r="AP6" s="16">
        <f t="shared" ref="AP6:AP69" si="23">AO6*AM6</f>
        <v>0</v>
      </c>
      <c r="AQ6" s="16"/>
      <c r="AR6" s="15"/>
      <c r="AS6" s="16">
        <f t="shared" ref="AS6:AS69" si="24">AP6-AQ6</f>
        <v>0</v>
      </c>
      <c r="AT6" s="16"/>
      <c r="AU6" s="16"/>
      <c r="AV6" s="16">
        <f>AH6</f>
        <v>2392.5</v>
      </c>
      <c r="AW6" s="60">
        <f t="shared" ref="AW6:AW69" si="25">AV6-AU6</f>
        <v>2392.5</v>
      </c>
      <c r="AX6" s="16" t="str">
        <f t="shared" ref="AX6:AX43" si="26">Q6</f>
        <v>MAYFAIR</v>
      </c>
      <c r="AY6" s="22"/>
      <c r="AZ6" s="22"/>
      <c r="BA6" s="1"/>
      <c r="BB6" s="1" t="s">
        <v>233</v>
      </c>
      <c r="BC6" s="1"/>
      <c r="BD6" s="1"/>
      <c r="BE6" s="64"/>
    </row>
    <row r="7" spans="1:57" ht="14.25" hidden="1" customHeight="1">
      <c r="A7" s="1" t="s">
        <v>57</v>
      </c>
      <c r="B7" s="1" t="s">
        <v>58</v>
      </c>
      <c r="C7" s="21">
        <v>44907</v>
      </c>
      <c r="D7" s="21">
        <v>44927</v>
      </c>
      <c r="E7" s="21">
        <v>44927</v>
      </c>
      <c r="F7" s="21">
        <v>45291</v>
      </c>
      <c r="G7" s="13" t="str">
        <f t="shared" si="16"/>
        <v>000-006/AIB RDC/2023</v>
      </c>
      <c r="H7" s="1">
        <v>0</v>
      </c>
      <c r="I7" s="1" t="s">
        <v>83</v>
      </c>
      <c r="J7" s="1" t="s">
        <v>84</v>
      </c>
      <c r="K7" s="1" t="s">
        <v>85</v>
      </c>
      <c r="L7" s="15"/>
      <c r="M7" s="1" t="s">
        <v>74</v>
      </c>
      <c r="N7" s="1" t="s">
        <v>75</v>
      </c>
      <c r="O7" s="1" t="s">
        <v>80</v>
      </c>
      <c r="P7" s="1" t="s">
        <v>81</v>
      </c>
      <c r="Q7" s="1" t="s">
        <v>86</v>
      </c>
      <c r="R7" s="1" t="s">
        <v>86</v>
      </c>
      <c r="S7" s="16">
        <v>0</v>
      </c>
      <c r="T7" s="16">
        <v>18225</v>
      </c>
      <c r="U7" s="16">
        <v>0</v>
      </c>
      <c r="V7" s="16">
        <v>0</v>
      </c>
      <c r="W7" s="16">
        <v>0</v>
      </c>
      <c r="X7" s="16">
        <v>9864.75</v>
      </c>
      <c r="Y7" s="16">
        <v>0</v>
      </c>
      <c r="Z7" s="17" t="e">
        <f t="shared" si="17"/>
        <v>#DIV/0!</v>
      </c>
      <c r="AA7" s="18">
        <v>6.5484680301072004E-2</v>
      </c>
      <c r="AB7" s="16">
        <f t="shared" si="18"/>
        <v>645.99</v>
      </c>
      <c r="AC7" s="16">
        <v>0</v>
      </c>
      <c r="AD7" s="16">
        <v>0</v>
      </c>
      <c r="AE7" s="16">
        <v>0</v>
      </c>
      <c r="AF7" s="16">
        <f t="shared" si="19"/>
        <v>645.99</v>
      </c>
      <c r="AG7" s="16">
        <v>0</v>
      </c>
      <c r="AH7" s="16">
        <f t="shared" si="20"/>
        <v>645.99</v>
      </c>
      <c r="AI7" s="16">
        <f>2%*(AB7+AC7+AD7)</f>
        <v>12.9198</v>
      </c>
      <c r="AJ7" s="16">
        <v>0</v>
      </c>
      <c r="AK7" s="16">
        <f t="shared" si="21"/>
        <v>12.9198</v>
      </c>
      <c r="AL7" s="19"/>
      <c r="AM7" s="16">
        <f t="shared" si="22"/>
        <v>633.0702</v>
      </c>
      <c r="AN7" s="16" t="s">
        <v>77</v>
      </c>
      <c r="AO7" s="20">
        <v>0.35</v>
      </c>
      <c r="AP7" s="16">
        <f t="shared" si="23"/>
        <v>221.57456999999999</v>
      </c>
      <c r="AQ7" s="16"/>
      <c r="AR7" s="15"/>
      <c r="AS7" s="16">
        <f t="shared" si="24"/>
        <v>221.57456999999999</v>
      </c>
      <c r="AT7" s="16"/>
      <c r="AU7" s="16">
        <v>645.99</v>
      </c>
      <c r="AV7" s="16">
        <f>AH7</f>
        <v>645.99</v>
      </c>
      <c r="AW7" s="16">
        <f t="shared" si="25"/>
        <v>0</v>
      </c>
      <c r="AX7" s="16" t="str">
        <f t="shared" si="26"/>
        <v>ACTIVA/GGA</v>
      </c>
      <c r="AY7" s="22">
        <v>45146</v>
      </c>
      <c r="AZ7" s="22"/>
      <c r="BA7" s="22"/>
      <c r="BB7" s="22" t="str">
        <f t="shared" ref="BB7:BB28" si="27">O7</f>
        <v>MEDICAL</v>
      </c>
      <c r="BC7" s="22"/>
      <c r="BD7" s="22"/>
      <c r="BE7" s="1"/>
    </row>
    <row r="8" spans="1:57" ht="14.25" hidden="1" customHeight="1">
      <c r="A8" s="1" t="s">
        <v>57</v>
      </c>
      <c r="B8" s="1" t="s">
        <v>58</v>
      </c>
      <c r="C8" s="21">
        <v>44897</v>
      </c>
      <c r="D8" s="21"/>
      <c r="E8" s="21">
        <v>44927</v>
      </c>
      <c r="F8" s="21">
        <v>45291</v>
      </c>
      <c r="G8" s="13" t="str">
        <f t="shared" si="16"/>
        <v>000-007/AIB RDC/2023</v>
      </c>
      <c r="H8" s="1">
        <v>3</v>
      </c>
      <c r="I8" s="1" t="s">
        <v>68</v>
      </c>
      <c r="J8" s="1" t="s">
        <v>87</v>
      </c>
      <c r="K8" s="1" t="s">
        <v>88</v>
      </c>
      <c r="L8" s="15"/>
      <c r="M8" s="1" t="s">
        <v>74</v>
      </c>
      <c r="N8" s="1" t="s">
        <v>75</v>
      </c>
      <c r="O8" s="1" t="s">
        <v>89</v>
      </c>
      <c r="P8" s="1" t="s">
        <v>89</v>
      </c>
      <c r="Q8" s="1" t="s">
        <v>90</v>
      </c>
      <c r="R8" s="1" t="s">
        <v>90</v>
      </c>
      <c r="S8" s="16">
        <v>0</v>
      </c>
      <c r="T8" s="16">
        <v>14970</v>
      </c>
      <c r="U8" s="16">
        <v>0</v>
      </c>
      <c r="V8" s="16">
        <v>0</v>
      </c>
      <c r="W8" s="16">
        <v>38</v>
      </c>
      <c r="X8" s="16">
        <v>14783.79</v>
      </c>
      <c r="Y8" s="16">
        <v>0</v>
      </c>
      <c r="Z8" s="17" t="e">
        <f t="shared" si="17"/>
        <v>#DIV/0!</v>
      </c>
      <c r="AA8" s="18">
        <v>0.1</v>
      </c>
      <c r="AB8" s="16">
        <f t="shared" si="18"/>
        <v>1478.3790000000001</v>
      </c>
      <c r="AC8" s="16">
        <v>0</v>
      </c>
      <c r="AD8" s="16">
        <v>0</v>
      </c>
      <c r="AE8" s="16">
        <v>0</v>
      </c>
      <c r="AF8" s="16">
        <f t="shared" si="19"/>
        <v>1478.3790000000001</v>
      </c>
      <c r="AG8" s="16">
        <v>0</v>
      </c>
      <c r="AH8" s="16">
        <f t="shared" si="20"/>
        <v>1478.3790000000001</v>
      </c>
      <c r="AI8" s="16">
        <f>1%*(AB8+AC8+AD8)</f>
        <v>14.783790000000002</v>
      </c>
      <c r="AJ8" s="16">
        <v>0</v>
      </c>
      <c r="AK8" s="16">
        <f t="shared" si="21"/>
        <v>14.783790000000002</v>
      </c>
      <c r="AL8" s="19"/>
      <c r="AM8" s="16">
        <f t="shared" si="22"/>
        <v>1463.5952100000002</v>
      </c>
      <c r="AN8" s="16" t="s">
        <v>91</v>
      </c>
      <c r="AO8" s="20">
        <v>0.7</v>
      </c>
      <c r="AP8" s="16">
        <f t="shared" si="23"/>
        <v>1024.5166470000001</v>
      </c>
      <c r="AQ8" s="16"/>
      <c r="AR8" s="15"/>
      <c r="AS8" s="16">
        <f t="shared" si="24"/>
        <v>1024.5166470000001</v>
      </c>
      <c r="AT8" s="16"/>
      <c r="AU8" s="16">
        <v>1478.3790000000001</v>
      </c>
      <c r="AV8" s="16">
        <f>AH8</f>
        <v>1478.3790000000001</v>
      </c>
      <c r="AW8" s="16">
        <f t="shared" si="25"/>
        <v>0</v>
      </c>
      <c r="AX8" s="16" t="str">
        <f t="shared" si="26"/>
        <v>RAWSUR - LIFE</v>
      </c>
      <c r="AY8" s="22">
        <v>45124</v>
      </c>
      <c r="AZ8" s="22"/>
      <c r="BA8" s="22"/>
      <c r="BB8" s="22" t="str">
        <f t="shared" si="27"/>
        <v>LIFE</v>
      </c>
      <c r="BC8" s="22"/>
      <c r="BD8" s="22"/>
      <c r="BE8" s="1"/>
    </row>
    <row r="9" spans="1:57" ht="14.25" hidden="1" customHeight="1">
      <c r="A9" s="1" t="s">
        <v>57</v>
      </c>
      <c r="B9" s="1" t="s">
        <v>58</v>
      </c>
      <c r="C9" s="21">
        <v>44924</v>
      </c>
      <c r="D9" s="21">
        <v>44926</v>
      </c>
      <c r="E9" s="21">
        <v>44927</v>
      </c>
      <c r="F9" s="21">
        <v>45291</v>
      </c>
      <c r="G9" s="13" t="str">
        <f t="shared" si="16"/>
        <v>000-008/AIB RDC/2023</v>
      </c>
      <c r="H9" s="1">
        <v>0</v>
      </c>
      <c r="I9" s="1" t="s">
        <v>83</v>
      </c>
      <c r="J9" s="14" t="s">
        <v>92</v>
      </c>
      <c r="K9" s="1" t="s">
        <v>93</v>
      </c>
      <c r="L9" s="1" t="s">
        <v>94</v>
      </c>
      <c r="M9" s="1" t="s">
        <v>95</v>
      </c>
      <c r="N9" s="1" t="s">
        <v>96</v>
      </c>
      <c r="O9" s="1" t="s">
        <v>65</v>
      </c>
      <c r="P9" s="1" t="s">
        <v>65</v>
      </c>
      <c r="Q9" s="1" t="s">
        <v>76</v>
      </c>
      <c r="R9" s="1" t="s">
        <v>76</v>
      </c>
      <c r="S9" s="16">
        <v>0</v>
      </c>
      <c r="T9" s="16">
        <f>W9+X9+Y9</f>
        <v>50604.187999999995</v>
      </c>
      <c r="U9" s="16">
        <v>0</v>
      </c>
      <c r="V9" s="16">
        <v>0</v>
      </c>
      <c r="W9" s="16">
        <v>431.92</v>
      </c>
      <c r="X9" s="16">
        <v>43192.38</v>
      </c>
      <c r="Y9" s="16">
        <v>6979.887999999999</v>
      </c>
      <c r="Z9" s="17" t="e">
        <f t="shared" si="17"/>
        <v>#DIV/0!</v>
      </c>
      <c r="AA9" s="18">
        <v>0.1</v>
      </c>
      <c r="AB9" s="16">
        <f t="shared" si="18"/>
        <v>4319.2380000000003</v>
      </c>
      <c r="AC9" s="16">
        <v>0</v>
      </c>
      <c r="AD9" s="16">
        <v>0</v>
      </c>
      <c r="AE9" s="16">
        <v>0</v>
      </c>
      <c r="AF9" s="16">
        <f t="shared" si="19"/>
        <v>4319.2380000000003</v>
      </c>
      <c r="AG9" s="16">
        <f t="shared" ref="AG9:AG18" si="28">16%*AF9</f>
        <v>691.07808000000011</v>
      </c>
      <c r="AH9" s="16">
        <f t="shared" si="20"/>
        <v>5010.3160800000005</v>
      </c>
      <c r="AI9" s="16">
        <f t="shared" ref="AI9:AI43" si="29">2%*(AB9+AC9+AD9)</f>
        <v>86.384760000000014</v>
      </c>
      <c r="AJ9" s="16">
        <v>0</v>
      </c>
      <c r="AK9" s="16">
        <f t="shared" si="21"/>
        <v>86.384760000000014</v>
      </c>
      <c r="AL9" s="19"/>
      <c r="AM9" s="16">
        <f t="shared" si="22"/>
        <v>4232.8532400000004</v>
      </c>
      <c r="AN9" s="16" t="s">
        <v>77</v>
      </c>
      <c r="AO9" s="20"/>
      <c r="AP9" s="16">
        <f t="shared" si="23"/>
        <v>0</v>
      </c>
      <c r="AQ9" s="16"/>
      <c r="AR9" s="15"/>
      <c r="AS9" s="16">
        <f t="shared" si="24"/>
        <v>0</v>
      </c>
      <c r="AT9" s="16"/>
      <c r="AU9" s="16">
        <v>5010.3160800000005</v>
      </c>
      <c r="AV9" s="16">
        <f>AH9</f>
        <v>5010.3160800000005</v>
      </c>
      <c r="AW9" s="16">
        <f t="shared" si="25"/>
        <v>0</v>
      </c>
      <c r="AX9" s="16" t="str">
        <f t="shared" si="26"/>
        <v>ACTIVA</v>
      </c>
      <c r="AY9" s="22">
        <v>44957</v>
      </c>
      <c r="AZ9" s="22"/>
      <c r="BA9" s="1"/>
      <c r="BB9" s="22" t="str">
        <f t="shared" si="27"/>
        <v>MOTOR TPL</v>
      </c>
      <c r="BC9" s="22"/>
      <c r="BD9" s="22"/>
      <c r="BE9" s="22"/>
    </row>
    <row r="10" spans="1:57" ht="14.25" hidden="1" customHeight="1">
      <c r="A10" s="1" t="s">
        <v>57</v>
      </c>
      <c r="B10" s="1" t="s">
        <v>58</v>
      </c>
      <c r="C10" s="21">
        <v>44884</v>
      </c>
      <c r="D10" s="21">
        <v>44914</v>
      </c>
      <c r="E10" s="21">
        <v>44933</v>
      </c>
      <c r="F10" s="21">
        <v>45297</v>
      </c>
      <c r="G10" s="13" t="str">
        <f t="shared" si="16"/>
        <v>000-009/AIB RDC/2023</v>
      </c>
      <c r="H10" s="1">
        <v>2</v>
      </c>
      <c r="I10" s="1" t="s">
        <v>68</v>
      </c>
      <c r="J10" s="14" t="s">
        <v>97</v>
      </c>
      <c r="K10" s="1" t="s">
        <v>98</v>
      </c>
      <c r="L10" s="15"/>
      <c r="M10" s="1" t="s">
        <v>99</v>
      </c>
      <c r="N10" s="1" t="s">
        <v>100</v>
      </c>
      <c r="O10" s="1" t="s">
        <v>101</v>
      </c>
      <c r="P10" s="1" t="s">
        <v>81</v>
      </c>
      <c r="Q10" s="1" t="s">
        <v>66</v>
      </c>
      <c r="R10" s="1" t="s">
        <v>66</v>
      </c>
      <c r="S10" s="16">
        <v>0</v>
      </c>
      <c r="T10" s="16">
        <v>997.03</v>
      </c>
      <c r="U10" s="16">
        <v>0</v>
      </c>
      <c r="V10" s="16">
        <v>0</v>
      </c>
      <c r="W10" s="16">
        <v>20</v>
      </c>
      <c r="X10" s="16">
        <v>824.94</v>
      </c>
      <c r="Y10" s="16">
        <v>135.19</v>
      </c>
      <c r="Z10" s="17" t="e">
        <f t="shared" si="17"/>
        <v>#DIV/0!</v>
      </c>
      <c r="AA10" s="18">
        <v>0.1</v>
      </c>
      <c r="AB10" s="16">
        <f t="shared" si="18"/>
        <v>82.494000000000014</v>
      </c>
      <c r="AC10" s="16">
        <v>0</v>
      </c>
      <c r="AD10" s="16">
        <v>0</v>
      </c>
      <c r="AE10" s="16">
        <v>0</v>
      </c>
      <c r="AF10" s="16">
        <f t="shared" si="19"/>
        <v>82.494000000000014</v>
      </c>
      <c r="AG10" s="16">
        <f t="shared" si="28"/>
        <v>13.199040000000002</v>
      </c>
      <c r="AH10" s="16">
        <f t="shared" si="20"/>
        <v>95.693040000000011</v>
      </c>
      <c r="AI10" s="16">
        <f t="shared" si="29"/>
        <v>1.6498800000000002</v>
      </c>
      <c r="AJ10" s="16">
        <v>0</v>
      </c>
      <c r="AK10" s="16">
        <f t="shared" si="21"/>
        <v>1.6498800000000002</v>
      </c>
      <c r="AL10" s="19"/>
      <c r="AM10" s="16">
        <f t="shared" si="22"/>
        <v>80.844120000000018</v>
      </c>
      <c r="AN10" s="16"/>
      <c r="AO10" s="20"/>
      <c r="AP10" s="16">
        <f t="shared" si="23"/>
        <v>0</v>
      </c>
      <c r="AQ10" s="16"/>
      <c r="AR10" s="15"/>
      <c r="AS10" s="16">
        <f t="shared" si="24"/>
        <v>0</v>
      </c>
      <c r="AT10" s="16"/>
      <c r="AU10" s="16">
        <v>95.693040000000011</v>
      </c>
      <c r="AV10" s="16">
        <f>AH10</f>
        <v>95.693040000000011</v>
      </c>
      <c r="AW10" s="16">
        <f t="shared" si="25"/>
        <v>0</v>
      </c>
      <c r="AX10" s="16" t="str">
        <f t="shared" si="26"/>
        <v>SFA</v>
      </c>
      <c r="AY10" s="22">
        <v>44949</v>
      </c>
      <c r="AZ10" s="22"/>
      <c r="BA10" s="22"/>
      <c r="BB10" s="22" t="str">
        <f t="shared" si="27"/>
        <v>GPA</v>
      </c>
      <c r="BC10" s="22"/>
      <c r="BD10" s="22"/>
      <c r="BE10" s="22"/>
    </row>
    <row r="11" spans="1:57" ht="14.25" hidden="1" customHeight="1">
      <c r="A11" s="1" t="s">
        <v>57</v>
      </c>
      <c r="B11" s="1" t="s">
        <v>58</v>
      </c>
      <c r="C11" s="21">
        <v>45084</v>
      </c>
      <c r="D11" s="21">
        <v>44927</v>
      </c>
      <c r="E11" s="21">
        <v>44927</v>
      </c>
      <c r="F11" s="21">
        <v>45291</v>
      </c>
      <c r="G11" s="13" t="str">
        <f t="shared" si="16"/>
        <v>000-010/AIB RDC/2023</v>
      </c>
      <c r="H11" s="1">
        <v>3</v>
      </c>
      <c r="I11" s="1" t="s">
        <v>68</v>
      </c>
      <c r="J11" s="14" t="s">
        <v>102</v>
      </c>
      <c r="K11" s="1" t="s">
        <v>103</v>
      </c>
      <c r="L11" s="15"/>
      <c r="M11" s="1" t="s">
        <v>99</v>
      </c>
      <c r="N11" s="1" t="s">
        <v>100</v>
      </c>
      <c r="O11" s="1" t="s">
        <v>104</v>
      </c>
      <c r="P11" s="1" t="s">
        <v>105</v>
      </c>
      <c r="Q11" s="1" t="s">
        <v>76</v>
      </c>
      <c r="R11" s="1" t="s">
        <v>76</v>
      </c>
      <c r="S11" s="16">
        <v>6000000</v>
      </c>
      <c r="T11" s="16">
        <v>36936.21</v>
      </c>
      <c r="U11" s="16">
        <v>4682.3999999999996</v>
      </c>
      <c r="V11" s="16">
        <v>0</v>
      </c>
      <c r="W11" s="16">
        <v>313.57</v>
      </c>
      <c r="X11" s="16">
        <v>31216</v>
      </c>
      <c r="Y11" s="16">
        <v>0</v>
      </c>
      <c r="Z11" s="17">
        <f t="shared" si="17"/>
        <v>5.2026666666666671E-3</v>
      </c>
      <c r="AA11" s="18">
        <v>0.242397061336067</v>
      </c>
      <c r="AB11" s="16">
        <f t="shared" si="18"/>
        <v>7566.6666666666679</v>
      </c>
      <c r="AC11" s="16">
        <f>30%*U11</f>
        <v>1404.7199999999998</v>
      </c>
      <c r="AD11" s="16">
        <v>1167.03</v>
      </c>
      <c r="AE11" s="16">
        <v>0</v>
      </c>
      <c r="AF11" s="16">
        <f t="shared" si="19"/>
        <v>10138.416666666668</v>
      </c>
      <c r="AG11" s="16">
        <f t="shared" si="28"/>
        <v>1622.146666666667</v>
      </c>
      <c r="AH11" s="16">
        <f t="shared" si="20"/>
        <v>11760.563333333335</v>
      </c>
      <c r="AI11" s="16">
        <f t="shared" si="29"/>
        <v>202.76833333333337</v>
      </c>
      <c r="AJ11" s="16">
        <v>0</v>
      </c>
      <c r="AK11" s="16">
        <f t="shared" si="21"/>
        <v>202.76833333333337</v>
      </c>
      <c r="AL11" s="19"/>
      <c r="AM11" s="16">
        <f t="shared" si="22"/>
        <v>9935.6483333333344</v>
      </c>
      <c r="AN11" s="16"/>
      <c r="AO11" s="20"/>
      <c r="AP11" s="16">
        <f t="shared" si="23"/>
        <v>0</v>
      </c>
      <c r="AQ11" s="16"/>
      <c r="AR11" s="15"/>
      <c r="AS11" s="16">
        <f t="shared" si="24"/>
        <v>0</v>
      </c>
      <c r="AT11" s="16"/>
      <c r="AU11" s="16">
        <f>10190.21+1570.35</f>
        <v>11760.56</v>
      </c>
      <c r="AV11" s="16">
        <v>11760.56</v>
      </c>
      <c r="AW11" s="16">
        <f t="shared" si="25"/>
        <v>0</v>
      </c>
      <c r="AX11" s="16" t="str">
        <f t="shared" si="26"/>
        <v>ACTIVA</v>
      </c>
      <c r="AY11" s="22">
        <v>45082</v>
      </c>
      <c r="AZ11" s="22"/>
      <c r="BA11" s="22"/>
      <c r="BB11" s="22" t="str">
        <f t="shared" si="27"/>
        <v>MARINE CARGO / GIT</v>
      </c>
      <c r="BC11" s="22"/>
      <c r="BD11" s="22"/>
      <c r="BE11" s="1"/>
    </row>
    <row r="12" spans="1:57" ht="14.25" hidden="1" customHeight="1">
      <c r="A12" s="1" t="s">
        <v>57</v>
      </c>
      <c r="B12" s="1" t="s">
        <v>58</v>
      </c>
      <c r="C12" s="21">
        <v>45084</v>
      </c>
      <c r="D12" s="21">
        <v>44927</v>
      </c>
      <c r="E12" s="21">
        <v>44927</v>
      </c>
      <c r="F12" s="21">
        <v>45291</v>
      </c>
      <c r="G12" s="13" t="str">
        <f t="shared" si="16"/>
        <v>000-011/AIB RDC/2023</v>
      </c>
      <c r="H12" s="1">
        <v>3</v>
      </c>
      <c r="I12" s="1" t="s">
        <v>68</v>
      </c>
      <c r="J12" s="14" t="s">
        <v>106</v>
      </c>
      <c r="K12" s="1" t="s">
        <v>103</v>
      </c>
      <c r="L12" s="15"/>
      <c r="M12" s="1" t="s">
        <v>99</v>
      </c>
      <c r="N12" s="1" t="s">
        <v>100</v>
      </c>
      <c r="O12" s="1" t="s">
        <v>107</v>
      </c>
      <c r="P12" s="1" t="s">
        <v>108</v>
      </c>
      <c r="Q12" s="1" t="s">
        <v>76</v>
      </c>
      <c r="R12" s="1" t="s">
        <v>76</v>
      </c>
      <c r="S12" s="16">
        <v>53720798</v>
      </c>
      <c r="T12" s="16">
        <v>75783.09</v>
      </c>
      <c r="U12" s="16">
        <v>9591.75</v>
      </c>
      <c r="V12" s="16">
        <v>0</v>
      </c>
      <c r="W12" s="16">
        <v>760.4</v>
      </c>
      <c r="X12" s="16">
        <v>63945</v>
      </c>
      <c r="Y12" s="16">
        <v>0</v>
      </c>
      <c r="Z12" s="17">
        <f t="shared" si="17"/>
        <v>1.1903211117601045E-3</v>
      </c>
      <c r="AA12" s="18">
        <v>1.27399354509937E-2</v>
      </c>
      <c r="AB12" s="16">
        <f t="shared" si="18"/>
        <v>814.65517241379212</v>
      </c>
      <c r="AC12" s="16">
        <f>30%*U12</f>
        <v>2877.5250000000001</v>
      </c>
      <c r="AD12" s="16">
        <v>4073.28</v>
      </c>
      <c r="AE12" s="16">
        <v>0</v>
      </c>
      <c r="AF12" s="16">
        <f t="shared" si="19"/>
        <v>7765.460172413792</v>
      </c>
      <c r="AG12" s="16">
        <f t="shared" si="28"/>
        <v>1242.4736275862067</v>
      </c>
      <c r="AH12" s="16">
        <f t="shared" si="20"/>
        <v>9007.9337999999989</v>
      </c>
      <c r="AI12" s="16">
        <f t="shared" si="29"/>
        <v>155.30920344827584</v>
      </c>
      <c r="AJ12" s="16">
        <v>0</v>
      </c>
      <c r="AK12" s="16">
        <f t="shared" si="21"/>
        <v>155.30920344827584</v>
      </c>
      <c r="AL12" s="19"/>
      <c r="AM12" s="16">
        <f t="shared" si="22"/>
        <v>7610.1509689655159</v>
      </c>
      <c r="AN12" s="16"/>
      <c r="AO12" s="20"/>
      <c r="AP12" s="16">
        <f t="shared" si="23"/>
        <v>0</v>
      </c>
      <c r="AQ12" s="16"/>
      <c r="AR12" s="15"/>
      <c r="AS12" s="16">
        <f t="shared" si="24"/>
        <v>0</v>
      </c>
      <c r="AT12" s="16"/>
      <c r="AU12" s="16">
        <f>3526.83+5481</f>
        <v>9007.83</v>
      </c>
      <c r="AV12" s="16">
        <v>9007.83</v>
      </c>
      <c r="AW12" s="16">
        <f t="shared" si="25"/>
        <v>0</v>
      </c>
      <c r="AX12" s="16" t="str">
        <f t="shared" si="26"/>
        <v>ACTIVA</v>
      </c>
      <c r="AY12" s="22">
        <v>45082</v>
      </c>
      <c r="AZ12" s="22"/>
      <c r="BA12" s="22"/>
      <c r="BB12" s="22" t="str">
        <f t="shared" si="27"/>
        <v>FIRE</v>
      </c>
      <c r="BC12" s="22"/>
      <c r="BD12" s="22"/>
      <c r="BE12" s="1"/>
    </row>
    <row r="13" spans="1:57" ht="14.25" hidden="1" customHeight="1">
      <c r="A13" s="1" t="s">
        <v>57</v>
      </c>
      <c r="B13" s="1" t="s">
        <v>58</v>
      </c>
      <c r="C13" s="21">
        <v>44966</v>
      </c>
      <c r="D13" s="21">
        <v>44928</v>
      </c>
      <c r="E13" s="21">
        <v>44927</v>
      </c>
      <c r="F13" s="21">
        <v>45291</v>
      </c>
      <c r="G13" s="13" t="str">
        <f t="shared" si="16"/>
        <v>000-012/AIB RDC/2023</v>
      </c>
      <c r="H13" s="1">
        <v>4</v>
      </c>
      <c r="I13" s="1" t="s">
        <v>68</v>
      </c>
      <c r="J13" s="14" t="s">
        <v>109</v>
      </c>
      <c r="K13" s="1" t="s">
        <v>103</v>
      </c>
      <c r="L13" s="15"/>
      <c r="M13" s="1" t="s">
        <v>99</v>
      </c>
      <c r="N13" s="1" t="s">
        <v>100</v>
      </c>
      <c r="O13" s="1" t="s">
        <v>65</v>
      </c>
      <c r="P13" s="1" t="s">
        <v>65</v>
      </c>
      <c r="Q13" s="1" t="s">
        <v>76</v>
      </c>
      <c r="R13" s="1" t="s">
        <v>76</v>
      </c>
      <c r="S13" s="16">
        <v>1000000</v>
      </c>
      <c r="T13" s="16">
        <v>51727.98</v>
      </c>
      <c r="U13" s="16">
        <v>0</v>
      </c>
      <c r="V13" s="16">
        <v>0</v>
      </c>
      <c r="W13" s="16">
        <v>512.16</v>
      </c>
      <c r="X13" s="16">
        <v>51215.82</v>
      </c>
      <c r="Y13" s="16">
        <v>0</v>
      </c>
      <c r="Z13" s="17">
        <f t="shared" si="17"/>
        <v>5.1215820000000002E-2</v>
      </c>
      <c r="AA13" s="18">
        <v>0.100932368890994</v>
      </c>
      <c r="AB13" s="16">
        <f t="shared" si="18"/>
        <v>5169.3340372947478</v>
      </c>
      <c r="AC13" s="16">
        <v>0</v>
      </c>
      <c r="AD13" s="16">
        <v>0</v>
      </c>
      <c r="AE13" s="16">
        <v>0</v>
      </c>
      <c r="AF13" s="16">
        <f t="shared" si="19"/>
        <v>5169.3340372947478</v>
      </c>
      <c r="AG13" s="16">
        <f t="shared" si="28"/>
        <v>827.09344596715971</v>
      </c>
      <c r="AH13" s="16">
        <f t="shared" si="20"/>
        <v>5996.4274832619076</v>
      </c>
      <c r="AI13" s="16">
        <f t="shared" si="29"/>
        <v>103.38668074589496</v>
      </c>
      <c r="AJ13" s="16">
        <v>0</v>
      </c>
      <c r="AK13" s="16">
        <f t="shared" si="21"/>
        <v>103.38668074589496</v>
      </c>
      <c r="AL13" s="19"/>
      <c r="AM13" s="16">
        <f t="shared" si="22"/>
        <v>5065.9473565488524</v>
      </c>
      <c r="AN13" s="16"/>
      <c r="AO13" s="20"/>
      <c r="AP13" s="16">
        <f t="shared" si="23"/>
        <v>0</v>
      </c>
      <c r="AQ13" s="16"/>
      <c r="AR13" s="15"/>
      <c r="AS13" s="16">
        <f t="shared" si="24"/>
        <v>0</v>
      </c>
      <c r="AT13" s="16"/>
      <c r="AU13" s="16">
        <v>5996.4274832619076</v>
      </c>
      <c r="AV13" s="16">
        <f t="shared" ref="AV13:AV23" si="30">AH13</f>
        <v>5996.4274832619076</v>
      </c>
      <c r="AW13" s="16">
        <f t="shared" si="25"/>
        <v>0</v>
      </c>
      <c r="AX13" s="16" t="str">
        <f t="shared" si="26"/>
        <v>ACTIVA</v>
      </c>
      <c r="AY13" s="22">
        <v>44993</v>
      </c>
      <c r="AZ13" s="22"/>
      <c r="BA13" s="22"/>
      <c r="BB13" s="22" t="str">
        <f t="shared" si="27"/>
        <v>MOTOR TPL</v>
      </c>
      <c r="BC13" s="22"/>
      <c r="BD13" s="22"/>
      <c r="BE13" s="22"/>
    </row>
    <row r="14" spans="1:57" ht="14.25" hidden="1" customHeight="1">
      <c r="A14" s="1" t="s">
        <v>57</v>
      </c>
      <c r="B14" s="1" t="s">
        <v>58</v>
      </c>
      <c r="C14" s="21">
        <v>45084</v>
      </c>
      <c r="D14" s="21">
        <v>44927</v>
      </c>
      <c r="E14" s="21">
        <v>44927</v>
      </c>
      <c r="F14" s="21">
        <v>45291</v>
      </c>
      <c r="G14" s="13" t="str">
        <f t="shared" si="16"/>
        <v>000-013/AIB RDC/2023</v>
      </c>
      <c r="H14" s="1">
        <v>3</v>
      </c>
      <c r="I14" s="1" t="s">
        <v>68</v>
      </c>
      <c r="J14" s="14" t="s">
        <v>110</v>
      </c>
      <c r="K14" s="1" t="s">
        <v>103</v>
      </c>
      <c r="L14" s="15"/>
      <c r="M14" s="1" t="s">
        <v>99</v>
      </c>
      <c r="N14" s="1" t="s">
        <v>100</v>
      </c>
      <c r="O14" s="1" t="s">
        <v>111</v>
      </c>
      <c r="P14" s="1" t="s">
        <v>112</v>
      </c>
      <c r="Q14" s="1" t="s">
        <v>76</v>
      </c>
      <c r="R14" s="1" t="s">
        <v>76</v>
      </c>
      <c r="S14" s="16">
        <v>1000000</v>
      </c>
      <c r="T14" s="16">
        <v>9200.86</v>
      </c>
      <c r="U14" s="16">
        <v>0</v>
      </c>
      <c r="V14" s="16">
        <v>0</v>
      </c>
      <c r="W14" s="16">
        <v>0</v>
      </c>
      <c r="X14" s="16">
        <v>8965.4500000000007</v>
      </c>
      <c r="Y14" s="16">
        <v>0</v>
      </c>
      <c r="Z14" s="17">
        <f t="shared" si="17"/>
        <v>8.9654500000000015E-3</v>
      </c>
      <c r="AA14" s="18">
        <v>0.15</v>
      </c>
      <c r="AB14" s="16">
        <f t="shared" si="18"/>
        <v>1344.8175000000001</v>
      </c>
      <c r="AC14" s="16">
        <v>0</v>
      </c>
      <c r="AD14" s="16">
        <v>0</v>
      </c>
      <c r="AE14" s="16">
        <v>0</v>
      </c>
      <c r="AF14" s="16">
        <f t="shared" si="19"/>
        <v>1344.8175000000001</v>
      </c>
      <c r="AG14" s="16">
        <f t="shared" si="28"/>
        <v>215.17080000000001</v>
      </c>
      <c r="AH14" s="16">
        <f t="shared" si="20"/>
        <v>1559.9883000000002</v>
      </c>
      <c r="AI14" s="16">
        <f t="shared" si="29"/>
        <v>26.896350000000002</v>
      </c>
      <c r="AJ14" s="16">
        <v>0</v>
      </c>
      <c r="AK14" s="16">
        <f t="shared" si="21"/>
        <v>26.896350000000002</v>
      </c>
      <c r="AL14" s="19"/>
      <c r="AM14" s="16">
        <f t="shared" si="22"/>
        <v>1317.9211500000001</v>
      </c>
      <c r="AN14" s="16"/>
      <c r="AO14" s="20"/>
      <c r="AP14" s="16">
        <f t="shared" si="23"/>
        <v>0</v>
      </c>
      <c r="AQ14" s="16"/>
      <c r="AR14" s="15"/>
      <c r="AS14" s="16">
        <f t="shared" si="24"/>
        <v>0</v>
      </c>
      <c r="AT14" s="16"/>
      <c r="AU14" s="16">
        <v>1559.9883000000002</v>
      </c>
      <c r="AV14" s="16">
        <f t="shared" si="30"/>
        <v>1559.9883000000002</v>
      </c>
      <c r="AW14" s="16">
        <f t="shared" si="25"/>
        <v>0</v>
      </c>
      <c r="AX14" s="16" t="str">
        <f t="shared" si="26"/>
        <v>ACTIVA</v>
      </c>
      <c r="AY14" s="22">
        <v>45082</v>
      </c>
      <c r="AZ14" s="22"/>
      <c r="BA14" s="22"/>
      <c r="BB14" s="22" t="str">
        <f t="shared" si="27"/>
        <v>GENERAL LIABILITY</v>
      </c>
      <c r="BC14" s="22"/>
      <c r="BD14" s="22"/>
      <c r="BE14" s="1"/>
    </row>
    <row r="15" spans="1:57" ht="14.25" hidden="1" customHeight="1">
      <c r="A15" s="1" t="s">
        <v>57</v>
      </c>
      <c r="B15" s="1" t="s">
        <v>58</v>
      </c>
      <c r="C15" s="21">
        <v>44914</v>
      </c>
      <c r="D15" s="21">
        <v>44914</v>
      </c>
      <c r="E15" s="21">
        <v>44933</v>
      </c>
      <c r="F15" s="21">
        <v>45297</v>
      </c>
      <c r="G15" s="13" t="str">
        <f t="shared" si="16"/>
        <v>000-014/AIB RDC/2023</v>
      </c>
      <c r="H15" s="1">
        <v>2</v>
      </c>
      <c r="I15" s="1" t="s">
        <v>68</v>
      </c>
      <c r="J15" s="14" t="s">
        <v>113</v>
      </c>
      <c r="K15" s="1" t="s">
        <v>98</v>
      </c>
      <c r="L15" s="15"/>
      <c r="M15" s="1" t="s">
        <v>99</v>
      </c>
      <c r="N15" s="1" t="s">
        <v>100</v>
      </c>
      <c r="O15" s="1" t="s">
        <v>111</v>
      </c>
      <c r="P15" s="1" t="s">
        <v>112</v>
      </c>
      <c r="Q15" s="1" t="s">
        <v>66</v>
      </c>
      <c r="R15" s="1" t="s">
        <v>66</v>
      </c>
      <c r="S15" s="16">
        <v>500000</v>
      </c>
      <c r="T15" s="16">
        <v>2621</v>
      </c>
      <c r="U15" s="16">
        <v>0</v>
      </c>
      <c r="V15" s="16">
        <v>0</v>
      </c>
      <c r="W15" s="16">
        <v>21</v>
      </c>
      <c r="X15" s="16">
        <v>2200.19</v>
      </c>
      <c r="Y15" s="16">
        <v>355.39</v>
      </c>
      <c r="Z15" s="17">
        <f t="shared" si="17"/>
        <v>4.4003799999999997E-3</v>
      </c>
      <c r="AA15" s="18">
        <v>0.15</v>
      </c>
      <c r="AB15" s="16">
        <f t="shared" si="18"/>
        <v>330.02850000000001</v>
      </c>
      <c r="AC15" s="16">
        <v>0</v>
      </c>
      <c r="AD15" s="16">
        <v>0</v>
      </c>
      <c r="AE15" s="16">
        <v>0</v>
      </c>
      <c r="AF15" s="16">
        <f t="shared" si="19"/>
        <v>330.02850000000001</v>
      </c>
      <c r="AG15" s="16">
        <f t="shared" si="28"/>
        <v>52.804560000000002</v>
      </c>
      <c r="AH15" s="16">
        <f t="shared" si="20"/>
        <v>382.83305999999999</v>
      </c>
      <c r="AI15" s="16">
        <f t="shared" si="29"/>
        <v>6.6005700000000003</v>
      </c>
      <c r="AJ15" s="16">
        <v>0</v>
      </c>
      <c r="AK15" s="16">
        <f t="shared" si="21"/>
        <v>6.6005700000000003</v>
      </c>
      <c r="AL15" s="19"/>
      <c r="AM15" s="16">
        <f t="shared" si="22"/>
        <v>323.42793</v>
      </c>
      <c r="AN15" s="16"/>
      <c r="AO15" s="20"/>
      <c r="AP15" s="16">
        <f t="shared" si="23"/>
        <v>0</v>
      </c>
      <c r="AQ15" s="16"/>
      <c r="AR15" s="15"/>
      <c r="AS15" s="16">
        <f t="shared" si="24"/>
        <v>0</v>
      </c>
      <c r="AT15" s="16"/>
      <c r="AU15" s="16">
        <v>382.83305999999999</v>
      </c>
      <c r="AV15" s="16">
        <f t="shared" si="30"/>
        <v>382.83305999999999</v>
      </c>
      <c r="AW15" s="16">
        <f t="shared" si="25"/>
        <v>0</v>
      </c>
      <c r="AX15" s="16" t="str">
        <f t="shared" si="26"/>
        <v>SFA</v>
      </c>
      <c r="AY15" s="22">
        <v>44949</v>
      </c>
      <c r="AZ15" s="22"/>
      <c r="BA15" s="22"/>
      <c r="BB15" s="22" t="str">
        <f t="shared" si="27"/>
        <v>GENERAL LIABILITY</v>
      </c>
      <c r="BC15" s="22"/>
      <c r="BD15" s="22"/>
      <c r="BE15" s="22"/>
    </row>
    <row r="16" spans="1:57" ht="14.25" hidden="1" customHeight="1">
      <c r="A16" s="1" t="s">
        <v>57</v>
      </c>
      <c r="B16" s="1" t="s">
        <v>58</v>
      </c>
      <c r="C16" s="21">
        <v>44909</v>
      </c>
      <c r="D16" s="21">
        <v>44916</v>
      </c>
      <c r="E16" s="21">
        <v>44927</v>
      </c>
      <c r="F16" s="21">
        <v>45291</v>
      </c>
      <c r="G16" s="13" t="str">
        <f t="shared" si="16"/>
        <v>000-015/AIB RDC/2023</v>
      </c>
      <c r="H16" s="1">
        <v>3</v>
      </c>
      <c r="I16" s="1" t="s">
        <v>68</v>
      </c>
      <c r="J16" s="14" t="s">
        <v>114</v>
      </c>
      <c r="K16" s="1" t="s">
        <v>115</v>
      </c>
      <c r="L16" s="1" t="s">
        <v>116</v>
      </c>
      <c r="M16" s="1" t="s">
        <v>63</v>
      </c>
      <c r="N16" s="1" t="s">
        <v>64</v>
      </c>
      <c r="O16" s="1" t="s">
        <v>65</v>
      </c>
      <c r="P16" s="1" t="s">
        <v>65</v>
      </c>
      <c r="Q16" s="1" t="s">
        <v>117</v>
      </c>
      <c r="R16" s="1" t="s">
        <v>117</v>
      </c>
      <c r="S16" s="16">
        <v>0</v>
      </c>
      <c r="T16" s="16">
        <v>2177.3200000000002</v>
      </c>
      <c r="U16" s="16">
        <v>0</v>
      </c>
      <c r="V16" s="16">
        <v>0</v>
      </c>
      <c r="W16" s="16">
        <v>18.579999999999998</v>
      </c>
      <c r="X16" s="16">
        <v>1858.41</v>
      </c>
      <c r="Y16" s="16">
        <v>300.32</v>
      </c>
      <c r="Z16" s="17" t="e">
        <f t="shared" si="17"/>
        <v>#DIV/0!</v>
      </c>
      <c r="AA16" s="18">
        <v>0.1</v>
      </c>
      <c r="AB16" s="16">
        <f t="shared" si="18"/>
        <v>185.84100000000001</v>
      </c>
      <c r="AC16" s="16">
        <v>0</v>
      </c>
      <c r="AD16" s="16">
        <v>0</v>
      </c>
      <c r="AE16" s="16">
        <v>0</v>
      </c>
      <c r="AF16" s="16">
        <f t="shared" si="19"/>
        <v>185.84100000000001</v>
      </c>
      <c r="AG16" s="16">
        <f t="shared" si="28"/>
        <v>29.734560000000002</v>
      </c>
      <c r="AH16" s="16">
        <f t="shared" si="20"/>
        <v>215.57556</v>
      </c>
      <c r="AI16" s="16">
        <f t="shared" si="29"/>
        <v>3.7168200000000002</v>
      </c>
      <c r="AJ16" s="16">
        <v>0</v>
      </c>
      <c r="AK16" s="16">
        <f t="shared" si="21"/>
        <v>3.7168200000000002</v>
      </c>
      <c r="AL16" s="19"/>
      <c r="AM16" s="16">
        <f t="shared" si="22"/>
        <v>182.12418</v>
      </c>
      <c r="AN16" s="16"/>
      <c r="AO16" s="20"/>
      <c r="AP16" s="16">
        <f t="shared" si="23"/>
        <v>0</v>
      </c>
      <c r="AQ16" s="16"/>
      <c r="AR16" s="15"/>
      <c r="AS16" s="16">
        <f t="shared" si="24"/>
        <v>0</v>
      </c>
      <c r="AT16" s="16"/>
      <c r="AU16" s="16">
        <v>215.57556</v>
      </c>
      <c r="AV16" s="16">
        <f t="shared" si="30"/>
        <v>215.57556</v>
      </c>
      <c r="AW16" s="16">
        <f t="shared" si="25"/>
        <v>0</v>
      </c>
      <c r="AX16" s="16" t="str">
        <f t="shared" si="26"/>
        <v>SUNU</v>
      </c>
      <c r="AY16" s="22">
        <v>44965</v>
      </c>
      <c r="AZ16" s="22"/>
      <c r="BA16" s="22"/>
      <c r="BB16" s="22" t="str">
        <f t="shared" si="27"/>
        <v>MOTOR TPL</v>
      </c>
      <c r="BC16" s="22"/>
      <c r="BD16" s="22"/>
      <c r="BE16" s="22"/>
    </row>
    <row r="17" spans="1:57" ht="14.25" hidden="1" customHeight="1">
      <c r="A17" s="1" t="s">
        <v>57</v>
      </c>
      <c r="B17" s="1" t="s">
        <v>58</v>
      </c>
      <c r="C17" s="21">
        <v>44912</v>
      </c>
      <c r="D17" s="21">
        <v>44912</v>
      </c>
      <c r="E17" s="21">
        <v>44927</v>
      </c>
      <c r="F17" s="21">
        <v>45291</v>
      </c>
      <c r="G17" s="13" t="str">
        <f t="shared" si="16"/>
        <v>000-016/AIB RDC/2023</v>
      </c>
      <c r="H17" s="1">
        <v>2</v>
      </c>
      <c r="I17" s="1" t="s">
        <v>68</v>
      </c>
      <c r="J17" s="14" t="s">
        <v>118</v>
      </c>
      <c r="K17" s="2" t="s">
        <v>119</v>
      </c>
      <c r="L17" s="1" t="s">
        <v>120</v>
      </c>
      <c r="M17" s="1" t="s">
        <v>63</v>
      </c>
      <c r="N17" s="1" t="s">
        <v>64</v>
      </c>
      <c r="O17" s="1" t="s">
        <v>104</v>
      </c>
      <c r="P17" s="1" t="s">
        <v>105</v>
      </c>
      <c r="Q17" s="1" t="s">
        <v>117</v>
      </c>
      <c r="R17" s="1" t="s">
        <v>117</v>
      </c>
      <c r="S17" s="16">
        <v>0</v>
      </c>
      <c r="T17" s="16">
        <v>41173.21</v>
      </c>
      <c r="U17" s="16">
        <v>0</v>
      </c>
      <c r="V17" s="16">
        <v>0</v>
      </c>
      <c r="W17" s="16">
        <v>351.42</v>
      </c>
      <c r="X17" s="16">
        <v>35142.720000000001</v>
      </c>
      <c r="Y17" s="16">
        <v>5679.07</v>
      </c>
      <c r="Z17" s="17" t="e">
        <f t="shared" si="17"/>
        <v>#DIV/0!</v>
      </c>
      <c r="AA17" s="18">
        <v>0.15</v>
      </c>
      <c r="AB17" s="16">
        <f t="shared" si="18"/>
        <v>5271.4080000000004</v>
      </c>
      <c r="AC17" s="16">
        <v>0</v>
      </c>
      <c r="AD17" s="16">
        <v>0</v>
      </c>
      <c r="AE17" s="16">
        <v>0</v>
      </c>
      <c r="AF17" s="16">
        <f t="shared" si="19"/>
        <v>5271.4080000000004</v>
      </c>
      <c r="AG17" s="16">
        <f t="shared" si="28"/>
        <v>843.42528000000004</v>
      </c>
      <c r="AH17" s="16">
        <f t="shared" si="20"/>
        <v>6114.8332800000007</v>
      </c>
      <c r="AI17" s="16">
        <f t="shared" si="29"/>
        <v>105.42816000000001</v>
      </c>
      <c r="AJ17" s="16">
        <v>0</v>
      </c>
      <c r="AK17" s="16">
        <f t="shared" si="21"/>
        <v>105.42816000000001</v>
      </c>
      <c r="AL17" s="19"/>
      <c r="AM17" s="16">
        <f t="shared" si="22"/>
        <v>5165.97984</v>
      </c>
      <c r="AN17" s="16" t="s">
        <v>77</v>
      </c>
      <c r="AO17" s="20"/>
      <c r="AP17" s="16">
        <f t="shared" si="23"/>
        <v>0</v>
      </c>
      <c r="AQ17" s="16"/>
      <c r="AR17" s="15"/>
      <c r="AS17" s="16">
        <f t="shared" si="24"/>
        <v>0</v>
      </c>
      <c r="AT17" s="16"/>
      <c r="AU17" s="16">
        <v>6114.8332800000007</v>
      </c>
      <c r="AV17" s="16">
        <f t="shared" si="30"/>
        <v>6114.8332800000007</v>
      </c>
      <c r="AW17" s="16">
        <f t="shared" si="25"/>
        <v>0</v>
      </c>
      <c r="AX17" s="16" t="str">
        <f t="shared" si="26"/>
        <v>SUNU</v>
      </c>
      <c r="AY17" s="22">
        <v>44965</v>
      </c>
      <c r="AZ17" s="22"/>
      <c r="BA17" s="22"/>
      <c r="BB17" s="22" t="str">
        <f t="shared" si="27"/>
        <v>MARINE CARGO / GIT</v>
      </c>
      <c r="BC17" s="22"/>
      <c r="BD17" s="22"/>
      <c r="BE17" s="22"/>
    </row>
    <row r="18" spans="1:57" ht="14.25" hidden="1" customHeight="1">
      <c r="A18" s="1" t="s">
        <v>57</v>
      </c>
      <c r="B18" s="1" t="s">
        <v>58</v>
      </c>
      <c r="C18" s="21">
        <v>44915</v>
      </c>
      <c r="D18" s="21">
        <v>44979</v>
      </c>
      <c r="E18" s="21">
        <v>44927</v>
      </c>
      <c r="F18" s="21">
        <v>45291</v>
      </c>
      <c r="G18" s="13" t="str">
        <f t="shared" si="16"/>
        <v>000-017/AIB RDC/2023</v>
      </c>
      <c r="H18" s="1">
        <v>3</v>
      </c>
      <c r="I18" s="1" t="s">
        <v>68</v>
      </c>
      <c r="J18" s="14" t="s">
        <v>121</v>
      </c>
      <c r="K18" s="1" t="s">
        <v>122</v>
      </c>
      <c r="L18" s="1" t="s">
        <v>123</v>
      </c>
      <c r="M18" s="1" t="s">
        <v>63</v>
      </c>
      <c r="N18" s="1" t="s">
        <v>64</v>
      </c>
      <c r="O18" s="1" t="s">
        <v>111</v>
      </c>
      <c r="P18" s="1" t="s">
        <v>112</v>
      </c>
      <c r="Q18" s="1" t="s">
        <v>76</v>
      </c>
      <c r="R18" s="1" t="s">
        <v>76</v>
      </c>
      <c r="S18" s="16">
        <v>0</v>
      </c>
      <c r="T18" s="16">
        <v>3729.69</v>
      </c>
      <c r="U18" s="16">
        <v>0</v>
      </c>
      <c r="V18" s="16">
        <v>0</v>
      </c>
      <c r="W18" s="16">
        <v>31.83</v>
      </c>
      <c r="X18" s="16">
        <v>3183.42</v>
      </c>
      <c r="Y18" s="16">
        <v>514.44000000000005</v>
      </c>
      <c r="Z18" s="17" t="e">
        <f t="shared" si="17"/>
        <v>#DIV/0!</v>
      </c>
      <c r="AA18" s="18">
        <v>0.15</v>
      </c>
      <c r="AB18" s="16">
        <f t="shared" si="18"/>
        <v>477.51299999999998</v>
      </c>
      <c r="AC18" s="16">
        <v>0</v>
      </c>
      <c r="AD18" s="16">
        <v>0</v>
      </c>
      <c r="AE18" s="16">
        <v>0</v>
      </c>
      <c r="AF18" s="16">
        <f t="shared" si="19"/>
        <v>477.51299999999998</v>
      </c>
      <c r="AG18" s="16">
        <f t="shared" si="28"/>
        <v>76.402079999999998</v>
      </c>
      <c r="AH18" s="16">
        <f t="shared" si="20"/>
        <v>553.91507999999999</v>
      </c>
      <c r="AI18" s="16">
        <f t="shared" si="29"/>
        <v>9.5502599999999997</v>
      </c>
      <c r="AJ18" s="16">
        <v>0</v>
      </c>
      <c r="AK18" s="16">
        <f t="shared" si="21"/>
        <v>9.5502599999999997</v>
      </c>
      <c r="AL18" s="19"/>
      <c r="AM18" s="16">
        <f t="shared" si="22"/>
        <v>467.96274</v>
      </c>
      <c r="AN18" s="16" t="s">
        <v>77</v>
      </c>
      <c r="AO18" s="20"/>
      <c r="AP18" s="16">
        <f t="shared" si="23"/>
        <v>0</v>
      </c>
      <c r="AQ18" s="16"/>
      <c r="AR18" s="15"/>
      <c r="AS18" s="16">
        <f t="shared" si="24"/>
        <v>0</v>
      </c>
      <c r="AT18" s="16"/>
      <c r="AU18" s="16">
        <v>553.91507999999999</v>
      </c>
      <c r="AV18" s="16">
        <f t="shared" si="30"/>
        <v>553.91507999999999</v>
      </c>
      <c r="AW18" s="16">
        <f t="shared" si="25"/>
        <v>0</v>
      </c>
      <c r="AX18" s="16" t="str">
        <f t="shared" si="26"/>
        <v>ACTIVA</v>
      </c>
      <c r="AY18" s="22">
        <v>45035</v>
      </c>
      <c r="AZ18" s="22"/>
      <c r="BA18" s="22"/>
      <c r="BB18" s="22" t="str">
        <f t="shared" si="27"/>
        <v>GENERAL LIABILITY</v>
      </c>
      <c r="BC18" s="22"/>
      <c r="BD18" s="22"/>
      <c r="BE18" s="22"/>
    </row>
    <row r="19" spans="1:57" ht="14.25" hidden="1" customHeight="1">
      <c r="A19" s="1" t="s">
        <v>57</v>
      </c>
      <c r="B19" s="1" t="s">
        <v>58</v>
      </c>
      <c r="C19" s="21">
        <v>44921</v>
      </c>
      <c r="D19" s="21">
        <v>44932</v>
      </c>
      <c r="E19" s="21">
        <v>44927</v>
      </c>
      <c r="F19" s="21">
        <v>45291</v>
      </c>
      <c r="G19" s="13" t="str">
        <f t="shared" si="16"/>
        <v>000-018/AIB RDC/2023</v>
      </c>
      <c r="H19" s="1">
        <v>2</v>
      </c>
      <c r="I19" s="1" t="s">
        <v>68</v>
      </c>
      <c r="J19" s="14" t="s">
        <v>124</v>
      </c>
      <c r="K19" s="1" t="s">
        <v>125</v>
      </c>
      <c r="L19" s="1" t="s">
        <v>126</v>
      </c>
      <c r="M19" s="1" t="s">
        <v>63</v>
      </c>
      <c r="N19" s="1" t="s">
        <v>71</v>
      </c>
      <c r="O19" s="1" t="s">
        <v>107</v>
      </c>
      <c r="P19" s="1" t="s">
        <v>108</v>
      </c>
      <c r="Q19" s="1" t="s">
        <v>127</v>
      </c>
      <c r="R19" s="1" t="s">
        <v>127</v>
      </c>
      <c r="S19" s="16">
        <v>3109816</v>
      </c>
      <c r="T19" s="16">
        <v>5116.32</v>
      </c>
      <c r="U19" s="16">
        <v>0</v>
      </c>
      <c r="V19" s="16">
        <v>0</v>
      </c>
      <c r="W19" s="16">
        <v>50</v>
      </c>
      <c r="X19" s="16">
        <v>4966</v>
      </c>
      <c r="Y19" s="16">
        <v>0</v>
      </c>
      <c r="Z19" s="17">
        <f t="shared" si="17"/>
        <v>1.5968790436475984E-3</v>
      </c>
      <c r="AA19" s="18">
        <v>0.15</v>
      </c>
      <c r="AB19" s="16">
        <f t="shared" si="18"/>
        <v>744.9</v>
      </c>
      <c r="AC19" s="16">
        <v>0</v>
      </c>
      <c r="AD19" s="16">
        <v>0</v>
      </c>
      <c r="AE19" s="16">
        <v>0</v>
      </c>
      <c r="AF19" s="16">
        <f t="shared" si="19"/>
        <v>744.9</v>
      </c>
      <c r="AG19" s="16">
        <v>0</v>
      </c>
      <c r="AH19" s="16">
        <f t="shared" si="20"/>
        <v>744.9</v>
      </c>
      <c r="AI19" s="16">
        <f t="shared" si="29"/>
        <v>14.898</v>
      </c>
      <c r="AJ19" s="16">
        <v>0</v>
      </c>
      <c r="AK19" s="16">
        <f t="shared" si="21"/>
        <v>14.898</v>
      </c>
      <c r="AL19" s="19"/>
      <c r="AM19" s="16">
        <f t="shared" si="22"/>
        <v>730.00199999999995</v>
      </c>
      <c r="AN19" s="16" t="s">
        <v>77</v>
      </c>
      <c r="AO19" s="20"/>
      <c r="AP19" s="16">
        <f t="shared" si="23"/>
        <v>0</v>
      </c>
      <c r="AQ19" s="16"/>
      <c r="AR19" s="15"/>
      <c r="AS19" s="16">
        <f t="shared" si="24"/>
        <v>0</v>
      </c>
      <c r="AT19" s="16"/>
      <c r="AU19" s="16">
        <v>744.9</v>
      </c>
      <c r="AV19" s="16">
        <f t="shared" si="30"/>
        <v>744.9</v>
      </c>
      <c r="AW19" s="16">
        <f t="shared" si="25"/>
        <v>0</v>
      </c>
      <c r="AX19" s="16" t="str">
        <f t="shared" si="26"/>
        <v>MAYFAIR</v>
      </c>
      <c r="AY19" s="22">
        <v>44988</v>
      </c>
      <c r="AZ19" s="22"/>
      <c r="BA19" s="22"/>
      <c r="BB19" s="22" t="str">
        <f t="shared" si="27"/>
        <v>FIRE</v>
      </c>
      <c r="BC19" s="22"/>
      <c r="BD19" s="22"/>
      <c r="BE19" s="22"/>
    </row>
    <row r="20" spans="1:57" ht="14.25" hidden="1" customHeight="1">
      <c r="A20" s="1" t="s">
        <v>57</v>
      </c>
      <c r="B20" s="1" t="s">
        <v>58</v>
      </c>
      <c r="C20" s="21">
        <v>44922</v>
      </c>
      <c r="D20" s="21">
        <v>44932</v>
      </c>
      <c r="E20" s="21">
        <v>44927</v>
      </c>
      <c r="F20" s="21">
        <v>45291</v>
      </c>
      <c r="G20" s="13" t="str">
        <f t="shared" si="16"/>
        <v>000-019/AIB RDC/2023</v>
      </c>
      <c r="H20" s="1">
        <v>1</v>
      </c>
      <c r="I20" s="1" t="s">
        <v>68</v>
      </c>
      <c r="J20" s="14" t="s">
        <v>128</v>
      </c>
      <c r="K20" s="1" t="s">
        <v>125</v>
      </c>
      <c r="L20" s="1" t="s">
        <v>126</v>
      </c>
      <c r="M20" s="1" t="s">
        <v>63</v>
      </c>
      <c r="N20" s="1" t="s">
        <v>71</v>
      </c>
      <c r="O20" s="1" t="s">
        <v>129</v>
      </c>
      <c r="P20" s="1" t="s">
        <v>108</v>
      </c>
      <c r="Q20" s="1" t="s">
        <v>127</v>
      </c>
      <c r="R20" s="1" t="s">
        <v>127</v>
      </c>
      <c r="S20" s="16">
        <v>2101010</v>
      </c>
      <c r="T20" s="16">
        <v>2559.1799999999998</v>
      </c>
      <c r="U20" s="16">
        <v>0</v>
      </c>
      <c r="V20" s="16">
        <v>0</v>
      </c>
      <c r="W20" s="16">
        <v>50</v>
      </c>
      <c r="X20" s="16">
        <v>2459</v>
      </c>
      <c r="Y20" s="16">
        <v>0</v>
      </c>
      <c r="Z20" s="17">
        <f t="shared" si="17"/>
        <v>1.170389479345648E-3</v>
      </c>
      <c r="AA20" s="18">
        <v>0.2</v>
      </c>
      <c r="AB20" s="16">
        <f t="shared" si="18"/>
        <v>491.8</v>
      </c>
      <c r="AC20" s="16">
        <v>0</v>
      </c>
      <c r="AD20" s="16">
        <v>0</v>
      </c>
      <c r="AE20" s="16">
        <v>0</v>
      </c>
      <c r="AF20" s="16">
        <f t="shared" si="19"/>
        <v>491.8</v>
      </c>
      <c r="AG20" s="16">
        <v>0</v>
      </c>
      <c r="AH20" s="16">
        <f t="shared" si="20"/>
        <v>491.8</v>
      </c>
      <c r="AI20" s="16">
        <f t="shared" si="29"/>
        <v>9.8360000000000003</v>
      </c>
      <c r="AJ20" s="16">
        <v>0</v>
      </c>
      <c r="AK20" s="16">
        <f t="shared" si="21"/>
        <v>9.8360000000000003</v>
      </c>
      <c r="AL20" s="19"/>
      <c r="AM20" s="16">
        <f t="shared" si="22"/>
        <v>481.964</v>
      </c>
      <c r="AN20" s="16" t="s">
        <v>77</v>
      </c>
      <c r="AO20" s="20"/>
      <c r="AP20" s="16">
        <f t="shared" si="23"/>
        <v>0</v>
      </c>
      <c r="AQ20" s="16"/>
      <c r="AR20" s="15"/>
      <c r="AS20" s="16">
        <f t="shared" si="24"/>
        <v>0</v>
      </c>
      <c r="AT20" s="16"/>
      <c r="AU20" s="16">
        <v>491.8</v>
      </c>
      <c r="AV20" s="16">
        <f t="shared" si="30"/>
        <v>491.8</v>
      </c>
      <c r="AW20" s="16">
        <f t="shared" si="25"/>
        <v>0</v>
      </c>
      <c r="AX20" s="16" t="str">
        <f t="shared" si="26"/>
        <v>MAYFAIR</v>
      </c>
      <c r="AY20" s="22">
        <v>44988</v>
      </c>
      <c r="AZ20" s="22"/>
      <c r="BA20" s="22"/>
      <c r="BB20" s="22" t="str">
        <f t="shared" si="27"/>
        <v>FIRE/HOME</v>
      </c>
      <c r="BC20" s="22"/>
      <c r="BD20" s="22"/>
      <c r="BE20" s="22"/>
    </row>
    <row r="21" spans="1:57" ht="14.25" hidden="1" customHeight="1">
      <c r="A21" s="1" t="s">
        <v>57</v>
      </c>
      <c r="B21" s="1" t="s">
        <v>58</v>
      </c>
      <c r="C21" s="21">
        <v>44922</v>
      </c>
      <c r="D21" s="21">
        <v>44932</v>
      </c>
      <c r="E21" s="21">
        <v>44927</v>
      </c>
      <c r="F21" s="21">
        <v>45291</v>
      </c>
      <c r="G21" s="13" t="str">
        <f t="shared" si="16"/>
        <v>000-020/AIB RDC/2023</v>
      </c>
      <c r="H21" s="1">
        <v>1</v>
      </c>
      <c r="I21" s="1" t="s">
        <v>68</v>
      </c>
      <c r="J21" s="14" t="s">
        <v>130</v>
      </c>
      <c r="K21" s="1" t="s">
        <v>125</v>
      </c>
      <c r="L21" s="1" t="s">
        <v>126</v>
      </c>
      <c r="M21" s="1" t="s">
        <v>63</v>
      </c>
      <c r="N21" s="1" t="s">
        <v>71</v>
      </c>
      <c r="O21" s="1" t="s">
        <v>111</v>
      </c>
      <c r="P21" s="1" t="s">
        <v>112</v>
      </c>
      <c r="Q21" s="1" t="s">
        <v>127</v>
      </c>
      <c r="R21" s="1" t="s">
        <v>127</v>
      </c>
      <c r="S21" s="16">
        <v>0</v>
      </c>
      <c r="T21" s="16">
        <v>888</v>
      </c>
      <c r="U21" s="16">
        <v>0</v>
      </c>
      <c r="V21" s="16">
        <v>0</v>
      </c>
      <c r="W21" s="16">
        <v>20</v>
      </c>
      <c r="X21" s="16">
        <v>850</v>
      </c>
      <c r="Y21" s="16">
        <v>0</v>
      </c>
      <c r="Z21" s="17" t="e">
        <f t="shared" si="17"/>
        <v>#DIV/0!</v>
      </c>
      <c r="AA21" s="18">
        <v>0.15</v>
      </c>
      <c r="AB21" s="16">
        <f t="shared" si="18"/>
        <v>127.5</v>
      </c>
      <c r="AC21" s="16">
        <v>0</v>
      </c>
      <c r="AD21" s="16">
        <v>0</v>
      </c>
      <c r="AE21" s="16">
        <v>0</v>
      </c>
      <c r="AF21" s="16">
        <f t="shared" si="19"/>
        <v>127.5</v>
      </c>
      <c r="AG21" s="16">
        <v>0</v>
      </c>
      <c r="AH21" s="16">
        <f t="shared" si="20"/>
        <v>127.5</v>
      </c>
      <c r="AI21" s="16">
        <f t="shared" si="29"/>
        <v>2.5500000000000003</v>
      </c>
      <c r="AJ21" s="16">
        <v>0</v>
      </c>
      <c r="AK21" s="16">
        <f t="shared" si="21"/>
        <v>2.5500000000000003</v>
      </c>
      <c r="AL21" s="19"/>
      <c r="AM21" s="16">
        <f t="shared" si="22"/>
        <v>124.95</v>
      </c>
      <c r="AN21" s="16" t="s">
        <v>77</v>
      </c>
      <c r="AO21" s="20"/>
      <c r="AP21" s="16">
        <f t="shared" si="23"/>
        <v>0</v>
      </c>
      <c r="AQ21" s="16"/>
      <c r="AR21" s="15"/>
      <c r="AS21" s="16">
        <f t="shared" si="24"/>
        <v>0</v>
      </c>
      <c r="AT21" s="16"/>
      <c r="AU21" s="16">
        <v>127.5</v>
      </c>
      <c r="AV21" s="16">
        <f t="shared" si="30"/>
        <v>127.5</v>
      </c>
      <c r="AW21" s="16">
        <f t="shared" si="25"/>
        <v>0</v>
      </c>
      <c r="AX21" s="16" t="str">
        <f t="shared" si="26"/>
        <v>MAYFAIR</v>
      </c>
      <c r="AY21" s="22">
        <v>44988</v>
      </c>
      <c r="AZ21" s="22"/>
      <c r="BA21" s="22"/>
      <c r="BB21" s="22" t="str">
        <f t="shared" si="27"/>
        <v>GENERAL LIABILITY</v>
      </c>
      <c r="BC21" s="22"/>
      <c r="BD21" s="22"/>
      <c r="BE21" s="22"/>
    </row>
    <row r="22" spans="1:57" ht="14.25" hidden="1" customHeight="1">
      <c r="A22" s="1" t="s">
        <v>57</v>
      </c>
      <c r="B22" s="1" t="s">
        <v>58</v>
      </c>
      <c r="C22" s="21">
        <v>44922</v>
      </c>
      <c r="D22" s="21">
        <v>44932</v>
      </c>
      <c r="E22" s="21">
        <v>44927</v>
      </c>
      <c r="F22" s="21">
        <v>45291</v>
      </c>
      <c r="G22" s="13" t="str">
        <f t="shared" si="16"/>
        <v>000-021/AIB RDC/2023</v>
      </c>
      <c r="H22" s="1">
        <v>1</v>
      </c>
      <c r="I22" s="1" t="s">
        <v>68</v>
      </c>
      <c r="J22" s="14" t="s">
        <v>131</v>
      </c>
      <c r="K22" s="1" t="s">
        <v>125</v>
      </c>
      <c r="L22" s="1" t="s">
        <v>126</v>
      </c>
      <c r="M22" s="1" t="s">
        <v>63</v>
      </c>
      <c r="N22" s="1" t="s">
        <v>71</v>
      </c>
      <c r="O22" s="1" t="s">
        <v>111</v>
      </c>
      <c r="P22" s="1" t="s">
        <v>112</v>
      </c>
      <c r="Q22" s="1" t="s">
        <v>127</v>
      </c>
      <c r="R22" s="1" t="s">
        <v>127</v>
      </c>
      <c r="S22" s="16">
        <v>0</v>
      </c>
      <c r="T22" s="16">
        <v>530.4</v>
      </c>
      <c r="U22" s="16">
        <v>0</v>
      </c>
      <c r="V22" s="16">
        <v>0</v>
      </c>
      <c r="W22" s="16">
        <v>20</v>
      </c>
      <c r="X22" s="16">
        <v>500</v>
      </c>
      <c r="Y22" s="16">
        <v>0</v>
      </c>
      <c r="Z22" s="17" t="e">
        <f t="shared" si="17"/>
        <v>#DIV/0!</v>
      </c>
      <c r="AA22" s="18">
        <v>0.15</v>
      </c>
      <c r="AB22" s="16">
        <f t="shared" si="18"/>
        <v>75</v>
      </c>
      <c r="AC22" s="16">
        <v>0</v>
      </c>
      <c r="AD22" s="16">
        <v>0</v>
      </c>
      <c r="AE22" s="16">
        <v>0</v>
      </c>
      <c r="AF22" s="16">
        <f t="shared" si="19"/>
        <v>75</v>
      </c>
      <c r="AG22" s="16">
        <v>0</v>
      </c>
      <c r="AH22" s="16">
        <f t="shared" si="20"/>
        <v>75</v>
      </c>
      <c r="AI22" s="16">
        <f t="shared" si="29"/>
        <v>1.5</v>
      </c>
      <c r="AJ22" s="16">
        <v>0</v>
      </c>
      <c r="AK22" s="16">
        <f t="shared" si="21"/>
        <v>1.5</v>
      </c>
      <c r="AL22" s="19"/>
      <c r="AM22" s="16">
        <f t="shared" si="22"/>
        <v>73.5</v>
      </c>
      <c r="AN22" s="16" t="s">
        <v>77</v>
      </c>
      <c r="AO22" s="20"/>
      <c r="AP22" s="16">
        <f t="shared" si="23"/>
        <v>0</v>
      </c>
      <c r="AQ22" s="16"/>
      <c r="AR22" s="15"/>
      <c r="AS22" s="16">
        <f t="shared" si="24"/>
        <v>0</v>
      </c>
      <c r="AT22" s="16"/>
      <c r="AU22" s="16">
        <v>75</v>
      </c>
      <c r="AV22" s="16">
        <f t="shared" si="30"/>
        <v>75</v>
      </c>
      <c r="AW22" s="16">
        <f t="shared" si="25"/>
        <v>0</v>
      </c>
      <c r="AX22" s="16" t="str">
        <f t="shared" si="26"/>
        <v>MAYFAIR</v>
      </c>
      <c r="AY22" s="22">
        <v>44988</v>
      </c>
      <c r="AZ22" s="22"/>
      <c r="BA22" s="22"/>
      <c r="BB22" s="22" t="str">
        <f t="shared" si="27"/>
        <v>GENERAL LIABILITY</v>
      </c>
      <c r="BC22" s="22"/>
      <c r="BD22" s="22"/>
      <c r="BE22" s="22"/>
    </row>
    <row r="23" spans="1:57" ht="14.25" hidden="1" customHeight="1">
      <c r="A23" s="1" t="s">
        <v>57</v>
      </c>
      <c r="B23" s="1" t="s">
        <v>58</v>
      </c>
      <c r="C23" s="21">
        <v>44922</v>
      </c>
      <c r="D23" s="21">
        <v>44932</v>
      </c>
      <c r="E23" s="21">
        <v>44927</v>
      </c>
      <c r="F23" s="21">
        <v>45291</v>
      </c>
      <c r="G23" s="13" t="str">
        <f t="shared" si="16"/>
        <v>000-022/AIB RDC/2023</v>
      </c>
      <c r="H23" s="1">
        <v>1</v>
      </c>
      <c r="I23" s="1" t="s">
        <v>68</v>
      </c>
      <c r="J23" s="14" t="s">
        <v>132</v>
      </c>
      <c r="K23" s="1" t="s">
        <v>125</v>
      </c>
      <c r="L23" s="1" t="s">
        <v>126</v>
      </c>
      <c r="M23" s="1" t="s">
        <v>63</v>
      </c>
      <c r="N23" s="1" t="s">
        <v>71</v>
      </c>
      <c r="O23" s="1" t="s">
        <v>133</v>
      </c>
      <c r="P23" s="1" t="s">
        <v>134</v>
      </c>
      <c r="Q23" s="1" t="s">
        <v>127</v>
      </c>
      <c r="R23" s="1" t="s">
        <v>127</v>
      </c>
      <c r="S23" s="16">
        <v>190876.9</v>
      </c>
      <c r="T23" s="16">
        <v>8766.4699999999993</v>
      </c>
      <c r="U23" s="16">
        <v>0</v>
      </c>
      <c r="V23" s="16">
        <v>0</v>
      </c>
      <c r="W23" s="16">
        <v>50</v>
      </c>
      <c r="X23" s="16">
        <v>8544.58</v>
      </c>
      <c r="Y23" s="16">
        <v>0</v>
      </c>
      <c r="Z23" s="17">
        <f t="shared" si="17"/>
        <v>4.4764872019610547E-2</v>
      </c>
      <c r="AA23" s="18">
        <v>0.15</v>
      </c>
      <c r="AB23" s="16">
        <f t="shared" si="18"/>
        <v>1281.6869999999999</v>
      </c>
      <c r="AC23" s="16">
        <v>0</v>
      </c>
      <c r="AD23" s="16">
        <v>0</v>
      </c>
      <c r="AE23" s="16">
        <v>0</v>
      </c>
      <c r="AF23" s="16">
        <f t="shared" si="19"/>
        <v>1281.6869999999999</v>
      </c>
      <c r="AG23" s="16">
        <v>0</v>
      </c>
      <c r="AH23" s="16">
        <f t="shared" si="20"/>
        <v>1281.6869999999999</v>
      </c>
      <c r="AI23" s="16">
        <f t="shared" si="29"/>
        <v>25.63374</v>
      </c>
      <c r="AJ23" s="16">
        <v>0</v>
      </c>
      <c r="AK23" s="16">
        <f t="shared" si="21"/>
        <v>25.63374</v>
      </c>
      <c r="AL23" s="19"/>
      <c r="AM23" s="16">
        <f t="shared" si="22"/>
        <v>1256.0532599999999</v>
      </c>
      <c r="AN23" s="16" t="s">
        <v>77</v>
      </c>
      <c r="AO23" s="20"/>
      <c r="AP23" s="16">
        <f t="shared" si="23"/>
        <v>0</v>
      </c>
      <c r="AQ23" s="16"/>
      <c r="AR23" s="15"/>
      <c r="AS23" s="16">
        <f t="shared" si="24"/>
        <v>0</v>
      </c>
      <c r="AT23" s="16"/>
      <c r="AU23" s="16">
        <v>1281.6869999999999</v>
      </c>
      <c r="AV23" s="16">
        <f t="shared" si="30"/>
        <v>1281.6869999999999</v>
      </c>
      <c r="AW23" s="16">
        <f t="shared" si="25"/>
        <v>0</v>
      </c>
      <c r="AX23" s="16" t="str">
        <f t="shared" si="26"/>
        <v>MAYFAIR</v>
      </c>
      <c r="AY23" s="22">
        <v>44988</v>
      </c>
      <c r="AZ23" s="22"/>
      <c r="BA23" s="22"/>
      <c r="BB23" s="22" t="str">
        <f t="shared" si="27"/>
        <v>COMP MOTOR</v>
      </c>
      <c r="BC23" s="22"/>
      <c r="BD23" s="22"/>
      <c r="BE23" s="22"/>
    </row>
    <row r="24" spans="1:57" ht="14.25" hidden="1" customHeight="1">
      <c r="A24" s="1" t="s">
        <v>57</v>
      </c>
      <c r="B24" s="1" t="s">
        <v>58</v>
      </c>
      <c r="C24" s="21">
        <v>44921</v>
      </c>
      <c r="D24" s="21">
        <v>44960</v>
      </c>
      <c r="E24" s="21">
        <v>44927</v>
      </c>
      <c r="F24" s="21">
        <v>45291</v>
      </c>
      <c r="G24" s="13" t="str">
        <f t="shared" si="16"/>
        <v>000-023/AIB RDC/2023</v>
      </c>
      <c r="H24" s="1">
        <v>0</v>
      </c>
      <c r="I24" s="1" t="s">
        <v>83</v>
      </c>
      <c r="J24" s="14">
        <v>45000018</v>
      </c>
      <c r="K24" s="1" t="s">
        <v>93</v>
      </c>
      <c r="L24" s="1" t="s">
        <v>94</v>
      </c>
      <c r="M24" s="1" t="s">
        <v>63</v>
      </c>
      <c r="N24" s="1" t="s">
        <v>64</v>
      </c>
      <c r="O24" s="1" t="s">
        <v>107</v>
      </c>
      <c r="P24" s="1" t="s">
        <v>108</v>
      </c>
      <c r="Q24" s="1" t="s">
        <v>135</v>
      </c>
      <c r="R24" s="1" t="s">
        <v>136</v>
      </c>
      <c r="S24" s="16">
        <v>0</v>
      </c>
      <c r="T24" s="16">
        <v>365966.91</v>
      </c>
      <c r="U24" s="16">
        <v>0</v>
      </c>
      <c r="V24" s="16">
        <v>0</v>
      </c>
      <c r="W24" s="16">
        <v>0</v>
      </c>
      <c r="X24" s="16">
        <v>310141.45</v>
      </c>
      <c r="Y24" s="16">
        <v>49622.63</v>
      </c>
      <c r="Z24" s="17" t="e">
        <f t="shared" si="17"/>
        <v>#DIV/0!</v>
      </c>
      <c r="AA24" s="18">
        <v>0.18934898898550967</v>
      </c>
      <c r="AB24" s="16">
        <f t="shared" si="18"/>
        <v>58724.97</v>
      </c>
      <c r="AC24" s="16">
        <v>0</v>
      </c>
      <c r="AD24" s="16">
        <v>0</v>
      </c>
      <c r="AE24" s="16">
        <v>0</v>
      </c>
      <c r="AF24" s="16">
        <f t="shared" si="19"/>
        <v>58724.97</v>
      </c>
      <c r="AG24" s="16">
        <f t="shared" ref="AG24:AG43" si="31">16%*AF24</f>
        <v>9395.9952000000012</v>
      </c>
      <c r="AH24" s="16">
        <f t="shared" si="20"/>
        <v>68120.965200000006</v>
      </c>
      <c r="AI24" s="16">
        <f t="shared" si="29"/>
        <v>1174.4994000000002</v>
      </c>
      <c r="AJ24" s="16">
        <v>0</v>
      </c>
      <c r="AK24" s="16">
        <f t="shared" si="21"/>
        <v>1174.4994000000002</v>
      </c>
      <c r="AL24" s="19"/>
      <c r="AM24" s="16">
        <f t="shared" si="22"/>
        <v>57550.470600000001</v>
      </c>
      <c r="AN24" s="16" t="s">
        <v>77</v>
      </c>
      <c r="AO24" s="20">
        <v>0.75</v>
      </c>
      <c r="AP24" s="16">
        <f t="shared" si="23"/>
        <v>43162.85295</v>
      </c>
      <c r="AQ24" s="16"/>
      <c r="AR24" s="15"/>
      <c r="AS24" s="16">
        <f t="shared" si="24"/>
        <v>43162.85295</v>
      </c>
      <c r="AT24" s="16"/>
      <c r="AU24" s="16">
        <f>1179.22+64888.79+2052.96</f>
        <v>68120.97</v>
      </c>
      <c r="AV24" s="16">
        <v>68120.97</v>
      </c>
      <c r="AW24" s="16">
        <f t="shared" si="25"/>
        <v>0</v>
      </c>
      <c r="AX24" s="16" t="str">
        <f t="shared" si="26"/>
        <v>RAWSUR</v>
      </c>
      <c r="AY24" s="22">
        <v>44992</v>
      </c>
      <c r="AZ24" s="22"/>
      <c r="BA24" s="22"/>
      <c r="BB24" s="22" t="str">
        <f t="shared" si="27"/>
        <v>FIRE</v>
      </c>
      <c r="BC24" s="22"/>
      <c r="BD24" s="22"/>
      <c r="BE24" s="22"/>
    </row>
    <row r="25" spans="1:57" ht="14.25" hidden="1" customHeight="1">
      <c r="A25" s="1" t="s">
        <v>57</v>
      </c>
      <c r="B25" s="1" t="s">
        <v>58</v>
      </c>
      <c r="C25" s="21">
        <v>44922</v>
      </c>
      <c r="D25" s="21">
        <v>44966</v>
      </c>
      <c r="E25" s="21">
        <v>44927</v>
      </c>
      <c r="F25" s="21">
        <v>45291</v>
      </c>
      <c r="G25" s="13" t="str">
        <f t="shared" si="16"/>
        <v>000-024/AIB RDC/2023</v>
      </c>
      <c r="H25" s="1">
        <v>0</v>
      </c>
      <c r="I25" s="1" t="s">
        <v>83</v>
      </c>
      <c r="J25" s="23" t="s">
        <v>137</v>
      </c>
      <c r="K25" s="1" t="s">
        <v>138</v>
      </c>
      <c r="L25" s="1" t="s">
        <v>139</v>
      </c>
      <c r="M25" s="1" t="s">
        <v>63</v>
      </c>
      <c r="N25" s="1" t="s">
        <v>64</v>
      </c>
      <c r="O25" s="1" t="s">
        <v>104</v>
      </c>
      <c r="P25" s="1" t="s">
        <v>105</v>
      </c>
      <c r="Q25" s="1" t="s">
        <v>66</v>
      </c>
      <c r="R25" s="1" t="s">
        <v>66</v>
      </c>
      <c r="S25" s="16">
        <v>0</v>
      </c>
      <c r="T25" s="16">
        <v>48982.49</v>
      </c>
      <c r="U25" s="16">
        <v>0</v>
      </c>
      <c r="V25" s="16">
        <v>0</v>
      </c>
      <c r="W25" s="16">
        <v>216.47</v>
      </c>
      <c r="X25" s="16">
        <v>41294.120000000003</v>
      </c>
      <c r="Y25" s="16">
        <v>6641.69</v>
      </c>
      <c r="Z25" s="17" t="e">
        <f t="shared" si="17"/>
        <v>#DIV/0!</v>
      </c>
      <c r="AA25" s="18">
        <v>0.15</v>
      </c>
      <c r="AB25" s="16">
        <f t="shared" si="18"/>
        <v>6194.1180000000004</v>
      </c>
      <c r="AC25" s="16">
        <v>0</v>
      </c>
      <c r="AD25" s="16">
        <v>0</v>
      </c>
      <c r="AE25" s="16">
        <v>0</v>
      </c>
      <c r="AF25" s="16">
        <f t="shared" si="19"/>
        <v>6194.1180000000004</v>
      </c>
      <c r="AG25" s="16">
        <f t="shared" si="31"/>
        <v>991.05888000000004</v>
      </c>
      <c r="AH25" s="16">
        <f t="shared" si="20"/>
        <v>7185.1768800000009</v>
      </c>
      <c r="AI25" s="16">
        <f t="shared" si="29"/>
        <v>123.88236000000001</v>
      </c>
      <c r="AJ25" s="16">
        <v>0</v>
      </c>
      <c r="AK25" s="16">
        <f t="shared" si="21"/>
        <v>123.88236000000001</v>
      </c>
      <c r="AL25" s="19"/>
      <c r="AM25" s="16">
        <f t="shared" si="22"/>
        <v>6070.2356400000008</v>
      </c>
      <c r="AN25" s="16" t="s">
        <v>77</v>
      </c>
      <c r="AO25" s="20"/>
      <c r="AP25" s="16">
        <f t="shared" si="23"/>
        <v>0</v>
      </c>
      <c r="AQ25" s="16"/>
      <c r="AR25" s="15"/>
      <c r="AS25" s="16">
        <f t="shared" si="24"/>
        <v>0</v>
      </c>
      <c r="AT25" s="16"/>
      <c r="AU25" s="16">
        <v>7185.1768800000009</v>
      </c>
      <c r="AV25" s="16">
        <f t="shared" ref="AV25:AV56" si="32">AH25</f>
        <v>7185.1768800000009</v>
      </c>
      <c r="AW25" s="16">
        <f t="shared" si="25"/>
        <v>0</v>
      </c>
      <c r="AX25" s="16" t="str">
        <f t="shared" si="26"/>
        <v>SFA</v>
      </c>
      <c r="AY25" s="22">
        <v>45005</v>
      </c>
      <c r="AZ25" s="22"/>
      <c r="BA25" s="22"/>
      <c r="BB25" s="22" t="str">
        <f t="shared" si="27"/>
        <v>MARINE CARGO / GIT</v>
      </c>
      <c r="BC25" s="22"/>
      <c r="BD25" s="22"/>
      <c r="BE25" s="22"/>
    </row>
    <row r="26" spans="1:57" ht="14.25" hidden="1" customHeight="1">
      <c r="A26" s="1" t="s">
        <v>57</v>
      </c>
      <c r="B26" s="1" t="s">
        <v>58</v>
      </c>
      <c r="C26" s="21">
        <v>44935</v>
      </c>
      <c r="D26" s="21">
        <v>44928</v>
      </c>
      <c r="E26" s="21">
        <v>44928</v>
      </c>
      <c r="F26" s="21">
        <v>45292</v>
      </c>
      <c r="G26" s="13" t="str">
        <f t="shared" si="16"/>
        <v>000-025/AIB RDC/2023</v>
      </c>
      <c r="H26" s="1">
        <v>1</v>
      </c>
      <c r="I26" s="1" t="s">
        <v>68</v>
      </c>
      <c r="J26" s="14" t="s">
        <v>140</v>
      </c>
      <c r="K26" s="1" t="s">
        <v>141</v>
      </c>
      <c r="L26" s="1" t="s">
        <v>142</v>
      </c>
      <c r="M26" s="1" t="s">
        <v>74</v>
      </c>
      <c r="N26" s="1" t="s">
        <v>75</v>
      </c>
      <c r="O26" s="1" t="s">
        <v>65</v>
      </c>
      <c r="P26" s="1" t="s">
        <v>65</v>
      </c>
      <c r="Q26" s="1" t="s">
        <v>117</v>
      </c>
      <c r="R26" s="1" t="s">
        <v>117</v>
      </c>
      <c r="S26" s="16">
        <v>0</v>
      </c>
      <c r="T26" s="16">
        <v>240.12</v>
      </c>
      <c r="U26" s="16">
        <v>0</v>
      </c>
      <c r="V26" s="16">
        <v>0</v>
      </c>
      <c r="W26" s="16">
        <v>10</v>
      </c>
      <c r="X26" s="16">
        <v>197</v>
      </c>
      <c r="Y26" s="16">
        <v>33.119999999999997</v>
      </c>
      <c r="Z26" s="17" t="e">
        <f t="shared" si="17"/>
        <v>#DIV/0!</v>
      </c>
      <c r="AA26" s="18">
        <v>0.125</v>
      </c>
      <c r="AB26" s="16">
        <f t="shared" si="18"/>
        <v>24.625</v>
      </c>
      <c r="AC26" s="16">
        <v>0</v>
      </c>
      <c r="AD26" s="16">
        <v>0</v>
      </c>
      <c r="AE26" s="16">
        <v>0</v>
      </c>
      <c r="AF26" s="16">
        <f t="shared" si="19"/>
        <v>24.625</v>
      </c>
      <c r="AG26" s="16">
        <f t="shared" si="31"/>
        <v>3.94</v>
      </c>
      <c r="AH26" s="16">
        <f t="shared" si="20"/>
        <v>28.565000000000001</v>
      </c>
      <c r="AI26" s="16">
        <f t="shared" si="29"/>
        <v>0.49249999999999999</v>
      </c>
      <c r="AJ26" s="16">
        <v>0</v>
      </c>
      <c r="AK26" s="16">
        <f t="shared" si="21"/>
        <v>0.49249999999999999</v>
      </c>
      <c r="AL26" s="19"/>
      <c r="AM26" s="16">
        <f t="shared" si="22"/>
        <v>24.1325</v>
      </c>
      <c r="AN26" s="16"/>
      <c r="AO26" s="20"/>
      <c r="AP26" s="16">
        <f t="shared" si="23"/>
        <v>0</v>
      </c>
      <c r="AQ26" s="16"/>
      <c r="AR26" s="15"/>
      <c r="AS26" s="16">
        <f t="shared" si="24"/>
        <v>0</v>
      </c>
      <c r="AT26" s="16"/>
      <c r="AU26" s="16">
        <v>28.565000000000001</v>
      </c>
      <c r="AV26" s="16">
        <f t="shared" si="32"/>
        <v>28.565000000000001</v>
      </c>
      <c r="AW26" s="16">
        <f t="shared" si="25"/>
        <v>0</v>
      </c>
      <c r="AX26" s="16" t="str">
        <f t="shared" si="26"/>
        <v>SUNU</v>
      </c>
      <c r="AY26" s="22">
        <v>45002</v>
      </c>
      <c r="AZ26" s="1" t="s">
        <v>143</v>
      </c>
      <c r="BA26" s="22"/>
      <c r="BB26" s="22" t="str">
        <f t="shared" si="27"/>
        <v>MOTOR TPL</v>
      </c>
      <c r="BC26" s="22"/>
      <c r="BD26" s="22"/>
      <c r="BE26" s="22"/>
    </row>
    <row r="27" spans="1:57" ht="14.25" hidden="1" customHeight="1">
      <c r="A27" s="1" t="s">
        <v>57</v>
      </c>
      <c r="B27" s="1" t="s">
        <v>58</v>
      </c>
      <c r="C27" s="21">
        <v>44869</v>
      </c>
      <c r="D27" s="21">
        <v>44939</v>
      </c>
      <c r="E27" s="21">
        <v>44927</v>
      </c>
      <c r="F27" s="21">
        <v>45016</v>
      </c>
      <c r="G27" s="13" t="str">
        <f t="shared" si="16"/>
        <v>000-026/AIB RDC/2023</v>
      </c>
      <c r="H27" s="1">
        <v>0</v>
      </c>
      <c r="I27" s="1" t="s">
        <v>83</v>
      </c>
      <c r="J27" s="14" t="s">
        <v>144</v>
      </c>
      <c r="K27" s="1" t="s">
        <v>145</v>
      </c>
      <c r="L27" s="15"/>
      <c r="M27" s="1" t="s">
        <v>95</v>
      </c>
      <c r="N27" s="1" t="s">
        <v>146</v>
      </c>
      <c r="O27" s="1" t="s">
        <v>107</v>
      </c>
      <c r="P27" s="1" t="s">
        <v>108</v>
      </c>
      <c r="Q27" s="1" t="s">
        <v>117</v>
      </c>
      <c r="R27" s="1" t="s">
        <v>117</v>
      </c>
      <c r="S27" s="16">
        <v>3885387.84</v>
      </c>
      <c r="T27" s="16">
        <v>4594.4399999999996</v>
      </c>
      <c r="U27" s="16">
        <v>0</v>
      </c>
      <c r="V27" s="16">
        <v>0</v>
      </c>
      <c r="W27" s="16">
        <v>45.48</v>
      </c>
      <c r="X27" s="16">
        <v>4548.96</v>
      </c>
      <c r="Y27" s="16">
        <v>0</v>
      </c>
      <c r="Z27" s="17">
        <f t="shared" si="17"/>
        <v>1.1707865951420696E-3</v>
      </c>
      <c r="AA27" s="18">
        <v>0.1</v>
      </c>
      <c r="AB27" s="16">
        <f t="shared" si="18"/>
        <v>454.89600000000002</v>
      </c>
      <c r="AC27" s="16">
        <v>0</v>
      </c>
      <c r="AD27" s="16">
        <v>0</v>
      </c>
      <c r="AE27" s="16">
        <v>0</v>
      </c>
      <c r="AF27" s="16">
        <f t="shared" si="19"/>
        <v>454.89600000000002</v>
      </c>
      <c r="AG27" s="16">
        <f t="shared" si="31"/>
        <v>72.783360000000002</v>
      </c>
      <c r="AH27" s="16">
        <f t="shared" si="20"/>
        <v>527.67935999999997</v>
      </c>
      <c r="AI27" s="16">
        <f t="shared" si="29"/>
        <v>9.0979200000000002</v>
      </c>
      <c r="AJ27" s="16">
        <v>0</v>
      </c>
      <c r="AK27" s="16">
        <f t="shared" si="21"/>
        <v>9.0979200000000002</v>
      </c>
      <c r="AL27" s="19"/>
      <c r="AM27" s="16">
        <f t="shared" si="22"/>
        <v>445.79808000000003</v>
      </c>
      <c r="AN27" s="16" t="s">
        <v>147</v>
      </c>
      <c r="AO27" s="20">
        <v>0.4</v>
      </c>
      <c r="AP27" s="16">
        <f t="shared" si="23"/>
        <v>178.31923200000003</v>
      </c>
      <c r="AQ27" s="16">
        <v>178.31923200000003</v>
      </c>
      <c r="AR27" s="15">
        <v>45229</v>
      </c>
      <c r="AS27" s="16">
        <f t="shared" si="24"/>
        <v>0</v>
      </c>
      <c r="AT27" s="16"/>
      <c r="AU27" s="16">
        <v>527.67935999999997</v>
      </c>
      <c r="AV27" s="16">
        <f t="shared" si="32"/>
        <v>527.67935999999997</v>
      </c>
      <c r="AW27" s="16">
        <f t="shared" si="25"/>
        <v>0</v>
      </c>
      <c r="AX27" s="16" t="str">
        <f t="shared" si="26"/>
        <v>SUNU</v>
      </c>
      <c r="AY27" s="22">
        <v>45002</v>
      </c>
      <c r="AZ27" s="1" t="s">
        <v>143</v>
      </c>
      <c r="BA27" s="1" t="s">
        <v>148</v>
      </c>
      <c r="BB27" s="22" t="str">
        <f t="shared" si="27"/>
        <v>FIRE</v>
      </c>
      <c r="BC27" s="22"/>
      <c r="BD27" s="22"/>
      <c r="BE27" s="22"/>
    </row>
    <row r="28" spans="1:57" ht="14.25" hidden="1" customHeight="1">
      <c r="A28" s="1" t="s">
        <v>57</v>
      </c>
      <c r="B28" s="1" t="s">
        <v>58</v>
      </c>
      <c r="C28" s="21">
        <v>44951</v>
      </c>
      <c r="D28" s="21">
        <v>44957</v>
      </c>
      <c r="E28" s="21">
        <v>44951</v>
      </c>
      <c r="F28" s="21">
        <v>45315</v>
      </c>
      <c r="G28" s="13" t="str">
        <f t="shared" si="16"/>
        <v>000-027/AIB RDC/2023</v>
      </c>
      <c r="H28" s="1">
        <v>0</v>
      </c>
      <c r="I28" s="1" t="s">
        <v>83</v>
      </c>
      <c r="J28" s="23" t="s">
        <v>149</v>
      </c>
      <c r="K28" s="2" t="s">
        <v>150</v>
      </c>
      <c r="L28" s="24" t="s">
        <v>151</v>
      </c>
      <c r="M28" s="1" t="s">
        <v>95</v>
      </c>
      <c r="N28" s="1" t="s">
        <v>96</v>
      </c>
      <c r="O28" s="1" t="s">
        <v>152</v>
      </c>
      <c r="P28" s="1" t="s">
        <v>108</v>
      </c>
      <c r="Q28" s="1" t="s">
        <v>66</v>
      </c>
      <c r="R28" s="1" t="s">
        <v>66</v>
      </c>
      <c r="S28" s="16">
        <v>4000000</v>
      </c>
      <c r="T28" s="16">
        <v>416835.95</v>
      </c>
      <c r="U28" s="16">
        <v>52761.88</v>
      </c>
      <c r="V28" s="16">
        <v>-17537.759999999998</v>
      </c>
      <c r="W28" s="16">
        <v>1504.92</v>
      </c>
      <c r="X28" s="16">
        <v>298984</v>
      </c>
      <c r="Y28" s="16">
        <v>56520.13</v>
      </c>
      <c r="Z28" s="17">
        <f t="shared" si="17"/>
        <v>7.4746000000000007E-2</v>
      </c>
      <c r="AA28" s="18">
        <v>0.05</v>
      </c>
      <c r="AB28" s="16">
        <v>0</v>
      </c>
      <c r="AC28" s="16">
        <f>50%*(U28+V28)</f>
        <v>17612.059999999998</v>
      </c>
      <c r="AD28" s="16">
        <f>AA28*X28</f>
        <v>14949.2</v>
      </c>
      <c r="AE28" s="16">
        <v>0</v>
      </c>
      <c r="AF28" s="16">
        <f t="shared" si="19"/>
        <v>32561.26</v>
      </c>
      <c r="AG28" s="16">
        <f t="shared" si="31"/>
        <v>5209.8015999999998</v>
      </c>
      <c r="AH28" s="16">
        <f t="shared" si="20"/>
        <v>37771.061600000001</v>
      </c>
      <c r="AI28" s="16">
        <f t="shared" si="29"/>
        <v>651.22519999999997</v>
      </c>
      <c r="AJ28" s="16">
        <v>0</v>
      </c>
      <c r="AK28" s="16">
        <f t="shared" si="21"/>
        <v>651.22519999999997</v>
      </c>
      <c r="AL28" s="19"/>
      <c r="AM28" s="16">
        <f t="shared" si="22"/>
        <v>31910.034799999998</v>
      </c>
      <c r="AN28" s="16"/>
      <c r="AO28" s="20"/>
      <c r="AP28" s="16">
        <f t="shared" si="23"/>
        <v>0</v>
      </c>
      <c r="AQ28" s="16"/>
      <c r="AR28" s="15"/>
      <c r="AS28" s="16">
        <f t="shared" si="24"/>
        <v>0</v>
      </c>
      <c r="AT28" s="16"/>
      <c r="AU28" s="16">
        <v>37771.061600000001</v>
      </c>
      <c r="AV28" s="16">
        <f t="shared" si="32"/>
        <v>37771.061600000001</v>
      </c>
      <c r="AW28" s="16">
        <f t="shared" si="25"/>
        <v>0</v>
      </c>
      <c r="AX28" s="16" t="str">
        <f t="shared" si="26"/>
        <v>SFA</v>
      </c>
      <c r="AY28" s="22">
        <v>44984</v>
      </c>
      <c r="AZ28" s="22"/>
      <c r="BA28" s="22"/>
      <c r="BB28" s="22" t="str">
        <f t="shared" si="27"/>
        <v>BBB</v>
      </c>
      <c r="BC28" s="22"/>
      <c r="BD28" s="22"/>
      <c r="BE28" s="22"/>
    </row>
    <row r="29" spans="1:57" ht="14.25" customHeight="1">
      <c r="A29" s="2" t="s">
        <v>230</v>
      </c>
      <c r="B29" s="1" t="s">
        <v>169</v>
      </c>
      <c r="C29" s="27">
        <v>45163</v>
      </c>
      <c r="D29" s="27"/>
      <c r="E29" s="27">
        <v>45051</v>
      </c>
      <c r="F29" s="21">
        <v>45291</v>
      </c>
      <c r="G29" s="13" t="str">
        <f t="shared" si="16"/>
        <v>000-028/AIB RDC/2023</v>
      </c>
      <c r="H29" s="1">
        <v>1</v>
      </c>
      <c r="I29" s="1" t="s">
        <v>59</v>
      </c>
      <c r="J29" s="14" t="s">
        <v>969</v>
      </c>
      <c r="K29" s="1" t="s">
        <v>970</v>
      </c>
      <c r="L29" s="1" t="s">
        <v>971</v>
      </c>
      <c r="M29" s="1" t="s">
        <v>63</v>
      </c>
      <c r="N29" s="1" t="s">
        <v>434</v>
      </c>
      <c r="O29" s="1" t="s">
        <v>107</v>
      </c>
      <c r="P29" s="1" t="s">
        <v>108</v>
      </c>
      <c r="Q29" s="1" t="s">
        <v>135</v>
      </c>
      <c r="R29" s="1" t="s">
        <v>135</v>
      </c>
      <c r="S29" s="25">
        <v>53814983.68</v>
      </c>
      <c r="T29" s="25">
        <v>112741.97</v>
      </c>
      <c r="U29" s="25">
        <v>0</v>
      </c>
      <c r="V29" s="25">
        <v>0</v>
      </c>
      <c r="W29" s="25">
        <v>100</v>
      </c>
      <c r="X29" s="25">
        <v>95444.04</v>
      </c>
      <c r="Y29" s="25">
        <v>15287.05</v>
      </c>
      <c r="Z29" s="17">
        <f t="shared" si="17"/>
        <v>1.7735588394403095E-3</v>
      </c>
      <c r="AA29" s="18">
        <v>0.1</v>
      </c>
      <c r="AB29" s="16">
        <f t="shared" ref="AB29:AB60" si="33">AA29*X29</f>
        <v>9544.4040000000005</v>
      </c>
      <c r="AC29" s="16">
        <v>0</v>
      </c>
      <c r="AD29" s="16">
        <v>0</v>
      </c>
      <c r="AE29" s="16">
        <v>0</v>
      </c>
      <c r="AF29" s="16">
        <f t="shared" si="19"/>
        <v>9544.4040000000005</v>
      </c>
      <c r="AG29" s="16">
        <f t="shared" si="31"/>
        <v>1527.10464</v>
      </c>
      <c r="AH29" s="16">
        <f t="shared" si="20"/>
        <v>11071.50864</v>
      </c>
      <c r="AI29" s="16">
        <f t="shared" si="29"/>
        <v>190.88808</v>
      </c>
      <c r="AJ29" s="16">
        <v>0</v>
      </c>
      <c r="AK29" s="16">
        <f t="shared" si="21"/>
        <v>190.88808</v>
      </c>
      <c r="AL29" s="19"/>
      <c r="AM29" s="16">
        <f t="shared" si="22"/>
        <v>9353.5159199999998</v>
      </c>
      <c r="AN29" s="16" t="s">
        <v>77</v>
      </c>
      <c r="AO29" s="20"/>
      <c r="AP29" s="16">
        <f t="shared" si="23"/>
        <v>0</v>
      </c>
      <c r="AQ29" s="16"/>
      <c r="AR29" s="15"/>
      <c r="AS29" s="16">
        <f t="shared" si="24"/>
        <v>0</v>
      </c>
      <c r="AT29" s="16"/>
      <c r="AU29" s="16"/>
      <c r="AV29" s="16">
        <f t="shared" si="32"/>
        <v>11071.50864</v>
      </c>
      <c r="AW29" s="60">
        <f t="shared" si="25"/>
        <v>11071.50864</v>
      </c>
      <c r="AX29" s="16" t="str">
        <f t="shared" si="26"/>
        <v>RAWSUR</v>
      </c>
      <c r="AY29" s="22"/>
      <c r="AZ29" s="22"/>
      <c r="BA29" s="1"/>
      <c r="BB29" s="22"/>
      <c r="BC29" s="1"/>
      <c r="BD29" s="1"/>
      <c r="BE29" s="1" t="s">
        <v>972</v>
      </c>
    </row>
    <row r="30" spans="1:57" ht="14.25" hidden="1" customHeight="1">
      <c r="A30" s="1" t="s">
        <v>157</v>
      </c>
      <c r="B30" s="1" t="s">
        <v>58</v>
      </c>
      <c r="C30" s="21">
        <v>44957</v>
      </c>
      <c r="D30" s="21">
        <v>44970</v>
      </c>
      <c r="E30" s="21">
        <v>44970</v>
      </c>
      <c r="F30" s="21">
        <v>45334</v>
      </c>
      <c r="G30" s="13" t="str">
        <f t="shared" si="16"/>
        <v>000-029/AIB RDC/2023</v>
      </c>
      <c r="H30" s="1">
        <v>0</v>
      </c>
      <c r="I30" s="1" t="s">
        <v>83</v>
      </c>
      <c r="J30" s="14" t="s">
        <v>158</v>
      </c>
      <c r="K30" s="1" t="s">
        <v>159</v>
      </c>
      <c r="L30" s="15"/>
      <c r="M30" s="1" t="s">
        <v>95</v>
      </c>
      <c r="N30" s="1" t="s">
        <v>146</v>
      </c>
      <c r="O30" s="1" t="s">
        <v>104</v>
      </c>
      <c r="P30" s="1" t="s">
        <v>105</v>
      </c>
      <c r="Q30" s="1" t="s">
        <v>66</v>
      </c>
      <c r="R30" s="1" t="s">
        <v>66</v>
      </c>
      <c r="S30" s="16">
        <v>6040.04</v>
      </c>
      <c r="T30" s="16">
        <v>65</v>
      </c>
      <c r="U30" s="16">
        <v>0</v>
      </c>
      <c r="V30" s="16">
        <v>0</v>
      </c>
      <c r="W30" s="16">
        <v>0.81</v>
      </c>
      <c r="X30" s="16">
        <v>54.28</v>
      </c>
      <c r="Y30" s="16">
        <v>8.81</v>
      </c>
      <c r="Z30" s="17">
        <f t="shared" si="17"/>
        <v>8.9866954523479987E-3</v>
      </c>
      <c r="AA30" s="18">
        <v>0.15</v>
      </c>
      <c r="AB30" s="16">
        <f t="shared" si="33"/>
        <v>8.1419999999999995</v>
      </c>
      <c r="AC30" s="16">
        <v>0</v>
      </c>
      <c r="AD30" s="16">
        <v>0</v>
      </c>
      <c r="AE30" s="16">
        <v>0</v>
      </c>
      <c r="AF30" s="16">
        <f t="shared" si="19"/>
        <v>8.1419999999999995</v>
      </c>
      <c r="AG30" s="16">
        <f t="shared" si="31"/>
        <v>1.3027199999999999</v>
      </c>
      <c r="AH30" s="16">
        <f t="shared" si="20"/>
        <v>9.4447200000000002</v>
      </c>
      <c r="AI30" s="16">
        <f t="shared" si="29"/>
        <v>0.16283999999999998</v>
      </c>
      <c r="AJ30" s="16">
        <v>0</v>
      </c>
      <c r="AK30" s="16">
        <f t="shared" si="21"/>
        <v>0.16283999999999998</v>
      </c>
      <c r="AL30" s="19"/>
      <c r="AM30" s="16">
        <f t="shared" si="22"/>
        <v>7.9791599999999994</v>
      </c>
      <c r="AN30" s="16" t="s">
        <v>147</v>
      </c>
      <c r="AO30" s="20">
        <v>0.4</v>
      </c>
      <c r="AP30" s="16">
        <f t="shared" si="23"/>
        <v>3.1916639999999998</v>
      </c>
      <c r="AQ30" s="16">
        <v>3.1916639999999998</v>
      </c>
      <c r="AR30" s="15">
        <v>45229</v>
      </c>
      <c r="AS30" s="16">
        <f t="shared" si="24"/>
        <v>0</v>
      </c>
      <c r="AT30" s="16"/>
      <c r="AU30" s="16">
        <v>9.4447200000000002</v>
      </c>
      <c r="AV30" s="16">
        <f t="shared" si="32"/>
        <v>9.4447200000000002</v>
      </c>
      <c r="AW30" s="16">
        <f t="shared" si="25"/>
        <v>0</v>
      </c>
      <c r="AX30" s="16" t="str">
        <f t="shared" si="26"/>
        <v>SFA</v>
      </c>
      <c r="AY30" s="22">
        <v>45005</v>
      </c>
      <c r="AZ30" s="22"/>
      <c r="BA30" s="1" t="s">
        <v>148</v>
      </c>
      <c r="BB30" s="22" t="str">
        <f t="shared" ref="BB30:BB35" si="34">O30</f>
        <v>MARINE CARGO / GIT</v>
      </c>
      <c r="BC30" s="22"/>
      <c r="BD30" s="22"/>
      <c r="BE30" s="22"/>
    </row>
    <row r="31" spans="1:57" ht="14.25" hidden="1" customHeight="1">
      <c r="A31" s="1" t="s">
        <v>57</v>
      </c>
      <c r="B31" s="1" t="s">
        <v>58</v>
      </c>
      <c r="C31" s="21">
        <v>44957</v>
      </c>
      <c r="D31" s="21">
        <v>44951</v>
      </c>
      <c r="E31" s="21">
        <v>44951</v>
      </c>
      <c r="F31" s="21">
        <v>45315</v>
      </c>
      <c r="G31" s="13" t="str">
        <f t="shared" si="16"/>
        <v>000-030/AIB RDC/2023</v>
      </c>
      <c r="H31" s="1">
        <v>0</v>
      </c>
      <c r="I31" s="1" t="s">
        <v>83</v>
      </c>
      <c r="J31" s="14" t="s">
        <v>160</v>
      </c>
      <c r="K31" s="1" t="s">
        <v>161</v>
      </c>
      <c r="L31" s="15"/>
      <c r="M31" s="1" t="s">
        <v>95</v>
      </c>
      <c r="N31" s="1" t="s">
        <v>146</v>
      </c>
      <c r="O31" s="1" t="s">
        <v>104</v>
      </c>
      <c r="P31" s="1" t="s">
        <v>105</v>
      </c>
      <c r="Q31" s="1" t="s">
        <v>66</v>
      </c>
      <c r="R31" s="1" t="s">
        <v>66</v>
      </c>
      <c r="S31" s="16">
        <v>26950</v>
      </c>
      <c r="T31" s="16">
        <v>65</v>
      </c>
      <c r="U31" s="16">
        <v>0</v>
      </c>
      <c r="V31" s="16">
        <v>0</v>
      </c>
      <c r="W31" s="16">
        <v>0.81</v>
      </c>
      <c r="X31" s="16">
        <v>54.28</v>
      </c>
      <c r="Y31" s="16">
        <v>8.81</v>
      </c>
      <c r="Z31" s="17">
        <f t="shared" si="17"/>
        <v>2.0141001855287569E-3</v>
      </c>
      <c r="AA31" s="18">
        <v>0.15</v>
      </c>
      <c r="AB31" s="16">
        <f t="shared" si="33"/>
        <v>8.1419999999999995</v>
      </c>
      <c r="AC31" s="16">
        <v>0</v>
      </c>
      <c r="AD31" s="16">
        <v>0</v>
      </c>
      <c r="AE31" s="16">
        <v>0</v>
      </c>
      <c r="AF31" s="16">
        <f t="shared" si="19"/>
        <v>8.1419999999999995</v>
      </c>
      <c r="AG31" s="16">
        <f t="shared" si="31"/>
        <v>1.3027199999999999</v>
      </c>
      <c r="AH31" s="16">
        <f t="shared" si="20"/>
        <v>9.4447200000000002</v>
      </c>
      <c r="AI31" s="16">
        <f t="shared" si="29"/>
        <v>0.16283999999999998</v>
      </c>
      <c r="AJ31" s="16">
        <v>0</v>
      </c>
      <c r="AK31" s="16">
        <f t="shared" si="21"/>
        <v>0.16283999999999998</v>
      </c>
      <c r="AL31" s="19"/>
      <c r="AM31" s="16">
        <f t="shared" si="22"/>
        <v>7.9791599999999994</v>
      </c>
      <c r="AN31" s="16" t="s">
        <v>147</v>
      </c>
      <c r="AO31" s="20">
        <v>0.4</v>
      </c>
      <c r="AP31" s="16">
        <f t="shared" si="23"/>
        <v>3.1916639999999998</v>
      </c>
      <c r="AQ31" s="16">
        <v>3.1916639999999998</v>
      </c>
      <c r="AR31" s="15">
        <v>45229</v>
      </c>
      <c r="AS31" s="16">
        <f t="shared" si="24"/>
        <v>0</v>
      </c>
      <c r="AT31" s="16"/>
      <c r="AU31" s="16">
        <v>9.4447200000000002</v>
      </c>
      <c r="AV31" s="16">
        <f t="shared" si="32"/>
        <v>9.4447200000000002</v>
      </c>
      <c r="AW31" s="16">
        <f t="shared" si="25"/>
        <v>0</v>
      </c>
      <c r="AX31" s="16" t="str">
        <f t="shared" si="26"/>
        <v>SFA</v>
      </c>
      <c r="AY31" s="22">
        <v>44984</v>
      </c>
      <c r="AZ31" s="22"/>
      <c r="BA31" s="1" t="s">
        <v>148</v>
      </c>
      <c r="BB31" s="22" t="str">
        <f t="shared" si="34"/>
        <v>MARINE CARGO / GIT</v>
      </c>
      <c r="BC31" s="22"/>
      <c r="BD31" s="22"/>
      <c r="BE31" s="22"/>
    </row>
    <row r="32" spans="1:57" ht="14.25" hidden="1" customHeight="1">
      <c r="A32" s="1" t="s">
        <v>157</v>
      </c>
      <c r="B32" s="1" t="s">
        <v>58</v>
      </c>
      <c r="C32" s="21">
        <v>44957</v>
      </c>
      <c r="D32" s="21">
        <v>44970</v>
      </c>
      <c r="E32" s="21">
        <v>44970</v>
      </c>
      <c r="F32" s="21">
        <v>45334</v>
      </c>
      <c r="G32" s="13" t="str">
        <f t="shared" si="16"/>
        <v>000-031/AIB RDC/2023</v>
      </c>
      <c r="H32" s="1">
        <v>0</v>
      </c>
      <c r="I32" s="1" t="s">
        <v>83</v>
      </c>
      <c r="J32" s="14" t="s">
        <v>162</v>
      </c>
      <c r="K32" s="1" t="s">
        <v>163</v>
      </c>
      <c r="L32" s="15"/>
      <c r="M32" s="1" t="s">
        <v>95</v>
      </c>
      <c r="N32" s="1" t="s">
        <v>146</v>
      </c>
      <c r="O32" s="1" t="s">
        <v>104</v>
      </c>
      <c r="P32" s="1" t="s">
        <v>105</v>
      </c>
      <c r="Q32" s="1" t="s">
        <v>66</v>
      </c>
      <c r="R32" s="1" t="s">
        <v>66</v>
      </c>
      <c r="S32" s="16">
        <v>23478.799999999999</v>
      </c>
      <c r="T32" s="16">
        <v>65</v>
      </c>
      <c r="U32" s="16">
        <v>0</v>
      </c>
      <c r="V32" s="16">
        <v>0</v>
      </c>
      <c r="W32" s="16">
        <v>0.81</v>
      </c>
      <c r="X32" s="16">
        <v>54.28</v>
      </c>
      <c r="Y32" s="16">
        <v>8.81</v>
      </c>
      <c r="Z32" s="17">
        <f t="shared" si="17"/>
        <v>2.3118728384755611E-3</v>
      </c>
      <c r="AA32" s="18">
        <v>0.15</v>
      </c>
      <c r="AB32" s="16">
        <f t="shared" si="33"/>
        <v>8.1419999999999995</v>
      </c>
      <c r="AC32" s="16">
        <v>0</v>
      </c>
      <c r="AD32" s="16">
        <v>0</v>
      </c>
      <c r="AE32" s="16">
        <v>0</v>
      </c>
      <c r="AF32" s="16">
        <f t="shared" si="19"/>
        <v>8.1419999999999995</v>
      </c>
      <c r="AG32" s="16">
        <f t="shared" si="31"/>
        <v>1.3027199999999999</v>
      </c>
      <c r="AH32" s="16">
        <f t="shared" si="20"/>
        <v>9.4447200000000002</v>
      </c>
      <c r="AI32" s="16">
        <f t="shared" si="29"/>
        <v>0.16283999999999998</v>
      </c>
      <c r="AJ32" s="16">
        <v>0</v>
      </c>
      <c r="AK32" s="16">
        <f t="shared" si="21"/>
        <v>0.16283999999999998</v>
      </c>
      <c r="AL32" s="19"/>
      <c r="AM32" s="16">
        <f t="shared" si="22"/>
        <v>7.9791599999999994</v>
      </c>
      <c r="AN32" s="16" t="s">
        <v>147</v>
      </c>
      <c r="AO32" s="20">
        <v>0.4</v>
      </c>
      <c r="AP32" s="16">
        <f t="shared" si="23"/>
        <v>3.1916639999999998</v>
      </c>
      <c r="AQ32" s="16">
        <v>3.1916639999999998</v>
      </c>
      <c r="AR32" s="15">
        <v>45229</v>
      </c>
      <c r="AS32" s="16">
        <f t="shared" si="24"/>
        <v>0</v>
      </c>
      <c r="AT32" s="16"/>
      <c r="AU32" s="16">
        <v>9.4447200000000002</v>
      </c>
      <c r="AV32" s="16">
        <f t="shared" si="32"/>
        <v>9.4447200000000002</v>
      </c>
      <c r="AW32" s="16">
        <f t="shared" si="25"/>
        <v>0</v>
      </c>
      <c r="AX32" s="16" t="str">
        <f t="shared" si="26"/>
        <v>SFA</v>
      </c>
      <c r="AY32" s="22">
        <v>45005</v>
      </c>
      <c r="AZ32" s="22"/>
      <c r="BA32" s="1" t="s">
        <v>148</v>
      </c>
      <c r="BB32" s="22" t="str">
        <f t="shared" si="34"/>
        <v>MARINE CARGO / GIT</v>
      </c>
      <c r="BC32" s="22"/>
      <c r="BD32" s="22"/>
      <c r="BE32" s="22"/>
    </row>
    <row r="33" spans="1:57" ht="14.25" hidden="1" customHeight="1">
      <c r="A33" s="1" t="s">
        <v>157</v>
      </c>
      <c r="B33" s="1" t="s">
        <v>58</v>
      </c>
      <c r="C33" s="21">
        <v>44957</v>
      </c>
      <c r="D33" s="21">
        <v>44970</v>
      </c>
      <c r="E33" s="21">
        <v>44970</v>
      </c>
      <c r="F33" s="21">
        <v>45334</v>
      </c>
      <c r="G33" s="13" t="str">
        <f t="shared" si="16"/>
        <v>000-032/AIB RDC/2023</v>
      </c>
      <c r="H33" s="1">
        <v>0</v>
      </c>
      <c r="I33" s="1" t="s">
        <v>83</v>
      </c>
      <c r="J33" s="14" t="s">
        <v>164</v>
      </c>
      <c r="K33" s="1" t="s">
        <v>163</v>
      </c>
      <c r="L33" s="15"/>
      <c r="M33" s="1" t="s">
        <v>95</v>
      </c>
      <c r="N33" s="1" t="s">
        <v>146</v>
      </c>
      <c r="O33" s="1" t="s">
        <v>104</v>
      </c>
      <c r="P33" s="1" t="s">
        <v>105</v>
      </c>
      <c r="Q33" s="1" t="s">
        <v>66</v>
      </c>
      <c r="R33" s="1" t="s">
        <v>66</v>
      </c>
      <c r="S33" s="16">
        <v>20040.66</v>
      </c>
      <c r="T33" s="16">
        <v>65</v>
      </c>
      <c r="U33" s="16">
        <v>0</v>
      </c>
      <c r="V33" s="16">
        <v>0</v>
      </c>
      <c r="W33" s="16">
        <v>0.81</v>
      </c>
      <c r="X33" s="16">
        <v>54.28</v>
      </c>
      <c r="Y33" s="16">
        <v>8.81</v>
      </c>
      <c r="Z33" s="17">
        <f t="shared" si="17"/>
        <v>2.7084936324452387E-3</v>
      </c>
      <c r="AA33" s="18">
        <v>0.15</v>
      </c>
      <c r="AB33" s="16">
        <f t="shared" si="33"/>
        <v>8.1419999999999995</v>
      </c>
      <c r="AC33" s="16">
        <v>0</v>
      </c>
      <c r="AD33" s="16">
        <v>0</v>
      </c>
      <c r="AE33" s="16">
        <v>0</v>
      </c>
      <c r="AF33" s="16">
        <f t="shared" si="19"/>
        <v>8.1419999999999995</v>
      </c>
      <c r="AG33" s="16">
        <f t="shared" si="31"/>
        <v>1.3027199999999999</v>
      </c>
      <c r="AH33" s="16">
        <f t="shared" si="20"/>
        <v>9.4447200000000002</v>
      </c>
      <c r="AI33" s="16">
        <f t="shared" si="29"/>
        <v>0.16283999999999998</v>
      </c>
      <c r="AJ33" s="16">
        <v>0</v>
      </c>
      <c r="AK33" s="16">
        <f t="shared" si="21"/>
        <v>0.16283999999999998</v>
      </c>
      <c r="AL33" s="19"/>
      <c r="AM33" s="16">
        <f t="shared" si="22"/>
        <v>7.9791599999999994</v>
      </c>
      <c r="AN33" s="16" t="s">
        <v>147</v>
      </c>
      <c r="AO33" s="20">
        <v>0.4</v>
      </c>
      <c r="AP33" s="16">
        <f t="shared" si="23"/>
        <v>3.1916639999999998</v>
      </c>
      <c r="AQ33" s="16">
        <v>3.1916639999999998</v>
      </c>
      <c r="AR33" s="15">
        <v>45229</v>
      </c>
      <c r="AS33" s="16">
        <f t="shared" si="24"/>
        <v>0</v>
      </c>
      <c r="AT33" s="16"/>
      <c r="AU33" s="16">
        <v>9.4447200000000002</v>
      </c>
      <c r="AV33" s="16">
        <f t="shared" si="32"/>
        <v>9.4447200000000002</v>
      </c>
      <c r="AW33" s="16">
        <f t="shared" si="25"/>
        <v>0</v>
      </c>
      <c r="AX33" s="16" t="str">
        <f t="shared" si="26"/>
        <v>SFA</v>
      </c>
      <c r="AY33" s="22">
        <v>45005</v>
      </c>
      <c r="AZ33" s="22"/>
      <c r="BA33" s="1" t="s">
        <v>148</v>
      </c>
      <c r="BB33" s="22" t="str">
        <f t="shared" si="34"/>
        <v>MARINE CARGO / GIT</v>
      </c>
      <c r="BC33" s="22"/>
      <c r="BD33" s="22"/>
      <c r="BE33" s="22"/>
    </row>
    <row r="34" spans="1:57" ht="14.25" hidden="1" customHeight="1">
      <c r="A34" s="1" t="s">
        <v>165</v>
      </c>
      <c r="B34" s="1" t="s">
        <v>58</v>
      </c>
      <c r="C34" s="21">
        <v>44959</v>
      </c>
      <c r="D34" s="21">
        <v>44996</v>
      </c>
      <c r="E34" s="21">
        <v>44995</v>
      </c>
      <c r="F34" s="21">
        <v>45359</v>
      </c>
      <c r="G34" s="13" t="str">
        <f t="shared" si="16"/>
        <v>000-033/AIB RDC/2023</v>
      </c>
      <c r="H34" s="1">
        <v>0</v>
      </c>
      <c r="I34" s="1" t="s">
        <v>83</v>
      </c>
      <c r="J34" s="14" t="s">
        <v>166</v>
      </c>
      <c r="K34" s="1" t="s">
        <v>167</v>
      </c>
      <c r="L34" s="15"/>
      <c r="M34" s="1" t="s">
        <v>95</v>
      </c>
      <c r="N34" s="1" t="s">
        <v>146</v>
      </c>
      <c r="O34" s="1" t="s">
        <v>104</v>
      </c>
      <c r="P34" s="1" t="s">
        <v>105</v>
      </c>
      <c r="Q34" s="1" t="s">
        <v>66</v>
      </c>
      <c r="R34" s="1" t="s">
        <v>66</v>
      </c>
      <c r="S34" s="16">
        <v>712662.74</v>
      </c>
      <c r="T34" s="16">
        <v>1331.35</v>
      </c>
      <c r="U34" s="16">
        <v>0</v>
      </c>
      <c r="V34" s="16">
        <v>0</v>
      </c>
      <c r="W34" s="16">
        <v>16.68</v>
      </c>
      <c r="X34" s="16">
        <v>1111.75</v>
      </c>
      <c r="Y34" s="16">
        <v>180.55</v>
      </c>
      <c r="Z34" s="17">
        <f t="shared" si="17"/>
        <v>1.5599945634873517E-3</v>
      </c>
      <c r="AA34" s="18">
        <v>0.15</v>
      </c>
      <c r="AB34" s="16">
        <f t="shared" si="33"/>
        <v>166.76249999999999</v>
      </c>
      <c r="AC34" s="16">
        <v>0</v>
      </c>
      <c r="AD34" s="16">
        <v>0</v>
      </c>
      <c r="AE34" s="16">
        <v>0</v>
      </c>
      <c r="AF34" s="16">
        <f t="shared" si="19"/>
        <v>166.76249999999999</v>
      </c>
      <c r="AG34" s="16">
        <f t="shared" si="31"/>
        <v>26.681999999999999</v>
      </c>
      <c r="AH34" s="16">
        <f t="shared" si="20"/>
        <v>193.44449999999998</v>
      </c>
      <c r="AI34" s="16">
        <f t="shared" si="29"/>
        <v>3.3352499999999998</v>
      </c>
      <c r="AJ34" s="16">
        <v>0</v>
      </c>
      <c r="AK34" s="16">
        <f t="shared" si="21"/>
        <v>3.3352499999999998</v>
      </c>
      <c r="AL34" s="19"/>
      <c r="AM34" s="16">
        <f t="shared" si="22"/>
        <v>163.42724999999999</v>
      </c>
      <c r="AN34" s="16" t="s">
        <v>147</v>
      </c>
      <c r="AO34" s="20">
        <v>0.4</v>
      </c>
      <c r="AP34" s="16">
        <f t="shared" si="23"/>
        <v>65.370899999999992</v>
      </c>
      <c r="AQ34" s="16">
        <v>65.370899999999992</v>
      </c>
      <c r="AR34" s="15">
        <v>45229</v>
      </c>
      <c r="AS34" s="16">
        <f t="shared" si="24"/>
        <v>0</v>
      </c>
      <c r="AT34" s="16"/>
      <c r="AU34" s="16">
        <v>193.44449999999998</v>
      </c>
      <c r="AV34" s="16">
        <f t="shared" si="32"/>
        <v>193.44449999999998</v>
      </c>
      <c r="AW34" s="16">
        <f t="shared" si="25"/>
        <v>0</v>
      </c>
      <c r="AX34" s="16" t="str">
        <f t="shared" si="26"/>
        <v>SFA</v>
      </c>
      <c r="AY34" s="22">
        <v>45070</v>
      </c>
      <c r="AZ34" s="22"/>
      <c r="BA34" s="1" t="s">
        <v>148</v>
      </c>
      <c r="BB34" s="22" t="str">
        <f t="shared" si="34"/>
        <v>MARINE CARGO / GIT</v>
      </c>
      <c r="BC34" s="22"/>
      <c r="BD34" s="22"/>
      <c r="BE34" s="22"/>
    </row>
    <row r="35" spans="1:57" ht="14.25" hidden="1" customHeight="1">
      <c r="A35" s="1" t="s">
        <v>57</v>
      </c>
      <c r="B35" s="1" t="s">
        <v>58</v>
      </c>
      <c r="C35" s="21">
        <v>44959</v>
      </c>
      <c r="D35" s="21">
        <v>44996</v>
      </c>
      <c r="E35" s="21">
        <v>44946</v>
      </c>
      <c r="F35" s="21">
        <v>45310</v>
      </c>
      <c r="G35" s="13" t="str">
        <f t="shared" si="16"/>
        <v>000-034/AIB RDC/2023</v>
      </c>
      <c r="H35" s="1">
        <v>0</v>
      </c>
      <c r="I35" s="1" t="s">
        <v>83</v>
      </c>
      <c r="J35" s="14" t="s">
        <v>168</v>
      </c>
      <c r="K35" s="1" t="s">
        <v>167</v>
      </c>
      <c r="L35" s="15"/>
      <c r="M35" s="1" t="s">
        <v>95</v>
      </c>
      <c r="N35" s="1" t="s">
        <v>146</v>
      </c>
      <c r="O35" s="1" t="s">
        <v>104</v>
      </c>
      <c r="P35" s="1" t="s">
        <v>105</v>
      </c>
      <c r="Q35" s="1" t="s">
        <v>66</v>
      </c>
      <c r="R35" s="1" t="s">
        <v>66</v>
      </c>
      <c r="S35" s="16">
        <v>23339.43</v>
      </c>
      <c r="T35" s="16">
        <v>65</v>
      </c>
      <c r="U35" s="16">
        <v>0</v>
      </c>
      <c r="V35" s="16">
        <v>0</v>
      </c>
      <c r="W35" s="16">
        <v>0.81</v>
      </c>
      <c r="X35" s="16">
        <v>54.28</v>
      </c>
      <c r="Y35" s="16">
        <v>8.81</v>
      </c>
      <c r="Z35" s="17">
        <f t="shared" si="17"/>
        <v>2.3256780478357868E-3</v>
      </c>
      <c r="AA35" s="18">
        <v>0.15</v>
      </c>
      <c r="AB35" s="16">
        <f t="shared" si="33"/>
        <v>8.1419999999999995</v>
      </c>
      <c r="AC35" s="16">
        <v>0</v>
      </c>
      <c r="AD35" s="16">
        <v>0</v>
      </c>
      <c r="AE35" s="16">
        <v>0</v>
      </c>
      <c r="AF35" s="16">
        <f t="shared" si="19"/>
        <v>8.1419999999999995</v>
      </c>
      <c r="AG35" s="16">
        <f t="shared" si="31"/>
        <v>1.3027199999999999</v>
      </c>
      <c r="AH35" s="16">
        <f t="shared" si="20"/>
        <v>9.4447200000000002</v>
      </c>
      <c r="AI35" s="16">
        <f t="shared" si="29"/>
        <v>0.16283999999999998</v>
      </c>
      <c r="AJ35" s="16">
        <v>0</v>
      </c>
      <c r="AK35" s="16">
        <f t="shared" si="21"/>
        <v>0.16283999999999998</v>
      </c>
      <c r="AL35" s="19"/>
      <c r="AM35" s="16">
        <f t="shared" si="22"/>
        <v>7.9791599999999994</v>
      </c>
      <c r="AN35" s="16" t="s">
        <v>147</v>
      </c>
      <c r="AO35" s="20">
        <v>0.4</v>
      </c>
      <c r="AP35" s="16">
        <f t="shared" si="23"/>
        <v>3.1916639999999998</v>
      </c>
      <c r="AQ35" s="16">
        <v>3.1916639999999998</v>
      </c>
      <c r="AR35" s="15">
        <v>45229</v>
      </c>
      <c r="AS35" s="16">
        <f t="shared" si="24"/>
        <v>0</v>
      </c>
      <c r="AT35" s="16"/>
      <c r="AU35" s="16">
        <v>9.4447200000000002</v>
      </c>
      <c r="AV35" s="16">
        <f t="shared" si="32"/>
        <v>9.4447200000000002</v>
      </c>
      <c r="AW35" s="16">
        <f t="shared" si="25"/>
        <v>0</v>
      </c>
      <c r="AX35" s="16" t="str">
        <f t="shared" si="26"/>
        <v>SFA</v>
      </c>
      <c r="AY35" s="22">
        <v>45070</v>
      </c>
      <c r="AZ35" s="22"/>
      <c r="BA35" s="1" t="s">
        <v>148</v>
      </c>
      <c r="BB35" s="22" t="str">
        <f t="shared" si="34"/>
        <v>MARINE CARGO / GIT</v>
      </c>
      <c r="BC35" s="22"/>
      <c r="BD35" s="22"/>
      <c r="BE35" s="22"/>
    </row>
    <row r="36" spans="1:57" ht="14.25" customHeight="1">
      <c r="A36" s="2" t="s">
        <v>212</v>
      </c>
      <c r="B36" s="1" t="s">
        <v>169</v>
      </c>
      <c r="C36" s="27">
        <v>45162</v>
      </c>
      <c r="D36" s="27">
        <v>45146</v>
      </c>
      <c r="E36" s="27">
        <v>45078</v>
      </c>
      <c r="F36" s="21">
        <v>45291</v>
      </c>
      <c r="G36" s="13" t="str">
        <f t="shared" si="16"/>
        <v>000-035/AIB RDC/2023</v>
      </c>
      <c r="H36" s="1">
        <v>1</v>
      </c>
      <c r="I36" s="1" t="s">
        <v>59</v>
      </c>
      <c r="J36" s="14" t="s">
        <v>966</v>
      </c>
      <c r="K36" s="1" t="s">
        <v>964</v>
      </c>
      <c r="L36" s="1" t="s">
        <v>965</v>
      </c>
      <c r="M36" s="1" t="s">
        <v>63</v>
      </c>
      <c r="N36" s="1" t="s">
        <v>64</v>
      </c>
      <c r="O36" s="1" t="s">
        <v>107</v>
      </c>
      <c r="P36" s="1" t="s">
        <v>108</v>
      </c>
      <c r="Q36" s="1" t="s">
        <v>127</v>
      </c>
      <c r="R36" s="1" t="s">
        <v>127</v>
      </c>
      <c r="S36" s="25">
        <v>81443.3</v>
      </c>
      <c r="T36" s="25">
        <v>223</v>
      </c>
      <c r="U36" s="25">
        <v>0</v>
      </c>
      <c r="V36" s="25">
        <v>0</v>
      </c>
      <c r="W36" s="25">
        <v>20</v>
      </c>
      <c r="X36" s="25">
        <v>169</v>
      </c>
      <c r="Y36" s="25">
        <v>30</v>
      </c>
      <c r="Z36" s="17">
        <f t="shared" si="17"/>
        <v>2.0750632648726167E-3</v>
      </c>
      <c r="AA36" s="18">
        <v>0.1</v>
      </c>
      <c r="AB36" s="16">
        <f t="shared" si="33"/>
        <v>16.900000000000002</v>
      </c>
      <c r="AC36" s="16">
        <v>0</v>
      </c>
      <c r="AD36" s="16">
        <v>0</v>
      </c>
      <c r="AE36" s="16">
        <v>0</v>
      </c>
      <c r="AF36" s="16">
        <f t="shared" si="19"/>
        <v>16.900000000000002</v>
      </c>
      <c r="AG36" s="16">
        <f t="shared" si="31"/>
        <v>2.7040000000000002</v>
      </c>
      <c r="AH36" s="16">
        <f t="shared" si="20"/>
        <v>19.604000000000003</v>
      </c>
      <c r="AI36" s="16">
        <f t="shared" si="29"/>
        <v>0.33800000000000002</v>
      </c>
      <c r="AJ36" s="16">
        <v>0</v>
      </c>
      <c r="AK36" s="16">
        <f t="shared" si="21"/>
        <v>0.33800000000000002</v>
      </c>
      <c r="AL36" s="19"/>
      <c r="AM36" s="16">
        <f t="shared" si="22"/>
        <v>16.562000000000001</v>
      </c>
      <c r="AN36" s="16" t="s">
        <v>319</v>
      </c>
      <c r="AO36" s="20"/>
      <c r="AP36" s="16">
        <f t="shared" si="23"/>
        <v>0</v>
      </c>
      <c r="AQ36" s="16"/>
      <c r="AR36" s="15"/>
      <c r="AS36" s="16">
        <f t="shared" si="24"/>
        <v>0</v>
      </c>
      <c r="AT36" s="16"/>
      <c r="AU36" s="16"/>
      <c r="AV36" s="16">
        <f t="shared" si="32"/>
        <v>19.604000000000003</v>
      </c>
      <c r="AW36" s="60">
        <f t="shared" si="25"/>
        <v>19.604000000000003</v>
      </c>
      <c r="AX36" s="16" t="str">
        <f t="shared" si="26"/>
        <v>MAYFAIR</v>
      </c>
      <c r="AY36" s="22"/>
      <c r="AZ36" s="22"/>
      <c r="BA36" s="1"/>
      <c r="BB36" s="22"/>
      <c r="BC36" s="1"/>
      <c r="BD36" s="1"/>
      <c r="BE36" s="1"/>
    </row>
    <row r="37" spans="1:57" ht="14.25" hidden="1" customHeight="1">
      <c r="A37" s="1" t="s">
        <v>157</v>
      </c>
      <c r="B37" s="1" t="s">
        <v>58</v>
      </c>
      <c r="C37" s="21">
        <v>44959</v>
      </c>
      <c r="D37" s="21">
        <v>44982</v>
      </c>
      <c r="E37" s="21">
        <v>44982</v>
      </c>
      <c r="F37" s="21">
        <v>45346</v>
      </c>
      <c r="G37" s="13" t="str">
        <f t="shared" si="16"/>
        <v>000-036/AIB RDC/2023</v>
      </c>
      <c r="H37" s="1">
        <v>0</v>
      </c>
      <c r="I37" s="1" t="s">
        <v>83</v>
      </c>
      <c r="J37" s="14" t="s">
        <v>173</v>
      </c>
      <c r="K37" s="1" t="s">
        <v>167</v>
      </c>
      <c r="L37" s="15"/>
      <c r="M37" s="1" t="s">
        <v>95</v>
      </c>
      <c r="N37" s="1" t="s">
        <v>146</v>
      </c>
      <c r="O37" s="1" t="s">
        <v>104</v>
      </c>
      <c r="P37" s="1" t="s">
        <v>105</v>
      </c>
      <c r="Q37" s="1" t="s">
        <v>66</v>
      </c>
      <c r="R37" s="1" t="s">
        <v>66</v>
      </c>
      <c r="S37" s="16">
        <v>29431.15</v>
      </c>
      <c r="T37" s="16">
        <v>65</v>
      </c>
      <c r="U37" s="25">
        <v>0</v>
      </c>
      <c r="V37" s="25">
        <v>0</v>
      </c>
      <c r="W37" s="16">
        <v>0.81</v>
      </c>
      <c r="X37" s="16">
        <v>54.28</v>
      </c>
      <c r="Y37" s="16">
        <v>8.81</v>
      </c>
      <c r="Z37" s="17">
        <f t="shared" si="17"/>
        <v>1.844304418957465E-3</v>
      </c>
      <c r="AA37" s="18">
        <v>0.15</v>
      </c>
      <c r="AB37" s="16">
        <f t="shared" si="33"/>
        <v>8.1419999999999995</v>
      </c>
      <c r="AC37" s="16">
        <v>0</v>
      </c>
      <c r="AD37" s="16">
        <v>0</v>
      </c>
      <c r="AE37" s="16">
        <v>0</v>
      </c>
      <c r="AF37" s="16">
        <f t="shared" si="19"/>
        <v>8.1419999999999995</v>
      </c>
      <c r="AG37" s="16">
        <f t="shared" si="31"/>
        <v>1.3027199999999999</v>
      </c>
      <c r="AH37" s="16">
        <f t="shared" si="20"/>
        <v>9.4447200000000002</v>
      </c>
      <c r="AI37" s="16">
        <f t="shared" si="29"/>
        <v>0.16283999999999998</v>
      </c>
      <c r="AJ37" s="16">
        <v>0</v>
      </c>
      <c r="AK37" s="16">
        <f t="shared" si="21"/>
        <v>0.16283999999999998</v>
      </c>
      <c r="AL37" s="19"/>
      <c r="AM37" s="16">
        <f t="shared" si="22"/>
        <v>7.9791599999999994</v>
      </c>
      <c r="AN37" s="16" t="s">
        <v>147</v>
      </c>
      <c r="AO37" s="20">
        <v>0.4</v>
      </c>
      <c r="AP37" s="16">
        <f t="shared" si="23"/>
        <v>3.1916639999999998</v>
      </c>
      <c r="AQ37" s="16">
        <v>3.1916639999999998</v>
      </c>
      <c r="AR37" s="15">
        <v>45229</v>
      </c>
      <c r="AS37" s="16">
        <f t="shared" si="24"/>
        <v>0</v>
      </c>
      <c r="AT37" s="16"/>
      <c r="AU37" s="16">
        <v>9.4447200000000002</v>
      </c>
      <c r="AV37" s="16">
        <f t="shared" si="32"/>
        <v>9.4447200000000002</v>
      </c>
      <c r="AW37" s="16">
        <f t="shared" si="25"/>
        <v>0</v>
      </c>
      <c r="AX37" s="16" t="str">
        <f t="shared" si="26"/>
        <v>SFA</v>
      </c>
      <c r="AY37" s="22">
        <v>45005</v>
      </c>
      <c r="AZ37" s="22"/>
      <c r="BA37" s="1" t="s">
        <v>148</v>
      </c>
      <c r="BB37" s="22" t="str">
        <f t="shared" ref="BB37:BB53" si="35">O37</f>
        <v>MARINE CARGO / GIT</v>
      </c>
      <c r="BC37" s="22"/>
      <c r="BD37" s="22"/>
      <c r="BE37" s="22"/>
    </row>
    <row r="38" spans="1:57" ht="14.25" hidden="1" customHeight="1">
      <c r="A38" s="1" t="s">
        <v>157</v>
      </c>
      <c r="B38" s="1" t="s">
        <v>58</v>
      </c>
      <c r="C38" s="21">
        <v>44959</v>
      </c>
      <c r="D38" s="21">
        <v>44982</v>
      </c>
      <c r="E38" s="21">
        <v>44982</v>
      </c>
      <c r="F38" s="21">
        <v>45346</v>
      </c>
      <c r="G38" s="13" t="str">
        <f t="shared" si="16"/>
        <v>000-037/AIB RDC/2023</v>
      </c>
      <c r="H38" s="1">
        <v>0</v>
      </c>
      <c r="I38" s="1" t="s">
        <v>83</v>
      </c>
      <c r="J38" s="14" t="s">
        <v>174</v>
      </c>
      <c r="K38" s="1" t="s">
        <v>167</v>
      </c>
      <c r="L38" s="15"/>
      <c r="M38" s="1" t="s">
        <v>95</v>
      </c>
      <c r="N38" s="1" t="s">
        <v>146</v>
      </c>
      <c r="O38" s="1" t="s">
        <v>104</v>
      </c>
      <c r="P38" s="1" t="s">
        <v>105</v>
      </c>
      <c r="Q38" s="1" t="s">
        <v>66</v>
      </c>
      <c r="R38" s="1" t="s">
        <v>66</v>
      </c>
      <c r="S38" s="16">
        <v>14858.44</v>
      </c>
      <c r="T38" s="16">
        <v>65</v>
      </c>
      <c r="U38" s="16">
        <v>0</v>
      </c>
      <c r="V38" s="16">
        <v>0</v>
      </c>
      <c r="W38" s="16">
        <v>0.81</v>
      </c>
      <c r="X38" s="16">
        <v>54.28</v>
      </c>
      <c r="Y38" s="16">
        <v>8.81</v>
      </c>
      <c r="Z38" s="17">
        <f t="shared" si="17"/>
        <v>3.6531425910122464E-3</v>
      </c>
      <c r="AA38" s="18">
        <v>0.15</v>
      </c>
      <c r="AB38" s="16">
        <f t="shared" si="33"/>
        <v>8.1419999999999995</v>
      </c>
      <c r="AC38" s="16">
        <v>0</v>
      </c>
      <c r="AD38" s="16">
        <v>0</v>
      </c>
      <c r="AE38" s="16">
        <v>0</v>
      </c>
      <c r="AF38" s="16">
        <f t="shared" si="19"/>
        <v>8.1419999999999995</v>
      </c>
      <c r="AG38" s="16">
        <f t="shared" si="31"/>
        <v>1.3027199999999999</v>
      </c>
      <c r="AH38" s="16">
        <f t="shared" si="20"/>
        <v>9.4447200000000002</v>
      </c>
      <c r="AI38" s="16">
        <f t="shared" si="29"/>
        <v>0.16283999999999998</v>
      </c>
      <c r="AJ38" s="16">
        <v>0</v>
      </c>
      <c r="AK38" s="16">
        <f t="shared" si="21"/>
        <v>0.16283999999999998</v>
      </c>
      <c r="AL38" s="19"/>
      <c r="AM38" s="16">
        <f t="shared" si="22"/>
        <v>7.9791599999999994</v>
      </c>
      <c r="AN38" s="16" t="s">
        <v>147</v>
      </c>
      <c r="AO38" s="20">
        <v>0.4</v>
      </c>
      <c r="AP38" s="16">
        <f t="shared" si="23"/>
        <v>3.1916639999999998</v>
      </c>
      <c r="AQ38" s="16">
        <v>3.1916639999999998</v>
      </c>
      <c r="AR38" s="15">
        <v>45229</v>
      </c>
      <c r="AS38" s="16">
        <f t="shared" si="24"/>
        <v>0</v>
      </c>
      <c r="AT38" s="16"/>
      <c r="AU38" s="16">
        <v>9.4447200000000002</v>
      </c>
      <c r="AV38" s="16">
        <f t="shared" si="32"/>
        <v>9.4447200000000002</v>
      </c>
      <c r="AW38" s="16">
        <f t="shared" si="25"/>
        <v>0</v>
      </c>
      <c r="AX38" s="16" t="str">
        <f t="shared" si="26"/>
        <v>SFA</v>
      </c>
      <c r="AY38" s="22">
        <v>45005</v>
      </c>
      <c r="AZ38" s="22"/>
      <c r="BA38" s="1" t="s">
        <v>148</v>
      </c>
      <c r="BB38" s="22" t="str">
        <f t="shared" si="35"/>
        <v>MARINE CARGO / GIT</v>
      </c>
      <c r="BC38" s="22"/>
      <c r="BD38" s="22"/>
      <c r="BE38" s="22"/>
    </row>
    <row r="39" spans="1:57" ht="14.25" hidden="1" customHeight="1">
      <c r="A39" s="1" t="s">
        <v>157</v>
      </c>
      <c r="B39" s="1" t="s">
        <v>58</v>
      </c>
      <c r="C39" s="21">
        <v>44959</v>
      </c>
      <c r="D39" s="21">
        <v>44982</v>
      </c>
      <c r="E39" s="21">
        <v>44982</v>
      </c>
      <c r="F39" s="21">
        <v>45346</v>
      </c>
      <c r="G39" s="13" t="str">
        <f t="shared" si="16"/>
        <v>000-038/AIB RDC/2023</v>
      </c>
      <c r="H39" s="1">
        <v>0</v>
      </c>
      <c r="I39" s="1" t="s">
        <v>83</v>
      </c>
      <c r="J39" s="14" t="s">
        <v>175</v>
      </c>
      <c r="K39" s="1" t="s">
        <v>167</v>
      </c>
      <c r="L39" s="15"/>
      <c r="M39" s="1" t="s">
        <v>95</v>
      </c>
      <c r="N39" s="1" t="s">
        <v>146</v>
      </c>
      <c r="O39" s="1" t="s">
        <v>104</v>
      </c>
      <c r="P39" s="1" t="s">
        <v>105</v>
      </c>
      <c r="Q39" s="1" t="s">
        <v>66</v>
      </c>
      <c r="R39" s="1" t="s">
        <v>66</v>
      </c>
      <c r="S39" s="16">
        <v>14858.44</v>
      </c>
      <c r="T39" s="16">
        <v>65</v>
      </c>
      <c r="U39" s="16">
        <v>0</v>
      </c>
      <c r="V39" s="16">
        <v>0</v>
      </c>
      <c r="W39" s="16">
        <v>0.81</v>
      </c>
      <c r="X39" s="16">
        <v>54.28</v>
      </c>
      <c r="Y39" s="16">
        <v>8.81</v>
      </c>
      <c r="Z39" s="17">
        <f t="shared" si="17"/>
        <v>3.6531425910122464E-3</v>
      </c>
      <c r="AA39" s="18">
        <v>0.15</v>
      </c>
      <c r="AB39" s="16">
        <f t="shared" si="33"/>
        <v>8.1419999999999995</v>
      </c>
      <c r="AC39" s="16">
        <v>0</v>
      </c>
      <c r="AD39" s="16">
        <v>0</v>
      </c>
      <c r="AE39" s="16">
        <v>0</v>
      </c>
      <c r="AF39" s="16">
        <f t="shared" si="19"/>
        <v>8.1419999999999995</v>
      </c>
      <c r="AG39" s="16">
        <f t="shared" si="31"/>
        <v>1.3027199999999999</v>
      </c>
      <c r="AH39" s="16">
        <f t="shared" si="20"/>
        <v>9.4447200000000002</v>
      </c>
      <c r="AI39" s="16">
        <f t="shared" si="29"/>
        <v>0.16283999999999998</v>
      </c>
      <c r="AJ39" s="16">
        <v>0</v>
      </c>
      <c r="AK39" s="16">
        <f t="shared" si="21"/>
        <v>0.16283999999999998</v>
      </c>
      <c r="AL39" s="19"/>
      <c r="AM39" s="16">
        <f t="shared" si="22"/>
        <v>7.9791599999999994</v>
      </c>
      <c r="AN39" s="16" t="s">
        <v>147</v>
      </c>
      <c r="AO39" s="20">
        <v>0.4</v>
      </c>
      <c r="AP39" s="16">
        <f t="shared" si="23"/>
        <v>3.1916639999999998</v>
      </c>
      <c r="AQ39" s="16"/>
      <c r="AR39" s="15"/>
      <c r="AS39" s="16">
        <f t="shared" si="24"/>
        <v>3.1916639999999998</v>
      </c>
      <c r="AT39" s="16"/>
      <c r="AU39" s="16">
        <v>9.4447200000000002</v>
      </c>
      <c r="AV39" s="16">
        <f t="shared" si="32"/>
        <v>9.4447200000000002</v>
      </c>
      <c r="AW39" s="16">
        <f t="shared" si="25"/>
        <v>0</v>
      </c>
      <c r="AX39" s="16" t="str">
        <f t="shared" si="26"/>
        <v>SFA</v>
      </c>
      <c r="AY39" s="22">
        <v>45005</v>
      </c>
      <c r="AZ39" s="22"/>
      <c r="BA39" s="1" t="s">
        <v>148</v>
      </c>
      <c r="BB39" s="22" t="str">
        <f t="shared" si="35"/>
        <v>MARINE CARGO / GIT</v>
      </c>
      <c r="BC39" s="22"/>
      <c r="BD39" s="22"/>
      <c r="BE39" s="22"/>
    </row>
    <row r="40" spans="1:57" ht="14.25" hidden="1" customHeight="1">
      <c r="A40" s="1" t="s">
        <v>157</v>
      </c>
      <c r="B40" s="1" t="s">
        <v>58</v>
      </c>
      <c r="C40" s="21">
        <v>44959</v>
      </c>
      <c r="D40" s="21">
        <v>44982</v>
      </c>
      <c r="E40" s="21">
        <v>44982</v>
      </c>
      <c r="F40" s="21">
        <v>45346</v>
      </c>
      <c r="G40" s="13" t="str">
        <f t="shared" si="16"/>
        <v>000-039/AIB RDC/2023</v>
      </c>
      <c r="H40" s="1">
        <v>0</v>
      </c>
      <c r="I40" s="1" t="s">
        <v>83</v>
      </c>
      <c r="J40" s="14" t="s">
        <v>176</v>
      </c>
      <c r="K40" s="1" t="s">
        <v>167</v>
      </c>
      <c r="L40" s="15"/>
      <c r="M40" s="1" t="s">
        <v>95</v>
      </c>
      <c r="N40" s="1" t="s">
        <v>146</v>
      </c>
      <c r="O40" s="1" t="s">
        <v>104</v>
      </c>
      <c r="P40" s="1" t="s">
        <v>105</v>
      </c>
      <c r="Q40" s="1" t="s">
        <v>66</v>
      </c>
      <c r="R40" s="1" t="s">
        <v>66</v>
      </c>
      <c r="S40" s="16">
        <v>14858.44</v>
      </c>
      <c r="T40" s="16">
        <v>65</v>
      </c>
      <c r="U40" s="16">
        <v>0</v>
      </c>
      <c r="V40" s="16">
        <v>0</v>
      </c>
      <c r="W40" s="16">
        <v>0.81</v>
      </c>
      <c r="X40" s="16">
        <v>54.28</v>
      </c>
      <c r="Y40" s="16">
        <v>8.81</v>
      </c>
      <c r="Z40" s="17">
        <f t="shared" si="17"/>
        <v>3.6531425910122464E-3</v>
      </c>
      <c r="AA40" s="18">
        <v>0.15</v>
      </c>
      <c r="AB40" s="16">
        <f t="shared" si="33"/>
        <v>8.1419999999999995</v>
      </c>
      <c r="AC40" s="16">
        <v>0</v>
      </c>
      <c r="AD40" s="16">
        <v>0</v>
      </c>
      <c r="AE40" s="16">
        <v>0</v>
      </c>
      <c r="AF40" s="16">
        <f t="shared" si="19"/>
        <v>8.1419999999999995</v>
      </c>
      <c r="AG40" s="16">
        <f t="shared" si="31"/>
        <v>1.3027199999999999</v>
      </c>
      <c r="AH40" s="16">
        <f t="shared" si="20"/>
        <v>9.4447200000000002</v>
      </c>
      <c r="AI40" s="16">
        <f t="shared" si="29"/>
        <v>0.16283999999999998</v>
      </c>
      <c r="AJ40" s="16">
        <v>0</v>
      </c>
      <c r="AK40" s="16">
        <f t="shared" si="21"/>
        <v>0.16283999999999998</v>
      </c>
      <c r="AL40" s="19"/>
      <c r="AM40" s="16">
        <f t="shared" si="22"/>
        <v>7.9791599999999994</v>
      </c>
      <c r="AN40" s="16" t="s">
        <v>147</v>
      </c>
      <c r="AO40" s="20">
        <v>0.4</v>
      </c>
      <c r="AP40" s="16">
        <f t="shared" si="23"/>
        <v>3.1916639999999998</v>
      </c>
      <c r="AQ40" s="16"/>
      <c r="AR40" s="15"/>
      <c r="AS40" s="16">
        <f t="shared" si="24"/>
        <v>3.1916639999999998</v>
      </c>
      <c r="AT40" s="16"/>
      <c r="AU40" s="16">
        <v>9.4447200000000002</v>
      </c>
      <c r="AV40" s="16">
        <f t="shared" si="32"/>
        <v>9.4447200000000002</v>
      </c>
      <c r="AW40" s="16">
        <f t="shared" si="25"/>
        <v>0</v>
      </c>
      <c r="AX40" s="16" t="str">
        <f t="shared" si="26"/>
        <v>SFA</v>
      </c>
      <c r="AY40" s="22">
        <v>45005</v>
      </c>
      <c r="AZ40" s="22"/>
      <c r="BA40" s="1" t="s">
        <v>148</v>
      </c>
      <c r="BB40" s="22" t="str">
        <f t="shared" si="35"/>
        <v>MARINE CARGO / GIT</v>
      </c>
      <c r="BC40" s="22"/>
      <c r="BD40" s="22"/>
      <c r="BE40" s="22"/>
    </row>
    <row r="41" spans="1:57" ht="14.25" hidden="1" customHeight="1">
      <c r="A41" s="1" t="s">
        <v>157</v>
      </c>
      <c r="B41" s="1" t="s">
        <v>58</v>
      </c>
      <c r="C41" s="21">
        <v>44959</v>
      </c>
      <c r="D41" s="21">
        <v>44982</v>
      </c>
      <c r="E41" s="21">
        <v>44982</v>
      </c>
      <c r="F41" s="21">
        <v>45346</v>
      </c>
      <c r="G41" s="13" t="str">
        <f t="shared" si="16"/>
        <v>000-040/AIB RDC/2023</v>
      </c>
      <c r="H41" s="1">
        <v>0</v>
      </c>
      <c r="I41" s="1" t="s">
        <v>83</v>
      </c>
      <c r="J41" s="14" t="s">
        <v>177</v>
      </c>
      <c r="K41" s="1" t="s">
        <v>167</v>
      </c>
      <c r="L41" s="15"/>
      <c r="M41" s="1" t="s">
        <v>95</v>
      </c>
      <c r="N41" s="1" t="s">
        <v>146</v>
      </c>
      <c r="O41" s="1" t="s">
        <v>104</v>
      </c>
      <c r="P41" s="1" t="s">
        <v>105</v>
      </c>
      <c r="Q41" s="1" t="s">
        <v>66</v>
      </c>
      <c r="R41" s="1" t="s">
        <v>66</v>
      </c>
      <c r="S41" s="16">
        <v>29716.89</v>
      </c>
      <c r="T41" s="16">
        <v>65</v>
      </c>
      <c r="U41" s="16">
        <v>0</v>
      </c>
      <c r="V41" s="16">
        <v>0</v>
      </c>
      <c r="W41" s="16">
        <v>0.81</v>
      </c>
      <c r="X41" s="16">
        <v>54.28</v>
      </c>
      <c r="Y41" s="16">
        <v>8.81</v>
      </c>
      <c r="Z41" s="17">
        <f t="shared" si="17"/>
        <v>1.8265706808485006E-3</v>
      </c>
      <c r="AA41" s="18">
        <v>0.15</v>
      </c>
      <c r="AB41" s="16">
        <f t="shared" si="33"/>
        <v>8.1419999999999995</v>
      </c>
      <c r="AC41" s="16">
        <v>0</v>
      </c>
      <c r="AD41" s="16">
        <v>0</v>
      </c>
      <c r="AE41" s="16">
        <v>0</v>
      </c>
      <c r="AF41" s="16">
        <f t="shared" si="19"/>
        <v>8.1419999999999995</v>
      </c>
      <c r="AG41" s="16">
        <f t="shared" si="31"/>
        <v>1.3027199999999999</v>
      </c>
      <c r="AH41" s="16">
        <f t="shared" si="20"/>
        <v>9.4447200000000002</v>
      </c>
      <c r="AI41" s="16">
        <f t="shared" si="29"/>
        <v>0.16283999999999998</v>
      </c>
      <c r="AJ41" s="16">
        <v>0</v>
      </c>
      <c r="AK41" s="16">
        <f t="shared" si="21"/>
        <v>0.16283999999999998</v>
      </c>
      <c r="AL41" s="19"/>
      <c r="AM41" s="16">
        <f t="shared" si="22"/>
        <v>7.9791599999999994</v>
      </c>
      <c r="AN41" s="16" t="s">
        <v>147</v>
      </c>
      <c r="AO41" s="20">
        <v>0.4</v>
      </c>
      <c r="AP41" s="16">
        <f t="shared" si="23"/>
        <v>3.1916639999999998</v>
      </c>
      <c r="AQ41" s="16">
        <v>3.1916639999999998</v>
      </c>
      <c r="AR41" s="15">
        <v>45229</v>
      </c>
      <c r="AS41" s="16">
        <f t="shared" si="24"/>
        <v>0</v>
      </c>
      <c r="AT41" s="16"/>
      <c r="AU41" s="16">
        <v>9.4447200000000002</v>
      </c>
      <c r="AV41" s="16">
        <f t="shared" si="32"/>
        <v>9.4447200000000002</v>
      </c>
      <c r="AW41" s="16">
        <f t="shared" si="25"/>
        <v>0</v>
      </c>
      <c r="AX41" s="16" t="str">
        <f t="shared" si="26"/>
        <v>SFA</v>
      </c>
      <c r="AY41" s="22">
        <v>45005</v>
      </c>
      <c r="AZ41" s="22"/>
      <c r="BA41" s="1" t="s">
        <v>148</v>
      </c>
      <c r="BB41" s="22" t="str">
        <f t="shared" si="35"/>
        <v>MARINE CARGO / GIT</v>
      </c>
      <c r="BC41" s="22"/>
      <c r="BD41" s="22"/>
      <c r="BE41" s="22"/>
    </row>
    <row r="42" spans="1:57" ht="14.25" hidden="1" customHeight="1">
      <c r="A42" s="1" t="s">
        <v>157</v>
      </c>
      <c r="B42" s="1" t="s">
        <v>58</v>
      </c>
      <c r="C42" s="21">
        <v>44959</v>
      </c>
      <c r="D42" s="21">
        <v>44967</v>
      </c>
      <c r="E42" s="21">
        <v>44967</v>
      </c>
      <c r="F42" s="21">
        <v>45331</v>
      </c>
      <c r="G42" s="13" t="str">
        <f t="shared" si="16"/>
        <v>000-041/AIB RDC/2023</v>
      </c>
      <c r="H42" s="1">
        <v>0</v>
      </c>
      <c r="I42" s="1" t="s">
        <v>83</v>
      </c>
      <c r="J42" s="14" t="s">
        <v>178</v>
      </c>
      <c r="K42" s="1" t="s">
        <v>167</v>
      </c>
      <c r="L42" s="1"/>
      <c r="M42" s="1" t="s">
        <v>95</v>
      </c>
      <c r="N42" s="1" t="s">
        <v>146</v>
      </c>
      <c r="O42" s="1" t="s">
        <v>104</v>
      </c>
      <c r="P42" s="1" t="s">
        <v>105</v>
      </c>
      <c r="Q42" s="1" t="s">
        <v>66</v>
      </c>
      <c r="R42" s="1" t="s">
        <v>66</v>
      </c>
      <c r="S42" s="16">
        <v>75920.350000000006</v>
      </c>
      <c r="T42" s="16">
        <v>87.29</v>
      </c>
      <c r="U42" s="25">
        <v>0</v>
      </c>
      <c r="V42" s="25">
        <v>0</v>
      </c>
      <c r="W42" s="16">
        <v>1.0900000000000001</v>
      </c>
      <c r="X42" s="16">
        <v>72.88</v>
      </c>
      <c r="Y42" s="16">
        <v>11.84</v>
      </c>
      <c r="Z42" s="17">
        <f t="shared" si="17"/>
        <v>9.5995342487225081E-4</v>
      </c>
      <c r="AA42" s="18">
        <v>0.15</v>
      </c>
      <c r="AB42" s="16">
        <f t="shared" si="33"/>
        <v>10.931999999999999</v>
      </c>
      <c r="AC42" s="16">
        <v>0</v>
      </c>
      <c r="AD42" s="16">
        <v>0</v>
      </c>
      <c r="AE42" s="16">
        <v>0</v>
      </c>
      <c r="AF42" s="16">
        <f t="shared" si="19"/>
        <v>10.931999999999999</v>
      </c>
      <c r="AG42" s="16">
        <f t="shared" si="31"/>
        <v>1.7491199999999998</v>
      </c>
      <c r="AH42" s="16">
        <f t="shared" si="20"/>
        <v>12.681119999999998</v>
      </c>
      <c r="AI42" s="16">
        <f t="shared" si="29"/>
        <v>0.21863999999999997</v>
      </c>
      <c r="AJ42" s="16">
        <v>0</v>
      </c>
      <c r="AK42" s="16">
        <f t="shared" si="21"/>
        <v>0.21863999999999997</v>
      </c>
      <c r="AL42" s="19"/>
      <c r="AM42" s="16">
        <f t="shared" si="22"/>
        <v>10.713359999999998</v>
      </c>
      <c r="AN42" s="16" t="s">
        <v>147</v>
      </c>
      <c r="AO42" s="20">
        <v>0.4</v>
      </c>
      <c r="AP42" s="16">
        <f t="shared" si="23"/>
        <v>4.2853439999999994</v>
      </c>
      <c r="AQ42" s="16">
        <v>4.2853439999999994</v>
      </c>
      <c r="AR42" s="15">
        <v>45229</v>
      </c>
      <c r="AS42" s="16">
        <f t="shared" si="24"/>
        <v>0</v>
      </c>
      <c r="AT42" s="16"/>
      <c r="AU42" s="16">
        <v>12.681119999999998</v>
      </c>
      <c r="AV42" s="16">
        <f t="shared" si="32"/>
        <v>12.681119999999998</v>
      </c>
      <c r="AW42" s="16">
        <f t="shared" si="25"/>
        <v>0</v>
      </c>
      <c r="AX42" s="16" t="str">
        <f t="shared" si="26"/>
        <v>SFA</v>
      </c>
      <c r="AY42" s="22">
        <v>45005</v>
      </c>
      <c r="AZ42" s="22"/>
      <c r="BA42" s="1" t="s">
        <v>148</v>
      </c>
      <c r="BB42" s="22" t="str">
        <f t="shared" si="35"/>
        <v>MARINE CARGO / GIT</v>
      </c>
      <c r="BC42" s="22"/>
      <c r="BD42" s="1"/>
      <c r="BE42" s="1"/>
    </row>
    <row r="43" spans="1:57" ht="14.25" hidden="1" customHeight="1">
      <c r="A43" s="1" t="s">
        <v>165</v>
      </c>
      <c r="B43" s="1" t="s">
        <v>58</v>
      </c>
      <c r="C43" s="21">
        <v>44959</v>
      </c>
      <c r="D43" s="21">
        <v>45015</v>
      </c>
      <c r="E43" s="21">
        <v>45015</v>
      </c>
      <c r="F43" s="21">
        <v>45379</v>
      </c>
      <c r="G43" s="13" t="str">
        <f t="shared" si="16"/>
        <v>000-042/AIB RDC/2023</v>
      </c>
      <c r="H43" s="1">
        <v>0</v>
      </c>
      <c r="I43" s="1" t="s">
        <v>83</v>
      </c>
      <c r="J43" s="14" t="s">
        <v>179</v>
      </c>
      <c r="K43" s="1" t="s">
        <v>167</v>
      </c>
      <c r="L43" s="15"/>
      <c r="M43" s="1" t="s">
        <v>95</v>
      </c>
      <c r="N43" s="1" t="s">
        <v>146</v>
      </c>
      <c r="O43" s="1" t="s">
        <v>104</v>
      </c>
      <c r="P43" s="1" t="s">
        <v>105</v>
      </c>
      <c r="Q43" s="1" t="s">
        <v>66</v>
      </c>
      <c r="R43" s="1" t="s">
        <v>66</v>
      </c>
      <c r="S43" s="16">
        <v>501939.35</v>
      </c>
      <c r="T43" s="16">
        <v>937.84</v>
      </c>
      <c r="U43" s="16">
        <v>0</v>
      </c>
      <c r="V43" s="16">
        <v>0</v>
      </c>
      <c r="W43" s="16">
        <v>11.75</v>
      </c>
      <c r="X43" s="16">
        <v>783.03</v>
      </c>
      <c r="Y43" s="16">
        <v>127.16</v>
      </c>
      <c r="Z43" s="17">
        <f t="shared" si="17"/>
        <v>1.560009192345649E-3</v>
      </c>
      <c r="AA43" s="18">
        <v>0.15</v>
      </c>
      <c r="AB43" s="16">
        <f t="shared" si="33"/>
        <v>117.4545</v>
      </c>
      <c r="AC43" s="16">
        <v>0</v>
      </c>
      <c r="AD43" s="16">
        <v>0</v>
      </c>
      <c r="AE43" s="16">
        <v>0</v>
      </c>
      <c r="AF43" s="16">
        <f t="shared" si="19"/>
        <v>117.4545</v>
      </c>
      <c r="AG43" s="16">
        <f t="shared" si="31"/>
        <v>18.792719999999999</v>
      </c>
      <c r="AH43" s="16">
        <f t="shared" si="20"/>
        <v>136.24722</v>
      </c>
      <c r="AI43" s="16">
        <f t="shared" si="29"/>
        <v>2.3490899999999999</v>
      </c>
      <c r="AJ43" s="16">
        <v>0</v>
      </c>
      <c r="AK43" s="16">
        <f t="shared" si="21"/>
        <v>2.3490899999999999</v>
      </c>
      <c r="AL43" s="19"/>
      <c r="AM43" s="16">
        <f t="shared" si="22"/>
        <v>115.10540999999999</v>
      </c>
      <c r="AN43" s="16" t="s">
        <v>147</v>
      </c>
      <c r="AO43" s="20">
        <v>0.4</v>
      </c>
      <c r="AP43" s="16">
        <f t="shared" si="23"/>
        <v>46.042164</v>
      </c>
      <c r="AQ43" s="16">
        <v>46.042164</v>
      </c>
      <c r="AR43" s="15">
        <v>45229</v>
      </c>
      <c r="AS43" s="16">
        <f t="shared" si="24"/>
        <v>0</v>
      </c>
      <c r="AT43" s="16"/>
      <c r="AU43" s="16">
        <v>136.24722</v>
      </c>
      <c r="AV43" s="16">
        <f t="shared" si="32"/>
        <v>136.24722</v>
      </c>
      <c r="AW43" s="16">
        <f t="shared" si="25"/>
        <v>0</v>
      </c>
      <c r="AX43" s="16" t="str">
        <f t="shared" si="26"/>
        <v>SFA</v>
      </c>
      <c r="AY43" s="22">
        <v>45070</v>
      </c>
      <c r="AZ43" s="22"/>
      <c r="BA43" s="1" t="s">
        <v>148</v>
      </c>
      <c r="BB43" s="22" t="str">
        <f t="shared" si="35"/>
        <v>MARINE CARGO / GIT</v>
      </c>
      <c r="BC43" s="22"/>
      <c r="BD43" s="22"/>
      <c r="BE43" s="22"/>
    </row>
    <row r="44" spans="1:57" ht="14.25" customHeight="1">
      <c r="A44" s="2" t="s">
        <v>57</v>
      </c>
      <c r="B44" s="1" t="s">
        <v>58</v>
      </c>
      <c r="C44" s="27">
        <v>45276</v>
      </c>
      <c r="D44" s="27">
        <v>44927</v>
      </c>
      <c r="E44" s="27">
        <v>44927</v>
      </c>
      <c r="F44" s="27">
        <v>45291</v>
      </c>
      <c r="G44" s="13" t="str">
        <f t="shared" si="16"/>
        <v>000-043/AIB RDC/2023</v>
      </c>
      <c r="H44" s="1">
        <v>0</v>
      </c>
      <c r="I44" s="1" t="s">
        <v>83</v>
      </c>
      <c r="J44" s="1" t="s">
        <v>486</v>
      </c>
      <c r="K44" s="1" t="s">
        <v>487</v>
      </c>
      <c r="L44" s="1"/>
      <c r="M44" s="1" t="s">
        <v>74</v>
      </c>
      <c r="N44" s="1" t="s">
        <v>75</v>
      </c>
      <c r="O44" s="1" t="s">
        <v>89</v>
      </c>
      <c r="P44" s="1" t="s">
        <v>89</v>
      </c>
      <c r="Q44" s="1" t="s">
        <v>90</v>
      </c>
      <c r="R44" s="1" t="s">
        <v>488</v>
      </c>
      <c r="S44" s="25">
        <v>0</v>
      </c>
      <c r="T44" s="25">
        <v>7751.26</v>
      </c>
      <c r="U44" s="25">
        <v>767.45</v>
      </c>
      <c r="V44" s="25">
        <v>0</v>
      </c>
      <c r="W44" s="25">
        <v>0</v>
      </c>
      <c r="X44" s="25">
        <v>6907.06</v>
      </c>
      <c r="Y44" s="25">
        <v>0</v>
      </c>
      <c r="Z44" s="17" t="e">
        <f t="shared" si="17"/>
        <v>#DIV/0!</v>
      </c>
      <c r="AA44" s="18">
        <v>0</v>
      </c>
      <c r="AB44" s="16">
        <f t="shared" si="33"/>
        <v>0</v>
      </c>
      <c r="AC44" s="16">
        <f>23.0633917519057%*U44</f>
        <v>177.00000000000031</v>
      </c>
      <c r="AD44" s="16">
        <v>264.68</v>
      </c>
      <c r="AE44" s="16">
        <v>0</v>
      </c>
      <c r="AF44" s="16">
        <f t="shared" si="19"/>
        <v>441.68000000000029</v>
      </c>
      <c r="AG44" s="16">
        <v>0</v>
      </c>
      <c r="AH44" s="16">
        <f t="shared" si="20"/>
        <v>441.68000000000029</v>
      </c>
      <c r="AI44" s="16">
        <f>1%*(AB44+AC44+AD44)</f>
        <v>4.4168000000000029</v>
      </c>
      <c r="AJ44" s="16">
        <v>0</v>
      </c>
      <c r="AK44" s="16">
        <f t="shared" si="21"/>
        <v>4.4168000000000029</v>
      </c>
      <c r="AL44" s="19"/>
      <c r="AM44" s="16">
        <f t="shared" si="22"/>
        <v>437.26320000000027</v>
      </c>
      <c r="AN44" s="40"/>
      <c r="AO44" s="20"/>
      <c r="AP44" s="16">
        <f t="shared" si="23"/>
        <v>0</v>
      </c>
      <c r="AQ44" s="16"/>
      <c r="AR44" s="15"/>
      <c r="AS44" s="16">
        <f t="shared" si="24"/>
        <v>0</v>
      </c>
      <c r="AT44" s="16"/>
      <c r="AU44" s="16">
        <f>441.68-264.68</f>
        <v>177</v>
      </c>
      <c r="AV44" s="16">
        <f t="shared" si="32"/>
        <v>441.68000000000029</v>
      </c>
      <c r="AW44" s="60">
        <f t="shared" si="25"/>
        <v>264.68000000000029</v>
      </c>
      <c r="AX44" s="16" t="s">
        <v>489</v>
      </c>
      <c r="AY44" s="22">
        <v>45083</v>
      </c>
      <c r="AZ44" s="1"/>
      <c r="BA44" s="1"/>
      <c r="BB44" s="22" t="str">
        <f t="shared" si="35"/>
        <v>LIFE</v>
      </c>
      <c r="BC44" s="1"/>
      <c r="BD44" s="1"/>
      <c r="BE44" s="1" t="s">
        <v>156</v>
      </c>
    </row>
    <row r="45" spans="1:57" ht="14.25" customHeight="1">
      <c r="A45" s="2" t="s">
        <v>230</v>
      </c>
      <c r="B45" s="1" t="s">
        <v>58</v>
      </c>
      <c r="C45" s="27">
        <v>45072</v>
      </c>
      <c r="D45" s="27">
        <v>45072</v>
      </c>
      <c r="E45" s="27">
        <v>45072</v>
      </c>
      <c r="F45" s="27">
        <v>45212</v>
      </c>
      <c r="G45" s="13" t="str">
        <f t="shared" si="16"/>
        <v>000-044/AIB RDC/2023</v>
      </c>
      <c r="H45" s="1">
        <v>1</v>
      </c>
      <c r="I45" s="1" t="s">
        <v>443</v>
      </c>
      <c r="J45" s="2" t="s">
        <v>639</v>
      </c>
      <c r="K45" s="1" t="s">
        <v>498</v>
      </c>
      <c r="L45" s="1"/>
      <c r="M45" s="1" t="s">
        <v>74</v>
      </c>
      <c r="N45" s="1" t="s">
        <v>75</v>
      </c>
      <c r="O45" s="1" t="s">
        <v>65</v>
      </c>
      <c r="P45" s="1" t="s">
        <v>65</v>
      </c>
      <c r="Q45" s="1" t="s">
        <v>66</v>
      </c>
      <c r="R45" s="1" t="s">
        <v>66</v>
      </c>
      <c r="S45" s="25">
        <v>0</v>
      </c>
      <c r="T45" s="25">
        <v>-96.33</v>
      </c>
      <c r="U45" s="25"/>
      <c r="V45" s="25"/>
      <c r="W45" s="25"/>
      <c r="X45" s="25">
        <v>-83.05</v>
      </c>
      <c r="Y45" s="25"/>
      <c r="Z45" s="17" t="e">
        <f t="shared" si="17"/>
        <v>#DIV/0!</v>
      </c>
      <c r="AA45" s="18">
        <v>0.1</v>
      </c>
      <c r="AB45" s="16">
        <f t="shared" si="33"/>
        <v>-8.3049999999999997</v>
      </c>
      <c r="AC45" s="16">
        <v>0</v>
      </c>
      <c r="AD45" s="16">
        <v>0</v>
      </c>
      <c r="AE45" s="16">
        <v>0</v>
      </c>
      <c r="AF45" s="16">
        <f t="shared" si="19"/>
        <v>-8.3049999999999997</v>
      </c>
      <c r="AG45" s="16">
        <f>16%*AF45</f>
        <v>-1.3288</v>
      </c>
      <c r="AH45" s="16">
        <f t="shared" si="20"/>
        <v>-9.633799999999999</v>
      </c>
      <c r="AI45" s="16">
        <f>2%*(AB45+AC45+AD45)</f>
        <v>-0.1661</v>
      </c>
      <c r="AJ45" s="16"/>
      <c r="AK45" s="16">
        <f t="shared" si="21"/>
        <v>-0.1661</v>
      </c>
      <c r="AL45" s="19"/>
      <c r="AM45" s="16">
        <f t="shared" si="22"/>
        <v>-8.1388999999999996</v>
      </c>
      <c r="AN45" s="16"/>
      <c r="AO45" s="20"/>
      <c r="AP45" s="16">
        <f t="shared" si="23"/>
        <v>0</v>
      </c>
      <c r="AQ45" s="16"/>
      <c r="AR45" s="15"/>
      <c r="AS45" s="16">
        <f t="shared" si="24"/>
        <v>0</v>
      </c>
      <c r="AT45" s="16"/>
      <c r="AU45" s="16"/>
      <c r="AV45" s="16">
        <f t="shared" si="32"/>
        <v>-9.633799999999999</v>
      </c>
      <c r="AW45" s="60">
        <f t="shared" si="25"/>
        <v>-9.633799999999999</v>
      </c>
      <c r="AX45" s="16" t="str">
        <f t="shared" ref="AX45:AX76" si="36">Q45</f>
        <v>SFA</v>
      </c>
      <c r="AY45" s="22"/>
      <c r="AZ45" s="22"/>
      <c r="BA45" s="1"/>
      <c r="BB45" s="22" t="str">
        <f t="shared" si="35"/>
        <v>MOTOR TPL</v>
      </c>
      <c r="BC45" s="1"/>
      <c r="BD45" s="1"/>
      <c r="BE45" s="2" t="s">
        <v>640</v>
      </c>
    </row>
    <row r="46" spans="1:57" ht="14.25" hidden="1" customHeight="1">
      <c r="A46" s="1" t="s">
        <v>157</v>
      </c>
      <c r="B46" s="1" t="s">
        <v>58</v>
      </c>
      <c r="C46" s="21">
        <v>44959</v>
      </c>
      <c r="D46" s="21">
        <v>44982</v>
      </c>
      <c r="E46" s="21">
        <v>44982</v>
      </c>
      <c r="F46" s="21">
        <v>45346</v>
      </c>
      <c r="G46" s="13" t="str">
        <f t="shared" si="16"/>
        <v>000-045/AIB RDC/2023</v>
      </c>
      <c r="H46" s="1">
        <v>0</v>
      </c>
      <c r="I46" s="1" t="s">
        <v>83</v>
      </c>
      <c r="J46" s="14" t="s">
        <v>182</v>
      </c>
      <c r="K46" s="1" t="s">
        <v>167</v>
      </c>
      <c r="L46" s="15"/>
      <c r="M46" s="1" t="s">
        <v>95</v>
      </c>
      <c r="N46" s="1" t="s">
        <v>146</v>
      </c>
      <c r="O46" s="1" t="s">
        <v>104</v>
      </c>
      <c r="P46" s="1" t="s">
        <v>105</v>
      </c>
      <c r="Q46" s="1" t="s">
        <v>66</v>
      </c>
      <c r="R46" s="1" t="s">
        <v>66</v>
      </c>
      <c r="S46" s="16">
        <v>25950.43</v>
      </c>
      <c r="T46" s="16">
        <v>65</v>
      </c>
      <c r="U46" s="16">
        <v>0</v>
      </c>
      <c r="V46" s="16">
        <v>0</v>
      </c>
      <c r="W46" s="16">
        <v>0.81</v>
      </c>
      <c r="X46" s="16">
        <v>54.28</v>
      </c>
      <c r="Y46" s="16">
        <v>8.81</v>
      </c>
      <c r="Z46" s="17">
        <f t="shared" si="17"/>
        <v>2.0916801763978476E-3</v>
      </c>
      <c r="AA46" s="18">
        <v>0.15</v>
      </c>
      <c r="AB46" s="16">
        <f t="shared" si="33"/>
        <v>8.1419999999999995</v>
      </c>
      <c r="AC46" s="16">
        <v>0</v>
      </c>
      <c r="AD46" s="16">
        <v>0</v>
      </c>
      <c r="AE46" s="16">
        <v>0</v>
      </c>
      <c r="AF46" s="16">
        <f t="shared" si="19"/>
        <v>8.1419999999999995</v>
      </c>
      <c r="AG46" s="16">
        <f>16%*AF46</f>
        <v>1.3027199999999999</v>
      </c>
      <c r="AH46" s="16">
        <f t="shared" si="20"/>
        <v>9.4447200000000002</v>
      </c>
      <c r="AI46" s="16">
        <f>2%*(AB46+AC46+AD46)</f>
        <v>0.16283999999999998</v>
      </c>
      <c r="AJ46" s="16">
        <v>0</v>
      </c>
      <c r="AK46" s="16">
        <f t="shared" si="21"/>
        <v>0.16283999999999998</v>
      </c>
      <c r="AL46" s="19"/>
      <c r="AM46" s="16">
        <f t="shared" si="22"/>
        <v>7.9791599999999994</v>
      </c>
      <c r="AN46" s="16" t="s">
        <v>147</v>
      </c>
      <c r="AO46" s="20">
        <v>0.4</v>
      </c>
      <c r="AP46" s="16">
        <f t="shared" si="23"/>
        <v>3.1916639999999998</v>
      </c>
      <c r="AQ46" s="16">
        <v>3.1916639999999998</v>
      </c>
      <c r="AR46" s="15">
        <v>45229</v>
      </c>
      <c r="AS46" s="16">
        <f t="shared" si="24"/>
        <v>0</v>
      </c>
      <c r="AT46" s="16"/>
      <c r="AU46" s="16">
        <v>9.4447200000000002</v>
      </c>
      <c r="AV46" s="16">
        <f t="shared" si="32"/>
        <v>9.4447200000000002</v>
      </c>
      <c r="AW46" s="16">
        <f t="shared" si="25"/>
        <v>0</v>
      </c>
      <c r="AX46" s="16" t="str">
        <f t="shared" si="36"/>
        <v>SFA</v>
      </c>
      <c r="AY46" s="22">
        <v>45005</v>
      </c>
      <c r="AZ46" s="22"/>
      <c r="BA46" s="1" t="s">
        <v>148</v>
      </c>
      <c r="BB46" s="22" t="str">
        <f t="shared" si="35"/>
        <v>MARINE CARGO / GIT</v>
      </c>
      <c r="BC46" s="22"/>
      <c r="BD46" s="1"/>
      <c r="BE46" s="1"/>
    </row>
    <row r="47" spans="1:57" ht="14.25" customHeight="1">
      <c r="A47" s="2" t="s">
        <v>230</v>
      </c>
      <c r="B47" s="1" t="s">
        <v>58</v>
      </c>
      <c r="C47" s="27">
        <v>45072</v>
      </c>
      <c r="D47" s="27">
        <v>45072</v>
      </c>
      <c r="E47" s="27">
        <v>45072</v>
      </c>
      <c r="F47" s="27">
        <v>45212</v>
      </c>
      <c r="G47" s="13" t="str">
        <f t="shared" si="16"/>
        <v>000-046/AIB RDC/2023</v>
      </c>
      <c r="H47" s="1">
        <v>2</v>
      </c>
      <c r="I47" s="1" t="s">
        <v>59</v>
      </c>
      <c r="J47" s="2" t="s">
        <v>639</v>
      </c>
      <c r="K47" s="1" t="s">
        <v>498</v>
      </c>
      <c r="L47" s="1"/>
      <c r="M47" s="1" t="s">
        <v>74</v>
      </c>
      <c r="N47" s="1" t="s">
        <v>75</v>
      </c>
      <c r="O47" s="1" t="s">
        <v>65</v>
      </c>
      <c r="P47" s="1" t="s">
        <v>65</v>
      </c>
      <c r="Q47" s="1" t="s">
        <v>66</v>
      </c>
      <c r="R47" s="1" t="s">
        <v>66</v>
      </c>
      <c r="S47" s="25">
        <v>0</v>
      </c>
      <c r="T47" s="25">
        <v>102.6</v>
      </c>
      <c r="U47" s="25"/>
      <c r="V47" s="25"/>
      <c r="W47" s="25">
        <v>4.9400000000000004</v>
      </c>
      <c r="X47" s="25">
        <v>83.05</v>
      </c>
      <c r="Y47" s="25">
        <v>14.07</v>
      </c>
      <c r="Z47" s="17" t="e">
        <f t="shared" si="17"/>
        <v>#DIV/0!</v>
      </c>
      <c r="AA47" s="18">
        <v>0.1</v>
      </c>
      <c r="AB47" s="16">
        <f t="shared" si="33"/>
        <v>8.3049999999999997</v>
      </c>
      <c r="AC47" s="16">
        <v>0</v>
      </c>
      <c r="AD47" s="16">
        <v>0</v>
      </c>
      <c r="AE47" s="16">
        <v>0</v>
      </c>
      <c r="AF47" s="16">
        <f t="shared" si="19"/>
        <v>8.3049999999999997</v>
      </c>
      <c r="AG47" s="16">
        <f>16%*AF47</f>
        <v>1.3288</v>
      </c>
      <c r="AH47" s="16">
        <f t="shared" si="20"/>
        <v>9.633799999999999</v>
      </c>
      <c r="AI47" s="16">
        <f>2%*(AB47+AC47+AD47)</f>
        <v>0.1661</v>
      </c>
      <c r="AJ47" s="16"/>
      <c r="AK47" s="16">
        <f t="shared" si="21"/>
        <v>0.1661</v>
      </c>
      <c r="AL47" s="19"/>
      <c r="AM47" s="16">
        <f t="shared" si="22"/>
        <v>8.1388999999999996</v>
      </c>
      <c r="AN47" s="16"/>
      <c r="AO47" s="20"/>
      <c r="AP47" s="16">
        <f t="shared" si="23"/>
        <v>0</v>
      </c>
      <c r="AQ47" s="16"/>
      <c r="AR47" s="15"/>
      <c r="AS47" s="16">
        <f t="shared" si="24"/>
        <v>0</v>
      </c>
      <c r="AT47" s="16"/>
      <c r="AU47" s="16"/>
      <c r="AV47" s="16">
        <f t="shared" si="32"/>
        <v>9.633799999999999</v>
      </c>
      <c r="AW47" s="60">
        <f t="shared" si="25"/>
        <v>9.633799999999999</v>
      </c>
      <c r="AX47" s="16" t="str">
        <f t="shared" si="36"/>
        <v>SFA</v>
      </c>
      <c r="AY47" s="22"/>
      <c r="AZ47" s="22"/>
      <c r="BA47" s="1"/>
      <c r="BB47" s="22" t="str">
        <f t="shared" si="35"/>
        <v>MOTOR TPL</v>
      </c>
      <c r="BC47" s="1"/>
      <c r="BD47" s="1"/>
      <c r="BE47" s="2" t="s">
        <v>640</v>
      </c>
    </row>
    <row r="48" spans="1:57" ht="14.25" hidden="1" customHeight="1">
      <c r="A48" s="1" t="s">
        <v>57</v>
      </c>
      <c r="B48" s="1" t="s">
        <v>58</v>
      </c>
      <c r="C48" s="21">
        <v>44959</v>
      </c>
      <c r="D48" s="21">
        <v>44996</v>
      </c>
      <c r="E48" s="21">
        <v>44946</v>
      </c>
      <c r="F48" s="21">
        <v>45310</v>
      </c>
      <c r="G48" s="13" t="str">
        <f t="shared" si="16"/>
        <v>000-047/AIB RDC/2023</v>
      </c>
      <c r="H48" s="1">
        <v>0</v>
      </c>
      <c r="I48" s="1" t="s">
        <v>83</v>
      </c>
      <c r="J48" s="14" t="s">
        <v>184</v>
      </c>
      <c r="K48" s="1" t="s">
        <v>167</v>
      </c>
      <c r="L48" s="15"/>
      <c r="M48" s="1" t="s">
        <v>95</v>
      </c>
      <c r="N48" s="1" t="s">
        <v>146</v>
      </c>
      <c r="O48" s="1" t="s">
        <v>104</v>
      </c>
      <c r="P48" s="1" t="s">
        <v>105</v>
      </c>
      <c r="Q48" s="1" t="s">
        <v>66</v>
      </c>
      <c r="R48" s="1" t="s">
        <v>66</v>
      </c>
      <c r="S48" s="16">
        <v>79077.72</v>
      </c>
      <c r="T48" s="16">
        <v>147.74</v>
      </c>
      <c r="U48" s="16">
        <v>0</v>
      </c>
      <c r="V48" s="16">
        <v>0</v>
      </c>
      <c r="W48" s="16">
        <v>4.3499999999999996</v>
      </c>
      <c r="X48" s="16">
        <v>123.36</v>
      </c>
      <c r="Y48" s="16">
        <v>20.03</v>
      </c>
      <c r="Z48" s="17">
        <f t="shared" si="17"/>
        <v>1.5599842787576575E-3</v>
      </c>
      <c r="AA48" s="18">
        <v>0.15</v>
      </c>
      <c r="AB48" s="16">
        <f t="shared" si="33"/>
        <v>18.503999999999998</v>
      </c>
      <c r="AC48" s="16">
        <v>0</v>
      </c>
      <c r="AD48" s="16">
        <v>0</v>
      </c>
      <c r="AE48" s="16">
        <v>0</v>
      </c>
      <c r="AF48" s="16">
        <f t="shared" si="19"/>
        <v>18.503999999999998</v>
      </c>
      <c r="AG48" s="16">
        <f>16%*AF48</f>
        <v>2.9606399999999997</v>
      </c>
      <c r="AH48" s="16">
        <f t="shared" si="20"/>
        <v>21.464639999999996</v>
      </c>
      <c r="AI48" s="16">
        <f>2%*(AB48+AC48+AD48)</f>
        <v>0.37007999999999996</v>
      </c>
      <c r="AJ48" s="16">
        <v>0</v>
      </c>
      <c r="AK48" s="16">
        <f t="shared" si="21"/>
        <v>0.37007999999999996</v>
      </c>
      <c r="AL48" s="19"/>
      <c r="AM48" s="16">
        <f t="shared" si="22"/>
        <v>18.133919999999996</v>
      </c>
      <c r="AN48" s="16" t="s">
        <v>147</v>
      </c>
      <c r="AO48" s="20">
        <v>0.4</v>
      </c>
      <c r="AP48" s="16">
        <f t="shared" si="23"/>
        <v>7.2535679999999987</v>
      </c>
      <c r="AQ48" s="16">
        <v>7.2535679999999987</v>
      </c>
      <c r="AR48" s="15">
        <v>45229</v>
      </c>
      <c r="AS48" s="16">
        <f t="shared" si="24"/>
        <v>0</v>
      </c>
      <c r="AT48" s="16"/>
      <c r="AU48" s="16">
        <v>21.464639999999996</v>
      </c>
      <c r="AV48" s="16">
        <f t="shared" si="32"/>
        <v>21.464639999999996</v>
      </c>
      <c r="AW48" s="16">
        <f t="shared" si="25"/>
        <v>0</v>
      </c>
      <c r="AX48" s="16" t="str">
        <f t="shared" si="36"/>
        <v>SFA</v>
      </c>
      <c r="AY48" s="22">
        <v>45070</v>
      </c>
      <c r="AZ48" s="22"/>
      <c r="BA48" s="1" t="s">
        <v>148</v>
      </c>
      <c r="BB48" s="22" t="str">
        <f t="shared" si="35"/>
        <v>MARINE CARGO / GIT</v>
      </c>
      <c r="BC48" s="22"/>
      <c r="BD48" s="22"/>
      <c r="BE48" s="22"/>
    </row>
    <row r="49" spans="1:57" ht="14.25" hidden="1" customHeight="1">
      <c r="A49" s="1" t="s">
        <v>57</v>
      </c>
      <c r="B49" s="1" t="s">
        <v>58</v>
      </c>
      <c r="C49" s="21">
        <v>44915</v>
      </c>
      <c r="D49" s="21">
        <v>44927</v>
      </c>
      <c r="E49" s="21">
        <v>44927</v>
      </c>
      <c r="F49" s="21">
        <v>45291</v>
      </c>
      <c r="G49" s="13" t="str">
        <f t="shared" si="16"/>
        <v>000-048/AIB RDC/2023</v>
      </c>
      <c r="H49" s="1">
        <v>1</v>
      </c>
      <c r="I49" s="1" t="s">
        <v>68</v>
      </c>
      <c r="J49" s="14" t="s">
        <v>185</v>
      </c>
      <c r="K49" s="1" t="s">
        <v>186</v>
      </c>
      <c r="L49" s="1"/>
      <c r="M49" s="1" t="s">
        <v>74</v>
      </c>
      <c r="N49" s="1" t="s">
        <v>75</v>
      </c>
      <c r="O49" s="1" t="s">
        <v>89</v>
      </c>
      <c r="P49" s="1" t="s">
        <v>89</v>
      </c>
      <c r="Q49" s="1" t="s">
        <v>90</v>
      </c>
      <c r="R49" s="1" t="s">
        <v>90</v>
      </c>
      <c r="S49" s="16">
        <v>0</v>
      </c>
      <c r="T49" s="16">
        <v>4886.8999999999996</v>
      </c>
      <c r="U49" s="16">
        <v>0</v>
      </c>
      <c r="V49" s="16">
        <v>0</v>
      </c>
      <c r="W49" s="16">
        <v>0</v>
      </c>
      <c r="X49" s="16">
        <v>4838.47</v>
      </c>
      <c r="Y49" s="16">
        <v>0</v>
      </c>
      <c r="Z49" s="17" t="e">
        <f t="shared" si="17"/>
        <v>#DIV/0!</v>
      </c>
      <c r="AA49" s="18">
        <v>0.1</v>
      </c>
      <c r="AB49" s="16">
        <f t="shared" si="33"/>
        <v>483.84700000000004</v>
      </c>
      <c r="AC49" s="16">
        <v>0</v>
      </c>
      <c r="AD49" s="16">
        <v>0</v>
      </c>
      <c r="AE49" s="16">
        <v>0</v>
      </c>
      <c r="AF49" s="16">
        <f t="shared" si="19"/>
        <v>483.84700000000004</v>
      </c>
      <c r="AG49" s="16">
        <v>0</v>
      </c>
      <c r="AH49" s="16">
        <f t="shared" si="20"/>
        <v>483.84700000000004</v>
      </c>
      <c r="AI49" s="16">
        <f>1%*(AB49+AC49+AD49)</f>
        <v>4.83847</v>
      </c>
      <c r="AJ49" s="16">
        <v>0</v>
      </c>
      <c r="AK49" s="16">
        <f t="shared" si="21"/>
        <v>4.83847</v>
      </c>
      <c r="AL49" s="19"/>
      <c r="AM49" s="16">
        <f t="shared" si="22"/>
        <v>479.00853000000006</v>
      </c>
      <c r="AN49" s="16" t="s">
        <v>91</v>
      </c>
      <c r="AO49" s="20">
        <v>0.7</v>
      </c>
      <c r="AP49" s="16">
        <f t="shared" si="23"/>
        <v>335.305971</v>
      </c>
      <c r="AQ49" s="16"/>
      <c r="AR49" s="15"/>
      <c r="AS49" s="16">
        <f t="shared" si="24"/>
        <v>335.305971</v>
      </c>
      <c r="AT49" s="16"/>
      <c r="AU49" s="16">
        <v>483.84700000000004</v>
      </c>
      <c r="AV49" s="16">
        <f t="shared" si="32"/>
        <v>483.84700000000004</v>
      </c>
      <c r="AW49" s="16">
        <f t="shared" si="25"/>
        <v>0</v>
      </c>
      <c r="AX49" s="16" t="str">
        <f t="shared" si="36"/>
        <v>RAWSUR - LIFE</v>
      </c>
      <c r="AY49" s="22">
        <v>45083</v>
      </c>
      <c r="AZ49" s="22"/>
      <c r="BA49" s="1"/>
      <c r="BB49" s="22" t="str">
        <f t="shared" si="35"/>
        <v>LIFE</v>
      </c>
      <c r="BC49" s="26"/>
      <c r="BD49" s="1"/>
      <c r="BE49" s="1"/>
    </row>
    <row r="50" spans="1:57" ht="14.25" hidden="1" customHeight="1">
      <c r="A50" s="1" t="s">
        <v>57</v>
      </c>
      <c r="B50" s="1" t="s">
        <v>58</v>
      </c>
      <c r="C50" s="21">
        <v>44929</v>
      </c>
      <c r="D50" s="21">
        <v>44957</v>
      </c>
      <c r="E50" s="21">
        <v>44927</v>
      </c>
      <c r="F50" s="21">
        <v>45291</v>
      </c>
      <c r="G50" s="13" t="str">
        <f t="shared" si="16"/>
        <v>000-049/AIB RDC/2023</v>
      </c>
      <c r="H50" s="1">
        <v>0</v>
      </c>
      <c r="I50" s="1" t="s">
        <v>83</v>
      </c>
      <c r="J50" s="14">
        <v>10100010</v>
      </c>
      <c r="K50" s="1" t="s">
        <v>186</v>
      </c>
      <c r="L50" s="15"/>
      <c r="M50" s="1" t="s">
        <v>74</v>
      </c>
      <c r="N50" s="1" t="s">
        <v>75</v>
      </c>
      <c r="O50" s="1" t="s">
        <v>80</v>
      </c>
      <c r="P50" s="1" t="s">
        <v>81</v>
      </c>
      <c r="Q50" s="1" t="s">
        <v>135</v>
      </c>
      <c r="R50" s="1" t="s">
        <v>135</v>
      </c>
      <c r="S50" s="16">
        <v>0</v>
      </c>
      <c r="T50" s="16">
        <v>144443.22</v>
      </c>
      <c r="U50" s="16">
        <v>0</v>
      </c>
      <c r="V50" s="16">
        <v>0</v>
      </c>
      <c r="W50" s="16">
        <v>0</v>
      </c>
      <c r="X50" s="16">
        <v>141611</v>
      </c>
      <c r="Y50" s="16">
        <v>0</v>
      </c>
      <c r="Z50" s="17" t="e">
        <f t="shared" si="17"/>
        <v>#DIV/0!</v>
      </c>
      <c r="AA50" s="18">
        <v>0.100023303274463</v>
      </c>
      <c r="AB50" s="16">
        <f t="shared" si="33"/>
        <v>14164.39999999998</v>
      </c>
      <c r="AC50" s="16">
        <v>0</v>
      </c>
      <c r="AD50" s="16">
        <v>0</v>
      </c>
      <c r="AE50" s="16">
        <v>0</v>
      </c>
      <c r="AF50" s="16">
        <f t="shared" si="19"/>
        <v>14164.39999999998</v>
      </c>
      <c r="AG50" s="16">
        <v>0</v>
      </c>
      <c r="AH50" s="16">
        <f t="shared" si="20"/>
        <v>14164.39999999998</v>
      </c>
      <c r="AI50" s="16">
        <f>2%*(AB50+AC50+AD50)</f>
        <v>283.28799999999961</v>
      </c>
      <c r="AJ50" s="16">
        <v>0</v>
      </c>
      <c r="AK50" s="16">
        <f t="shared" si="21"/>
        <v>283.28799999999961</v>
      </c>
      <c r="AL50" s="19"/>
      <c r="AM50" s="16">
        <f t="shared" si="22"/>
        <v>13881.111999999979</v>
      </c>
      <c r="AN50" s="16" t="s">
        <v>91</v>
      </c>
      <c r="AO50" s="20">
        <v>0.5</v>
      </c>
      <c r="AP50" s="16">
        <f t="shared" si="23"/>
        <v>6940.5559999999896</v>
      </c>
      <c r="AQ50" s="16"/>
      <c r="AR50" s="15"/>
      <c r="AS50" s="16">
        <f t="shared" si="24"/>
        <v>6940.5559999999896</v>
      </c>
      <c r="AT50" s="16"/>
      <c r="AU50" s="16">
        <v>14164.39999999998</v>
      </c>
      <c r="AV50" s="16">
        <f t="shared" si="32"/>
        <v>14164.39999999998</v>
      </c>
      <c r="AW50" s="16">
        <f t="shared" si="25"/>
        <v>0</v>
      </c>
      <c r="AX50" s="16" t="str">
        <f t="shared" si="36"/>
        <v>RAWSUR</v>
      </c>
      <c r="AY50" s="22">
        <v>44992</v>
      </c>
      <c r="AZ50" s="22"/>
      <c r="BA50" s="22"/>
      <c r="BB50" s="22" t="str">
        <f t="shared" si="35"/>
        <v>MEDICAL</v>
      </c>
      <c r="BC50" s="22"/>
      <c r="BD50" s="22"/>
      <c r="BE50" s="22"/>
    </row>
    <row r="51" spans="1:57" ht="14.25" hidden="1" customHeight="1">
      <c r="A51" s="1" t="s">
        <v>57</v>
      </c>
      <c r="B51" s="1" t="s">
        <v>58</v>
      </c>
      <c r="C51" s="21">
        <v>44897</v>
      </c>
      <c r="D51" s="21">
        <v>44927</v>
      </c>
      <c r="E51" s="21">
        <v>44927</v>
      </c>
      <c r="F51" s="21">
        <v>45291</v>
      </c>
      <c r="G51" s="13" t="str">
        <f t="shared" si="16"/>
        <v>000-050/AIB RDC/2023</v>
      </c>
      <c r="H51" s="1">
        <v>0</v>
      </c>
      <c r="I51" s="1" t="s">
        <v>83</v>
      </c>
      <c r="J51" s="14" t="s">
        <v>187</v>
      </c>
      <c r="K51" s="2" t="s">
        <v>188</v>
      </c>
      <c r="L51" s="15"/>
      <c r="M51" s="1" t="s">
        <v>74</v>
      </c>
      <c r="N51" s="1" t="s">
        <v>75</v>
      </c>
      <c r="O51" s="1" t="s">
        <v>89</v>
      </c>
      <c r="P51" s="1" t="s">
        <v>89</v>
      </c>
      <c r="Q51" s="1" t="s">
        <v>90</v>
      </c>
      <c r="R51" s="1" t="s">
        <v>90</v>
      </c>
      <c r="S51" s="16">
        <v>1602847.58</v>
      </c>
      <c r="T51" s="16">
        <v>17600</v>
      </c>
      <c r="U51" s="16">
        <v>0</v>
      </c>
      <c r="V51" s="16">
        <v>0</v>
      </c>
      <c r="W51" s="16">
        <v>174.3</v>
      </c>
      <c r="X51" s="16">
        <v>17425.7</v>
      </c>
      <c r="Y51" s="16">
        <v>0</v>
      </c>
      <c r="Z51" s="17">
        <f t="shared" si="17"/>
        <v>1.0871713703432737E-2</v>
      </c>
      <c r="AA51" s="18">
        <v>0.1</v>
      </c>
      <c r="AB51" s="16">
        <f t="shared" si="33"/>
        <v>1742.5700000000002</v>
      </c>
      <c r="AC51" s="16">
        <v>0</v>
      </c>
      <c r="AD51" s="16">
        <v>0</v>
      </c>
      <c r="AE51" s="16">
        <v>0</v>
      </c>
      <c r="AF51" s="16">
        <f t="shared" si="19"/>
        <v>1742.5700000000002</v>
      </c>
      <c r="AG51" s="16">
        <v>0</v>
      </c>
      <c r="AH51" s="16">
        <f t="shared" si="20"/>
        <v>1742.5700000000002</v>
      </c>
      <c r="AI51" s="16">
        <f>1%*(AB51+AC51+AD51)</f>
        <v>17.425700000000003</v>
      </c>
      <c r="AJ51" s="16">
        <v>0</v>
      </c>
      <c r="AK51" s="16">
        <f t="shared" si="21"/>
        <v>17.425700000000003</v>
      </c>
      <c r="AL51" s="19"/>
      <c r="AM51" s="16">
        <f t="shared" si="22"/>
        <v>1725.1443000000002</v>
      </c>
      <c r="AN51" s="16" t="s">
        <v>91</v>
      </c>
      <c r="AO51" s="20">
        <v>0.7</v>
      </c>
      <c r="AP51" s="16">
        <f t="shared" si="23"/>
        <v>1207.6010100000001</v>
      </c>
      <c r="AQ51" s="16"/>
      <c r="AR51" s="15"/>
      <c r="AS51" s="16">
        <f t="shared" si="24"/>
        <v>1207.6010100000001</v>
      </c>
      <c r="AT51" s="16"/>
      <c r="AU51" s="16">
        <v>1742.5700000000002</v>
      </c>
      <c r="AV51" s="16">
        <f t="shared" si="32"/>
        <v>1742.5700000000002</v>
      </c>
      <c r="AW51" s="16">
        <f t="shared" si="25"/>
        <v>0</v>
      </c>
      <c r="AX51" s="16" t="str">
        <f t="shared" si="36"/>
        <v>RAWSUR - LIFE</v>
      </c>
      <c r="AY51" s="22">
        <v>45083</v>
      </c>
      <c r="AZ51" s="22"/>
      <c r="BA51" s="22"/>
      <c r="BB51" s="22" t="str">
        <f t="shared" si="35"/>
        <v>LIFE</v>
      </c>
      <c r="BC51" s="22"/>
      <c r="BD51" s="22"/>
      <c r="BE51" s="1"/>
    </row>
    <row r="52" spans="1:57" ht="14.25" hidden="1" customHeight="1">
      <c r="A52" s="1" t="s">
        <v>57</v>
      </c>
      <c r="B52" s="1" t="s">
        <v>58</v>
      </c>
      <c r="C52" s="21">
        <v>44916</v>
      </c>
      <c r="D52" s="21">
        <v>44939</v>
      </c>
      <c r="E52" s="21">
        <v>44935</v>
      </c>
      <c r="F52" s="21">
        <v>44949</v>
      </c>
      <c r="G52" s="13" t="str">
        <f t="shared" si="16"/>
        <v>000-051/AIB RDC/2023</v>
      </c>
      <c r="H52" s="1">
        <v>1</v>
      </c>
      <c r="I52" s="1" t="s">
        <v>189</v>
      </c>
      <c r="J52" s="14" t="s">
        <v>190</v>
      </c>
      <c r="K52" s="1" t="s">
        <v>191</v>
      </c>
      <c r="L52" s="15"/>
      <c r="M52" s="1" t="s">
        <v>99</v>
      </c>
      <c r="N52" s="1" t="s">
        <v>100</v>
      </c>
      <c r="O52" s="1" t="s">
        <v>133</v>
      </c>
      <c r="P52" s="1" t="s">
        <v>134</v>
      </c>
      <c r="Q52" s="1" t="s">
        <v>66</v>
      </c>
      <c r="R52" s="1" t="s">
        <v>66</v>
      </c>
      <c r="S52" s="16">
        <v>0</v>
      </c>
      <c r="T52" s="16">
        <v>2500.0100000000002</v>
      </c>
      <c r="U52" s="16">
        <v>0</v>
      </c>
      <c r="V52" s="16">
        <v>0</v>
      </c>
      <c r="W52" s="16">
        <v>31.24</v>
      </c>
      <c r="X52" s="16">
        <v>2087.42</v>
      </c>
      <c r="Y52" s="16">
        <v>338.98</v>
      </c>
      <c r="Z52" s="17" t="e">
        <f t="shared" si="17"/>
        <v>#DIV/0!</v>
      </c>
      <c r="AA52" s="18">
        <v>0.15</v>
      </c>
      <c r="AB52" s="16">
        <f t="shared" si="33"/>
        <v>313.113</v>
      </c>
      <c r="AC52" s="16">
        <v>0</v>
      </c>
      <c r="AD52" s="16">
        <v>0</v>
      </c>
      <c r="AE52" s="16">
        <v>0</v>
      </c>
      <c r="AF52" s="16">
        <f t="shared" si="19"/>
        <v>313.113</v>
      </c>
      <c r="AG52" s="16">
        <f t="shared" ref="AG52:AG94" si="37">16%*AF52</f>
        <v>50.098080000000003</v>
      </c>
      <c r="AH52" s="16">
        <f t="shared" si="20"/>
        <v>363.21107999999998</v>
      </c>
      <c r="AI52" s="16">
        <f t="shared" ref="AI52:AI94" si="38">2%*(AB52+AC52+AD52)</f>
        <v>6.2622600000000004</v>
      </c>
      <c r="AJ52" s="16">
        <v>0</v>
      </c>
      <c r="AK52" s="16">
        <f t="shared" si="21"/>
        <v>6.2622600000000004</v>
      </c>
      <c r="AL52" s="19"/>
      <c r="AM52" s="16">
        <f t="shared" si="22"/>
        <v>306.85073999999997</v>
      </c>
      <c r="AN52" s="16"/>
      <c r="AO52" s="20"/>
      <c r="AP52" s="16">
        <f t="shared" si="23"/>
        <v>0</v>
      </c>
      <c r="AQ52" s="16"/>
      <c r="AR52" s="15"/>
      <c r="AS52" s="16">
        <f t="shared" si="24"/>
        <v>0</v>
      </c>
      <c r="AT52" s="16"/>
      <c r="AU52" s="16">
        <v>363.21107999999998</v>
      </c>
      <c r="AV52" s="16">
        <f t="shared" si="32"/>
        <v>363.21107999999998</v>
      </c>
      <c r="AW52" s="16">
        <f t="shared" si="25"/>
        <v>0</v>
      </c>
      <c r="AX52" s="16" t="str">
        <f t="shared" si="36"/>
        <v>SFA</v>
      </c>
      <c r="AY52" s="22">
        <v>44984</v>
      </c>
      <c r="AZ52" s="22"/>
      <c r="BA52" s="1"/>
      <c r="BB52" s="22" t="str">
        <f t="shared" si="35"/>
        <v>COMP MOTOR</v>
      </c>
      <c r="BC52" s="22"/>
      <c r="BD52" s="22"/>
      <c r="BE52" s="22"/>
    </row>
    <row r="53" spans="1:57" ht="14.25" hidden="1" customHeight="1">
      <c r="A53" s="1" t="s">
        <v>57</v>
      </c>
      <c r="B53" s="1" t="s">
        <v>58</v>
      </c>
      <c r="C53" s="21">
        <v>44928</v>
      </c>
      <c r="D53" s="21">
        <v>44931</v>
      </c>
      <c r="E53" s="21">
        <v>44927</v>
      </c>
      <c r="F53" s="21">
        <v>45291</v>
      </c>
      <c r="G53" s="13" t="str">
        <f t="shared" si="16"/>
        <v>000-052/AIB RDC/2023</v>
      </c>
      <c r="H53" s="1">
        <v>1</v>
      </c>
      <c r="I53" s="1" t="s">
        <v>68</v>
      </c>
      <c r="J53" s="14" t="s">
        <v>192</v>
      </c>
      <c r="K53" s="15" t="s">
        <v>193</v>
      </c>
      <c r="L53" s="15"/>
      <c r="M53" s="1" t="s">
        <v>99</v>
      </c>
      <c r="N53" s="1" t="s">
        <v>100</v>
      </c>
      <c r="O53" s="1" t="s">
        <v>194</v>
      </c>
      <c r="P53" s="1" t="s">
        <v>108</v>
      </c>
      <c r="Q53" s="1" t="s">
        <v>127</v>
      </c>
      <c r="R53" s="1" t="s">
        <v>127</v>
      </c>
      <c r="S53" s="16">
        <v>0</v>
      </c>
      <c r="T53" s="16">
        <v>34237.5</v>
      </c>
      <c r="U53" s="16">
        <v>0</v>
      </c>
      <c r="V53" s="16">
        <v>0</v>
      </c>
      <c r="W53" s="16">
        <v>100</v>
      </c>
      <c r="X53" s="16">
        <v>28914.83</v>
      </c>
      <c r="Y53" s="16">
        <v>4642.37</v>
      </c>
      <c r="Z53" s="17" t="e">
        <f t="shared" si="17"/>
        <v>#DIV/0!</v>
      </c>
      <c r="AA53" s="18">
        <v>0.15</v>
      </c>
      <c r="AB53" s="16">
        <f t="shared" si="33"/>
        <v>4337.2245000000003</v>
      </c>
      <c r="AC53" s="16">
        <v>0</v>
      </c>
      <c r="AD53" s="16">
        <v>0</v>
      </c>
      <c r="AE53" s="16">
        <v>0</v>
      </c>
      <c r="AF53" s="16">
        <f t="shared" si="19"/>
        <v>4337.2245000000003</v>
      </c>
      <c r="AG53" s="16">
        <f t="shared" si="37"/>
        <v>693.95592000000011</v>
      </c>
      <c r="AH53" s="16">
        <f t="shared" si="20"/>
        <v>5031.1804200000006</v>
      </c>
      <c r="AI53" s="16">
        <f t="shared" si="38"/>
        <v>86.744490000000013</v>
      </c>
      <c r="AJ53" s="16">
        <v>0</v>
      </c>
      <c r="AK53" s="16">
        <f t="shared" si="21"/>
        <v>86.744490000000013</v>
      </c>
      <c r="AL53" s="19"/>
      <c r="AM53" s="16">
        <f t="shared" si="22"/>
        <v>4250.4800100000002</v>
      </c>
      <c r="AN53" s="16" t="s">
        <v>195</v>
      </c>
      <c r="AO53" s="20">
        <v>0</v>
      </c>
      <c r="AP53" s="16">
        <f t="shared" si="23"/>
        <v>0</v>
      </c>
      <c r="AQ53" s="16"/>
      <c r="AR53" s="15"/>
      <c r="AS53" s="16">
        <f t="shared" si="24"/>
        <v>0</v>
      </c>
      <c r="AT53" s="16"/>
      <c r="AU53" s="16">
        <v>5031.1804200000006</v>
      </c>
      <c r="AV53" s="16">
        <f t="shared" si="32"/>
        <v>5031.1804200000006</v>
      </c>
      <c r="AW53" s="16">
        <f t="shared" si="25"/>
        <v>0</v>
      </c>
      <c r="AX53" s="16" t="str">
        <f t="shared" si="36"/>
        <v>MAYFAIR</v>
      </c>
      <c r="AY53" s="22">
        <v>44988</v>
      </c>
      <c r="AZ53" s="22"/>
      <c r="BA53" s="1"/>
      <c r="BB53" s="22" t="str">
        <f t="shared" si="35"/>
        <v>PROPERTY DAMAGE &amp; BI</v>
      </c>
      <c r="BC53" s="22"/>
      <c r="BD53" s="22"/>
      <c r="BE53" s="22"/>
    </row>
    <row r="54" spans="1:57" ht="14.25" hidden="1" customHeight="1">
      <c r="A54" s="2" t="s">
        <v>165</v>
      </c>
      <c r="B54" s="1" t="s">
        <v>58</v>
      </c>
      <c r="C54" s="27">
        <v>45071</v>
      </c>
      <c r="D54" s="27">
        <v>45042</v>
      </c>
      <c r="E54" s="27">
        <v>45010</v>
      </c>
      <c r="F54" s="27">
        <v>45374</v>
      </c>
      <c r="G54" s="13" t="str">
        <f t="shared" si="16"/>
        <v>000-053/AIB RDC/2023</v>
      </c>
      <c r="H54" s="1">
        <v>0</v>
      </c>
      <c r="I54" s="1" t="s">
        <v>83</v>
      </c>
      <c r="J54" s="14" t="s">
        <v>196</v>
      </c>
      <c r="K54" s="1" t="s">
        <v>197</v>
      </c>
      <c r="L54" s="1"/>
      <c r="M54" s="1" t="s">
        <v>95</v>
      </c>
      <c r="N54" s="2" t="s">
        <v>146</v>
      </c>
      <c r="O54" s="1" t="s">
        <v>104</v>
      </c>
      <c r="P54" s="1" t="s">
        <v>105</v>
      </c>
      <c r="Q54" s="1" t="s">
        <v>66</v>
      </c>
      <c r="R54" s="1" t="s">
        <v>66</v>
      </c>
      <c r="S54" s="16">
        <v>60095</v>
      </c>
      <c r="T54" s="25">
        <v>172.47</v>
      </c>
      <c r="U54" s="25">
        <v>0</v>
      </c>
      <c r="V54" s="25">
        <v>0</v>
      </c>
      <c r="W54" s="25">
        <v>3.82</v>
      </c>
      <c r="X54" s="25">
        <v>121.15</v>
      </c>
      <c r="Y54" s="25">
        <v>20</v>
      </c>
      <c r="Z54" s="17">
        <f t="shared" si="17"/>
        <v>2.0159747067143691E-3</v>
      </c>
      <c r="AA54" s="18">
        <v>0.15</v>
      </c>
      <c r="AB54" s="16">
        <f t="shared" si="33"/>
        <v>18.172499999999999</v>
      </c>
      <c r="AC54" s="16">
        <v>0</v>
      </c>
      <c r="AD54" s="16">
        <v>0</v>
      </c>
      <c r="AE54" s="16">
        <v>0</v>
      </c>
      <c r="AF54" s="16">
        <f t="shared" si="19"/>
        <v>18.172499999999999</v>
      </c>
      <c r="AG54" s="16">
        <f t="shared" si="37"/>
        <v>2.9076</v>
      </c>
      <c r="AH54" s="16">
        <f t="shared" si="20"/>
        <v>21.080099999999998</v>
      </c>
      <c r="AI54" s="16">
        <f t="shared" si="38"/>
        <v>0.36345</v>
      </c>
      <c r="AJ54" s="16">
        <v>0</v>
      </c>
      <c r="AK54" s="16">
        <f t="shared" si="21"/>
        <v>0.36345</v>
      </c>
      <c r="AL54" s="19"/>
      <c r="AM54" s="16">
        <f t="shared" si="22"/>
        <v>17.809049999999999</v>
      </c>
      <c r="AN54" s="16" t="s">
        <v>147</v>
      </c>
      <c r="AO54" s="20">
        <v>0.4</v>
      </c>
      <c r="AP54" s="16">
        <f t="shared" si="23"/>
        <v>7.1236199999999998</v>
      </c>
      <c r="AQ54" s="16">
        <v>7.1236199999999998</v>
      </c>
      <c r="AR54" s="15">
        <v>45229</v>
      </c>
      <c r="AS54" s="16">
        <f t="shared" si="24"/>
        <v>0</v>
      </c>
      <c r="AT54" s="16"/>
      <c r="AU54" s="16">
        <v>21.080099999999998</v>
      </c>
      <c r="AV54" s="16">
        <f t="shared" si="32"/>
        <v>21.080099999999998</v>
      </c>
      <c r="AW54" s="16">
        <f t="shared" si="25"/>
        <v>0</v>
      </c>
      <c r="AX54" s="16" t="str">
        <f t="shared" si="36"/>
        <v>SFA</v>
      </c>
      <c r="AY54" s="22">
        <v>45076</v>
      </c>
      <c r="AZ54" s="22"/>
      <c r="BA54" s="1" t="s">
        <v>148</v>
      </c>
      <c r="BB54" s="1" t="s">
        <v>104</v>
      </c>
      <c r="BC54" s="1"/>
      <c r="BD54" s="1"/>
      <c r="BE54" s="1"/>
    </row>
    <row r="55" spans="1:57" ht="14.25" hidden="1" customHeight="1">
      <c r="A55" s="1" t="s">
        <v>57</v>
      </c>
      <c r="B55" s="1" t="s">
        <v>58</v>
      </c>
      <c r="C55" s="21">
        <v>44944</v>
      </c>
      <c r="D55" s="21">
        <v>44944</v>
      </c>
      <c r="E55" s="21">
        <v>44938</v>
      </c>
      <c r="F55" s="21">
        <v>45119</v>
      </c>
      <c r="G55" s="13" t="str">
        <f t="shared" si="16"/>
        <v>000-054/AIB RDC/2023</v>
      </c>
      <c r="H55" s="1">
        <v>0</v>
      </c>
      <c r="I55" s="1" t="s">
        <v>83</v>
      </c>
      <c r="J55" s="14" t="s">
        <v>198</v>
      </c>
      <c r="K55" s="1" t="s">
        <v>199</v>
      </c>
      <c r="L55" s="15"/>
      <c r="M55" s="1" t="s">
        <v>99</v>
      </c>
      <c r="N55" s="1" t="s">
        <v>100</v>
      </c>
      <c r="O55" s="1" t="s">
        <v>107</v>
      </c>
      <c r="P55" s="1" t="s">
        <v>108</v>
      </c>
      <c r="Q55" s="1" t="s">
        <v>66</v>
      </c>
      <c r="R55" s="1" t="s">
        <v>66</v>
      </c>
      <c r="S55" s="16">
        <v>0</v>
      </c>
      <c r="T55" s="16">
        <v>6028.85</v>
      </c>
      <c r="U55" s="16">
        <v>0</v>
      </c>
      <c r="V55" s="16">
        <v>0</v>
      </c>
      <c r="W55" s="16">
        <v>35.369999999999997</v>
      </c>
      <c r="X55" s="16">
        <v>5073.83</v>
      </c>
      <c r="Y55" s="16">
        <v>817.47</v>
      </c>
      <c r="Z55" s="17" t="e">
        <f t="shared" si="17"/>
        <v>#DIV/0!</v>
      </c>
      <c r="AA55" s="18">
        <v>0.1</v>
      </c>
      <c r="AB55" s="16">
        <f t="shared" si="33"/>
        <v>507.38300000000004</v>
      </c>
      <c r="AC55" s="16">
        <v>0</v>
      </c>
      <c r="AD55" s="16">
        <v>0</v>
      </c>
      <c r="AE55" s="16">
        <v>0</v>
      </c>
      <c r="AF55" s="16">
        <f t="shared" si="19"/>
        <v>507.38300000000004</v>
      </c>
      <c r="AG55" s="16">
        <f t="shared" si="37"/>
        <v>81.181280000000001</v>
      </c>
      <c r="AH55" s="16">
        <f t="shared" si="20"/>
        <v>588.56428000000005</v>
      </c>
      <c r="AI55" s="16">
        <f t="shared" si="38"/>
        <v>10.14766</v>
      </c>
      <c r="AJ55" s="16">
        <v>0</v>
      </c>
      <c r="AK55" s="16">
        <f t="shared" si="21"/>
        <v>10.14766</v>
      </c>
      <c r="AL55" s="19"/>
      <c r="AM55" s="16">
        <f t="shared" si="22"/>
        <v>497.23534000000006</v>
      </c>
      <c r="AN55" s="16"/>
      <c r="AO55" s="20"/>
      <c r="AP55" s="16">
        <f t="shared" si="23"/>
        <v>0</v>
      </c>
      <c r="AQ55" s="16"/>
      <c r="AR55" s="15"/>
      <c r="AS55" s="16">
        <f t="shared" si="24"/>
        <v>0</v>
      </c>
      <c r="AT55" s="16"/>
      <c r="AU55" s="16">
        <v>588.56428000000005</v>
      </c>
      <c r="AV55" s="16">
        <f t="shared" si="32"/>
        <v>588.56428000000005</v>
      </c>
      <c r="AW55" s="16">
        <f t="shared" si="25"/>
        <v>0</v>
      </c>
      <c r="AX55" s="16" t="str">
        <f t="shared" si="36"/>
        <v>SFA</v>
      </c>
      <c r="AY55" s="22">
        <v>44984</v>
      </c>
      <c r="AZ55" s="22"/>
      <c r="BA55" s="22"/>
      <c r="BB55" s="22" t="str">
        <f t="shared" ref="BB55:BB60" si="39">O55</f>
        <v>FIRE</v>
      </c>
      <c r="BC55" s="22"/>
      <c r="BD55" s="22"/>
      <c r="BE55" s="22"/>
    </row>
    <row r="56" spans="1:57" ht="14.25" hidden="1" customHeight="1">
      <c r="A56" s="1" t="s">
        <v>57</v>
      </c>
      <c r="B56" s="1" t="s">
        <v>58</v>
      </c>
      <c r="C56" s="21">
        <v>44940</v>
      </c>
      <c r="D56" s="21">
        <v>44940</v>
      </c>
      <c r="E56" s="21">
        <v>44938</v>
      </c>
      <c r="F56" s="21">
        <v>45119</v>
      </c>
      <c r="G56" s="13" t="str">
        <f t="shared" si="16"/>
        <v>000-055/AIB RDC/2023</v>
      </c>
      <c r="H56" s="1">
        <v>0</v>
      </c>
      <c r="I56" s="1" t="s">
        <v>83</v>
      </c>
      <c r="J56" s="14" t="s">
        <v>200</v>
      </c>
      <c r="K56" s="1" t="s">
        <v>199</v>
      </c>
      <c r="L56" s="15"/>
      <c r="M56" s="1" t="s">
        <v>99</v>
      </c>
      <c r="N56" s="1" t="s">
        <v>100</v>
      </c>
      <c r="O56" s="1" t="s">
        <v>129</v>
      </c>
      <c r="P56" s="1" t="s">
        <v>108</v>
      </c>
      <c r="Q56" s="1" t="s">
        <v>66</v>
      </c>
      <c r="R56" s="1" t="s">
        <v>66</v>
      </c>
      <c r="S56" s="16">
        <v>0</v>
      </c>
      <c r="T56" s="16">
        <v>1632.32</v>
      </c>
      <c r="U56" s="16">
        <v>0</v>
      </c>
      <c r="V56" s="16">
        <v>0</v>
      </c>
      <c r="W56" s="16">
        <v>20</v>
      </c>
      <c r="X56" s="16">
        <v>1363.32</v>
      </c>
      <c r="Y56" s="16">
        <v>221.33</v>
      </c>
      <c r="Z56" s="17" t="e">
        <f t="shared" si="17"/>
        <v>#DIV/0!</v>
      </c>
      <c r="AA56" s="18">
        <v>0.2</v>
      </c>
      <c r="AB56" s="16">
        <f t="shared" si="33"/>
        <v>272.66399999999999</v>
      </c>
      <c r="AC56" s="16">
        <v>0</v>
      </c>
      <c r="AD56" s="16">
        <v>0</v>
      </c>
      <c r="AE56" s="16">
        <v>0</v>
      </c>
      <c r="AF56" s="16">
        <f t="shared" si="19"/>
        <v>272.66399999999999</v>
      </c>
      <c r="AG56" s="16">
        <f t="shared" si="37"/>
        <v>43.626239999999996</v>
      </c>
      <c r="AH56" s="16">
        <f t="shared" si="20"/>
        <v>316.29023999999998</v>
      </c>
      <c r="AI56" s="16">
        <f t="shared" si="38"/>
        <v>5.4532799999999995</v>
      </c>
      <c r="AJ56" s="16">
        <v>0</v>
      </c>
      <c r="AK56" s="16">
        <f t="shared" si="21"/>
        <v>5.4532799999999995</v>
      </c>
      <c r="AL56" s="19"/>
      <c r="AM56" s="16">
        <f t="shared" si="22"/>
        <v>267.21071999999998</v>
      </c>
      <c r="AN56" s="16"/>
      <c r="AO56" s="20"/>
      <c r="AP56" s="16">
        <f t="shared" si="23"/>
        <v>0</v>
      </c>
      <c r="AQ56" s="16"/>
      <c r="AR56" s="15"/>
      <c r="AS56" s="16">
        <f t="shared" si="24"/>
        <v>0</v>
      </c>
      <c r="AT56" s="16"/>
      <c r="AU56" s="16">
        <v>316.29023999999998</v>
      </c>
      <c r="AV56" s="16">
        <f t="shared" si="32"/>
        <v>316.29023999999998</v>
      </c>
      <c r="AW56" s="16">
        <f t="shared" si="25"/>
        <v>0</v>
      </c>
      <c r="AX56" s="16" t="str">
        <f t="shared" si="36"/>
        <v>SFA</v>
      </c>
      <c r="AY56" s="22">
        <v>44984</v>
      </c>
      <c r="AZ56" s="22"/>
      <c r="BA56" s="22"/>
      <c r="BB56" s="22" t="str">
        <f t="shared" si="39"/>
        <v>FIRE/HOME</v>
      </c>
      <c r="BC56" s="22"/>
      <c r="BD56" s="22"/>
      <c r="BE56" s="22"/>
    </row>
    <row r="57" spans="1:57" ht="14.25" hidden="1" customHeight="1">
      <c r="A57" s="1" t="s">
        <v>57</v>
      </c>
      <c r="B57" s="1" t="s">
        <v>58</v>
      </c>
      <c r="C57" s="21">
        <v>44945</v>
      </c>
      <c r="D57" s="21">
        <v>44949</v>
      </c>
      <c r="E57" s="21">
        <v>44946</v>
      </c>
      <c r="F57" s="21">
        <v>45310</v>
      </c>
      <c r="G57" s="13" t="str">
        <f t="shared" si="16"/>
        <v>000-056/AIB RDC/2023</v>
      </c>
      <c r="H57" s="1">
        <v>1</v>
      </c>
      <c r="I57" s="1" t="s">
        <v>68</v>
      </c>
      <c r="J57" s="14" t="s">
        <v>201</v>
      </c>
      <c r="K57" s="28" t="s">
        <v>202</v>
      </c>
      <c r="L57" s="15"/>
      <c r="M57" s="1" t="s">
        <v>99</v>
      </c>
      <c r="N57" s="1" t="s">
        <v>75</v>
      </c>
      <c r="O57" s="1" t="s">
        <v>111</v>
      </c>
      <c r="P57" s="1" t="s">
        <v>112</v>
      </c>
      <c r="Q57" s="1" t="s">
        <v>127</v>
      </c>
      <c r="R57" s="1" t="s">
        <v>127</v>
      </c>
      <c r="S57" s="16">
        <v>0</v>
      </c>
      <c r="T57" s="16">
        <v>1570.58</v>
      </c>
      <c r="U57" s="16">
        <v>0</v>
      </c>
      <c r="V57" s="16">
        <v>0</v>
      </c>
      <c r="W57" s="16">
        <v>50</v>
      </c>
      <c r="X57" s="16">
        <v>1281</v>
      </c>
      <c r="Y57" s="16">
        <v>212.96</v>
      </c>
      <c r="Z57" s="17" t="e">
        <f t="shared" si="17"/>
        <v>#DIV/0!</v>
      </c>
      <c r="AA57" s="18">
        <v>0.15</v>
      </c>
      <c r="AB57" s="16">
        <f t="shared" si="33"/>
        <v>192.15</v>
      </c>
      <c r="AC57" s="16">
        <v>0</v>
      </c>
      <c r="AD57" s="16">
        <v>0</v>
      </c>
      <c r="AE57" s="16">
        <v>0</v>
      </c>
      <c r="AF57" s="16">
        <f t="shared" si="19"/>
        <v>192.15</v>
      </c>
      <c r="AG57" s="16">
        <f t="shared" si="37"/>
        <v>30.744</v>
      </c>
      <c r="AH57" s="16">
        <f t="shared" si="20"/>
        <v>222.89400000000001</v>
      </c>
      <c r="AI57" s="16">
        <f t="shared" si="38"/>
        <v>3.843</v>
      </c>
      <c r="AJ57" s="16">
        <v>0</v>
      </c>
      <c r="AK57" s="16">
        <f t="shared" si="21"/>
        <v>3.843</v>
      </c>
      <c r="AL57" s="19"/>
      <c r="AM57" s="16">
        <f t="shared" si="22"/>
        <v>188.30700000000002</v>
      </c>
      <c r="AN57" s="16"/>
      <c r="AO57" s="20"/>
      <c r="AP57" s="16">
        <f t="shared" si="23"/>
        <v>0</v>
      </c>
      <c r="AQ57" s="16"/>
      <c r="AR57" s="15"/>
      <c r="AS57" s="16">
        <f t="shared" si="24"/>
        <v>0</v>
      </c>
      <c r="AT57" s="16"/>
      <c r="AU57" s="16">
        <v>222.89400000000001</v>
      </c>
      <c r="AV57" s="16">
        <f t="shared" ref="AV57:AV88" si="40">AH57</f>
        <v>222.89400000000001</v>
      </c>
      <c r="AW57" s="16">
        <f t="shared" si="25"/>
        <v>0</v>
      </c>
      <c r="AX57" s="16" t="str">
        <f t="shared" si="36"/>
        <v>MAYFAIR</v>
      </c>
      <c r="AY57" s="22">
        <v>44988</v>
      </c>
      <c r="AZ57" s="22"/>
      <c r="BA57" s="22"/>
      <c r="BB57" s="22" t="str">
        <f t="shared" si="39"/>
        <v>GENERAL LIABILITY</v>
      </c>
      <c r="BC57" s="22"/>
      <c r="BD57" s="22"/>
      <c r="BE57" s="22"/>
    </row>
    <row r="58" spans="1:57" ht="14.25" hidden="1" customHeight="1">
      <c r="A58" s="1" t="s">
        <v>157</v>
      </c>
      <c r="B58" s="1" t="s">
        <v>58</v>
      </c>
      <c r="C58" s="21">
        <v>44947</v>
      </c>
      <c r="D58" s="21">
        <v>44960</v>
      </c>
      <c r="E58" s="21">
        <v>44968</v>
      </c>
      <c r="F58" s="21">
        <v>45107</v>
      </c>
      <c r="G58" s="13" t="str">
        <f t="shared" si="16"/>
        <v>000-057/AIB RDC/2023</v>
      </c>
      <c r="H58" s="1">
        <v>1</v>
      </c>
      <c r="I58" s="1" t="s">
        <v>189</v>
      </c>
      <c r="J58" s="14" t="s">
        <v>203</v>
      </c>
      <c r="K58" s="1" t="s">
        <v>204</v>
      </c>
      <c r="L58" s="1" t="s">
        <v>123</v>
      </c>
      <c r="M58" s="1" t="s">
        <v>63</v>
      </c>
      <c r="N58" s="1" t="s">
        <v>205</v>
      </c>
      <c r="O58" s="1" t="s">
        <v>107</v>
      </c>
      <c r="P58" s="1" t="s">
        <v>108</v>
      </c>
      <c r="Q58" s="1" t="s">
        <v>66</v>
      </c>
      <c r="R58" s="1" t="s">
        <v>66</v>
      </c>
      <c r="S58" s="16">
        <v>0</v>
      </c>
      <c r="T58" s="16">
        <v>878.35</v>
      </c>
      <c r="U58" s="16">
        <v>0</v>
      </c>
      <c r="V58" s="16">
        <v>0</v>
      </c>
      <c r="W58" s="16">
        <v>20</v>
      </c>
      <c r="X58" s="16">
        <v>724.36</v>
      </c>
      <c r="Y58" s="16">
        <v>119.1</v>
      </c>
      <c r="Z58" s="17" t="e">
        <f t="shared" si="17"/>
        <v>#DIV/0!</v>
      </c>
      <c r="AA58" s="18">
        <v>0.1</v>
      </c>
      <c r="AB58" s="16">
        <f t="shared" si="33"/>
        <v>72.436000000000007</v>
      </c>
      <c r="AC58" s="16">
        <v>0</v>
      </c>
      <c r="AD58" s="16">
        <v>0</v>
      </c>
      <c r="AE58" s="16">
        <v>0</v>
      </c>
      <c r="AF58" s="16">
        <f t="shared" si="19"/>
        <v>72.436000000000007</v>
      </c>
      <c r="AG58" s="16">
        <f t="shared" si="37"/>
        <v>11.589760000000002</v>
      </c>
      <c r="AH58" s="16">
        <f t="shared" si="20"/>
        <v>84.025760000000005</v>
      </c>
      <c r="AI58" s="16">
        <f t="shared" si="38"/>
        <v>1.4487200000000002</v>
      </c>
      <c r="AJ58" s="16">
        <v>0</v>
      </c>
      <c r="AK58" s="16">
        <f t="shared" si="21"/>
        <v>1.4487200000000002</v>
      </c>
      <c r="AL58" s="19"/>
      <c r="AM58" s="16">
        <f t="shared" si="22"/>
        <v>70.987280000000013</v>
      </c>
      <c r="AN58" s="16" t="s">
        <v>206</v>
      </c>
      <c r="AO58" s="20">
        <v>0.5</v>
      </c>
      <c r="AP58" s="16">
        <f t="shared" si="23"/>
        <v>35.493640000000006</v>
      </c>
      <c r="AQ58" s="16">
        <v>35.493640000000006</v>
      </c>
      <c r="AR58" s="15">
        <v>45219</v>
      </c>
      <c r="AS58" s="16">
        <f t="shared" si="24"/>
        <v>0</v>
      </c>
      <c r="AT58" s="16"/>
      <c r="AU58" s="16">
        <v>84.025760000000005</v>
      </c>
      <c r="AV58" s="16">
        <f t="shared" si="40"/>
        <v>84.025760000000005</v>
      </c>
      <c r="AW58" s="16">
        <f t="shared" si="25"/>
        <v>0</v>
      </c>
      <c r="AX58" s="16" t="str">
        <f t="shared" si="36"/>
        <v>SFA</v>
      </c>
      <c r="AY58" s="22">
        <v>45005</v>
      </c>
      <c r="AZ58" s="22"/>
      <c r="BA58" s="1" t="s">
        <v>207</v>
      </c>
      <c r="BB58" s="22" t="str">
        <f t="shared" si="39"/>
        <v>FIRE</v>
      </c>
      <c r="BC58" s="22"/>
      <c r="BD58" s="22"/>
      <c r="BE58" s="22"/>
    </row>
    <row r="59" spans="1:57" ht="14.25" hidden="1" customHeight="1">
      <c r="A59" s="1" t="s">
        <v>157</v>
      </c>
      <c r="B59" s="1" t="s">
        <v>58</v>
      </c>
      <c r="C59" s="21">
        <v>45051</v>
      </c>
      <c r="D59" s="21">
        <v>44991</v>
      </c>
      <c r="E59" s="21">
        <v>44978</v>
      </c>
      <c r="F59" s="21">
        <v>45342</v>
      </c>
      <c r="G59" s="13" t="str">
        <f t="shared" si="16"/>
        <v>000-058/AIB RDC/2023</v>
      </c>
      <c r="H59" s="1">
        <v>0</v>
      </c>
      <c r="I59" s="1" t="s">
        <v>83</v>
      </c>
      <c r="J59" s="29" t="s">
        <v>208</v>
      </c>
      <c r="K59" s="2" t="s">
        <v>209</v>
      </c>
      <c r="L59" s="15"/>
      <c r="M59" s="2" t="s">
        <v>95</v>
      </c>
      <c r="N59" s="2" t="s">
        <v>146</v>
      </c>
      <c r="O59" s="2" t="s">
        <v>104</v>
      </c>
      <c r="P59" s="2" t="s">
        <v>105</v>
      </c>
      <c r="Q59" s="2" t="s">
        <v>66</v>
      </c>
      <c r="R59" s="2" t="s">
        <v>66</v>
      </c>
      <c r="S59" s="16">
        <v>245602.62</v>
      </c>
      <c r="T59" s="16">
        <v>458.89</v>
      </c>
      <c r="U59" s="16">
        <v>0</v>
      </c>
      <c r="V59" s="16">
        <v>0</v>
      </c>
      <c r="W59" s="16">
        <v>5.75</v>
      </c>
      <c r="X59" s="16">
        <v>383.14</v>
      </c>
      <c r="Y59" s="16">
        <v>62.22</v>
      </c>
      <c r="Z59" s="17">
        <f t="shared" si="17"/>
        <v>1.5599996449549276E-3</v>
      </c>
      <c r="AA59" s="18">
        <v>0.15</v>
      </c>
      <c r="AB59" s="16">
        <f t="shared" si="33"/>
        <v>57.470999999999997</v>
      </c>
      <c r="AC59" s="16">
        <v>0</v>
      </c>
      <c r="AD59" s="16">
        <v>0</v>
      </c>
      <c r="AE59" s="16">
        <v>0</v>
      </c>
      <c r="AF59" s="16">
        <f t="shared" si="19"/>
        <v>57.470999999999997</v>
      </c>
      <c r="AG59" s="16">
        <f t="shared" si="37"/>
        <v>9.1953599999999991</v>
      </c>
      <c r="AH59" s="16">
        <f t="shared" si="20"/>
        <v>66.666359999999997</v>
      </c>
      <c r="AI59" s="16">
        <f t="shared" si="38"/>
        <v>1.1494199999999999</v>
      </c>
      <c r="AJ59" s="16">
        <v>0</v>
      </c>
      <c r="AK59" s="16">
        <f t="shared" si="21"/>
        <v>1.1494199999999999</v>
      </c>
      <c r="AL59" s="19"/>
      <c r="AM59" s="16">
        <f t="shared" si="22"/>
        <v>56.321579999999997</v>
      </c>
      <c r="AN59" s="16" t="s">
        <v>147</v>
      </c>
      <c r="AO59" s="20">
        <v>0.4</v>
      </c>
      <c r="AP59" s="16">
        <f t="shared" si="23"/>
        <v>22.528632000000002</v>
      </c>
      <c r="AQ59" s="16">
        <v>22.528632000000002</v>
      </c>
      <c r="AR59" s="15">
        <v>45229</v>
      </c>
      <c r="AS59" s="16">
        <f t="shared" si="24"/>
        <v>0</v>
      </c>
      <c r="AT59" s="16"/>
      <c r="AU59" s="16">
        <v>66.666359999999997</v>
      </c>
      <c r="AV59" s="16">
        <f t="shared" si="40"/>
        <v>66.666359999999997</v>
      </c>
      <c r="AW59" s="16">
        <f t="shared" si="25"/>
        <v>0</v>
      </c>
      <c r="AX59" s="16" t="str">
        <f t="shared" si="36"/>
        <v>SFA</v>
      </c>
      <c r="AY59" s="22">
        <v>45070</v>
      </c>
      <c r="AZ59" s="22"/>
      <c r="BA59" s="1" t="s">
        <v>148</v>
      </c>
      <c r="BB59" s="22" t="str">
        <f t="shared" si="39"/>
        <v>MARINE CARGO / GIT</v>
      </c>
      <c r="BC59" s="22"/>
      <c r="BD59" s="22"/>
      <c r="BE59" s="22"/>
    </row>
    <row r="60" spans="1:57" ht="14.25" hidden="1" customHeight="1">
      <c r="A60" s="1" t="s">
        <v>157</v>
      </c>
      <c r="B60" s="1" t="s">
        <v>58</v>
      </c>
      <c r="C60" s="21">
        <v>44953</v>
      </c>
      <c r="D60" s="21">
        <v>44957</v>
      </c>
      <c r="E60" s="21">
        <v>44958</v>
      </c>
      <c r="F60" s="21">
        <v>45322</v>
      </c>
      <c r="G60" s="13" t="str">
        <f t="shared" si="16"/>
        <v>000-059/AIB RDC/2023</v>
      </c>
      <c r="H60" s="1">
        <v>1</v>
      </c>
      <c r="I60" s="1" t="s">
        <v>68</v>
      </c>
      <c r="J60" s="14" t="s">
        <v>210</v>
      </c>
      <c r="K60" s="1" t="s">
        <v>211</v>
      </c>
      <c r="L60" s="15"/>
      <c r="M60" s="1" t="s">
        <v>63</v>
      </c>
      <c r="N60" s="1" t="s">
        <v>205</v>
      </c>
      <c r="O60" s="1" t="s">
        <v>133</v>
      </c>
      <c r="P60" s="1" t="s">
        <v>134</v>
      </c>
      <c r="Q60" s="1" t="s">
        <v>66</v>
      </c>
      <c r="R60" s="1" t="s">
        <v>66</v>
      </c>
      <c r="S60" s="16">
        <v>0</v>
      </c>
      <c r="T60" s="16">
        <v>3109.13</v>
      </c>
      <c r="U60" s="16">
        <v>0</v>
      </c>
      <c r="V60" s="16">
        <v>0</v>
      </c>
      <c r="W60" s="16">
        <v>38.94</v>
      </c>
      <c r="X60" s="16">
        <v>2595.91</v>
      </c>
      <c r="Y60" s="16">
        <v>421.58</v>
      </c>
      <c r="Z60" s="17" t="e">
        <f t="shared" si="17"/>
        <v>#DIV/0!</v>
      </c>
      <c r="AA60" s="18">
        <v>0.15</v>
      </c>
      <c r="AB60" s="16">
        <f t="shared" si="33"/>
        <v>389.38649999999996</v>
      </c>
      <c r="AC60" s="16">
        <v>0</v>
      </c>
      <c r="AD60" s="16">
        <v>0</v>
      </c>
      <c r="AE60" s="16">
        <v>0</v>
      </c>
      <c r="AF60" s="16">
        <f t="shared" si="19"/>
        <v>389.38649999999996</v>
      </c>
      <c r="AG60" s="16">
        <f t="shared" si="37"/>
        <v>62.301839999999991</v>
      </c>
      <c r="AH60" s="16">
        <f t="shared" si="20"/>
        <v>451.68833999999993</v>
      </c>
      <c r="AI60" s="16">
        <f t="shared" si="38"/>
        <v>7.7877299999999989</v>
      </c>
      <c r="AJ60" s="16">
        <v>0</v>
      </c>
      <c r="AK60" s="16">
        <f t="shared" si="21"/>
        <v>7.7877299999999989</v>
      </c>
      <c r="AL60" s="19"/>
      <c r="AM60" s="16">
        <f t="shared" si="22"/>
        <v>381.59876999999994</v>
      </c>
      <c r="AN60" s="16" t="s">
        <v>206</v>
      </c>
      <c r="AO60" s="20">
        <v>0.5</v>
      </c>
      <c r="AP60" s="16">
        <f t="shared" si="23"/>
        <v>190.79938499999997</v>
      </c>
      <c r="AQ60" s="16">
        <v>190.8</v>
      </c>
      <c r="AR60" s="15">
        <v>45219</v>
      </c>
      <c r="AS60" s="16">
        <f t="shared" si="24"/>
        <v>-6.1500000003888999E-4</v>
      </c>
      <c r="AT60" s="16"/>
      <c r="AU60" s="16">
        <v>451.68833999999993</v>
      </c>
      <c r="AV60" s="16">
        <f t="shared" si="40"/>
        <v>451.68833999999993</v>
      </c>
      <c r="AW60" s="16">
        <f t="shared" si="25"/>
        <v>0</v>
      </c>
      <c r="AX60" s="16" t="str">
        <f t="shared" si="36"/>
        <v>SFA</v>
      </c>
      <c r="AY60" s="22">
        <v>45005</v>
      </c>
      <c r="AZ60" s="22"/>
      <c r="BA60" s="1"/>
      <c r="BB60" s="22" t="str">
        <f t="shared" si="39"/>
        <v>COMP MOTOR</v>
      </c>
      <c r="BC60" s="22"/>
      <c r="BD60" s="22"/>
      <c r="BE60" s="22"/>
    </row>
    <row r="61" spans="1:57" ht="14.25" hidden="1" customHeight="1">
      <c r="A61" s="2" t="s">
        <v>212</v>
      </c>
      <c r="B61" s="1" t="s">
        <v>58</v>
      </c>
      <c r="C61" s="27">
        <v>45103</v>
      </c>
      <c r="D61" s="27">
        <v>45117</v>
      </c>
      <c r="E61" s="27">
        <v>45078</v>
      </c>
      <c r="F61" s="27">
        <v>45175</v>
      </c>
      <c r="G61" s="13" t="str">
        <f t="shared" si="16"/>
        <v>000-060/AIB RDC/2023</v>
      </c>
      <c r="H61" s="1">
        <v>3</v>
      </c>
      <c r="I61" s="1" t="s">
        <v>59</v>
      </c>
      <c r="J61" s="30" t="s">
        <v>213</v>
      </c>
      <c r="K61" s="2" t="s">
        <v>214</v>
      </c>
      <c r="L61" s="1" t="s">
        <v>62</v>
      </c>
      <c r="M61" s="1" t="s">
        <v>63</v>
      </c>
      <c r="N61" s="1" t="s">
        <v>64</v>
      </c>
      <c r="O61" s="1" t="s">
        <v>133</v>
      </c>
      <c r="P61" s="1" t="s">
        <v>134</v>
      </c>
      <c r="Q61" s="1" t="s">
        <v>66</v>
      </c>
      <c r="R61" s="1" t="s">
        <v>66</v>
      </c>
      <c r="S61" s="25">
        <v>72000</v>
      </c>
      <c r="T61" s="25">
        <v>994.81</v>
      </c>
      <c r="U61" s="25">
        <v>0</v>
      </c>
      <c r="V61" s="25">
        <v>0</v>
      </c>
      <c r="W61" s="25">
        <v>31.18</v>
      </c>
      <c r="X61" s="25">
        <v>826.42</v>
      </c>
      <c r="Y61" s="25">
        <v>137.21</v>
      </c>
      <c r="Z61" s="17">
        <f t="shared" si="17"/>
        <v>1.1478055555555556E-2</v>
      </c>
      <c r="AA61" s="18">
        <v>0.15</v>
      </c>
      <c r="AB61" s="16">
        <f t="shared" ref="AB61:AB92" si="41">AA61*X61</f>
        <v>123.96299999999999</v>
      </c>
      <c r="AC61" s="16">
        <v>0</v>
      </c>
      <c r="AD61" s="16">
        <v>0</v>
      </c>
      <c r="AE61" s="16">
        <v>0</v>
      </c>
      <c r="AF61" s="16">
        <f t="shared" si="19"/>
        <v>123.96299999999999</v>
      </c>
      <c r="AG61" s="16">
        <f t="shared" si="37"/>
        <v>19.83408</v>
      </c>
      <c r="AH61" s="16">
        <f t="shared" si="20"/>
        <v>143.79707999999999</v>
      </c>
      <c r="AI61" s="16">
        <f t="shared" si="38"/>
        <v>2.47926</v>
      </c>
      <c r="AJ61" s="16">
        <v>0</v>
      </c>
      <c r="AK61" s="16">
        <f t="shared" si="21"/>
        <v>2.47926</v>
      </c>
      <c r="AL61" s="19"/>
      <c r="AM61" s="16">
        <f t="shared" si="22"/>
        <v>121.48374</v>
      </c>
      <c r="AN61" s="16" t="s">
        <v>215</v>
      </c>
      <c r="AO61" s="20">
        <v>0.5</v>
      </c>
      <c r="AP61" s="16">
        <f t="shared" si="23"/>
        <v>60.741869999999999</v>
      </c>
      <c r="AQ61" s="16">
        <v>60.741869999999999</v>
      </c>
      <c r="AR61" s="15">
        <v>45222</v>
      </c>
      <c r="AS61" s="16">
        <f t="shared" si="24"/>
        <v>0</v>
      </c>
      <c r="AT61" s="16"/>
      <c r="AU61" s="16">
        <v>143.79707999999999</v>
      </c>
      <c r="AV61" s="16">
        <f t="shared" si="40"/>
        <v>143.79707999999999</v>
      </c>
      <c r="AW61" s="16">
        <f t="shared" si="25"/>
        <v>0</v>
      </c>
      <c r="AX61" s="16" t="str">
        <f t="shared" si="36"/>
        <v>SFA</v>
      </c>
      <c r="AY61" s="22">
        <v>45163</v>
      </c>
      <c r="AZ61" s="22"/>
      <c r="BA61" s="1"/>
      <c r="BB61" s="22"/>
      <c r="BC61" s="1"/>
      <c r="BD61" s="1"/>
      <c r="BE61" s="1"/>
    </row>
    <row r="62" spans="1:57" ht="14.25" hidden="1" customHeight="1">
      <c r="A62" s="1" t="s">
        <v>57</v>
      </c>
      <c r="B62" s="1" t="s">
        <v>58</v>
      </c>
      <c r="C62" s="21">
        <v>44952</v>
      </c>
      <c r="D62" s="21">
        <v>44986</v>
      </c>
      <c r="E62" s="21">
        <v>44952</v>
      </c>
      <c r="F62" s="21">
        <v>45015</v>
      </c>
      <c r="G62" s="13" t="str">
        <f t="shared" si="16"/>
        <v>000-061/AIB RDC/2023</v>
      </c>
      <c r="H62" s="1">
        <v>1</v>
      </c>
      <c r="I62" s="1" t="s">
        <v>59</v>
      </c>
      <c r="J62" s="14" t="s">
        <v>216</v>
      </c>
      <c r="K62" s="1" t="s">
        <v>217</v>
      </c>
      <c r="L62" s="15"/>
      <c r="M62" s="1" t="s">
        <v>99</v>
      </c>
      <c r="N62" s="1" t="s">
        <v>100</v>
      </c>
      <c r="O62" s="1" t="s">
        <v>104</v>
      </c>
      <c r="P62" s="1" t="s">
        <v>105</v>
      </c>
      <c r="Q62" s="1" t="s">
        <v>135</v>
      </c>
      <c r="R62" s="1" t="s">
        <v>135</v>
      </c>
      <c r="S62" s="16">
        <v>0</v>
      </c>
      <c r="T62" s="16">
        <v>15316.4</v>
      </c>
      <c r="U62" s="16">
        <v>0</v>
      </c>
      <c r="V62" s="16">
        <v>0</v>
      </c>
      <c r="W62" s="16">
        <v>100</v>
      </c>
      <c r="X62" s="16">
        <v>12880</v>
      </c>
      <c r="Y62" s="16">
        <v>2076.8000000000002</v>
      </c>
      <c r="Z62" s="17" t="e">
        <f t="shared" si="17"/>
        <v>#DIV/0!</v>
      </c>
      <c r="AA62" s="18">
        <v>0.15</v>
      </c>
      <c r="AB62" s="16">
        <f t="shared" si="41"/>
        <v>1932</v>
      </c>
      <c r="AC62" s="16">
        <v>0</v>
      </c>
      <c r="AD62" s="16">
        <v>0</v>
      </c>
      <c r="AE62" s="16">
        <v>0</v>
      </c>
      <c r="AF62" s="16">
        <f t="shared" si="19"/>
        <v>1932</v>
      </c>
      <c r="AG62" s="16">
        <f t="shared" si="37"/>
        <v>309.12</v>
      </c>
      <c r="AH62" s="16">
        <f t="shared" si="20"/>
        <v>2241.12</v>
      </c>
      <c r="AI62" s="16">
        <f t="shared" si="38"/>
        <v>38.64</v>
      </c>
      <c r="AJ62" s="16">
        <v>0</v>
      </c>
      <c r="AK62" s="16">
        <f t="shared" si="21"/>
        <v>38.64</v>
      </c>
      <c r="AL62" s="19"/>
      <c r="AM62" s="16">
        <f t="shared" si="22"/>
        <v>1893.36</v>
      </c>
      <c r="AN62" s="16" t="s">
        <v>147</v>
      </c>
      <c r="AO62" s="20">
        <v>0.4</v>
      </c>
      <c r="AP62" s="16">
        <f t="shared" si="23"/>
        <v>757.34400000000005</v>
      </c>
      <c r="AQ62" s="16">
        <v>757.34400000000005</v>
      </c>
      <c r="AR62" s="15">
        <v>45229</v>
      </c>
      <c r="AS62" s="16">
        <f t="shared" si="24"/>
        <v>0</v>
      </c>
      <c r="AT62" s="16"/>
      <c r="AU62" s="16">
        <v>2241.12</v>
      </c>
      <c r="AV62" s="16">
        <f t="shared" si="40"/>
        <v>2241.12</v>
      </c>
      <c r="AW62" s="16">
        <f t="shared" si="25"/>
        <v>0</v>
      </c>
      <c r="AX62" s="16" t="str">
        <f t="shared" si="36"/>
        <v>RAWSUR</v>
      </c>
      <c r="AY62" s="22">
        <v>45043</v>
      </c>
      <c r="AZ62" s="22"/>
      <c r="BA62" s="1" t="s">
        <v>148</v>
      </c>
      <c r="BB62" s="22" t="str">
        <f t="shared" ref="BB62:BB75" si="42">O62</f>
        <v>MARINE CARGO / GIT</v>
      </c>
      <c r="BC62" s="22"/>
      <c r="BD62" s="22"/>
      <c r="BE62" s="22"/>
    </row>
    <row r="63" spans="1:57" ht="14.25" hidden="1" customHeight="1">
      <c r="A63" s="1" t="s">
        <v>57</v>
      </c>
      <c r="B63" s="1" t="s">
        <v>58</v>
      </c>
      <c r="C63" s="21">
        <v>44952</v>
      </c>
      <c r="D63" s="21">
        <v>44986</v>
      </c>
      <c r="E63" s="21">
        <v>44952</v>
      </c>
      <c r="F63" s="21">
        <v>45015</v>
      </c>
      <c r="G63" s="13" t="str">
        <f t="shared" si="16"/>
        <v>000-062/AIB RDC/2023</v>
      </c>
      <c r="H63" s="1">
        <v>1</v>
      </c>
      <c r="I63" s="1" t="s">
        <v>59</v>
      </c>
      <c r="J63" s="14" t="s">
        <v>218</v>
      </c>
      <c r="K63" s="1" t="s">
        <v>219</v>
      </c>
      <c r="L63" s="15"/>
      <c r="M63" s="1" t="s">
        <v>99</v>
      </c>
      <c r="N63" s="1" t="s">
        <v>100</v>
      </c>
      <c r="O63" s="1" t="s">
        <v>104</v>
      </c>
      <c r="P63" s="1" t="s">
        <v>105</v>
      </c>
      <c r="Q63" s="1" t="s">
        <v>135</v>
      </c>
      <c r="R63" s="1" t="s">
        <v>135</v>
      </c>
      <c r="S63" s="16">
        <v>0</v>
      </c>
      <c r="T63" s="16">
        <v>23246</v>
      </c>
      <c r="U63" s="16">
        <v>0</v>
      </c>
      <c r="V63" s="16">
        <v>0</v>
      </c>
      <c r="W63" s="16">
        <v>100</v>
      </c>
      <c r="X63" s="16">
        <v>19600</v>
      </c>
      <c r="Y63" s="16">
        <v>3152</v>
      </c>
      <c r="Z63" s="17" t="e">
        <f t="shared" si="17"/>
        <v>#DIV/0!</v>
      </c>
      <c r="AA63" s="18">
        <v>0.15</v>
      </c>
      <c r="AB63" s="16">
        <f t="shared" si="41"/>
        <v>2940</v>
      </c>
      <c r="AC63" s="16">
        <v>0</v>
      </c>
      <c r="AD63" s="16">
        <v>0</v>
      </c>
      <c r="AE63" s="16">
        <v>0</v>
      </c>
      <c r="AF63" s="16">
        <f t="shared" si="19"/>
        <v>2940</v>
      </c>
      <c r="AG63" s="16">
        <f t="shared" si="37"/>
        <v>470.40000000000003</v>
      </c>
      <c r="AH63" s="16">
        <f t="shared" si="20"/>
        <v>3410.4</v>
      </c>
      <c r="AI63" s="16">
        <f t="shared" si="38"/>
        <v>58.800000000000004</v>
      </c>
      <c r="AJ63" s="16">
        <v>0</v>
      </c>
      <c r="AK63" s="16">
        <f t="shared" si="21"/>
        <v>58.800000000000004</v>
      </c>
      <c r="AL63" s="19"/>
      <c r="AM63" s="16">
        <f t="shared" si="22"/>
        <v>2881.2</v>
      </c>
      <c r="AN63" s="16" t="s">
        <v>147</v>
      </c>
      <c r="AO63" s="20">
        <v>0.4</v>
      </c>
      <c r="AP63" s="16">
        <f t="shared" si="23"/>
        <v>1152.48</v>
      </c>
      <c r="AQ63" s="16">
        <v>1152.48</v>
      </c>
      <c r="AR63" s="15">
        <v>45229</v>
      </c>
      <c r="AS63" s="16">
        <f t="shared" si="24"/>
        <v>0</v>
      </c>
      <c r="AT63" s="16"/>
      <c r="AU63" s="16">
        <v>3410.4</v>
      </c>
      <c r="AV63" s="16">
        <f t="shared" si="40"/>
        <v>3410.4</v>
      </c>
      <c r="AW63" s="16">
        <f t="shared" si="25"/>
        <v>0</v>
      </c>
      <c r="AX63" s="16" t="str">
        <f t="shared" si="36"/>
        <v>RAWSUR</v>
      </c>
      <c r="AY63" s="22">
        <v>45043</v>
      </c>
      <c r="AZ63" s="22"/>
      <c r="BA63" s="1" t="s">
        <v>148</v>
      </c>
      <c r="BB63" s="22" t="str">
        <f t="shared" si="42"/>
        <v>MARINE CARGO / GIT</v>
      </c>
      <c r="BC63" s="22"/>
      <c r="BD63" s="22"/>
      <c r="BE63" s="22"/>
    </row>
    <row r="64" spans="1:57" ht="14.25" hidden="1" customHeight="1">
      <c r="A64" s="1" t="s">
        <v>57</v>
      </c>
      <c r="B64" s="1" t="s">
        <v>58</v>
      </c>
      <c r="C64" s="21">
        <v>44957</v>
      </c>
      <c r="D64" s="21">
        <v>44971</v>
      </c>
      <c r="E64" s="21">
        <v>44937</v>
      </c>
      <c r="F64" s="21">
        <v>45301</v>
      </c>
      <c r="G64" s="13" t="str">
        <f t="shared" si="16"/>
        <v>000-063/AIB RDC/2023</v>
      </c>
      <c r="H64" s="1">
        <v>0</v>
      </c>
      <c r="I64" s="1" t="s">
        <v>83</v>
      </c>
      <c r="J64" s="14" t="s">
        <v>220</v>
      </c>
      <c r="K64" s="1" t="s">
        <v>135</v>
      </c>
      <c r="L64" s="1" t="s">
        <v>221</v>
      </c>
      <c r="M64" s="1" t="s">
        <v>99</v>
      </c>
      <c r="N64" s="1" t="s">
        <v>100</v>
      </c>
      <c r="O64" s="1" t="s">
        <v>107</v>
      </c>
      <c r="P64" s="1" t="s">
        <v>108</v>
      </c>
      <c r="Q64" s="1" t="s">
        <v>66</v>
      </c>
      <c r="R64" s="1" t="s">
        <v>66</v>
      </c>
      <c r="S64" s="16">
        <v>3965093.61</v>
      </c>
      <c r="T64" s="16">
        <v>7496.05</v>
      </c>
      <c r="U64" s="16">
        <v>0</v>
      </c>
      <c r="V64" s="16">
        <v>0</v>
      </c>
      <c r="W64" s="16">
        <v>41.56</v>
      </c>
      <c r="X64" s="16">
        <v>6311.03</v>
      </c>
      <c r="Y64" s="16">
        <v>1016.41</v>
      </c>
      <c r="Z64" s="17">
        <f t="shared" si="17"/>
        <v>1.5916471641636727E-3</v>
      </c>
      <c r="AA64" s="18">
        <v>0.1</v>
      </c>
      <c r="AB64" s="16">
        <f t="shared" si="41"/>
        <v>631.10300000000007</v>
      </c>
      <c r="AC64" s="16">
        <v>0</v>
      </c>
      <c r="AD64" s="16">
        <v>0</v>
      </c>
      <c r="AE64" s="16">
        <v>0</v>
      </c>
      <c r="AF64" s="16">
        <f t="shared" si="19"/>
        <v>631.10300000000007</v>
      </c>
      <c r="AG64" s="16">
        <f t="shared" si="37"/>
        <v>100.97648000000001</v>
      </c>
      <c r="AH64" s="16">
        <f t="shared" si="20"/>
        <v>732.0794800000001</v>
      </c>
      <c r="AI64" s="16">
        <f t="shared" si="38"/>
        <v>12.622060000000001</v>
      </c>
      <c r="AJ64" s="16">
        <v>0</v>
      </c>
      <c r="AK64" s="16">
        <f t="shared" si="21"/>
        <v>12.622060000000001</v>
      </c>
      <c r="AL64" s="19"/>
      <c r="AM64" s="16">
        <f t="shared" si="22"/>
        <v>618.48094000000003</v>
      </c>
      <c r="AN64" s="16"/>
      <c r="AO64" s="20"/>
      <c r="AP64" s="16">
        <f t="shared" si="23"/>
        <v>0</v>
      </c>
      <c r="AQ64" s="16"/>
      <c r="AR64" s="15"/>
      <c r="AS64" s="16">
        <f t="shared" si="24"/>
        <v>0</v>
      </c>
      <c r="AT64" s="16"/>
      <c r="AU64" s="16">
        <v>732.0794800000001</v>
      </c>
      <c r="AV64" s="16">
        <f t="shared" si="40"/>
        <v>732.0794800000001</v>
      </c>
      <c r="AW64" s="16">
        <f t="shared" si="25"/>
        <v>0</v>
      </c>
      <c r="AX64" s="16" t="str">
        <f t="shared" si="36"/>
        <v>SFA</v>
      </c>
      <c r="AY64" s="22">
        <v>45005</v>
      </c>
      <c r="AZ64" s="22"/>
      <c r="BA64" s="22"/>
      <c r="BB64" s="22" t="str">
        <f t="shared" si="42"/>
        <v>FIRE</v>
      </c>
      <c r="BC64" s="22"/>
      <c r="BD64" s="22"/>
      <c r="BE64" s="22"/>
    </row>
    <row r="65" spans="1:57" ht="14.25" hidden="1" customHeight="1">
      <c r="A65" s="1" t="s">
        <v>57</v>
      </c>
      <c r="B65" s="1" t="s">
        <v>58</v>
      </c>
      <c r="C65" s="21">
        <v>44957</v>
      </c>
      <c r="D65" s="21">
        <v>44977</v>
      </c>
      <c r="E65" s="21">
        <v>44927</v>
      </c>
      <c r="F65" s="21">
        <v>45291</v>
      </c>
      <c r="G65" s="13" t="str">
        <f t="shared" si="16"/>
        <v>000-064/AIB RDC/2023</v>
      </c>
      <c r="H65" s="1">
        <v>0</v>
      </c>
      <c r="I65" s="1" t="s">
        <v>83</v>
      </c>
      <c r="J65" s="1" t="s">
        <v>222</v>
      </c>
      <c r="K65" s="1" t="s">
        <v>223</v>
      </c>
      <c r="L65" s="15"/>
      <c r="M65" s="1" t="s">
        <v>99</v>
      </c>
      <c r="N65" s="1" t="s">
        <v>100</v>
      </c>
      <c r="O65" s="1" t="s">
        <v>107</v>
      </c>
      <c r="P65" s="1" t="s">
        <v>108</v>
      </c>
      <c r="Q65" s="1" t="s">
        <v>66</v>
      </c>
      <c r="R65" s="1" t="s">
        <v>66</v>
      </c>
      <c r="S65" s="16">
        <v>611500</v>
      </c>
      <c r="T65" s="16">
        <v>2700.02</v>
      </c>
      <c r="U65" s="16">
        <v>0</v>
      </c>
      <c r="V65" s="16">
        <v>0</v>
      </c>
      <c r="W65" s="16">
        <v>500</v>
      </c>
      <c r="X65" s="16">
        <v>1788.15</v>
      </c>
      <c r="Y65" s="16">
        <v>366.1</v>
      </c>
      <c r="Z65" s="17">
        <f t="shared" si="17"/>
        <v>2.9242027800490599E-3</v>
      </c>
      <c r="AA65" s="18">
        <v>0.2</v>
      </c>
      <c r="AB65" s="16">
        <f t="shared" si="41"/>
        <v>357.63000000000005</v>
      </c>
      <c r="AC65" s="16">
        <v>0</v>
      </c>
      <c r="AD65" s="16">
        <v>0</v>
      </c>
      <c r="AE65" s="16">
        <v>0</v>
      </c>
      <c r="AF65" s="16">
        <f t="shared" si="19"/>
        <v>357.63000000000005</v>
      </c>
      <c r="AG65" s="16">
        <f t="shared" si="37"/>
        <v>57.220800000000011</v>
      </c>
      <c r="AH65" s="16">
        <f t="shared" si="20"/>
        <v>414.85080000000005</v>
      </c>
      <c r="AI65" s="16">
        <f t="shared" si="38"/>
        <v>7.1526000000000014</v>
      </c>
      <c r="AJ65" s="16">
        <v>0</v>
      </c>
      <c r="AK65" s="16">
        <f t="shared" si="21"/>
        <v>7.1526000000000014</v>
      </c>
      <c r="AL65" s="19"/>
      <c r="AM65" s="16">
        <f t="shared" si="22"/>
        <v>350.47740000000005</v>
      </c>
      <c r="AN65" s="16"/>
      <c r="AO65" s="20"/>
      <c r="AP65" s="16">
        <f t="shared" si="23"/>
        <v>0</v>
      </c>
      <c r="AQ65" s="16"/>
      <c r="AR65" s="15"/>
      <c r="AS65" s="16">
        <f t="shared" si="24"/>
        <v>0</v>
      </c>
      <c r="AT65" s="16"/>
      <c r="AU65" s="16">
        <f>207.43+207.42</f>
        <v>414.85</v>
      </c>
      <c r="AV65" s="16">
        <f t="shared" si="40"/>
        <v>414.85080000000005</v>
      </c>
      <c r="AW65" s="16">
        <f t="shared" si="25"/>
        <v>8.0000000002655725E-4</v>
      </c>
      <c r="AX65" s="16" t="str">
        <f t="shared" si="36"/>
        <v>SFA</v>
      </c>
      <c r="AY65" s="22">
        <v>45163</v>
      </c>
      <c r="AZ65" s="22"/>
      <c r="BA65" s="22"/>
      <c r="BB65" s="22" t="str">
        <f t="shared" si="42"/>
        <v>FIRE</v>
      </c>
      <c r="BC65" s="22"/>
      <c r="BD65" s="22"/>
      <c r="BE65" s="1"/>
    </row>
    <row r="66" spans="1:57" ht="14.25" hidden="1" customHeight="1">
      <c r="A66" s="1" t="s">
        <v>57</v>
      </c>
      <c r="B66" s="1" t="s">
        <v>58</v>
      </c>
      <c r="C66" s="21">
        <v>44952</v>
      </c>
      <c r="D66" s="21">
        <v>44927</v>
      </c>
      <c r="E66" s="21">
        <v>44927</v>
      </c>
      <c r="F66" s="21">
        <v>45291</v>
      </c>
      <c r="G66" s="13" t="str">
        <f t="shared" si="16"/>
        <v>000-065/AIB RDC/2023</v>
      </c>
      <c r="H66" s="1">
        <v>0</v>
      </c>
      <c r="I66" s="1" t="s">
        <v>83</v>
      </c>
      <c r="J66" s="14" t="s">
        <v>224</v>
      </c>
      <c r="K66" s="1" t="s">
        <v>93</v>
      </c>
      <c r="L66" s="1" t="s">
        <v>94</v>
      </c>
      <c r="M66" s="1" t="s">
        <v>63</v>
      </c>
      <c r="N66" s="1" t="s">
        <v>64</v>
      </c>
      <c r="O66" s="1" t="s">
        <v>104</v>
      </c>
      <c r="P66" s="1" t="s">
        <v>105</v>
      </c>
      <c r="Q66" s="1" t="s">
        <v>76</v>
      </c>
      <c r="R66" s="1" t="s">
        <v>76</v>
      </c>
      <c r="S66" s="16">
        <v>0</v>
      </c>
      <c r="T66" s="16">
        <v>2343.1999999999998</v>
      </c>
      <c r="U66" s="16">
        <v>0</v>
      </c>
      <c r="V66" s="16">
        <v>0</v>
      </c>
      <c r="W66" s="16">
        <v>20</v>
      </c>
      <c r="X66" s="16">
        <v>2000</v>
      </c>
      <c r="Y66" s="16">
        <v>323.2</v>
      </c>
      <c r="Z66" s="17" t="e">
        <f t="shared" si="17"/>
        <v>#DIV/0!</v>
      </c>
      <c r="AA66" s="18">
        <v>0.05</v>
      </c>
      <c r="AB66" s="16">
        <f t="shared" si="41"/>
        <v>100</v>
      </c>
      <c r="AC66" s="16">
        <v>0</v>
      </c>
      <c r="AD66" s="16">
        <v>0</v>
      </c>
      <c r="AE66" s="16">
        <v>0</v>
      </c>
      <c r="AF66" s="16">
        <f t="shared" si="19"/>
        <v>100</v>
      </c>
      <c r="AG66" s="16">
        <f t="shared" si="37"/>
        <v>16</v>
      </c>
      <c r="AH66" s="16">
        <f t="shared" si="20"/>
        <v>116</v>
      </c>
      <c r="AI66" s="16">
        <f t="shared" si="38"/>
        <v>2</v>
      </c>
      <c r="AJ66" s="16">
        <v>0</v>
      </c>
      <c r="AK66" s="16">
        <f t="shared" si="21"/>
        <v>2</v>
      </c>
      <c r="AL66" s="19"/>
      <c r="AM66" s="16">
        <f t="shared" si="22"/>
        <v>98</v>
      </c>
      <c r="AN66" s="16" t="s">
        <v>77</v>
      </c>
      <c r="AO66" s="20"/>
      <c r="AP66" s="16">
        <f t="shared" si="23"/>
        <v>0</v>
      </c>
      <c r="AQ66" s="16"/>
      <c r="AR66" s="15"/>
      <c r="AS66" s="16">
        <f t="shared" si="24"/>
        <v>0</v>
      </c>
      <c r="AT66" s="16"/>
      <c r="AU66" s="16">
        <v>116</v>
      </c>
      <c r="AV66" s="16">
        <f t="shared" si="40"/>
        <v>116</v>
      </c>
      <c r="AW66" s="16">
        <f t="shared" si="25"/>
        <v>0</v>
      </c>
      <c r="AX66" s="16" t="str">
        <f t="shared" si="36"/>
        <v>ACTIVA</v>
      </c>
      <c r="AY66" s="22">
        <v>45082</v>
      </c>
      <c r="AZ66" s="22"/>
      <c r="BA66" s="1"/>
      <c r="BB66" s="22" t="str">
        <f t="shared" si="42"/>
        <v>MARINE CARGO / GIT</v>
      </c>
      <c r="BC66" s="22"/>
      <c r="BD66" s="1"/>
      <c r="BE66" s="1"/>
    </row>
    <row r="67" spans="1:57" ht="14.25" hidden="1" customHeight="1">
      <c r="A67" s="1" t="s">
        <v>57</v>
      </c>
      <c r="B67" s="1" t="s">
        <v>58</v>
      </c>
      <c r="C67" s="21">
        <v>44953</v>
      </c>
      <c r="D67" s="21">
        <v>44937</v>
      </c>
      <c r="E67" s="21">
        <v>44937</v>
      </c>
      <c r="F67" s="21">
        <v>45301</v>
      </c>
      <c r="G67" s="13" t="str">
        <f t="shared" si="16"/>
        <v>000-066/AIB RDC/2023</v>
      </c>
      <c r="H67" s="1">
        <v>0</v>
      </c>
      <c r="I67" s="1" t="s">
        <v>83</v>
      </c>
      <c r="J67" s="31" t="s">
        <v>225</v>
      </c>
      <c r="K67" s="2" t="s">
        <v>119</v>
      </c>
      <c r="L67" s="1" t="s">
        <v>120</v>
      </c>
      <c r="M67" s="1" t="s">
        <v>63</v>
      </c>
      <c r="N67" s="1" t="s">
        <v>71</v>
      </c>
      <c r="O67" s="1" t="s">
        <v>133</v>
      </c>
      <c r="P67" s="1" t="s">
        <v>134</v>
      </c>
      <c r="Q67" s="1" t="s">
        <v>76</v>
      </c>
      <c r="R67" s="1" t="s">
        <v>76</v>
      </c>
      <c r="S67" s="16">
        <v>1845230.53</v>
      </c>
      <c r="T67" s="16">
        <v>23527.93</v>
      </c>
      <c r="U67" s="16">
        <v>0</v>
      </c>
      <c r="V67" s="16">
        <v>0</v>
      </c>
      <c r="W67" s="16">
        <v>201.2</v>
      </c>
      <c r="X67" s="16">
        <v>20120.29</v>
      </c>
      <c r="Y67" s="16">
        <v>3251.44</v>
      </c>
      <c r="Z67" s="17">
        <f t="shared" si="17"/>
        <v>1.0903943801536819E-2</v>
      </c>
      <c r="AA67" s="18">
        <v>0.119077309521881</v>
      </c>
      <c r="AB67" s="16">
        <f t="shared" si="41"/>
        <v>2395.8700000000072</v>
      </c>
      <c r="AC67" s="16">
        <v>0</v>
      </c>
      <c r="AD67" s="16">
        <v>0</v>
      </c>
      <c r="AE67" s="16">
        <v>0</v>
      </c>
      <c r="AF67" s="16">
        <f t="shared" si="19"/>
        <v>2395.8700000000072</v>
      </c>
      <c r="AG67" s="16">
        <f t="shared" si="37"/>
        <v>383.33920000000114</v>
      </c>
      <c r="AH67" s="16">
        <f t="shared" si="20"/>
        <v>2779.2092000000084</v>
      </c>
      <c r="AI67" s="16">
        <f t="shared" si="38"/>
        <v>47.917400000000143</v>
      </c>
      <c r="AJ67" s="16">
        <v>0</v>
      </c>
      <c r="AK67" s="16">
        <f t="shared" si="21"/>
        <v>47.917400000000143</v>
      </c>
      <c r="AL67" s="19"/>
      <c r="AM67" s="16">
        <f t="shared" si="22"/>
        <v>2347.9526000000069</v>
      </c>
      <c r="AN67" s="16" t="s">
        <v>77</v>
      </c>
      <c r="AO67" s="20"/>
      <c r="AP67" s="16">
        <f t="shared" si="23"/>
        <v>0</v>
      </c>
      <c r="AQ67" s="16"/>
      <c r="AR67" s="15"/>
      <c r="AS67" s="16">
        <f t="shared" si="24"/>
        <v>0</v>
      </c>
      <c r="AT67" s="16"/>
      <c r="AU67" s="16">
        <v>2779.2092000000084</v>
      </c>
      <c r="AV67" s="16">
        <f t="shared" si="40"/>
        <v>2779.2092000000084</v>
      </c>
      <c r="AW67" s="16">
        <f t="shared" si="25"/>
        <v>0</v>
      </c>
      <c r="AX67" s="16" t="str">
        <f t="shared" si="36"/>
        <v>ACTIVA</v>
      </c>
      <c r="AY67" s="22">
        <v>44993</v>
      </c>
      <c r="AZ67" s="22"/>
      <c r="BA67" s="1"/>
      <c r="BB67" s="22" t="str">
        <f t="shared" si="42"/>
        <v>COMP MOTOR</v>
      </c>
      <c r="BC67" s="22"/>
      <c r="BD67" s="22"/>
      <c r="BE67" s="22"/>
    </row>
    <row r="68" spans="1:57" ht="14.25" hidden="1" customHeight="1">
      <c r="A68" s="1" t="s">
        <v>57</v>
      </c>
      <c r="B68" s="1" t="s">
        <v>58</v>
      </c>
      <c r="C68" s="21">
        <v>44953</v>
      </c>
      <c r="D68" s="21">
        <v>44951</v>
      </c>
      <c r="E68" s="21">
        <v>44940</v>
      </c>
      <c r="F68" s="21">
        <v>45304</v>
      </c>
      <c r="G68" s="13" t="str">
        <f t="shared" si="16"/>
        <v>000-067/AIB RDC/2023</v>
      </c>
      <c r="H68" s="1">
        <v>0</v>
      </c>
      <c r="I68" s="1" t="s">
        <v>83</v>
      </c>
      <c r="J68" s="14" t="s">
        <v>226</v>
      </c>
      <c r="K68" s="1" t="s">
        <v>227</v>
      </c>
      <c r="L68" s="1" t="s">
        <v>62</v>
      </c>
      <c r="M68" s="1" t="s">
        <v>63</v>
      </c>
      <c r="N68" s="1" t="s">
        <v>71</v>
      </c>
      <c r="O68" s="1" t="s">
        <v>104</v>
      </c>
      <c r="P68" s="1" t="s">
        <v>105</v>
      </c>
      <c r="Q68" s="1" t="s">
        <v>66</v>
      </c>
      <c r="R68" s="1" t="s">
        <v>66</v>
      </c>
      <c r="S68" s="16">
        <v>70000000</v>
      </c>
      <c r="T68" s="16">
        <v>95847.18</v>
      </c>
      <c r="U68" s="16">
        <v>0</v>
      </c>
      <c r="V68" s="16">
        <v>0</v>
      </c>
      <c r="W68" s="16">
        <v>404.11</v>
      </c>
      <c r="X68" s="16">
        <v>80822.31</v>
      </c>
      <c r="Y68" s="16">
        <v>12996.23</v>
      </c>
      <c r="Z68" s="17">
        <f t="shared" si="17"/>
        <v>1.1546044285714286E-3</v>
      </c>
      <c r="AA68" s="18">
        <v>0.15</v>
      </c>
      <c r="AB68" s="16">
        <f t="shared" si="41"/>
        <v>12123.3465</v>
      </c>
      <c r="AC68" s="16">
        <v>0</v>
      </c>
      <c r="AD68" s="16">
        <v>0</v>
      </c>
      <c r="AE68" s="16">
        <v>0</v>
      </c>
      <c r="AF68" s="16">
        <f t="shared" si="19"/>
        <v>12123.3465</v>
      </c>
      <c r="AG68" s="16">
        <f t="shared" si="37"/>
        <v>1939.7354399999999</v>
      </c>
      <c r="AH68" s="16">
        <f t="shared" si="20"/>
        <v>14063.08194</v>
      </c>
      <c r="AI68" s="16">
        <f t="shared" si="38"/>
        <v>242.46692999999999</v>
      </c>
      <c r="AJ68" s="16">
        <v>0</v>
      </c>
      <c r="AK68" s="16">
        <f t="shared" si="21"/>
        <v>242.46692999999999</v>
      </c>
      <c r="AL68" s="19"/>
      <c r="AM68" s="16">
        <f t="shared" si="22"/>
        <v>11880.879569999999</v>
      </c>
      <c r="AN68" s="16" t="s">
        <v>228</v>
      </c>
      <c r="AO68" s="20"/>
      <c r="AP68" s="16">
        <f t="shared" si="23"/>
        <v>0</v>
      </c>
      <c r="AQ68" s="16"/>
      <c r="AR68" s="15"/>
      <c r="AS68" s="16">
        <f t="shared" si="24"/>
        <v>0</v>
      </c>
      <c r="AT68" s="16"/>
      <c r="AU68" s="16">
        <v>14063.08194</v>
      </c>
      <c r="AV68" s="16">
        <f t="shared" si="40"/>
        <v>14063.08194</v>
      </c>
      <c r="AW68" s="16">
        <f t="shared" si="25"/>
        <v>0</v>
      </c>
      <c r="AX68" s="16" t="str">
        <f t="shared" si="36"/>
        <v>SFA</v>
      </c>
      <c r="AY68" s="22">
        <v>45005</v>
      </c>
      <c r="AZ68" s="22"/>
      <c r="BA68" s="22"/>
      <c r="BB68" s="22" t="str">
        <f t="shared" si="42"/>
        <v>MARINE CARGO / GIT</v>
      </c>
      <c r="BC68" s="22"/>
      <c r="BD68" s="22"/>
      <c r="BE68" s="22"/>
    </row>
    <row r="69" spans="1:57" ht="14.25" hidden="1" customHeight="1">
      <c r="A69" s="1" t="s">
        <v>57</v>
      </c>
      <c r="B69" s="1" t="s">
        <v>58</v>
      </c>
      <c r="C69" s="21">
        <v>44953</v>
      </c>
      <c r="D69" s="21">
        <v>44946</v>
      </c>
      <c r="E69" s="21">
        <v>44927</v>
      </c>
      <c r="F69" s="21">
        <v>45291</v>
      </c>
      <c r="G69" s="13" t="str">
        <f t="shared" si="16"/>
        <v>000-068/AIB RDC/2023</v>
      </c>
      <c r="H69" s="1">
        <v>4</v>
      </c>
      <c r="I69" s="1" t="s">
        <v>68</v>
      </c>
      <c r="J69" s="14" t="s">
        <v>229</v>
      </c>
      <c r="K69" s="1" t="s">
        <v>93</v>
      </c>
      <c r="L69" s="1" t="s">
        <v>94</v>
      </c>
      <c r="M69" s="1" t="s">
        <v>63</v>
      </c>
      <c r="N69" s="1" t="s">
        <v>64</v>
      </c>
      <c r="O69" s="1" t="s">
        <v>111</v>
      </c>
      <c r="P69" s="1" t="s">
        <v>112</v>
      </c>
      <c r="Q69" s="1" t="s">
        <v>76</v>
      </c>
      <c r="R69" s="1" t="s">
        <v>76</v>
      </c>
      <c r="S69" s="16">
        <v>0</v>
      </c>
      <c r="T69" s="16">
        <v>245681.38</v>
      </c>
      <c r="U69" s="16">
        <v>0</v>
      </c>
      <c r="V69" s="16">
        <v>0</v>
      </c>
      <c r="W69" s="16">
        <v>2096.9699999999998</v>
      </c>
      <c r="X69" s="16">
        <v>209697.32</v>
      </c>
      <c r="Y69" s="16">
        <v>33887.089999999997</v>
      </c>
      <c r="Z69" s="17" t="e">
        <f t="shared" si="17"/>
        <v>#DIV/0!</v>
      </c>
      <c r="AA69" s="18">
        <v>0.05</v>
      </c>
      <c r="AB69" s="16">
        <f t="shared" si="41"/>
        <v>10484.866000000002</v>
      </c>
      <c r="AC69" s="16">
        <v>0</v>
      </c>
      <c r="AD69" s="16">
        <v>0</v>
      </c>
      <c r="AE69" s="16">
        <v>0</v>
      </c>
      <c r="AF69" s="16">
        <f t="shared" si="19"/>
        <v>10484.866000000002</v>
      </c>
      <c r="AG69" s="16">
        <f t="shared" si="37"/>
        <v>1677.5785600000004</v>
      </c>
      <c r="AH69" s="16">
        <f t="shared" si="20"/>
        <v>12162.444560000002</v>
      </c>
      <c r="AI69" s="16">
        <f t="shared" si="38"/>
        <v>209.69732000000005</v>
      </c>
      <c r="AJ69" s="16">
        <v>0</v>
      </c>
      <c r="AK69" s="16">
        <f t="shared" si="21"/>
        <v>209.69732000000005</v>
      </c>
      <c r="AL69" s="19"/>
      <c r="AM69" s="16">
        <f t="shared" si="22"/>
        <v>10275.168680000002</v>
      </c>
      <c r="AN69" s="16" t="s">
        <v>77</v>
      </c>
      <c r="AO69" s="20"/>
      <c r="AP69" s="16">
        <f t="shared" si="23"/>
        <v>0</v>
      </c>
      <c r="AQ69" s="16"/>
      <c r="AR69" s="15"/>
      <c r="AS69" s="16">
        <f t="shared" si="24"/>
        <v>0</v>
      </c>
      <c r="AT69" s="16"/>
      <c r="AU69" s="16">
        <v>12162.444560000002</v>
      </c>
      <c r="AV69" s="16">
        <f t="shared" si="40"/>
        <v>12162.444560000002</v>
      </c>
      <c r="AW69" s="16">
        <f t="shared" si="25"/>
        <v>0</v>
      </c>
      <c r="AX69" s="16" t="str">
        <f t="shared" si="36"/>
        <v>ACTIVA</v>
      </c>
      <c r="AY69" s="22">
        <v>44993</v>
      </c>
      <c r="AZ69" s="22"/>
      <c r="BA69" s="1"/>
      <c r="BB69" s="22" t="str">
        <f t="shared" si="42"/>
        <v>GENERAL LIABILITY</v>
      </c>
      <c r="BC69" s="1"/>
      <c r="BD69" s="1"/>
      <c r="BE69" s="1"/>
    </row>
    <row r="70" spans="1:57" ht="14.25" hidden="1" customHeight="1">
      <c r="A70" s="1" t="s">
        <v>230</v>
      </c>
      <c r="B70" s="1" t="s">
        <v>58</v>
      </c>
      <c r="C70" s="21">
        <v>44953</v>
      </c>
      <c r="D70" s="21">
        <v>44946</v>
      </c>
      <c r="E70" s="21">
        <v>45050</v>
      </c>
      <c r="F70" s="21">
        <v>45199</v>
      </c>
      <c r="G70" s="13" t="str">
        <f t="shared" ref="G70:G133" si="43">TEXT(ROW(G70)-1,"000-000") &amp; "/AIB RDC/2023"</f>
        <v>000-069/AIB RDC/2023</v>
      </c>
      <c r="H70" s="1">
        <v>1</v>
      </c>
      <c r="I70" s="1" t="s">
        <v>189</v>
      </c>
      <c r="J70" s="14" t="s">
        <v>231</v>
      </c>
      <c r="K70" s="1" t="s">
        <v>232</v>
      </c>
      <c r="L70" s="1" t="s">
        <v>123</v>
      </c>
      <c r="M70" s="1" t="s">
        <v>63</v>
      </c>
      <c r="N70" s="1" t="s">
        <v>64</v>
      </c>
      <c r="O70" s="1" t="s">
        <v>233</v>
      </c>
      <c r="P70" s="1" t="s">
        <v>234</v>
      </c>
      <c r="Q70" s="1" t="s">
        <v>66</v>
      </c>
      <c r="R70" s="1" t="s">
        <v>66</v>
      </c>
      <c r="S70" s="16">
        <v>5552191.1200000001</v>
      </c>
      <c r="T70" s="16">
        <v>7608.19</v>
      </c>
      <c r="U70" s="16">
        <v>0</v>
      </c>
      <c r="V70" s="16">
        <v>0</v>
      </c>
      <c r="W70" s="16">
        <v>42.03</v>
      </c>
      <c r="X70" s="16">
        <v>6405.59</v>
      </c>
      <c r="Y70" s="16">
        <v>1031.6199999999999</v>
      </c>
      <c r="Z70" s="17">
        <f t="shared" ref="Z70:Z133" si="44">X70/S70</f>
        <v>1.1537048818305088E-3</v>
      </c>
      <c r="AA70" s="18">
        <v>0.15</v>
      </c>
      <c r="AB70" s="16">
        <f t="shared" si="41"/>
        <v>960.83849999999995</v>
      </c>
      <c r="AC70" s="16">
        <v>0</v>
      </c>
      <c r="AD70" s="16">
        <v>0</v>
      </c>
      <c r="AE70" s="16">
        <v>0</v>
      </c>
      <c r="AF70" s="16">
        <f t="shared" ref="AF70:AF133" si="45">SUM(AB70:AE70)</f>
        <v>960.83849999999995</v>
      </c>
      <c r="AG70" s="16">
        <f t="shared" si="37"/>
        <v>153.73416</v>
      </c>
      <c r="AH70" s="16">
        <f t="shared" ref="AH70:AH133" si="46">AF70+AG70</f>
        <v>1114.57266</v>
      </c>
      <c r="AI70" s="16">
        <f t="shared" si="38"/>
        <v>19.21677</v>
      </c>
      <c r="AJ70" s="16">
        <v>0</v>
      </c>
      <c r="AK70" s="16">
        <f t="shared" ref="AK70:AK133" si="47">AI70-AJ70</f>
        <v>19.21677</v>
      </c>
      <c r="AL70" s="19"/>
      <c r="AM70" s="16">
        <f t="shared" ref="AM70:AM133" si="48">AF70-AI70</f>
        <v>941.62172999999996</v>
      </c>
      <c r="AN70" s="16" t="s">
        <v>228</v>
      </c>
      <c r="AO70" s="20"/>
      <c r="AP70" s="16">
        <f t="shared" ref="AP70:AP133" si="49">AO70*AM70</f>
        <v>0</v>
      </c>
      <c r="AQ70" s="16"/>
      <c r="AR70" s="15"/>
      <c r="AS70" s="16">
        <f t="shared" ref="AS70:AS133" si="50">AP70-AQ70</f>
        <v>0</v>
      </c>
      <c r="AT70" s="16"/>
      <c r="AU70" s="16">
        <v>1114.57266</v>
      </c>
      <c r="AV70" s="16">
        <f t="shared" si="40"/>
        <v>1114.57266</v>
      </c>
      <c r="AW70" s="16">
        <f t="shared" ref="AW70:AW133" si="51">AV70-AU70</f>
        <v>0</v>
      </c>
      <c r="AX70" s="16" t="str">
        <f t="shared" si="36"/>
        <v>SFA</v>
      </c>
      <c r="AY70" s="22">
        <v>44984</v>
      </c>
      <c r="AZ70" s="22"/>
      <c r="BA70" s="1" t="s">
        <v>235</v>
      </c>
      <c r="BB70" s="22" t="str">
        <f t="shared" si="42"/>
        <v>CAR</v>
      </c>
      <c r="BC70" s="22"/>
      <c r="BD70" s="22"/>
      <c r="BE70" s="22"/>
    </row>
    <row r="71" spans="1:57" ht="14.25" hidden="1" customHeight="1">
      <c r="A71" s="1" t="s">
        <v>57</v>
      </c>
      <c r="B71" s="1" t="s">
        <v>58</v>
      </c>
      <c r="C71" s="21">
        <v>44964</v>
      </c>
      <c r="D71" s="21">
        <v>44957</v>
      </c>
      <c r="E71" s="21">
        <v>44927</v>
      </c>
      <c r="F71" s="21">
        <v>44985</v>
      </c>
      <c r="G71" s="13" t="str">
        <f t="shared" si="43"/>
        <v>000-070/AIB RDC/2023</v>
      </c>
      <c r="H71" s="1">
        <v>6</v>
      </c>
      <c r="I71" s="1" t="s">
        <v>189</v>
      </c>
      <c r="J71" s="14" t="s">
        <v>236</v>
      </c>
      <c r="K71" s="1" t="s">
        <v>237</v>
      </c>
      <c r="L71" s="1" t="s">
        <v>123</v>
      </c>
      <c r="M71" s="1" t="s">
        <v>63</v>
      </c>
      <c r="N71" s="1" t="s">
        <v>64</v>
      </c>
      <c r="O71" s="1" t="s">
        <v>233</v>
      </c>
      <c r="P71" s="1" t="s">
        <v>234</v>
      </c>
      <c r="Q71" s="1" t="s">
        <v>66</v>
      </c>
      <c r="R71" s="1" t="s">
        <v>66</v>
      </c>
      <c r="S71" s="16">
        <v>0</v>
      </c>
      <c r="T71" s="16">
        <v>3951.58</v>
      </c>
      <c r="U71" s="16">
        <v>269.36</v>
      </c>
      <c r="V71" s="16">
        <v>0</v>
      </c>
      <c r="W71" s="16">
        <v>26.61</v>
      </c>
      <c r="X71" s="16">
        <v>3052.81</v>
      </c>
      <c r="Y71" s="16">
        <v>535.80999999999995</v>
      </c>
      <c r="Z71" s="17" t="e">
        <f t="shared" si="44"/>
        <v>#DIV/0!</v>
      </c>
      <c r="AA71" s="18">
        <v>0.15</v>
      </c>
      <c r="AB71" s="16">
        <f t="shared" si="41"/>
        <v>457.92149999999998</v>
      </c>
      <c r="AC71" s="16">
        <v>0</v>
      </c>
      <c r="AD71" s="16">
        <v>0</v>
      </c>
      <c r="AE71" s="16">
        <v>0</v>
      </c>
      <c r="AF71" s="16">
        <f t="shared" si="45"/>
        <v>457.92149999999998</v>
      </c>
      <c r="AG71" s="16">
        <f t="shared" si="37"/>
        <v>73.267439999999993</v>
      </c>
      <c r="AH71" s="16">
        <f t="shared" si="46"/>
        <v>531.18894</v>
      </c>
      <c r="AI71" s="16">
        <f t="shared" si="38"/>
        <v>9.1584299999999992</v>
      </c>
      <c r="AJ71" s="16">
        <v>0</v>
      </c>
      <c r="AK71" s="16">
        <f t="shared" si="47"/>
        <v>9.1584299999999992</v>
      </c>
      <c r="AL71" s="19"/>
      <c r="AM71" s="16">
        <f t="shared" si="48"/>
        <v>448.76306999999997</v>
      </c>
      <c r="AN71" s="16" t="s">
        <v>228</v>
      </c>
      <c r="AO71" s="20"/>
      <c r="AP71" s="16">
        <f t="shared" si="49"/>
        <v>0</v>
      </c>
      <c r="AQ71" s="16"/>
      <c r="AR71" s="15"/>
      <c r="AS71" s="16">
        <f t="shared" si="50"/>
        <v>0</v>
      </c>
      <c r="AT71" s="16"/>
      <c r="AU71" s="16">
        <v>531.18894</v>
      </c>
      <c r="AV71" s="16">
        <f t="shared" si="40"/>
        <v>531.18894</v>
      </c>
      <c r="AW71" s="16">
        <f t="shared" si="51"/>
        <v>0</v>
      </c>
      <c r="AX71" s="16" t="str">
        <f t="shared" si="36"/>
        <v>SFA</v>
      </c>
      <c r="AY71" s="22">
        <v>44984</v>
      </c>
      <c r="AZ71" s="22"/>
      <c r="BA71" s="1" t="s">
        <v>235</v>
      </c>
      <c r="BB71" s="22" t="str">
        <f t="shared" si="42"/>
        <v>CAR</v>
      </c>
      <c r="BC71" s="22"/>
      <c r="BD71" s="22"/>
      <c r="BE71" s="22"/>
    </row>
    <row r="72" spans="1:57" ht="14.25" hidden="1" customHeight="1">
      <c r="A72" s="1" t="s">
        <v>57</v>
      </c>
      <c r="B72" s="1" t="s">
        <v>58</v>
      </c>
      <c r="C72" s="21">
        <v>44964</v>
      </c>
      <c r="D72" s="21">
        <v>44944</v>
      </c>
      <c r="E72" s="21">
        <v>44927</v>
      </c>
      <c r="F72" s="21">
        <v>45015</v>
      </c>
      <c r="G72" s="13" t="str">
        <f t="shared" si="43"/>
        <v>000-071/AIB RDC/2023</v>
      </c>
      <c r="H72" s="1">
        <v>3</v>
      </c>
      <c r="I72" s="1" t="s">
        <v>189</v>
      </c>
      <c r="J72" s="14" t="s">
        <v>238</v>
      </c>
      <c r="K72" s="1" t="s">
        <v>232</v>
      </c>
      <c r="L72" s="1" t="s">
        <v>123</v>
      </c>
      <c r="M72" s="1" t="s">
        <v>63</v>
      </c>
      <c r="N72" s="1" t="s">
        <v>64</v>
      </c>
      <c r="O72" s="1" t="s">
        <v>233</v>
      </c>
      <c r="P72" s="1" t="s">
        <v>234</v>
      </c>
      <c r="Q72" s="1" t="s">
        <v>66</v>
      </c>
      <c r="R72" s="1" t="s">
        <v>66</v>
      </c>
      <c r="S72" s="16">
        <v>0</v>
      </c>
      <c r="T72" s="16">
        <v>1724.45</v>
      </c>
      <c r="U72" s="16">
        <v>0</v>
      </c>
      <c r="V72" s="16">
        <v>0</v>
      </c>
      <c r="W72" s="16">
        <v>20</v>
      </c>
      <c r="X72" s="16">
        <v>1441.41</v>
      </c>
      <c r="Y72" s="16">
        <v>233.83</v>
      </c>
      <c r="Z72" s="17" t="e">
        <f t="shared" si="44"/>
        <v>#DIV/0!</v>
      </c>
      <c r="AA72" s="18">
        <v>0.15</v>
      </c>
      <c r="AB72" s="16">
        <f t="shared" si="41"/>
        <v>216.2115</v>
      </c>
      <c r="AC72" s="16">
        <v>0</v>
      </c>
      <c r="AD72" s="16">
        <v>0</v>
      </c>
      <c r="AE72" s="16">
        <v>0</v>
      </c>
      <c r="AF72" s="16">
        <f t="shared" si="45"/>
        <v>216.2115</v>
      </c>
      <c r="AG72" s="16">
        <f t="shared" si="37"/>
        <v>34.59384</v>
      </c>
      <c r="AH72" s="16">
        <f t="shared" si="46"/>
        <v>250.80534</v>
      </c>
      <c r="AI72" s="16">
        <f t="shared" si="38"/>
        <v>4.32423</v>
      </c>
      <c r="AJ72" s="16">
        <v>0</v>
      </c>
      <c r="AK72" s="16">
        <f t="shared" si="47"/>
        <v>4.32423</v>
      </c>
      <c r="AL72" s="19"/>
      <c r="AM72" s="16">
        <f t="shared" si="48"/>
        <v>211.88727</v>
      </c>
      <c r="AN72" s="16" t="s">
        <v>228</v>
      </c>
      <c r="AO72" s="20"/>
      <c r="AP72" s="16">
        <f t="shared" si="49"/>
        <v>0</v>
      </c>
      <c r="AQ72" s="16"/>
      <c r="AR72" s="15"/>
      <c r="AS72" s="16">
        <f t="shared" si="50"/>
        <v>0</v>
      </c>
      <c r="AT72" s="16"/>
      <c r="AU72" s="16">
        <v>250.80534</v>
      </c>
      <c r="AV72" s="16">
        <f t="shared" si="40"/>
        <v>250.80534</v>
      </c>
      <c r="AW72" s="16">
        <f t="shared" si="51"/>
        <v>0</v>
      </c>
      <c r="AX72" s="16" t="str">
        <f t="shared" si="36"/>
        <v>SFA</v>
      </c>
      <c r="AY72" s="22">
        <v>44984</v>
      </c>
      <c r="AZ72" s="22"/>
      <c r="BA72" s="1" t="s">
        <v>235</v>
      </c>
      <c r="BB72" s="22" t="str">
        <f t="shared" si="42"/>
        <v>CAR</v>
      </c>
      <c r="BC72" s="22"/>
      <c r="BD72" s="22"/>
      <c r="BE72" s="22"/>
    </row>
    <row r="73" spans="1:57" ht="14.25" hidden="1" customHeight="1">
      <c r="A73" s="1" t="s">
        <v>157</v>
      </c>
      <c r="B73" s="1" t="s">
        <v>58</v>
      </c>
      <c r="C73" s="21">
        <v>44964</v>
      </c>
      <c r="D73" s="21">
        <v>44953</v>
      </c>
      <c r="E73" s="21">
        <v>44958</v>
      </c>
      <c r="F73" s="21">
        <v>45322</v>
      </c>
      <c r="G73" s="13" t="str">
        <f t="shared" si="43"/>
        <v>000-072/AIB RDC/2023</v>
      </c>
      <c r="H73" s="1">
        <v>27</v>
      </c>
      <c r="I73" s="1" t="s">
        <v>68</v>
      </c>
      <c r="J73" s="14" t="s">
        <v>239</v>
      </c>
      <c r="K73" s="1" t="s">
        <v>240</v>
      </c>
      <c r="L73" s="1" t="s">
        <v>139</v>
      </c>
      <c r="M73" s="1" t="s">
        <v>63</v>
      </c>
      <c r="N73" s="1" t="s">
        <v>71</v>
      </c>
      <c r="O73" s="1" t="s">
        <v>133</v>
      </c>
      <c r="P73" s="1" t="s">
        <v>134</v>
      </c>
      <c r="Q73" s="1" t="s">
        <v>76</v>
      </c>
      <c r="R73" s="1" t="s">
        <v>76</v>
      </c>
      <c r="S73" s="16">
        <v>0</v>
      </c>
      <c r="T73" s="16">
        <v>302564.27</v>
      </c>
      <c r="U73" s="16">
        <v>0</v>
      </c>
      <c r="V73" s="16">
        <v>0</v>
      </c>
      <c r="W73" s="16">
        <v>2582.4899999999998</v>
      </c>
      <c r="X73" s="16">
        <v>258248.78</v>
      </c>
      <c r="Y73" s="16">
        <v>41733</v>
      </c>
      <c r="Z73" s="17" t="e">
        <f t="shared" si="44"/>
        <v>#DIV/0!</v>
      </c>
      <c r="AA73" s="18">
        <v>0.13807956808159899</v>
      </c>
      <c r="AB73" s="16">
        <f t="shared" si="41"/>
        <v>35658.879999999881</v>
      </c>
      <c r="AC73" s="16">
        <v>0</v>
      </c>
      <c r="AD73" s="16">
        <v>0</v>
      </c>
      <c r="AE73" s="16">
        <f>3%*X73</f>
        <v>7747.4633999999996</v>
      </c>
      <c r="AF73" s="16">
        <f t="shared" si="45"/>
        <v>43406.343399999882</v>
      </c>
      <c r="AG73" s="16">
        <f t="shared" si="37"/>
        <v>6945.0149439999814</v>
      </c>
      <c r="AH73" s="16">
        <f t="shared" si="46"/>
        <v>50351.358343999862</v>
      </c>
      <c r="AI73" s="16">
        <f t="shared" si="38"/>
        <v>713.1775999999976</v>
      </c>
      <c r="AJ73" s="16">
        <v>0</v>
      </c>
      <c r="AK73" s="16">
        <f t="shared" si="47"/>
        <v>713.1775999999976</v>
      </c>
      <c r="AL73" s="19"/>
      <c r="AM73" s="16">
        <f t="shared" si="48"/>
        <v>42693.165799999886</v>
      </c>
      <c r="AN73" s="16" t="s">
        <v>228</v>
      </c>
      <c r="AO73" s="20"/>
      <c r="AP73" s="16">
        <f t="shared" si="49"/>
        <v>0</v>
      </c>
      <c r="AQ73" s="16"/>
      <c r="AR73" s="15"/>
      <c r="AS73" s="16">
        <f t="shared" si="50"/>
        <v>0</v>
      </c>
      <c r="AT73" s="16"/>
      <c r="AU73" s="16">
        <v>50351.358343999862</v>
      </c>
      <c r="AV73" s="16">
        <f t="shared" si="40"/>
        <v>50351.358343999862</v>
      </c>
      <c r="AW73" s="16">
        <f t="shared" si="51"/>
        <v>0</v>
      </c>
      <c r="AX73" s="16" t="str">
        <f t="shared" si="36"/>
        <v>ACTIVA</v>
      </c>
      <c r="AY73" s="22">
        <v>44993</v>
      </c>
      <c r="AZ73" s="22"/>
      <c r="BA73" s="1"/>
      <c r="BB73" s="22" t="str">
        <f t="shared" si="42"/>
        <v>COMP MOTOR</v>
      </c>
      <c r="BC73" s="22"/>
      <c r="BD73" s="22"/>
      <c r="BE73" s="22"/>
    </row>
    <row r="74" spans="1:57" ht="14.25" hidden="1" customHeight="1">
      <c r="A74" s="1" t="s">
        <v>57</v>
      </c>
      <c r="B74" s="1" t="s">
        <v>58</v>
      </c>
      <c r="C74" s="21">
        <v>44964</v>
      </c>
      <c r="D74" s="21">
        <v>44952</v>
      </c>
      <c r="E74" s="21">
        <v>44952</v>
      </c>
      <c r="F74" s="21">
        <v>45316</v>
      </c>
      <c r="G74" s="13" t="str">
        <f t="shared" si="43"/>
        <v>000-073/AIB RDC/2023</v>
      </c>
      <c r="H74" s="1">
        <v>0</v>
      </c>
      <c r="I74" s="1" t="s">
        <v>83</v>
      </c>
      <c r="J74" s="14" t="s">
        <v>241</v>
      </c>
      <c r="K74" s="2" t="s">
        <v>242</v>
      </c>
      <c r="L74" s="1" t="s">
        <v>243</v>
      </c>
      <c r="M74" s="1" t="s">
        <v>63</v>
      </c>
      <c r="N74" s="1" t="s">
        <v>71</v>
      </c>
      <c r="O74" s="1" t="s">
        <v>104</v>
      </c>
      <c r="P74" s="1" t="s">
        <v>105</v>
      </c>
      <c r="Q74" s="1" t="s">
        <v>66</v>
      </c>
      <c r="R74" s="1" t="s">
        <v>66</v>
      </c>
      <c r="S74" s="16">
        <v>1575000</v>
      </c>
      <c r="T74" s="16">
        <v>5281.85</v>
      </c>
      <c r="U74" s="16">
        <v>0</v>
      </c>
      <c r="V74" s="16">
        <v>0</v>
      </c>
      <c r="W74" s="16">
        <v>66.150000000000006</v>
      </c>
      <c r="X74" s="16">
        <v>4410</v>
      </c>
      <c r="Y74" s="16">
        <v>716.18</v>
      </c>
      <c r="Z74" s="17">
        <f t="shared" si="44"/>
        <v>2.8E-3</v>
      </c>
      <c r="AA74" s="18">
        <v>0.15</v>
      </c>
      <c r="AB74" s="16">
        <f t="shared" si="41"/>
        <v>661.5</v>
      </c>
      <c r="AC74" s="16">
        <v>0</v>
      </c>
      <c r="AD74" s="16">
        <v>0</v>
      </c>
      <c r="AE74" s="16">
        <v>0</v>
      </c>
      <c r="AF74" s="16">
        <f t="shared" si="45"/>
        <v>661.5</v>
      </c>
      <c r="AG74" s="16">
        <f t="shared" si="37"/>
        <v>105.84</v>
      </c>
      <c r="AH74" s="16">
        <f t="shared" si="46"/>
        <v>767.34</v>
      </c>
      <c r="AI74" s="16">
        <f t="shared" si="38"/>
        <v>13.23</v>
      </c>
      <c r="AJ74" s="16">
        <v>0</v>
      </c>
      <c r="AK74" s="16">
        <f t="shared" si="47"/>
        <v>13.23</v>
      </c>
      <c r="AL74" s="19"/>
      <c r="AM74" s="16">
        <f t="shared" si="48"/>
        <v>648.27</v>
      </c>
      <c r="AN74" s="16" t="s">
        <v>228</v>
      </c>
      <c r="AO74" s="20"/>
      <c r="AP74" s="16">
        <f t="shared" si="49"/>
        <v>0</v>
      </c>
      <c r="AQ74" s="16"/>
      <c r="AR74" s="15"/>
      <c r="AS74" s="16">
        <f t="shared" si="50"/>
        <v>0</v>
      </c>
      <c r="AT74" s="16"/>
      <c r="AU74" s="16">
        <v>767.34</v>
      </c>
      <c r="AV74" s="16">
        <f t="shared" si="40"/>
        <v>767.34</v>
      </c>
      <c r="AW74" s="16">
        <f t="shared" si="51"/>
        <v>0</v>
      </c>
      <c r="AX74" s="16" t="str">
        <f t="shared" si="36"/>
        <v>SFA</v>
      </c>
      <c r="AY74" s="22">
        <v>44984</v>
      </c>
      <c r="AZ74" s="22"/>
      <c r="BA74" s="1"/>
      <c r="BB74" s="22" t="str">
        <f t="shared" si="42"/>
        <v>MARINE CARGO / GIT</v>
      </c>
      <c r="BC74" s="22"/>
      <c r="BD74" s="22"/>
      <c r="BE74" s="22"/>
    </row>
    <row r="75" spans="1:57" ht="14.25" hidden="1" customHeight="1">
      <c r="A75" s="1" t="s">
        <v>57</v>
      </c>
      <c r="B75" s="1" t="s">
        <v>58</v>
      </c>
      <c r="C75" s="21">
        <v>44964</v>
      </c>
      <c r="D75" s="21">
        <v>45089</v>
      </c>
      <c r="E75" s="21">
        <v>44927</v>
      </c>
      <c r="F75" s="21">
        <v>45291</v>
      </c>
      <c r="G75" s="13" t="str">
        <f t="shared" si="43"/>
        <v>000-074/AIB RDC/2023</v>
      </c>
      <c r="H75" s="1">
        <v>0</v>
      </c>
      <c r="I75" s="1" t="s">
        <v>83</v>
      </c>
      <c r="J75" s="1" t="s">
        <v>244</v>
      </c>
      <c r="K75" s="1" t="s">
        <v>245</v>
      </c>
      <c r="L75" s="1" t="s">
        <v>62</v>
      </c>
      <c r="M75" s="1" t="s">
        <v>63</v>
      </c>
      <c r="N75" s="1" t="s">
        <v>64</v>
      </c>
      <c r="O75" s="1" t="s">
        <v>246</v>
      </c>
      <c r="P75" s="1" t="s">
        <v>108</v>
      </c>
      <c r="Q75" s="1" t="s">
        <v>66</v>
      </c>
      <c r="R75" s="1" t="s">
        <v>247</v>
      </c>
      <c r="S75" s="16">
        <v>148918874</v>
      </c>
      <c r="T75" s="16">
        <v>1014819.47</v>
      </c>
      <c r="U75" s="16">
        <v>111689.16</v>
      </c>
      <c r="V75" s="16">
        <v>-110000</v>
      </c>
      <c r="W75" s="16">
        <v>3732.97</v>
      </c>
      <c r="X75" s="16">
        <v>744504.37</v>
      </c>
      <c r="Y75" s="16">
        <v>137602.64000000001</v>
      </c>
      <c r="Z75" s="17">
        <f t="shared" si="44"/>
        <v>4.9993956441008276E-3</v>
      </c>
      <c r="AA75" s="18">
        <v>6.6827510159544204E-2</v>
      </c>
      <c r="AB75" s="16">
        <f t="shared" si="41"/>
        <v>49753.37335000006</v>
      </c>
      <c r="AC75" s="16">
        <f>30%*(U75+V75)</f>
        <v>506.74800000000101</v>
      </c>
      <c r="AD75" s="16">
        <v>0</v>
      </c>
      <c r="AE75" s="16">
        <v>0</v>
      </c>
      <c r="AF75" s="16">
        <f t="shared" si="45"/>
        <v>50260.121350000059</v>
      </c>
      <c r="AG75" s="16">
        <f t="shared" si="37"/>
        <v>8041.6194160000096</v>
      </c>
      <c r="AH75" s="16">
        <f t="shared" si="46"/>
        <v>58301.740766000068</v>
      </c>
      <c r="AI75" s="16">
        <f t="shared" si="38"/>
        <v>1005.2024270000012</v>
      </c>
      <c r="AJ75" s="16">
        <v>0</v>
      </c>
      <c r="AK75" s="16">
        <f t="shared" si="47"/>
        <v>1005.2024270000012</v>
      </c>
      <c r="AL75" s="19"/>
      <c r="AM75" s="16">
        <f t="shared" si="48"/>
        <v>49254.918923000056</v>
      </c>
      <c r="AN75" s="16" t="s">
        <v>228</v>
      </c>
      <c r="AO75" s="20"/>
      <c r="AP75" s="16">
        <f t="shared" si="49"/>
        <v>0</v>
      </c>
      <c r="AQ75" s="16"/>
      <c r="AR75" s="15"/>
      <c r="AS75" s="16">
        <f t="shared" si="50"/>
        <v>0</v>
      </c>
      <c r="AT75" s="16"/>
      <c r="AU75" s="16">
        <v>58301.740766000068</v>
      </c>
      <c r="AV75" s="16">
        <f t="shared" si="40"/>
        <v>58301.740766000068</v>
      </c>
      <c r="AW75" s="16">
        <f t="shared" si="51"/>
        <v>0</v>
      </c>
      <c r="AX75" s="16" t="str">
        <f t="shared" si="36"/>
        <v>SFA</v>
      </c>
      <c r="AY75" s="22">
        <v>45135</v>
      </c>
      <c r="AZ75" s="22"/>
      <c r="BA75" s="1"/>
      <c r="BB75" s="22" t="str">
        <f t="shared" si="42"/>
        <v>MACHINARY BREAKDOWN</v>
      </c>
      <c r="BC75" s="22"/>
      <c r="BD75" s="22"/>
      <c r="BE75" s="22"/>
    </row>
    <row r="76" spans="1:57" ht="14.25" customHeight="1">
      <c r="A76" s="2" t="s">
        <v>871</v>
      </c>
      <c r="B76" s="1" t="s">
        <v>58</v>
      </c>
      <c r="C76" s="27">
        <v>45170</v>
      </c>
      <c r="D76" s="27">
        <v>45170</v>
      </c>
      <c r="E76" s="27">
        <v>45167</v>
      </c>
      <c r="F76" s="21">
        <v>45416</v>
      </c>
      <c r="G76" s="13" t="str">
        <f t="shared" si="43"/>
        <v>000-075/AIB RDC/2023</v>
      </c>
      <c r="H76" s="1">
        <v>3</v>
      </c>
      <c r="I76" s="1" t="s">
        <v>59</v>
      </c>
      <c r="J76" s="14" t="s">
        <v>653</v>
      </c>
      <c r="K76" s="1" t="s">
        <v>946</v>
      </c>
      <c r="L76" s="1"/>
      <c r="M76" s="1" t="s">
        <v>99</v>
      </c>
      <c r="N76" s="1" t="s">
        <v>100</v>
      </c>
      <c r="O76" s="1" t="s">
        <v>65</v>
      </c>
      <c r="P76" s="1" t="s">
        <v>65</v>
      </c>
      <c r="Q76" s="1" t="s">
        <v>76</v>
      </c>
      <c r="R76" s="1" t="s">
        <v>76</v>
      </c>
      <c r="S76" s="25">
        <v>0</v>
      </c>
      <c r="T76" s="25">
        <v>132.26</v>
      </c>
      <c r="U76" s="25">
        <v>0</v>
      </c>
      <c r="V76" s="25">
        <v>0</v>
      </c>
      <c r="W76" s="25">
        <v>10</v>
      </c>
      <c r="X76" s="25">
        <v>122</v>
      </c>
      <c r="Y76" s="25">
        <v>0</v>
      </c>
      <c r="Z76" s="17" t="e">
        <f t="shared" si="44"/>
        <v>#DIV/0!</v>
      </c>
      <c r="AA76" s="18">
        <v>0.125</v>
      </c>
      <c r="AB76" s="16">
        <f t="shared" si="41"/>
        <v>15.25</v>
      </c>
      <c r="AC76" s="16">
        <v>0</v>
      </c>
      <c r="AD76" s="16">
        <v>0</v>
      </c>
      <c r="AE76" s="16">
        <v>0</v>
      </c>
      <c r="AF76" s="16">
        <f t="shared" si="45"/>
        <v>15.25</v>
      </c>
      <c r="AG76" s="16">
        <f t="shared" si="37"/>
        <v>2.44</v>
      </c>
      <c r="AH76" s="16">
        <f t="shared" si="46"/>
        <v>17.690000000000001</v>
      </c>
      <c r="AI76" s="16">
        <f t="shared" si="38"/>
        <v>0.30499999999999999</v>
      </c>
      <c r="AJ76" s="16">
        <v>0</v>
      </c>
      <c r="AK76" s="16">
        <f t="shared" si="47"/>
        <v>0.30499999999999999</v>
      </c>
      <c r="AL76" s="19"/>
      <c r="AM76" s="16">
        <f t="shared" si="48"/>
        <v>14.945</v>
      </c>
      <c r="AN76" s="16"/>
      <c r="AO76" s="20"/>
      <c r="AP76" s="16">
        <f t="shared" si="49"/>
        <v>0</v>
      </c>
      <c r="AQ76" s="16"/>
      <c r="AR76" s="15"/>
      <c r="AS76" s="16">
        <f t="shared" si="50"/>
        <v>0</v>
      </c>
      <c r="AT76" s="16"/>
      <c r="AU76" s="16"/>
      <c r="AV76" s="16">
        <f t="shared" si="40"/>
        <v>17.690000000000001</v>
      </c>
      <c r="AW76" s="60">
        <f t="shared" si="51"/>
        <v>17.690000000000001</v>
      </c>
      <c r="AX76" s="16" t="str">
        <f t="shared" si="36"/>
        <v>ACTIVA</v>
      </c>
      <c r="AY76" s="22"/>
      <c r="AZ76" s="22"/>
      <c r="BA76" s="1"/>
      <c r="BB76" s="22"/>
      <c r="BC76" s="1"/>
      <c r="BD76" s="1"/>
      <c r="BE76" s="1"/>
    </row>
    <row r="77" spans="1:57" ht="14.25" hidden="1" customHeight="1">
      <c r="A77" s="1" t="s">
        <v>57</v>
      </c>
      <c r="B77" s="1" t="s">
        <v>58</v>
      </c>
      <c r="C77" s="21">
        <v>44944</v>
      </c>
      <c r="D77" s="21">
        <v>44958</v>
      </c>
      <c r="E77" s="21">
        <v>44927</v>
      </c>
      <c r="F77" s="21">
        <v>45291</v>
      </c>
      <c r="G77" s="13" t="str">
        <f t="shared" si="43"/>
        <v>000-076/AIB RDC/2023</v>
      </c>
      <c r="H77" s="1">
        <v>2</v>
      </c>
      <c r="I77" s="1" t="s">
        <v>68</v>
      </c>
      <c r="J77" s="14">
        <v>51000007</v>
      </c>
      <c r="K77" s="1" t="s">
        <v>204</v>
      </c>
      <c r="L77" s="1" t="s">
        <v>123</v>
      </c>
      <c r="M77" s="1" t="s">
        <v>63</v>
      </c>
      <c r="N77" s="1" t="s">
        <v>205</v>
      </c>
      <c r="O77" s="1" t="s">
        <v>233</v>
      </c>
      <c r="P77" s="1" t="s">
        <v>234</v>
      </c>
      <c r="Q77" s="1" t="s">
        <v>135</v>
      </c>
      <c r="R77" s="1" t="s">
        <v>254</v>
      </c>
      <c r="S77" s="16">
        <v>5500000</v>
      </c>
      <c r="T77" s="16">
        <v>14625.06</v>
      </c>
      <c r="U77" s="16">
        <v>1844.12</v>
      </c>
      <c r="V77" s="16">
        <v>0</v>
      </c>
      <c r="W77" s="16">
        <v>100</v>
      </c>
      <c r="X77" s="16">
        <v>10450</v>
      </c>
      <c r="Y77" s="16">
        <v>1983.06</v>
      </c>
      <c r="Z77" s="17">
        <f t="shared" si="44"/>
        <v>1.9E-3</v>
      </c>
      <c r="AA77" s="18">
        <v>0</v>
      </c>
      <c r="AB77" s="16">
        <f t="shared" si="41"/>
        <v>0</v>
      </c>
      <c r="AC77" s="16">
        <f>30%*U77</f>
        <v>553.23599999999999</v>
      </c>
      <c r="AD77" s="16">
        <f>(50%*20%*X77)/1.16</f>
        <v>900.86206896551732</v>
      </c>
      <c r="AE77" s="16">
        <v>0</v>
      </c>
      <c r="AF77" s="16">
        <f t="shared" si="45"/>
        <v>1454.0980689655173</v>
      </c>
      <c r="AG77" s="16">
        <f t="shared" si="37"/>
        <v>232.65569103448277</v>
      </c>
      <c r="AH77" s="16">
        <f t="shared" si="46"/>
        <v>1686.7537600000001</v>
      </c>
      <c r="AI77" s="16">
        <f t="shared" si="38"/>
        <v>29.081961379310346</v>
      </c>
      <c r="AJ77" s="16">
        <v>0</v>
      </c>
      <c r="AK77" s="16">
        <f t="shared" si="47"/>
        <v>29.081961379310346</v>
      </c>
      <c r="AL77" s="19"/>
      <c r="AM77" s="16">
        <f t="shared" si="48"/>
        <v>1425.016107586207</v>
      </c>
      <c r="AN77" s="16" t="s">
        <v>206</v>
      </c>
      <c r="AO77" s="20">
        <v>0</v>
      </c>
      <c r="AP77" s="16">
        <f t="shared" si="49"/>
        <v>0</v>
      </c>
      <c r="AQ77" s="16"/>
      <c r="AR77" s="15"/>
      <c r="AS77" s="16">
        <f t="shared" si="50"/>
        <v>0</v>
      </c>
      <c r="AT77" s="16"/>
      <c r="AU77" s="16">
        <f>641.76+1044.99376</f>
        <v>1686.7537600000001</v>
      </c>
      <c r="AV77" s="16">
        <f t="shared" si="40"/>
        <v>1686.7537600000001</v>
      </c>
      <c r="AW77" s="16">
        <f t="shared" si="51"/>
        <v>0</v>
      </c>
      <c r="AX77" s="16" t="s">
        <v>255</v>
      </c>
      <c r="AY77" s="22">
        <v>45086</v>
      </c>
      <c r="AZ77" s="22"/>
      <c r="BA77" s="1"/>
      <c r="BB77" s="22" t="str">
        <f t="shared" ref="BB77:BB92" si="52">O77</f>
        <v>CAR</v>
      </c>
      <c r="BC77" s="33"/>
      <c r="BD77" s="22"/>
      <c r="BE77" s="22"/>
    </row>
    <row r="78" spans="1:57" ht="14.25" hidden="1" customHeight="1">
      <c r="A78" s="1" t="s">
        <v>57</v>
      </c>
      <c r="B78" s="1" t="s">
        <v>58</v>
      </c>
      <c r="C78" s="21">
        <v>44912</v>
      </c>
      <c r="D78" s="21">
        <v>44927</v>
      </c>
      <c r="E78" s="21">
        <v>44927</v>
      </c>
      <c r="F78" s="21">
        <v>45291</v>
      </c>
      <c r="G78" s="13" t="str">
        <f t="shared" si="43"/>
        <v>000-077/AIB RDC/2023</v>
      </c>
      <c r="H78" s="1">
        <v>0</v>
      </c>
      <c r="I78" s="1" t="s">
        <v>83</v>
      </c>
      <c r="J78" s="29" t="s">
        <v>256</v>
      </c>
      <c r="K78" s="2" t="s">
        <v>257</v>
      </c>
      <c r="L78" s="1"/>
      <c r="M78" s="1" t="s">
        <v>63</v>
      </c>
      <c r="N78" s="1" t="s">
        <v>64</v>
      </c>
      <c r="O78" s="1" t="s">
        <v>104</v>
      </c>
      <c r="P78" s="1" t="s">
        <v>105</v>
      </c>
      <c r="Q78" s="1" t="s">
        <v>117</v>
      </c>
      <c r="R78" s="1" t="s">
        <v>117</v>
      </c>
      <c r="S78" s="34">
        <v>0</v>
      </c>
      <c r="T78" s="25">
        <v>9411.2800000000007</v>
      </c>
      <c r="U78" s="25">
        <v>0</v>
      </c>
      <c r="V78" s="34">
        <v>0</v>
      </c>
      <c r="W78" s="16">
        <v>80.319999999999993</v>
      </c>
      <c r="X78" s="25">
        <v>8032.85</v>
      </c>
      <c r="Y78" s="25">
        <v>1298.1099999999999</v>
      </c>
      <c r="Z78" s="17" t="e">
        <f t="shared" si="44"/>
        <v>#DIV/0!</v>
      </c>
      <c r="AA78" s="18">
        <v>0.15</v>
      </c>
      <c r="AB78" s="16">
        <f t="shared" si="41"/>
        <v>1204.9275</v>
      </c>
      <c r="AC78" s="16">
        <v>0</v>
      </c>
      <c r="AD78" s="16">
        <v>0</v>
      </c>
      <c r="AE78" s="16">
        <v>0</v>
      </c>
      <c r="AF78" s="16">
        <f t="shared" si="45"/>
        <v>1204.9275</v>
      </c>
      <c r="AG78" s="16">
        <f t="shared" si="37"/>
        <v>192.7884</v>
      </c>
      <c r="AH78" s="16">
        <f t="shared" si="46"/>
        <v>1397.7158999999999</v>
      </c>
      <c r="AI78" s="16">
        <f t="shared" si="38"/>
        <v>24.098549999999999</v>
      </c>
      <c r="AJ78" s="16">
        <v>0</v>
      </c>
      <c r="AK78" s="16">
        <f t="shared" si="47"/>
        <v>24.098549999999999</v>
      </c>
      <c r="AL78" s="19"/>
      <c r="AM78" s="16">
        <f t="shared" si="48"/>
        <v>1180.8289500000001</v>
      </c>
      <c r="AN78" s="16"/>
      <c r="AO78" s="20"/>
      <c r="AP78" s="16">
        <f t="shared" si="49"/>
        <v>0</v>
      </c>
      <c r="AQ78" s="16"/>
      <c r="AR78" s="15"/>
      <c r="AS78" s="16">
        <f t="shared" si="50"/>
        <v>0</v>
      </c>
      <c r="AT78" s="16"/>
      <c r="AU78" s="16">
        <v>1397.7158999999999</v>
      </c>
      <c r="AV78" s="16">
        <f t="shared" si="40"/>
        <v>1397.7158999999999</v>
      </c>
      <c r="AW78" s="16">
        <f t="shared" si="51"/>
        <v>0</v>
      </c>
      <c r="AX78" s="16" t="str">
        <f t="shared" ref="AX78:AX109" si="53">Q78</f>
        <v>SUNU</v>
      </c>
      <c r="AY78" s="22">
        <v>45002</v>
      </c>
      <c r="AZ78" s="1" t="s">
        <v>143</v>
      </c>
      <c r="BA78" s="1"/>
      <c r="BB78" s="22" t="str">
        <f t="shared" si="52"/>
        <v>MARINE CARGO / GIT</v>
      </c>
      <c r="BC78" s="1"/>
      <c r="BD78" s="1"/>
      <c r="BE78" s="1"/>
    </row>
    <row r="79" spans="1:57" ht="14.25" hidden="1" customHeight="1">
      <c r="A79" s="2" t="s">
        <v>57</v>
      </c>
      <c r="B79" s="2" t="s">
        <v>58</v>
      </c>
      <c r="C79" s="27">
        <v>44915</v>
      </c>
      <c r="D79" s="27">
        <v>44949</v>
      </c>
      <c r="E79" s="27">
        <v>44949</v>
      </c>
      <c r="F79" s="27">
        <v>45313</v>
      </c>
      <c r="G79" s="13" t="str">
        <f t="shared" si="43"/>
        <v>000-078/AIB RDC/2023</v>
      </c>
      <c r="H79" s="1">
        <v>0</v>
      </c>
      <c r="I79" s="1" t="s">
        <v>83</v>
      </c>
      <c r="J79" s="29" t="s">
        <v>258</v>
      </c>
      <c r="K79" s="2" t="s">
        <v>163</v>
      </c>
      <c r="L79" s="1"/>
      <c r="M79" s="1" t="s">
        <v>95</v>
      </c>
      <c r="N79" s="1" t="s">
        <v>146</v>
      </c>
      <c r="O79" s="1" t="s">
        <v>104</v>
      </c>
      <c r="P79" s="1" t="s">
        <v>105</v>
      </c>
      <c r="Q79" s="1" t="s">
        <v>66</v>
      </c>
      <c r="R79" s="1" t="s">
        <v>66</v>
      </c>
      <c r="S79" s="34">
        <v>13492.28</v>
      </c>
      <c r="T79" s="25">
        <v>65</v>
      </c>
      <c r="U79" s="25">
        <v>0</v>
      </c>
      <c r="V79" s="34">
        <v>0</v>
      </c>
      <c r="W79" s="16">
        <v>0.81</v>
      </c>
      <c r="X79" s="25">
        <v>54.28</v>
      </c>
      <c r="Y79" s="25">
        <v>8.81</v>
      </c>
      <c r="Z79" s="17">
        <f t="shared" si="44"/>
        <v>4.0230413243721591E-3</v>
      </c>
      <c r="AA79" s="18">
        <v>0.15</v>
      </c>
      <c r="AB79" s="16">
        <f t="shared" si="41"/>
        <v>8.1419999999999995</v>
      </c>
      <c r="AC79" s="16">
        <v>0</v>
      </c>
      <c r="AD79" s="16">
        <v>0</v>
      </c>
      <c r="AE79" s="16">
        <v>0</v>
      </c>
      <c r="AF79" s="16">
        <f t="shared" si="45"/>
        <v>8.1419999999999995</v>
      </c>
      <c r="AG79" s="16">
        <f t="shared" si="37"/>
        <v>1.3027199999999999</v>
      </c>
      <c r="AH79" s="16">
        <f t="shared" si="46"/>
        <v>9.4447200000000002</v>
      </c>
      <c r="AI79" s="16">
        <f t="shared" si="38"/>
        <v>0.16283999999999998</v>
      </c>
      <c r="AJ79" s="16">
        <v>0</v>
      </c>
      <c r="AK79" s="16">
        <f t="shared" si="47"/>
        <v>0.16283999999999998</v>
      </c>
      <c r="AL79" s="19"/>
      <c r="AM79" s="16">
        <f t="shared" si="48"/>
        <v>7.9791599999999994</v>
      </c>
      <c r="AN79" s="16" t="s">
        <v>147</v>
      </c>
      <c r="AO79" s="20">
        <v>0.4</v>
      </c>
      <c r="AP79" s="16">
        <f t="shared" si="49"/>
        <v>3.1916639999999998</v>
      </c>
      <c r="AQ79" s="16">
        <v>3.1916639999999998</v>
      </c>
      <c r="AR79" s="15">
        <v>45229</v>
      </c>
      <c r="AS79" s="16">
        <f t="shared" si="50"/>
        <v>0</v>
      </c>
      <c r="AT79" s="16"/>
      <c r="AU79" s="16">
        <v>9.4447200000000002</v>
      </c>
      <c r="AV79" s="16">
        <f t="shared" si="40"/>
        <v>9.4447200000000002</v>
      </c>
      <c r="AW79" s="16">
        <f t="shared" si="51"/>
        <v>0</v>
      </c>
      <c r="AX79" s="16" t="str">
        <f t="shared" si="53"/>
        <v>SFA</v>
      </c>
      <c r="AY79" s="22">
        <v>44984</v>
      </c>
      <c r="AZ79" s="22"/>
      <c r="BA79" s="1" t="s">
        <v>148</v>
      </c>
      <c r="BB79" s="22" t="str">
        <f t="shared" si="52"/>
        <v>MARINE CARGO / GIT</v>
      </c>
      <c r="BC79" s="1"/>
      <c r="BD79" s="1"/>
      <c r="BE79" s="1"/>
    </row>
    <row r="80" spans="1:57" ht="14.25" hidden="1" customHeight="1">
      <c r="A80" s="2" t="s">
        <v>57</v>
      </c>
      <c r="B80" s="2" t="s">
        <v>58</v>
      </c>
      <c r="C80" s="27">
        <v>44917</v>
      </c>
      <c r="D80" s="27">
        <v>44939</v>
      </c>
      <c r="E80" s="27">
        <v>44927</v>
      </c>
      <c r="F80" s="27">
        <v>45291</v>
      </c>
      <c r="G80" s="13" t="str">
        <f t="shared" si="43"/>
        <v>000-079/AIB RDC/2023</v>
      </c>
      <c r="H80" s="1">
        <v>0</v>
      </c>
      <c r="I80" s="1" t="s">
        <v>83</v>
      </c>
      <c r="J80" s="29">
        <v>41000002</v>
      </c>
      <c r="K80" s="2" t="s">
        <v>259</v>
      </c>
      <c r="L80" s="1"/>
      <c r="M80" s="1" t="s">
        <v>74</v>
      </c>
      <c r="N80" s="1" t="s">
        <v>75</v>
      </c>
      <c r="O80" s="1" t="s">
        <v>129</v>
      </c>
      <c r="P80" s="1" t="s">
        <v>108</v>
      </c>
      <c r="Q80" s="1" t="s">
        <v>135</v>
      </c>
      <c r="R80" s="1" t="s">
        <v>135</v>
      </c>
      <c r="S80" s="34">
        <v>0</v>
      </c>
      <c r="T80" s="25">
        <v>1111.72</v>
      </c>
      <c r="U80" s="25">
        <v>0</v>
      </c>
      <c r="V80" s="34">
        <v>0</v>
      </c>
      <c r="W80" s="16">
        <v>100</v>
      </c>
      <c r="X80" s="25">
        <v>842.14</v>
      </c>
      <c r="Y80" s="25">
        <v>150.74</v>
      </c>
      <c r="Z80" s="17" t="e">
        <f t="shared" si="44"/>
        <v>#DIV/0!</v>
      </c>
      <c r="AA80" s="18">
        <v>0.2</v>
      </c>
      <c r="AB80" s="16">
        <f t="shared" si="41"/>
        <v>168.428</v>
      </c>
      <c r="AC80" s="16">
        <v>0</v>
      </c>
      <c r="AD80" s="16">
        <v>0</v>
      </c>
      <c r="AE80" s="16">
        <v>0</v>
      </c>
      <c r="AF80" s="16">
        <f t="shared" si="45"/>
        <v>168.428</v>
      </c>
      <c r="AG80" s="16">
        <f t="shared" si="37"/>
        <v>26.94848</v>
      </c>
      <c r="AH80" s="16">
        <f t="shared" si="46"/>
        <v>195.37647999999999</v>
      </c>
      <c r="AI80" s="16">
        <f t="shared" si="38"/>
        <v>3.36856</v>
      </c>
      <c r="AJ80" s="16">
        <v>0</v>
      </c>
      <c r="AK80" s="16">
        <f t="shared" si="47"/>
        <v>3.36856</v>
      </c>
      <c r="AL80" s="19"/>
      <c r="AM80" s="16">
        <f t="shared" si="48"/>
        <v>165.05944</v>
      </c>
      <c r="AN80" s="16"/>
      <c r="AO80" s="20"/>
      <c r="AP80" s="16">
        <f t="shared" si="49"/>
        <v>0</v>
      </c>
      <c r="AQ80" s="16"/>
      <c r="AR80" s="15"/>
      <c r="AS80" s="16">
        <f t="shared" si="50"/>
        <v>0</v>
      </c>
      <c r="AT80" s="16"/>
      <c r="AU80" s="16">
        <v>195.37647999999999</v>
      </c>
      <c r="AV80" s="16">
        <f t="shared" si="40"/>
        <v>195.37647999999999</v>
      </c>
      <c r="AW80" s="16">
        <f t="shared" si="51"/>
        <v>0</v>
      </c>
      <c r="AX80" s="16" t="str">
        <f t="shared" si="53"/>
        <v>RAWSUR</v>
      </c>
      <c r="AY80" s="22">
        <v>44992</v>
      </c>
      <c r="AZ80" s="22"/>
      <c r="BA80" s="1"/>
      <c r="BB80" s="22" t="str">
        <f t="shared" si="52"/>
        <v>FIRE/HOME</v>
      </c>
      <c r="BC80" s="1"/>
      <c r="BD80" s="1"/>
      <c r="BE80" s="1"/>
    </row>
    <row r="81" spans="1:57" ht="14.25" hidden="1" customHeight="1">
      <c r="A81" s="2" t="s">
        <v>57</v>
      </c>
      <c r="B81" s="2" t="s">
        <v>58</v>
      </c>
      <c r="C81" s="27">
        <v>44917</v>
      </c>
      <c r="D81" s="27">
        <v>44939</v>
      </c>
      <c r="E81" s="27">
        <v>44927</v>
      </c>
      <c r="F81" s="27">
        <v>45291</v>
      </c>
      <c r="G81" s="13" t="str">
        <f t="shared" si="43"/>
        <v>000-080/AIB RDC/2023</v>
      </c>
      <c r="H81" s="1">
        <v>0</v>
      </c>
      <c r="I81" s="1" t="s">
        <v>83</v>
      </c>
      <c r="J81" s="29">
        <v>42000015</v>
      </c>
      <c r="K81" s="2" t="s">
        <v>259</v>
      </c>
      <c r="L81" s="1"/>
      <c r="M81" s="1" t="s">
        <v>74</v>
      </c>
      <c r="N81" s="1" t="s">
        <v>75</v>
      </c>
      <c r="O81" s="1" t="s">
        <v>107</v>
      </c>
      <c r="P81" s="1" t="s">
        <v>108</v>
      </c>
      <c r="Q81" s="1" t="s">
        <v>135</v>
      </c>
      <c r="R81" s="1" t="s">
        <v>135</v>
      </c>
      <c r="S81" s="34">
        <v>0</v>
      </c>
      <c r="T81" s="25">
        <v>5757.39</v>
      </c>
      <c r="U81" s="25">
        <v>0</v>
      </c>
      <c r="V81" s="34">
        <v>0</v>
      </c>
      <c r="W81" s="16">
        <v>100</v>
      </c>
      <c r="X81" s="25">
        <v>4779.1400000000003</v>
      </c>
      <c r="Y81" s="25">
        <v>780.67</v>
      </c>
      <c r="Z81" s="17" t="e">
        <f t="shared" si="44"/>
        <v>#DIV/0!</v>
      </c>
      <c r="AA81" s="18">
        <v>0.15</v>
      </c>
      <c r="AB81" s="16">
        <f t="shared" si="41"/>
        <v>716.87099999999998</v>
      </c>
      <c r="AC81" s="16">
        <v>0</v>
      </c>
      <c r="AD81" s="16">
        <v>0</v>
      </c>
      <c r="AE81" s="16">
        <v>0</v>
      </c>
      <c r="AF81" s="16">
        <f t="shared" si="45"/>
        <v>716.87099999999998</v>
      </c>
      <c r="AG81" s="16">
        <f t="shared" si="37"/>
        <v>114.69936</v>
      </c>
      <c r="AH81" s="16">
        <f t="shared" si="46"/>
        <v>831.57035999999994</v>
      </c>
      <c r="AI81" s="16">
        <f t="shared" si="38"/>
        <v>14.33742</v>
      </c>
      <c r="AJ81" s="16">
        <v>0</v>
      </c>
      <c r="AK81" s="16">
        <f t="shared" si="47"/>
        <v>14.33742</v>
      </c>
      <c r="AL81" s="19"/>
      <c r="AM81" s="16">
        <f t="shared" si="48"/>
        <v>702.53358000000003</v>
      </c>
      <c r="AN81" s="16"/>
      <c r="AO81" s="20"/>
      <c r="AP81" s="16">
        <f t="shared" si="49"/>
        <v>0</v>
      </c>
      <c r="AQ81" s="16"/>
      <c r="AR81" s="15"/>
      <c r="AS81" s="16">
        <f t="shared" si="50"/>
        <v>0</v>
      </c>
      <c r="AT81" s="16"/>
      <c r="AU81" s="16">
        <v>831.57035999999994</v>
      </c>
      <c r="AV81" s="16">
        <f t="shared" si="40"/>
        <v>831.57035999999994</v>
      </c>
      <c r="AW81" s="16">
        <f t="shared" si="51"/>
        <v>0</v>
      </c>
      <c r="AX81" s="16" t="str">
        <f t="shared" si="53"/>
        <v>RAWSUR</v>
      </c>
      <c r="AY81" s="22">
        <v>44992</v>
      </c>
      <c r="AZ81" s="22"/>
      <c r="BA81" s="1"/>
      <c r="BB81" s="22" t="str">
        <f t="shared" si="52"/>
        <v>FIRE</v>
      </c>
      <c r="BC81" s="1"/>
      <c r="BD81" s="1"/>
      <c r="BE81" s="1"/>
    </row>
    <row r="82" spans="1:57" ht="14.25" hidden="1" customHeight="1">
      <c r="A82" s="2" t="s">
        <v>57</v>
      </c>
      <c r="B82" s="1" t="s">
        <v>58</v>
      </c>
      <c r="C82" s="21">
        <v>44944</v>
      </c>
      <c r="D82" s="21">
        <v>44944</v>
      </c>
      <c r="E82" s="21">
        <v>44938</v>
      </c>
      <c r="F82" s="21">
        <v>45119</v>
      </c>
      <c r="G82" s="13" t="str">
        <f t="shared" si="43"/>
        <v>000-081/AIB RDC/2023</v>
      </c>
      <c r="H82" s="1">
        <v>0</v>
      </c>
      <c r="I82" s="1" t="s">
        <v>83</v>
      </c>
      <c r="J82" s="14" t="s">
        <v>260</v>
      </c>
      <c r="K82" s="1" t="s">
        <v>199</v>
      </c>
      <c r="L82" s="1"/>
      <c r="M82" s="1" t="s">
        <v>99</v>
      </c>
      <c r="N82" s="1" t="s">
        <v>100</v>
      </c>
      <c r="O82" s="1" t="s">
        <v>107</v>
      </c>
      <c r="P82" s="1" t="s">
        <v>108</v>
      </c>
      <c r="Q82" s="1" t="s">
        <v>66</v>
      </c>
      <c r="R82" s="1" t="s">
        <v>66</v>
      </c>
      <c r="S82" s="34">
        <v>0</v>
      </c>
      <c r="T82" s="25">
        <v>9060.66</v>
      </c>
      <c r="U82" s="25">
        <v>0</v>
      </c>
      <c r="V82" s="34">
        <v>0</v>
      </c>
      <c r="W82" s="16">
        <v>38.200000000000003</v>
      </c>
      <c r="X82" s="25">
        <v>7640.33</v>
      </c>
      <c r="Y82" s="25">
        <v>1228.56</v>
      </c>
      <c r="Z82" s="17" t="e">
        <f t="shared" si="44"/>
        <v>#DIV/0!</v>
      </c>
      <c r="AA82" s="18">
        <v>0.1</v>
      </c>
      <c r="AB82" s="16">
        <f t="shared" si="41"/>
        <v>764.03300000000002</v>
      </c>
      <c r="AC82" s="16">
        <v>0</v>
      </c>
      <c r="AD82" s="16">
        <v>0</v>
      </c>
      <c r="AE82" s="16">
        <v>0</v>
      </c>
      <c r="AF82" s="16">
        <f t="shared" si="45"/>
        <v>764.03300000000002</v>
      </c>
      <c r="AG82" s="16">
        <f t="shared" si="37"/>
        <v>122.24528000000001</v>
      </c>
      <c r="AH82" s="16">
        <f t="shared" si="46"/>
        <v>886.27828</v>
      </c>
      <c r="AI82" s="16">
        <f t="shared" si="38"/>
        <v>15.280660000000001</v>
      </c>
      <c r="AJ82" s="16">
        <v>0</v>
      </c>
      <c r="AK82" s="16">
        <f t="shared" si="47"/>
        <v>15.280660000000001</v>
      </c>
      <c r="AL82" s="19"/>
      <c r="AM82" s="16">
        <f t="shared" si="48"/>
        <v>748.75234</v>
      </c>
      <c r="AN82" s="16"/>
      <c r="AO82" s="20"/>
      <c r="AP82" s="16">
        <f t="shared" si="49"/>
        <v>0</v>
      </c>
      <c r="AQ82" s="16"/>
      <c r="AR82" s="15"/>
      <c r="AS82" s="16">
        <f t="shared" si="50"/>
        <v>0</v>
      </c>
      <c r="AT82" s="16"/>
      <c r="AU82" s="16">
        <v>886.27828</v>
      </c>
      <c r="AV82" s="16">
        <f t="shared" si="40"/>
        <v>886.27828</v>
      </c>
      <c r="AW82" s="16">
        <f t="shared" si="51"/>
        <v>0</v>
      </c>
      <c r="AX82" s="16" t="str">
        <f t="shared" si="53"/>
        <v>SFA</v>
      </c>
      <c r="AY82" s="22">
        <v>44984</v>
      </c>
      <c r="AZ82" s="22"/>
      <c r="BA82" s="1"/>
      <c r="BB82" s="22" t="str">
        <f t="shared" si="52"/>
        <v>FIRE</v>
      </c>
      <c r="BC82" s="1"/>
      <c r="BD82" s="1"/>
      <c r="BE82" s="1"/>
    </row>
    <row r="83" spans="1:57" ht="14.25" hidden="1" customHeight="1">
      <c r="A83" s="2" t="s">
        <v>57</v>
      </c>
      <c r="B83" s="1" t="s">
        <v>58</v>
      </c>
      <c r="C83" s="21">
        <v>44924</v>
      </c>
      <c r="D83" s="21">
        <v>44950</v>
      </c>
      <c r="E83" s="21">
        <v>44949</v>
      </c>
      <c r="F83" s="21">
        <v>45313</v>
      </c>
      <c r="G83" s="13" t="str">
        <f t="shared" si="43"/>
        <v>000-082/AIB RDC/2023</v>
      </c>
      <c r="H83" s="1">
        <v>0</v>
      </c>
      <c r="I83" s="1" t="s">
        <v>83</v>
      </c>
      <c r="J83" s="29" t="s">
        <v>261</v>
      </c>
      <c r="K83" s="2" t="s">
        <v>209</v>
      </c>
      <c r="L83" s="1"/>
      <c r="M83" s="2" t="s">
        <v>95</v>
      </c>
      <c r="N83" s="2" t="s">
        <v>146</v>
      </c>
      <c r="O83" s="2" t="s">
        <v>104</v>
      </c>
      <c r="P83" s="2" t="s">
        <v>105</v>
      </c>
      <c r="Q83" s="2" t="s">
        <v>66</v>
      </c>
      <c r="R83" s="2" t="s">
        <v>66</v>
      </c>
      <c r="S83" s="34">
        <v>52258.61</v>
      </c>
      <c r="T83" s="25">
        <v>72.099999999999994</v>
      </c>
      <c r="U83" s="25">
        <v>0</v>
      </c>
      <c r="V83" s="34">
        <v>0</v>
      </c>
      <c r="W83" s="16">
        <v>0.9</v>
      </c>
      <c r="X83" s="25">
        <v>60.2</v>
      </c>
      <c r="Y83" s="25">
        <v>9.7799999999999994</v>
      </c>
      <c r="Z83" s="17">
        <f t="shared" si="44"/>
        <v>1.1519632841363366E-3</v>
      </c>
      <c r="AA83" s="18">
        <v>0.15</v>
      </c>
      <c r="AB83" s="16">
        <f t="shared" si="41"/>
        <v>9.0299999999999994</v>
      </c>
      <c r="AC83" s="16">
        <v>0</v>
      </c>
      <c r="AD83" s="16">
        <v>0</v>
      </c>
      <c r="AE83" s="16">
        <v>0</v>
      </c>
      <c r="AF83" s="16">
        <f t="shared" si="45"/>
        <v>9.0299999999999994</v>
      </c>
      <c r="AG83" s="16">
        <f t="shared" si="37"/>
        <v>1.4447999999999999</v>
      </c>
      <c r="AH83" s="16">
        <f t="shared" si="46"/>
        <v>10.474799999999998</v>
      </c>
      <c r="AI83" s="16">
        <f t="shared" si="38"/>
        <v>0.18059999999999998</v>
      </c>
      <c r="AJ83" s="16">
        <v>0</v>
      </c>
      <c r="AK83" s="16">
        <f t="shared" si="47"/>
        <v>0.18059999999999998</v>
      </c>
      <c r="AL83" s="19"/>
      <c r="AM83" s="16">
        <f t="shared" si="48"/>
        <v>8.8493999999999993</v>
      </c>
      <c r="AN83" s="16" t="s">
        <v>147</v>
      </c>
      <c r="AO83" s="20">
        <v>0.4</v>
      </c>
      <c r="AP83" s="16">
        <f t="shared" si="49"/>
        <v>3.5397599999999998</v>
      </c>
      <c r="AQ83" s="16">
        <v>3.5397599999999998</v>
      </c>
      <c r="AR83" s="15">
        <v>45229</v>
      </c>
      <c r="AS83" s="16">
        <f t="shared" si="50"/>
        <v>0</v>
      </c>
      <c r="AT83" s="16"/>
      <c r="AU83" s="16">
        <v>10.474799999999998</v>
      </c>
      <c r="AV83" s="16">
        <f t="shared" si="40"/>
        <v>10.474799999999998</v>
      </c>
      <c r="AW83" s="16">
        <f t="shared" si="51"/>
        <v>0</v>
      </c>
      <c r="AX83" s="16" t="str">
        <f t="shared" si="53"/>
        <v>SFA</v>
      </c>
      <c r="AY83" s="22">
        <v>44984</v>
      </c>
      <c r="AZ83" s="22"/>
      <c r="BA83" s="1" t="s">
        <v>148</v>
      </c>
      <c r="BB83" s="22" t="str">
        <f t="shared" si="52"/>
        <v>MARINE CARGO / GIT</v>
      </c>
      <c r="BC83" s="1"/>
      <c r="BD83" s="1"/>
      <c r="BE83" s="1"/>
    </row>
    <row r="84" spans="1:57" ht="14.25" hidden="1" customHeight="1">
      <c r="A84" s="2" t="s">
        <v>57</v>
      </c>
      <c r="B84" s="1" t="s">
        <v>58</v>
      </c>
      <c r="C84" s="27">
        <v>44928</v>
      </c>
      <c r="D84" s="27">
        <v>44950</v>
      </c>
      <c r="E84" s="27">
        <v>44949</v>
      </c>
      <c r="F84" s="27">
        <v>45313</v>
      </c>
      <c r="G84" s="13" t="str">
        <f t="shared" si="43"/>
        <v>000-083/AIB RDC/2023</v>
      </c>
      <c r="H84" s="1">
        <v>0</v>
      </c>
      <c r="I84" s="1" t="s">
        <v>83</v>
      </c>
      <c r="J84" s="29" t="s">
        <v>262</v>
      </c>
      <c r="K84" s="2" t="s">
        <v>209</v>
      </c>
      <c r="L84" s="1"/>
      <c r="M84" s="2" t="s">
        <v>95</v>
      </c>
      <c r="N84" s="2" t="s">
        <v>146</v>
      </c>
      <c r="O84" s="2" t="s">
        <v>104</v>
      </c>
      <c r="P84" s="2" t="s">
        <v>105</v>
      </c>
      <c r="Q84" s="2" t="s">
        <v>66</v>
      </c>
      <c r="R84" s="2" t="s">
        <v>66</v>
      </c>
      <c r="S84" s="34">
        <v>49210.78</v>
      </c>
      <c r="T84" s="25">
        <v>67.900000000000006</v>
      </c>
      <c r="U84" s="25">
        <v>0</v>
      </c>
      <c r="V84" s="34">
        <v>0</v>
      </c>
      <c r="W84" s="16">
        <v>0.85</v>
      </c>
      <c r="X84" s="25">
        <v>56.69</v>
      </c>
      <c r="Y84" s="25">
        <v>9.2100000000000009</v>
      </c>
      <c r="Z84" s="17">
        <f t="shared" si="44"/>
        <v>1.1519833662461761E-3</v>
      </c>
      <c r="AA84" s="18">
        <v>0.15</v>
      </c>
      <c r="AB84" s="16">
        <f t="shared" si="41"/>
        <v>8.5034999999999989</v>
      </c>
      <c r="AC84" s="16">
        <v>0</v>
      </c>
      <c r="AD84" s="16">
        <v>0</v>
      </c>
      <c r="AE84" s="16">
        <v>0</v>
      </c>
      <c r="AF84" s="16">
        <f t="shared" si="45"/>
        <v>8.5034999999999989</v>
      </c>
      <c r="AG84" s="16">
        <f t="shared" si="37"/>
        <v>1.3605599999999998</v>
      </c>
      <c r="AH84" s="16">
        <f t="shared" si="46"/>
        <v>9.8640599999999985</v>
      </c>
      <c r="AI84" s="16">
        <f t="shared" si="38"/>
        <v>0.17006999999999997</v>
      </c>
      <c r="AJ84" s="16">
        <v>0</v>
      </c>
      <c r="AK84" s="16">
        <f t="shared" si="47"/>
        <v>0.17006999999999997</v>
      </c>
      <c r="AL84" s="19"/>
      <c r="AM84" s="16">
        <f t="shared" si="48"/>
        <v>8.3334299999999981</v>
      </c>
      <c r="AN84" s="16" t="s">
        <v>147</v>
      </c>
      <c r="AO84" s="20">
        <v>0.4</v>
      </c>
      <c r="AP84" s="16">
        <f t="shared" si="49"/>
        <v>3.3333719999999993</v>
      </c>
      <c r="AQ84" s="16">
        <v>3.3333719999999993</v>
      </c>
      <c r="AR84" s="15">
        <v>45229</v>
      </c>
      <c r="AS84" s="16">
        <f t="shared" si="50"/>
        <v>0</v>
      </c>
      <c r="AT84" s="16"/>
      <c r="AU84" s="16">
        <v>9.8640599999999985</v>
      </c>
      <c r="AV84" s="16">
        <f t="shared" si="40"/>
        <v>9.8640599999999985</v>
      </c>
      <c r="AW84" s="16">
        <f t="shared" si="51"/>
        <v>0</v>
      </c>
      <c r="AX84" s="16" t="str">
        <f t="shared" si="53"/>
        <v>SFA</v>
      </c>
      <c r="AY84" s="22">
        <v>44984</v>
      </c>
      <c r="AZ84" s="22"/>
      <c r="BA84" s="1" t="s">
        <v>148</v>
      </c>
      <c r="BB84" s="22" t="str">
        <f t="shared" si="52"/>
        <v>MARINE CARGO / GIT</v>
      </c>
      <c r="BC84" s="1"/>
      <c r="BD84" s="1"/>
      <c r="BE84" s="1"/>
    </row>
    <row r="85" spans="1:57" ht="14.25" hidden="1" customHeight="1">
      <c r="A85" s="2" t="s">
        <v>57</v>
      </c>
      <c r="B85" s="1" t="s">
        <v>58</v>
      </c>
      <c r="C85" s="27">
        <v>44928</v>
      </c>
      <c r="D85" s="27">
        <v>44950</v>
      </c>
      <c r="E85" s="27">
        <v>44949</v>
      </c>
      <c r="F85" s="27">
        <v>45313</v>
      </c>
      <c r="G85" s="13" t="str">
        <f t="shared" si="43"/>
        <v>000-084/AIB RDC/2023</v>
      </c>
      <c r="H85" s="1">
        <v>0</v>
      </c>
      <c r="I85" s="1" t="s">
        <v>83</v>
      </c>
      <c r="J85" s="29" t="s">
        <v>263</v>
      </c>
      <c r="K85" s="2" t="s">
        <v>209</v>
      </c>
      <c r="L85" s="1"/>
      <c r="M85" s="2" t="s">
        <v>95</v>
      </c>
      <c r="N85" s="2" t="s">
        <v>146</v>
      </c>
      <c r="O85" s="2" t="s">
        <v>104</v>
      </c>
      <c r="P85" s="2" t="s">
        <v>105</v>
      </c>
      <c r="Q85" s="2" t="s">
        <v>66</v>
      </c>
      <c r="R85" s="2" t="s">
        <v>66</v>
      </c>
      <c r="S85" s="34">
        <v>7067.33</v>
      </c>
      <c r="T85" s="25">
        <v>65</v>
      </c>
      <c r="U85" s="25">
        <v>0</v>
      </c>
      <c r="V85" s="34">
        <v>0</v>
      </c>
      <c r="W85" s="16">
        <v>0.81</v>
      </c>
      <c r="X85" s="25">
        <v>54.28</v>
      </c>
      <c r="Y85" s="25">
        <v>8.81</v>
      </c>
      <c r="Z85" s="17">
        <f t="shared" si="44"/>
        <v>7.680411131219287E-3</v>
      </c>
      <c r="AA85" s="18">
        <v>0.15</v>
      </c>
      <c r="AB85" s="16">
        <f t="shared" si="41"/>
        <v>8.1419999999999995</v>
      </c>
      <c r="AC85" s="16">
        <v>0</v>
      </c>
      <c r="AD85" s="16">
        <v>0</v>
      </c>
      <c r="AE85" s="16">
        <v>0</v>
      </c>
      <c r="AF85" s="16">
        <f t="shared" si="45"/>
        <v>8.1419999999999995</v>
      </c>
      <c r="AG85" s="16">
        <f t="shared" si="37"/>
        <v>1.3027199999999999</v>
      </c>
      <c r="AH85" s="16">
        <f t="shared" si="46"/>
        <v>9.4447200000000002</v>
      </c>
      <c r="AI85" s="16">
        <f t="shared" si="38"/>
        <v>0.16283999999999998</v>
      </c>
      <c r="AJ85" s="16">
        <v>0</v>
      </c>
      <c r="AK85" s="16">
        <f t="shared" si="47"/>
        <v>0.16283999999999998</v>
      </c>
      <c r="AL85" s="19"/>
      <c r="AM85" s="16">
        <f t="shared" si="48"/>
        <v>7.9791599999999994</v>
      </c>
      <c r="AN85" s="16" t="s">
        <v>147</v>
      </c>
      <c r="AO85" s="20">
        <v>0.4</v>
      </c>
      <c r="AP85" s="16">
        <f t="shared" si="49"/>
        <v>3.1916639999999998</v>
      </c>
      <c r="AQ85" s="16">
        <v>3.1916639999999998</v>
      </c>
      <c r="AR85" s="15">
        <v>45229</v>
      </c>
      <c r="AS85" s="16">
        <f t="shared" si="50"/>
        <v>0</v>
      </c>
      <c r="AT85" s="16"/>
      <c r="AU85" s="16">
        <v>9.4447200000000002</v>
      </c>
      <c r="AV85" s="16">
        <f t="shared" si="40"/>
        <v>9.4447200000000002</v>
      </c>
      <c r="AW85" s="16">
        <f t="shared" si="51"/>
        <v>0</v>
      </c>
      <c r="AX85" s="16" t="str">
        <f t="shared" si="53"/>
        <v>SFA</v>
      </c>
      <c r="AY85" s="22">
        <v>44984</v>
      </c>
      <c r="AZ85" s="22"/>
      <c r="BA85" s="1" t="s">
        <v>148</v>
      </c>
      <c r="BB85" s="22" t="str">
        <f t="shared" si="52"/>
        <v>MARINE CARGO / GIT</v>
      </c>
      <c r="BC85" s="1"/>
      <c r="BD85" s="1"/>
      <c r="BE85" s="1"/>
    </row>
    <row r="86" spans="1:57" ht="14.25" hidden="1" customHeight="1">
      <c r="A86" s="2" t="s">
        <v>57</v>
      </c>
      <c r="B86" s="1" t="s">
        <v>58</v>
      </c>
      <c r="C86" s="27">
        <v>44928</v>
      </c>
      <c r="D86" s="27">
        <v>44950</v>
      </c>
      <c r="E86" s="27">
        <v>44949</v>
      </c>
      <c r="F86" s="27">
        <v>45313</v>
      </c>
      <c r="G86" s="13" t="str">
        <f t="shared" si="43"/>
        <v>000-085/AIB RDC/2023</v>
      </c>
      <c r="H86" s="1">
        <v>0</v>
      </c>
      <c r="I86" s="1" t="s">
        <v>83</v>
      </c>
      <c r="J86" s="29" t="s">
        <v>264</v>
      </c>
      <c r="K86" s="2" t="s">
        <v>265</v>
      </c>
      <c r="L86" s="1"/>
      <c r="M86" s="2" t="s">
        <v>95</v>
      </c>
      <c r="N86" s="2" t="s">
        <v>146</v>
      </c>
      <c r="O86" s="2" t="s">
        <v>104</v>
      </c>
      <c r="P86" s="2" t="s">
        <v>105</v>
      </c>
      <c r="Q86" s="2" t="s">
        <v>66</v>
      </c>
      <c r="R86" s="2" t="s">
        <v>66</v>
      </c>
      <c r="S86" s="34">
        <v>6901.01</v>
      </c>
      <c r="T86" s="25">
        <v>65</v>
      </c>
      <c r="U86" s="25">
        <v>0</v>
      </c>
      <c r="V86" s="34">
        <v>0</v>
      </c>
      <c r="W86" s="16">
        <v>0.81</v>
      </c>
      <c r="X86" s="25">
        <v>54.28</v>
      </c>
      <c r="Y86" s="25">
        <v>8.81</v>
      </c>
      <c r="Z86" s="17">
        <f t="shared" si="44"/>
        <v>7.8655153376100025E-3</v>
      </c>
      <c r="AA86" s="18">
        <v>0.15</v>
      </c>
      <c r="AB86" s="16">
        <f t="shared" si="41"/>
        <v>8.1419999999999995</v>
      </c>
      <c r="AC86" s="16">
        <v>0</v>
      </c>
      <c r="AD86" s="16">
        <v>0</v>
      </c>
      <c r="AE86" s="16">
        <v>0</v>
      </c>
      <c r="AF86" s="16">
        <f t="shared" si="45"/>
        <v>8.1419999999999995</v>
      </c>
      <c r="AG86" s="16">
        <f t="shared" si="37"/>
        <v>1.3027199999999999</v>
      </c>
      <c r="AH86" s="16">
        <f t="shared" si="46"/>
        <v>9.4447200000000002</v>
      </c>
      <c r="AI86" s="16">
        <f t="shared" si="38"/>
        <v>0.16283999999999998</v>
      </c>
      <c r="AJ86" s="16">
        <v>0</v>
      </c>
      <c r="AK86" s="16">
        <f t="shared" si="47"/>
        <v>0.16283999999999998</v>
      </c>
      <c r="AL86" s="19"/>
      <c r="AM86" s="16">
        <f t="shared" si="48"/>
        <v>7.9791599999999994</v>
      </c>
      <c r="AN86" s="16" t="s">
        <v>147</v>
      </c>
      <c r="AO86" s="20">
        <v>0.4</v>
      </c>
      <c r="AP86" s="16">
        <f t="shared" si="49"/>
        <v>3.1916639999999998</v>
      </c>
      <c r="AQ86" s="16">
        <v>3.1916639999999998</v>
      </c>
      <c r="AR86" s="15">
        <v>45229</v>
      </c>
      <c r="AS86" s="16">
        <f t="shared" si="50"/>
        <v>0</v>
      </c>
      <c r="AT86" s="16"/>
      <c r="AU86" s="16">
        <v>9.4447200000000002</v>
      </c>
      <c r="AV86" s="16">
        <f t="shared" si="40"/>
        <v>9.4447200000000002</v>
      </c>
      <c r="AW86" s="16">
        <f t="shared" si="51"/>
        <v>0</v>
      </c>
      <c r="AX86" s="16" t="str">
        <f t="shared" si="53"/>
        <v>SFA</v>
      </c>
      <c r="AY86" s="22">
        <v>44984</v>
      </c>
      <c r="AZ86" s="22"/>
      <c r="BA86" s="1" t="s">
        <v>148</v>
      </c>
      <c r="BB86" s="22" t="str">
        <f t="shared" si="52"/>
        <v>MARINE CARGO / GIT</v>
      </c>
      <c r="BC86" s="1"/>
      <c r="BD86" s="1"/>
      <c r="BE86" s="1"/>
    </row>
    <row r="87" spans="1:57" ht="14.25" hidden="1" customHeight="1">
      <c r="A87" s="2" t="s">
        <v>57</v>
      </c>
      <c r="B87" s="1" t="s">
        <v>58</v>
      </c>
      <c r="C87" s="27">
        <v>44833</v>
      </c>
      <c r="D87" s="27">
        <v>44952</v>
      </c>
      <c r="E87" s="27">
        <v>44927</v>
      </c>
      <c r="F87" s="27">
        <v>45291</v>
      </c>
      <c r="G87" s="13" t="str">
        <f t="shared" si="43"/>
        <v>000-086/AIB RDC/2023</v>
      </c>
      <c r="H87" s="1">
        <v>0</v>
      </c>
      <c r="I87" s="1" t="s">
        <v>83</v>
      </c>
      <c r="J87" s="35" t="s">
        <v>266</v>
      </c>
      <c r="K87" s="2" t="s">
        <v>242</v>
      </c>
      <c r="L87" s="1" t="s">
        <v>243</v>
      </c>
      <c r="M87" s="2" t="s">
        <v>63</v>
      </c>
      <c r="N87" s="2" t="s">
        <v>267</v>
      </c>
      <c r="O87" s="2" t="s">
        <v>104</v>
      </c>
      <c r="P87" s="2" t="s">
        <v>105</v>
      </c>
      <c r="Q87" s="2" t="s">
        <v>66</v>
      </c>
      <c r="R87" s="2" t="s">
        <v>66</v>
      </c>
      <c r="S87" s="34">
        <v>3010000</v>
      </c>
      <c r="T87" s="25">
        <v>5986.94</v>
      </c>
      <c r="U87" s="25">
        <v>0</v>
      </c>
      <c r="V87" s="34">
        <v>0</v>
      </c>
      <c r="W87" s="16">
        <v>25.24</v>
      </c>
      <c r="X87" s="25">
        <v>5048.4399999999996</v>
      </c>
      <c r="Y87" s="25">
        <v>811.79</v>
      </c>
      <c r="Z87" s="17">
        <f t="shared" si="44"/>
        <v>1.6772225913621261E-3</v>
      </c>
      <c r="AA87" s="18">
        <v>0.15</v>
      </c>
      <c r="AB87" s="16">
        <f t="shared" si="41"/>
        <v>757.26599999999996</v>
      </c>
      <c r="AC87" s="16">
        <v>0</v>
      </c>
      <c r="AD87" s="16">
        <v>0</v>
      </c>
      <c r="AE87" s="16">
        <v>0</v>
      </c>
      <c r="AF87" s="16">
        <f t="shared" si="45"/>
        <v>757.26599999999996</v>
      </c>
      <c r="AG87" s="16">
        <f t="shared" si="37"/>
        <v>121.16256</v>
      </c>
      <c r="AH87" s="16">
        <f t="shared" si="46"/>
        <v>878.42855999999995</v>
      </c>
      <c r="AI87" s="16">
        <f t="shared" si="38"/>
        <v>15.14532</v>
      </c>
      <c r="AJ87" s="16">
        <v>0</v>
      </c>
      <c r="AK87" s="16">
        <f t="shared" si="47"/>
        <v>15.14532</v>
      </c>
      <c r="AL87" s="19"/>
      <c r="AM87" s="16">
        <f t="shared" si="48"/>
        <v>742.12067999999999</v>
      </c>
      <c r="AN87" s="16" t="s">
        <v>228</v>
      </c>
      <c r="AO87" s="20"/>
      <c r="AP87" s="16">
        <f t="shared" si="49"/>
        <v>0</v>
      </c>
      <c r="AQ87" s="16"/>
      <c r="AR87" s="15"/>
      <c r="AS87" s="16">
        <f t="shared" si="50"/>
        <v>0</v>
      </c>
      <c r="AT87" s="16"/>
      <c r="AU87" s="16">
        <v>878.42855999999995</v>
      </c>
      <c r="AV87" s="16">
        <f t="shared" si="40"/>
        <v>878.42855999999995</v>
      </c>
      <c r="AW87" s="16">
        <f t="shared" si="51"/>
        <v>0</v>
      </c>
      <c r="AX87" s="16" t="str">
        <f t="shared" si="53"/>
        <v>SFA</v>
      </c>
      <c r="AY87" s="22">
        <v>44984</v>
      </c>
      <c r="AZ87" s="22"/>
      <c r="BA87" s="1"/>
      <c r="BB87" s="22" t="str">
        <f t="shared" si="52"/>
        <v>MARINE CARGO / GIT</v>
      </c>
      <c r="BC87" s="1"/>
      <c r="BD87" s="1"/>
      <c r="BE87" s="1"/>
    </row>
    <row r="88" spans="1:57" ht="14.25" hidden="1" customHeight="1">
      <c r="A88" s="2" t="s">
        <v>57</v>
      </c>
      <c r="B88" s="1" t="s">
        <v>58</v>
      </c>
      <c r="C88" s="27">
        <v>44833</v>
      </c>
      <c r="D88" s="27">
        <v>44952</v>
      </c>
      <c r="E88" s="27">
        <v>44927</v>
      </c>
      <c r="F88" s="27">
        <v>45291</v>
      </c>
      <c r="G88" s="13" t="str">
        <f t="shared" si="43"/>
        <v>000-087/AIB RDC/2023</v>
      </c>
      <c r="H88" s="1">
        <v>0</v>
      </c>
      <c r="I88" s="1" t="s">
        <v>83</v>
      </c>
      <c r="J88" s="35" t="s">
        <v>268</v>
      </c>
      <c r="K88" s="2" t="s">
        <v>269</v>
      </c>
      <c r="L88" s="1"/>
      <c r="M88" s="2" t="s">
        <v>63</v>
      </c>
      <c r="N88" s="2" t="s">
        <v>267</v>
      </c>
      <c r="O88" s="2" t="s">
        <v>104</v>
      </c>
      <c r="P88" s="2" t="s">
        <v>105</v>
      </c>
      <c r="Q88" s="2" t="s">
        <v>66</v>
      </c>
      <c r="R88" s="2" t="s">
        <v>66</v>
      </c>
      <c r="S88" s="34">
        <v>1000000</v>
      </c>
      <c r="T88" s="25">
        <v>960.58</v>
      </c>
      <c r="U88" s="25">
        <v>0</v>
      </c>
      <c r="V88" s="34">
        <v>0</v>
      </c>
      <c r="W88" s="16">
        <v>4.05</v>
      </c>
      <c r="X88" s="25">
        <v>810</v>
      </c>
      <c r="Y88" s="25">
        <v>130.25</v>
      </c>
      <c r="Z88" s="17">
        <f t="shared" si="44"/>
        <v>8.0999999999999996E-4</v>
      </c>
      <c r="AA88" s="18">
        <v>0.15</v>
      </c>
      <c r="AB88" s="16">
        <f t="shared" si="41"/>
        <v>121.5</v>
      </c>
      <c r="AC88" s="16">
        <v>0</v>
      </c>
      <c r="AD88" s="16">
        <v>0</v>
      </c>
      <c r="AE88" s="16">
        <v>0</v>
      </c>
      <c r="AF88" s="16">
        <f t="shared" si="45"/>
        <v>121.5</v>
      </c>
      <c r="AG88" s="16">
        <f t="shared" si="37"/>
        <v>19.440000000000001</v>
      </c>
      <c r="AH88" s="16">
        <f t="shared" si="46"/>
        <v>140.94</v>
      </c>
      <c r="AI88" s="16">
        <f t="shared" si="38"/>
        <v>2.4300000000000002</v>
      </c>
      <c r="AJ88" s="16">
        <v>0</v>
      </c>
      <c r="AK88" s="16">
        <f t="shared" si="47"/>
        <v>2.4300000000000002</v>
      </c>
      <c r="AL88" s="19"/>
      <c r="AM88" s="16">
        <f t="shared" si="48"/>
        <v>119.07</v>
      </c>
      <c r="AN88" s="16"/>
      <c r="AO88" s="20"/>
      <c r="AP88" s="16">
        <f t="shared" si="49"/>
        <v>0</v>
      </c>
      <c r="AQ88" s="16"/>
      <c r="AR88" s="15"/>
      <c r="AS88" s="16">
        <f t="shared" si="50"/>
        <v>0</v>
      </c>
      <c r="AT88" s="16"/>
      <c r="AU88" s="16">
        <v>140.94</v>
      </c>
      <c r="AV88" s="16">
        <f t="shared" si="40"/>
        <v>140.94</v>
      </c>
      <c r="AW88" s="16">
        <f t="shared" si="51"/>
        <v>0</v>
      </c>
      <c r="AX88" s="16" t="str">
        <f t="shared" si="53"/>
        <v>SFA</v>
      </c>
      <c r="AY88" s="22">
        <v>44984</v>
      </c>
      <c r="AZ88" s="22"/>
      <c r="BA88" s="1"/>
      <c r="BB88" s="22" t="str">
        <f t="shared" si="52"/>
        <v>MARINE CARGO / GIT</v>
      </c>
      <c r="BC88" s="1"/>
      <c r="BD88" s="1"/>
      <c r="BE88" s="1"/>
    </row>
    <row r="89" spans="1:57" ht="14.25" hidden="1" customHeight="1">
      <c r="A89" s="2" t="s">
        <v>157</v>
      </c>
      <c r="B89" s="1" t="s">
        <v>58</v>
      </c>
      <c r="C89" s="27">
        <v>44928</v>
      </c>
      <c r="D89" s="27">
        <v>44970</v>
      </c>
      <c r="E89" s="27">
        <v>44970</v>
      </c>
      <c r="F89" s="27">
        <v>45334</v>
      </c>
      <c r="G89" s="13" t="str">
        <f t="shared" si="43"/>
        <v>000-088/AIB RDC/2023</v>
      </c>
      <c r="H89" s="1">
        <v>0</v>
      </c>
      <c r="I89" s="1" t="s">
        <v>83</v>
      </c>
      <c r="J89" s="29" t="s">
        <v>270</v>
      </c>
      <c r="K89" s="2" t="s">
        <v>271</v>
      </c>
      <c r="L89" s="1"/>
      <c r="M89" s="2" t="s">
        <v>95</v>
      </c>
      <c r="N89" s="2" t="s">
        <v>146</v>
      </c>
      <c r="O89" s="2" t="s">
        <v>104</v>
      </c>
      <c r="P89" s="2" t="s">
        <v>105</v>
      </c>
      <c r="Q89" s="2" t="s">
        <v>66</v>
      </c>
      <c r="R89" s="2" t="s">
        <v>66</v>
      </c>
      <c r="S89" s="25">
        <v>717421.2</v>
      </c>
      <c r="T89" s="25">
        <v>1902.32</v>
      </c>
      <c r="U89" s="25">
        <v>0</v>
      </c>
      <c r="V89" s="25">
        <v>0</v>
      </c>
      <c r="W89" s="25">
        <v>23.82</v>
      </c>
      <c r="X89" s="25">
        <v>1588.32</v>
      </c>
      <c r="Y89" s="25">
        <v>257.94</v>
      </c>
      <c r="Z89" s="17">
        <f t="shared" si="44"/>
        <v>2.2139295576991593E-3</v>
      </c>
      <c r="AA89" s="18">
        <v>0.15</v>
      </c>
      <c r="AB89" s="16">
        <f t="shared" si="41"/>
        <v>238.24799999999999</v>
      </c>
      <c r="AC89" s="16">
        <v>0</v>
      </c>
      <c r="AD89" s="16">
        <v>0</v>
      </c>
      <c r="AE89" s="16">
        <v>0</v>
      </c>
      <c r="AF89" s="16">
        <f t="shared" si="45"/>
        <v>238.24799999999999</v>
      </c>
      <c r="AG89" s="16">
        <f t="shared" si="37"/>
        <v>38.119680000000002</v>
      </c>
      <c r="AH89" s="16">
        <f t="shared" si="46"/>
        <v>276.36768000000001</v>
      </c>
      <c r="AI89" s="16">
        <f t="shared" si="38"/>
        <v>4.7649600000000003</v>
      </c>
      <c r="AJ89" s="16">
        <v>0</v>
      </c>
      <c r="AK89" s="16">
        <f t="shared" si="47"/>
        <v>4.7649600000000003</v>
      </c>
      <c r="AL89" s="19"/>
      <c r="AM89" s="16">
        <f t="shared" si="48"/>
        <v>233.48303999999999</v>
      </c>
      <c r="AN89" s="16" t="s">
        <v>147</v>
      </c>
      <c r="AO89" s="20">
        <v>0.4</v>
      </c>
      <c r="AP89" s="16">
        <f t="shared" si="49"/>
        <v>93.393215999999995</v>
      </c>
      <c r="AQ89" s="16">
        <v>93.393215999999995</v>
      </c>
      <c r="AR89" s="15">
        <v>45229</v>
      </c>
      <c r="AS89" s="16">
        <f t="shared" si="50"/>
        <v>0</v>
      </c>
      <c r="AT89" s="16"/>
      <c r="AU89" s="16">
        <v>276.36768000000001</v>
      </c>
      <c r="AV89" s="16">
        <f t="shared" ref="AV89:AV114" si="54">AH89</f>
        <v>276.36768000000001</v>
      </c>
      <c r="AW89" s="16">
        <f t="shared" si="51"/>
        <v>0</v>
      </c>
      <c r="AX89" s="16" t="str">
        <f t="shared" si="53"/>
        <v>SFA</v>
      </c>
      <c r="AY89" s="22">
        <v>45005</v>
      </c>
      <c r="AZ89" s="22"/>
      <c r="BA89" s="1" t="s">
        <v>148</v>
      </c>
      <c r="BB89" s="22" t="str">
        <f t="shared" si="52"/>
        <v>MARINE CARGO / GIT</v>
      </c>
      <c r="BC89" s="1"/>
      <c r="BD89" s="1"/>
      <c r="BE89" s="1"/>
    </row>
    <row r="90" spans="1:57" ht="14.25" hidden="1" customHeight="1">
      <c r="A90" s="2" t="s">
        <v>57</v>
      </c>
      <c r="B90" s="1" t="s">
        <v>58</v>
      </c>
      <c r="C90" s="27">
        <v>44915</v>
      </c>
      <c r="D90" s="27">
        <v>44949</v>
      </c>
      <c r="E90" s="27">
        <v>44949</v>
      </c>
      <c r="F90" s="27">
        <v>45313</v>
      </c>
      <c r="G90" s="13" t="str">
        <f t="shared" si="43"/>
        <v>000-089/AIB RDC/2023</v>
      </c>
      <c r="H90" s="1">
        <v>0</v>
      </c>
      <c r="I90" s="1" t="s">
        <v>83</v>
      </c>
      <c r="J90" s="29" t="s">
        <v>272</v>
      </c>
      <c r="K90" s="2" t="s">
        <v>163</v>
      </c>
      <c r="L90" s="1"/>
      <c r="M90" s="1" t="s">
        <v>95</v>
      </c>
      <c r="N90" s="1" t="s">
        <v>146</v>
      </c>
      <c r="O90" s="1" t="s">
        <v>104</v>
      </c>
      <c r="P90" s="1" t="s">
        <v>105</v>
      </c>
      <c r="Q90" s="1" t="s">
        <v>66</v>
      </c>
      <c r="R90" s="1" t="s">
        <v>66</v>
      </c>
      <c r="S90" s="25">
        <v>13492.28</v>
      </c>
      <c r="T90" s="25">
        <v>65</v>
      </c>
      <c r="U90" s="25">
        <v>0</v>
      </c>
      <c r="V90" s="25">
        <v>0</v>
      </c>
      <c r="W90" s="25">
        <v>0.81</v>
      </c>
      <c r="X90" s="25">
        <v>54.28</v>
      </c>
      <c r="Y90" s="25">
        <v>8.81</v>
      </c>
      <c r="Z90" s="17">
        <f t="shared" si="44"/>
        <v>4.0230413243721591E-3</v>
      </c>
      <c r="AA90" s="18">
        <v>0.15</v>
      </c>
      <c r="AB90" s="16">
        <f t="shared" si="41"/>
        <v>8.1419999999999995</v>
      </c>
      <c r="AC90" s="16">
        <v>0</v>
      </c>
      <c r="AD90" s="16">
        <v>0</v>
      </c>
      <c r="AE90" s="16">
        <v>0</v>
      </c>
      <c r="AF90" s="16">
        <f t="shared" si="45"/>
        <v>8.1419999999999995</v>
      </c>
      <c r="AG90" s="16">
        <f t="shared" si="37"/>
        <v>1.3027199999999999</v>
      </c>
      <c r="AH90" s="16">
        <f t="shared" si="46"/>
        <v>9.4447200000000002</v>
      </c>
      <c r="AI90" s="16">
        <f t="shared" si="38"/>
        <v>0.16283999999999998</v>
      </c>
      <c r="AJ90" s="16">
        <v>0</v>
      </c>
      <c r="AK90" s="16">
        <f t="shared" si="47"/>
        <v>0.16283999999999998</v>
      </c>
      <c r="AL90" s="19"/>
      <c r="AM90" s="16">
        <f t="shared" si="48"/>
        <v>7.9791599999999994</v>
      </c>
      <c r="AN90" s="16" t="s">
        <v>147</v>
      </c>
      <c r="AO90" s="20">
        <v>0.4</v>
      </c>
      <c r="AP90" s="16">
        <f t="shared" si="49"/>
        <v>3.1916639999999998</v>
      </c>
      <c r="AQ90" s="16">
        <v>3.1916639999999998</v>
      </c>
      <c r="AR90" s="15">
        <v>45229</v>
      </c>
      <c r="AS90" s="16">
        <f t="shared" si="50"/>
        <v>0</v>
      </c>
      <c r="AT90" s="16"/>
      <c r="AU90" s="16">
        <v>9.4447200000000002</v>
      </c>
      <c r="AV90" s="16">
        <f t="shared" si="54"/>
        <v>9.4447200000000002</v>
      </c>
      <c r="AW90" s="16">
        <f t="shared" si="51"/>
        <v>0</v>
      </c>
      <c r="AX90" s="16" t="str">
        <f t="shared" si="53"/>
        <v>SFA</v>
      </c>
      <c r="AY90" s="22">
        <v>44984</v>
      </c>
      <c r="AZ90" s="22"/>
      <c r="BA90" s="1" t="s">
        <v>148</v>
      </c>
      <c r="BB90" s="22" t="str">
        <f t="shared" si="52"/>
        <v>MARINE CARGO / GIT</v>
      </c>
      <c r="BC90" s="1"/>
      <c r="BD90" s="1"/>
      <c r="BE90" s="1"/>
    </row>
    <row r="91" spans="1:57" ht="14.25" hidden="1" customHeight="1">
      <c r="A91" s="2" t="s">
        <v>157</v>
      </c>
      <c r="B91" s="1" t="s">
        <v>58</v>
      </c>
      <c r="C91" s="27">
        <v>44964</v>
      </c>
      <c r="D91" s="27">
        <v>44966</v>
      </c>
      <c r="E91" s="27">
        <v>44965</v>
      </c>
      <c r="F91" s="27">
        <v>44979</v>
      </c>
      <c r="G91" s="13" t="str">
        <f t="shared" si="43"/>
        <v>000-090/AIB RDC/2023</v>
      </c>
      <c r="H91" s="1">
        <v>3</v>
      </c>
      <c r="I91" s="1" t="s">
        <v>189</v>
      </c>
      <c r="J91" s="29" t="s">
        <v>190</v>
      </c>
      <c r="K91" s="2" t="s">
        <v>191</v>
      </c>
      <c r="L91" s="1"/>
      <c r="M91" s="1" t="s">
        <v>99</v>
      </c>
      <c r="N91" s="1" t="s">
        <v>100</v>
      </c>
      <c r="O91" s="1" t="s">
        <v>133</v>
      </c>
      <c r="P91" s="1" t="s">
        <v>134</v>
      </c>
      <c r="Q91" s="1" t="s">
        <v>66</v>
      </c>
      <c r="R91" s="1" t="s">
        <v>66</v>
      </c>
      <c r="S91" s="25">
        <v>149952</v>
      </c>
      <c r="T91" s="25">
        <v>950.55</v>
      </c>
      <c r="U91" s="16">
        <v>0</v>
      </c>
      <c r="V91" s="16">
        <v>0</v>
      </c>
      <c r="W91" s="25">
        <v>11.88</v>
      </c>
      <c r="X91" s="25">
        <v>793.68</v>
      </c>
      <c r="Y91" s="25">
        <v>128.88</v>
      </c>
      <c r="Z91" s="17">
        <f t="shared" si="44"/>
        <v>5.2928937259923174E-3</v>
      </c>
      <c r="AA91" s="18">
        <v>0.15</v>
      </c>
      <c r="AB91" s="16">
        <f t="shared" si="41"/>
        <v>119.05199999999999</v>
      </c>
      <c r="AC91" s="16">
        <v>0</v>
      </c>
      <c r="AD91" s="16">
        <v>0</v>
      </c>
      <c r="AE91" s="16">
        <v>0</v>
      </c>
      <c r="AF91" s="16">
        <f t="shared" si="45"/>
        <v>119.05199999999999</v>
      </c>
      <c r="AG91" s="16">
        <f t="shared" si="37"/>
        <v>19.04832</v>
      </c>
      <c r="AH91" s="16">
        <f t="shared" si="46"/>
        <v>138.10031999999998</v>
      </c>
      <c r="AI91" s="16">
        <f t="shared" si="38"/>
        <v>2.38104</v>
      </c>
      <c r="AJ91" s="16">
        <v>0</v>
      </c>
      <c r="AK91" s="16">
        <f t="shared" si="47"/>
        <v>2.38104</v>
      </c>
      <c r="AL91" s="19"/>
      <c r="AM91" s="16">
        <f t="shared" si="48"/>
        <v>116.67095999999999</v>
      </c>
      <c r="AN91" s="16"/>
      <c r="AO91" s="20"/>
      <c r="AP91" s="16">
        <f t="shared" si="49"/>
        <v>0</v>
      </c>
      <c r="AQ91" s="16"/>
      <c r="AR91" s="15"/>
      <c r="AS91" s="16">
        <f t="shared" si="50"/>
        <v>0</v>
      </c>
      <c r="AT91" s="16"/>
      <c r="AU91" s="16">
        <v>138.10031999999998</v>
      </c>
      <c r="AV91" s="16">
        <f t="shared" si="54"/>
        <v>138.10031999999998</v>
      </c>
      <c r="AW91" s="16">
        <f t="shared" si="51"/>
        <v>0</v>
      </c>
      <c r="AX91" s="16" t="str">
        <f t="shared" si="53"/>
        <v>SFA</v>
      </c>
      <c r="AY91" s="22">
        <v>45005</v>
      </c>
      <c r="AZ91" s="22"/>
      <c r="BA91" s="1" t="s">
        <v>235</v>
      </c>
      <c r="BB91" s="22" t="str">
        <f t="shared" si="52"/>
        <v>COMP MOTOR</v>
      </c>
      <c r="BC91" s="1"/>
      <c r="BD91" s="1"/>
      <c r="BE91" s="1"/>
    </row>
    <row r="92" spans="1:57" ht="14.25" hidden="1" customHeight="1">
      <c r="A92" s="2" t="s">
        <v>157</v>
      </c>
      <c r="B92" s="1" t="s">
        <v>58</v>
      </c>
      <c r="C92" s="27">
        <v>44964</v>
      </c>
      <c r="D92" s="27">
        <v>44978</v>
      </c>
      <c r="E92" s="27">
        <v>44978</v>
      </c>
      <c r="F92" s="27">
        <v>45342</v>
      </c>
      <c r="G92" s="13" t="str">
        <f t="shared" si="43"/>
        <v>000-091/AIB RDC/2023</v>
      </c>
      <c r="H92" s="1">
        <v>3</v>
      </c>
      <c r="I92" s="1" t="s">
        <v>68</v>
      </c>
      <c r="J92" s="29" t="s">
        <v>273</v>
      </c>
      <c r="K92" s="2" t="s">
        <v>150</v>
      </c>
      <c r="L92" s="24" t="s">
        <v>151</v>
      </c>
      <c r="M92" s="1" t="s">
        <v>99</v>
      </c>
      <c r="N92" s="1" t="s">
        <v>100</v>
      </c>
      <c r="O92" s="1" t="s">
        <v>133</v>
      </c>
      <c r="P92" s="1" t="s">
        <v>134</v>
      </c>
      <c r="Q92" s="1" t="s">
        <v>76</v>
      </c>
      <c r="R92" s="1" t="s">
        <v>76</v>
      </c>
      <c r="S92" s="25">
        <v>0</v>
      </c>
      <c r="T92" s="25">
        <v>38854.199999999997</v>
      </c>
      <c r="U92" s="25">
        <v>0</v>
      </c>
      <c r="V92" s="25">
        <v>0</v>
      </c>
      <c r="W92" s="25">
        <v>331.63</v>
      </c>
      <c r="X92" s="25">
        <v>33163.370000000003</v>
      </c>
      <c r="Y92" s="25">
        <v>5359.2</v>
      </c>
      <c r="Z92" s="17" t="e">
        <f t="shared" si="44"/>
        <v>#DIV/0!</v>
      </c>
      <c r="AA92" s="18">
        <v>0.13572323922448201</v>
      </c>
      <c r="AB92" s="16">
        <f t="shared" si="41"/>
        <v>4501.04000000001</v>
      </c>
      <c r="AC92" s="16">
        <v>0</v>
      </c>
      <c r="AD92" s="16">
        <v>0</v>
      </c>
      <c r="AE92" s="16">
        <v>0</v>
      </c>
      <c r="AF92" s="16">
        <f t="shared" si="45"/>
        <v>4501.04000000001</v>
      </c>
      <c r="AG92" s="16">
        <f t="shared" si="37"/>
        <v>720.16640000000166</v>
      </c>
      <c r="AH92" s="16">
        <f t="shared" si="46"/>
        <v>5221.2064000000119</v>
      </c>
      <c r="AI92" s="16">
        <f t="shared" si="38"/>
        <v>90.020800000000207</v>
      </c>
      <c r="AJ92" s="16">
        <v>0</v>
      </c>
      <c r="AK92" s="16">
        <f t="shared" si="47"/>
        <v>90.020800000000207</v>
      </c>
      <c r="AL92" s="19"/>
      <c r="AM92" s="16">
        <f t="shared" si="48"/>
        <v>4411.0192000000097</v>
      </c>
      <c r="AN92" s="16"/>
      <c r="AO92" s="20"/>
      <c r="AP92" s="16">
        <f t="shared" si="49"/>
        <v>0</v>
      </c>
      <c r="AQ92" s="16"/>
      <c r="AR92" s="15"/>
      <c r="AS92" s="16">
        <f t="shared" si="50"/>
        <v>0</v>
      </c>
      <c r="AT92" s="16"/>
      <c r="AU92" s="16">
        <v>5221.2064000000119</v>
      </c>
      <c r="AV92" s="16">
        <f t="shared" si="54"/>
        <v>5221.2064000000119</v>
      </c>
      <c r="AW92" s="16">
        <f t="shared" si="51"/>
        <v>0</v>
      </c>
      <c r="AX92" s="16" t="str">
        <f t="shared" si="53"/>
        <v>ACTIVA</v>
      </c>
      <c r="AY92" s="22">
        <v>45035</v>
      </c>
      <c r="AZ92" s="22"/>
      <c r="BA92" s="1"/>
      <c r="BB92" s="22" t="str">
        <f t="shared" si="52"/>
        <v>COMP MOTOR</v>
      </c>
      <c r="BC92" s="1"/>
      <c r="BD92" s="1"/>
      <c r="BE92" s="1"/>
    </row>
    <row r="93" spans="1:57" ht="14.25" customHeight="1">
      <c r="A93" s="2" t="s">
        <v>784</v>
      </c>
      <c r="B93" s="1" t="s">
        <v>169</v>
      </c>
      <c r="C93" s="27">
        <v>45190</v>
      </c>
      <c r="D93" s="27">
        <v>45190</v>
      </c>
      <c r="E93" s="27">
        <v>45175</v>
      </c>
      <c r="F93" s="27">
        <v>45017</v>
      </c>
      <c r="G93" s="13" t="str">
        <f t="shared" si="43"/>
        <v>000-092/AIB RDC/2023</v>
      </c>
      <c r="H93" s="1">
        <v>1</v>
      </c>
      <c r="I93" s="1" t="s">
        <v>59</v>
      </c>
      <c r="J93" s="2" t="s">
        <v>408</v>
      </c>
      <c r="K93" s="2" t="s">
        <v>1022</v>
      </c>
      <c r="L93" s="1"/>
      <c r="M93" s="1" t="s">
        <v>99</v>
      </c>
      <c r="N93" s="1" t="s">
        <v>1021</v>
      </c>
      <c r="O93" s="1" t="s">
        <v>65</v>
      </c>
      <c r="P93" s="1" t="s">
        <v>65</v>
      </c>
      <c r="Q93" s="1" t="s">
        <v>66</v>
      </c>
      <c r="R93" s="1" t="s">
        <v>66</v>
      </c>
      <c r="S93" s="25">
        <v>0</v>
      </c>
      <c r="T93" s="25">
        <v>158.08000000000001</v>
      </c>
      <c r="U93" s="25">
        <v>0</v>
      </c>
      <c r="V93" s="25">
        <v>0</v>
      </c>
      <c r="W93" s="25">
        <v>7.32</v>
      </c>
      <c r="X93" s="25">
        <v>150.76</v>
      </c>
      <c r="Y93" s="25">
        <v>0</v>
      </c>
      <c r="Z93" s="17" t="e">
        <f t="shared" si="44"/>
        <v>#DIV/0!</v>
      </c>
      <c r="AA93" s="18">
        <v>0.125</v>
      </c>
      <c r="AB93" s="16">
        <f t="shared" ref="AB93:AB124" si="55">AA93*X93</f>
        <v>18.844999999999999</v>
      </c>
      <c r="AC93" s="16">
        <v>0</v>
      </c>
      <c r="AD93" s="16">
        <v>0</v>
      </c>
      <c r="AE93" s="16">
        <v>0</v>
      </c>
      <c r="AF93" s="16">
        <f t="shared" si="45"/>
        <v>18.844999999999999</v>
      </c>
      <c r="AG93" s="16">
        <f t="shared" si="37"/>
        <v>3.0152000000000001</v>
      </c>
      <c r="AH93" s="16">
        <f t="shared" si="46"/>
        <v>21.860199999999999</v>
      </c>
      <c r="AI93" s="16">
        <f t="shared" si="38"/>
        <v>0.37690000000000001</v>
      </c>
      <c r="AJ93" s="16">
        <v>0</v>
      </c>
      <c r="AK93" s="16">
        <f t="shared" si="47"/>
        <v>0.37690000000000001</v>
      </c>
      <c r="AL93" s="19"/>
      <c r="AM93" s="16">
        <f t="shared" si="48"/>
        <v>18.4681</v>
      </c>
      <c r="AN93" s="16"/>
      <c r="AO93" s="20"/>
      <c r="AP93" s="16">
        <f t="shared" si="49"/>
        <v>0</v>
      </c>
      <c r="AQ93" s="16"/>
      <c r="AR93" s="15"/>
      <c r="AS93" s="16">
        <f t="shared" si="50"/>
        <v>0</v>
      </c>
      <c r="AT93" s="16"/>
      <c r="AU93" s="16"/>
      <c r="AV93" s="16">
        <f t="shared" si="54"/>
        <v>21.860199999999999</v>
      </c>
      <c r="AW93" s="60">
        <f t="shared" si="51"/>
        <v>21.860199999999999</v>
      </c>
      <c r="AX93" s="16" t="str">
        <f t="shared" si="53"/>
        <v>SFA</v>
      </c>
      <c r="AY93" s="22"/>
      <c r="BA93" s="1"/>
      <c r="BB93" s="22"/>
      <c r="BC93" s="1"/>
      <c r="BD93" s="1"/>
      <c r="BE93" s="1"/>
    </row>
    <row r="94" spans="1:57" ht="14.25" hidden="1" customHeight="1">
      <c r="A94" s="2" t="s">
        <v>157</v>
      </c>
      <c r="B94" s="1" t="s">
        <v>58</v>
      </c>
      <c r="C94" s="27">
        <v>44970</v>
      </c>
      <c r="D94" s="27">
        <v>44974</v>
      </c>
      <c r="E94" s="27">
        <v>44971</v>
      </c>
      <c r="F94" s="27">
        <v>45335</v>
      </c>
      <c r="G94" s="13" t="str">
        <f t="shared" si="43"/>
        <v>000-093/AIB RDC/2023</v>
      </c>
      <c r="H94" s="1">
        <v>0</v>
      </c>
      <c r="I94" s="1" t="s">
        <v>83</v>
      </c>
      <c r="J94" s="29" t="s">
        <v>277</v>
      </c>
      <c r="K94" s="2" t="s">
        <v>278</v>
      </c>
      <c r="L94" s="1"/>
      <c r="M94" s="1" t="s">
        <v>99</v>
      </c>
      <c r="N94" s="1" t="s">
        <v>267</v>
      </c>
      <c r="O94" s="1" t="s">
        <v>111</v>
      </c>
      <c r="P94" s="1" t="s">
        <v>112</v>
      </c>
      <c r="Q94" s="1" t="s">
        <v>127</v>
      </c>
      <c r="R94" s="1" t="s">
        <v>127</v>
      </c>
      <c r="S94" s="25">
        <v>1000000</v>
      </c>
      <c r="T94" s="25">
        <v>5470.48</v>
      </c>
      <c r="U94" s="25">
        <v>0</v>
      </c>
      <c r="V94" s="25">
        <v>0</v>
      </c>
      <c r="W94" s="25">
        <v>50</v>
      </c>
      <c r="X94" s="25">
        <v>4586</v>
      </c>
      <c r="Y94" s="25">
        <v>741.76</v>
      </c>
      <c r="Z94" s="17">
        <f t="shared" si="44"/>
        <v>4.5859999999999998E-3</v>
      </c>
      <c r="AA94" s="18">
        <v>0.15</v>
      </c>
      <c r="AB94" s="16">
        <f t="shared" si="55"/>
        <v>687.9</v>
      </c>
      <c r="AC94" s="16">
        <v>0</v>
      </c>
      <c r="AD94" s="16">
        <v>1439.4</v>
      </c>
      <c r="AE94" s="16">
        <v>0</v>
      </c>
      <c r="AF94" s="16">
        <f t="shared" si="45"/>
        <v>2127.3000000000002</v>
      </c>
      <c r="AG94" s="16">
        <f t="shared" si="37"/>
        <v>340.36800000000005</v>
      </c>
      <c r="AH94" s="16">
        <f t="shared" si="46"/>
        <v>2467.6680000000001</v>
      </c>
      <c r="AI94" s="16">
        <f t="shared" si="38"/>
        <v>42.546000000000006</v>
      </c>
      <c r="AJ94" s="16">
        <v>0</v>
      </c>
      <c r="AK94" s="16">
        <f t="shared" si="47"/>
        <v>42.546000000000006</v>
      </c>
      <c r="AL94" s="19"/>
      <c r="AM94" s="16">
        <f t="shared" si="48"/>
        <v>2084.7540000000004</v>
      </c>
      <c r="AN94" s="16"/>
      <c r="AO94" s="20"/>
      <c r="AP94" s="16">
        <f t="shared" si="49"/>
        <v>0</v>
      </c>
      <c r="AQ94" s="16"/>
      <c r="AR94" s="15"/>
      <c r="AS94" s="16">
        <f t="shared" si="50"/>
        <v>0</v>
      </c>
      <c r="AT94" s="16"/>
      <c r="AU94" s="16">
        <v>2467.6680000000001</v>
      </c>
      <c r="AV94" s="16">
        <f t="shared" si="54"/>
        <v>2467.6680000000001</v>
      </c>
      <c r="AW94" s="16">
        <f t="shared" si="51"/>
        <v>0</v>
      </c>
      <c r="AX94" s="16" t="str">
        <f t="shared" si="53"/>
        <v>MAYFAIR</v>
      </c>
      <c r="AY94" s="22">
        <v>45034</v>
      </c>
      <c r="AZ94" s="22"/>
      <c r="BA94" s="1"/>
      <c r="BB94" s="22" t="str">
        <f t="shared" ref="BB94:BB102" si="56">O94</f>
        <v>GENERAL LIABILITY</v>
      </c>
      <c r="BC94" s="1"/>
      <c r="BD94" s="1"/>
      <c r="BE94" s="1"/>
    </row>
    <row r="95" spans="1:57" ht="14.25" customHeight="1">
      <c r="A95" s="2" t="s">
        <v>871</v>
      </c>
      <c r="B95" s="1" t="s">
        <v>169</v>
      </c>
      <c r="C95" s="27">
        <v>45160</v>
      </c>
      <c r="D95" s="27">
        <v>45153</v>
      </c>
      <c r="E95" s="27">
        <v>45147</v>
      </c>
      <c r="F95" s="27">
        <v>45960</v>
      </c>
      <c r="G95" s="13" t="str">
        <f t="shared" si="43"/>
        <v>000-094/AIB RDC/2023</v>
      </c>
      <c r="H95" s="1">
        <v>0</v>
      </c>
      <c r="I95" s="1" t="s">
        <v>83</v>
      </c>
      <c r="J95" s="2" t="s">
        <v>1012</v>
      </c>
      <c r="K95" s="2" t="s">
        <v>1013</v>
      </c>
      <c r="L95" s="1"/>
      <c r="M95" s="1" t="s">
        <v>74</v>
      </c>
      <c r="N95" s="1" t="s">
        <v>724</v>
      </c>
      <c r="O95" s="1" t="s">
        <v>89</v>
      </c>
      <c r="P95" s="1" t="s">
        <v>89</v>
      </c>
      <c r="Q95" s="1" t="s">
        <v>1014</v>
      </c>
      <c r="R95" s="1" t="s">
        <v>1014</v>
      </c>
      <c r="S95" s="25">
        <v>14292</v>
      </c>
      <c r="T95" s="25">
        <v>95.83</v>
      </c>
      <c r="U95" s="25">
        <v>0</v>
      </c>
      <c r="V95" s="25">
        <v>0</v>
      </c>
      <c r="W95" s="25">
        <v>5</v>
      </c>
      <c r="X95" s="25">
        <v>90.83</v>
      </c>
      <c r="Y95" s="25">
        <v>0</v>
      </c>
      <c r="Z95" s="17">
        <f t="shared" si="44"/>
        <v>6.35530366638679E-3</v>
      </c>
      <c r="AA95" s="18">
        <v>0.3</v>
      </c>
      <c r="AB95" s="16">
        <f t="shared" si="55"/>
        <v>27.248999999999999</v>
      </c>
      <c r="AC95" s="16">
        <v>0</v>
      </c>
      <c r="AD95" s="16">
        <v>0</v>
      </c>
      <c r="AE95" s="16">
        <v>0</v>
      </c>
      <c r="AF95" s="16">
        <f t="shared" si="45"/>
        <v>27.248999999999999</v>
      </c>
      <c r="AG95" s="16">
        <v>0</v>
      </c>
      <c r="AH95" s="16">
        <f t="shared" si="46"/>
        <v>27.248999999999999</v>
      </c>
      <c r="AI95" s="16">
        <f>1%*(AB95+AC95+AD95)</f>
        <v>0.27249000000000001</v>
      </c>
      <c r="AJ95" s="16">
        <v>0</v>
      </c>
      <c r="AK95" s="16">
        <f t="shared" si="47"/>
        <v>0.27249000000000001</v>
      </c>
      <c r="AL95" s="19"/>
      <c r="AM95" s="16">
        <f t="shared" si="48"/>
        <v>26.976509999999998</v>
      </c>
      <c r="AN95" s="16"/>
      <c r="AO95" s="20"/>
      <c r="AP95" s="16">
        <f t="shared" si="49"/>
        <v>0</v>
      </c>
      <c r="AQ95" s="16"/>
      <c r="AR95" s="15"/>
      <c r="AS95" s="16">
        <f t="shared" si="50"/>
        <v>0</v>
      </c>
      <c r="AT95" s="16"/>
      <c r="AU95" s="16"/>
      <c r="AV95" s="16">
        <f t="shared" si="54"/>
        <v>27.248999999999999</v>
      </c>
      <c r="AW95" s="60">
        <f t="shared" si="51"/>
        <v>27.248999999999999</v>
      </c>
      <c r="AX95" s="16" t="str">
        <f t="shared" si="53"/>
        <v>AFRISSUR</v>
      </c>
      <c r="AY95" s="22"/>
      <c r="BA95" s="1"/>
      <c r="BB95" s="22" t="str">
        <f t="shared" si="56"/>
        <v>LIFE</v>
      </c>
      <c r="BC95" s="1"/>
      <c r="BD95" s="1"/>
      <c r="BE95" s="1"/>
    </row>
    <row r="96" spans="1:57" ht="14.25" hidden="1" customHeight="1">
      <c r="A96" s="2" t="s">
        <v>57</v>
      </c>
      <c r="B96" s="1" t="s">
        <v>58</v>
      </c>
      <c r="C96" s="27">
        <v>44945</v>
      </c>
      <c r="D96" s="27">
        <v>44974</v>
      </c>
      <c r="E96" s="27">
        <v>44948</v>
      </c>
      <c r="F96" s="27">
        <v>45312</v>
      </c>
      <c r="G96" s="13" t="str">
        <f t="shared" si="43"/>
        <v>000-095/AIB RDC/2023</v>
      </c>
      <c r="H96" s="1">
        <v>1</v>
      </c>
      <c r="I96" s="1" t="s">
        <v>68</v>
      </c>
      <c r="J96" s="29" t="s">
        <v>282</v>
      </c>
      <c r="K96" s="2" t="s">
        <v>283</v>
      </c>
      <c r="L96" s="1"/>
      <c r="M96" s="1" t="s">
        <v>99</v>
      </c>
      <c r="N96" s="1" t="s">
        <v>100</v>
      </c>
      <c r="O96" s="1" t="s">
        <v>284</v>
      </c>
      <c r="P96" s="1" t="s">
        <v>285</v>
      </c>
      <c r="Q96" s="1" t="s">
        <v>66</v>
      </c>
      <c r="R96" s="1" t="s">
        <v>66</v>
      </c>
      <c r="S96" s="25">
        <v>650000</v>
      </c>
      <c r="T96" s="25">
        <v>3501.2</v>
      </c>
      <c r="U96" s="25">
        <v>344.12</v>
      </c>
      <c r="V96" s="25">
        <v>0</v>
      </c>
      <c r="W96" s="25">
        <v>23</v>
      </c>
      <c r="X96" s="25">
        <v>2600</v>
      </c>
      <c r="Y96" s="25">
        <v>474.74</v>
      </c>
      <c r="Z96" s="17">
        <f t="shared" si="44"/>
        <v>4.0000000000000001E-3</v>
      </c>
      <c r="AA96" s="18">
        <v>0.15</v>
      </c>
      <c r="AB96" s="16">
        <f t="shared" si="55"/>
        <v>390</v>
      </c>
      <c r="AC96" s="16">
        <v>0</v>
      </c>
      <c r="AD96" s="16">
        <v>0</v>
      </c>
      <c r="AE96" s="16">
        <v>0</v>
      </c>
      <c r="AF96" s="16">
        <f t="shared" si="45"/>
        <v>390</v>
      </c>
      <c r="AG96" s="16">
        <f t="shared" ref="AG96:AG101" si="57">16%*AF96</f>
        <v>62.4</v>
      </c>
      <c r="AH96" s="16">
        <f t="shared" si="46"/>
        <v>452.4</v>
      </c>
      <c r="AI96" s="16">
        <f t="shared" ref="AI96:AI101" si="58">2%*(AB96+AC96+AD96)</f>
        <v>7.8</v>
      </c>
      <c r="AJ96" s="16">
        <v>0</v>
      </c>
      <c r="AK96" s="16">
        <f t="shared" si="47"/>
        <v>7.8</v>
      </c>
      <c r="AL96" s="19"/>
      <c r="AM96" s="16">
        <f t="shared" si="48"/>
        <v>382.2</v>
      </c>
      <c r="AN96" s="16"/>
      <c r="AO96" s="20"/>
      <c r="AP96" s="16">
        <f t="shared" si="49"/>
        <v>0</v>
      </c>
      <c r="AQ96" s="16"/>
      <c r="AR96" s="15"/>
      <c r="AS96" s="16">
        <f t="shared" si="50"/>
        <v>0</v>
      </c>
      <c r="AT96" s="16"/>
      <c r="AU96" s="16">
        <v>452.4</v>
      </c>
      <c r="AV96" s="16">
        <f t="shared" si="54"/>
        <v>452.4</v>
      </c>
      <c r="AW96" s="16">
        <f t="shared" si="51"/>
        <v>0</v>
      </c>
      <c r="AX96" s="16" t="str">
        <f t="shared" si="53"/>
        <v>SFA</v>
      </c>
      <c r="AY96" s="22">
        <v>45005</v>
      </c>
      <c r="AZ96" s="22"/>
      <c r="BA96" s="1"/>
      <c r="BB96" s="22" t="str">
        <f t="shared" si="56"/>
        <v>PVT</v>
      </c>
      <c r="BC96" s="1"/>
      <c r="BD96" s="1"/>
      <c r="BE96" s="1"/>
    </row>
    <row r="97" spans="1:57" ht="14.25" hidden="1" customHeight="1">
      <c r="A97" s="2" t="s">
        <v>57</v>
      </c>
      <c r="B97" s="1" t="s">
        <v>58</v>
      </c>
      <c r="C97" s="27">
        <v>44949</v>
      </c>
      <c r="D97" s="27">
        <v>44974</v>
      </c>
      <c r="E97" s="27">
        <v>44949</v>
      </c>
      <c r="F97" s="27">
        <v>45313</v>
      </c>
      <c r="G97" s="13" t="str">
        <f t="shared" si="43"/>
        <v>000-096/AIB RDC/2023</v>
      </c>
      <c r="H97" s="1">
        <v>1</v>
      </c>
      <c r="I97" s="1" t="s">
        <v>68</v>
      </c>
      <c r="J97" s="29" t="s">
        <v>286</v>
      </c>
      <c r="K97" s="2" t="s">
        <v>283</v>
      </c>
      <c r="L97" s="1"/>
      <c r="M97" s="1" t="s">
        <v>99</v>
      </c>
      <c r="N97" s="1" t="s">
        <v>100</v>
      </c>
      <c r="O97" s="1" t="s">
        <v>107</v>
      </c>
      <c r="P97" s="1" t="s">
        <v>108</v>
      </c>
      <c r="Q97" s="1" t="s">
        <v>66</v>
      </c>
      <c r="R97" s="1" t="s">
        <v>66</v>
      </c>
      <c r="S97" s="25">
        <v>879000</v>
      </c>
      <c r="T97" s="25">
        <v>1912.31</v>
      </c>
      <c r="U97" s="25">
        <v>0</v>
      </c>
      <c r="V97" s="25">
        <v>0</v>
      </c>
      <c r="W97" s="25">
        <v>20</v>
      </c>
      <c r="X97" s="25">
        <v>1600.6</v>
      </c>
      <c r="Y97" s="25">
        <v>259.3</v>
      </c>
      <c r="Z97" s="17">
        <f t="shared" si="44"/>
        <v>1.820932878270762E-3</v>
      </c>
      <c r="AA97" s="18">
        <v>0.1</v>
      </c>
      <c r="AB97" s="16">
        <f t="shared" si="55"/>
        <v>160.06</v>
      </c>
      <c r="AC97" s="16">
        <v>0</v>
      </c>
      <c r="AD97" s="16">
        <v>0</v>
      </c>
      <c r="AE97" s="16">
        <v>0</v>
      </c>
      <c r="AF97" s="16">
        <f t="shared" si="45"/>
        <v>160.06</v>
      </c>
      <c r="AG97" s="16">
        <f t="shared" si="57"/>
        <v>25.6096</v>
      </c>
      <c r="AH97" s="16">
        <f t="shared" si="46"/>
        <v>185.6696</v>
      </c>
      <c r="AI97" s="16">
        <f t="shared" si="58"/>
        <v>3.2012</v>
      </c>
      <c r="AJ97" s="16">
        <v>0</v>
      </c>
      <c r="AK97" s="16">
        <f t="shared" si="47"/>
        <v>3.2012</v>
      </c>
      <c r="AL97" s="19"/>
      <c r="AM97" s="16">
        <f t="shared" si="48"/>
        <v>156.8588</v>
      </c>
      <c r="AN97" s="16"/>
      <c r="AO97" s="20"/>
      <c r="AP97" s="16">
        <f t="shared" si="49"/>
        <v>0</v>
      </c>
      <c r="AQ97" s="16"/>
      <c r="AR97" s="15"/>
      <c r="AS97" s="16">
        <f t="shared" si="50"/>
        <v>0</v>
      </c>
      <c r="AT97" s="16"/>
      <c r="AU97" s="16">
        <v>185.6696</v>
      </c>
      <c r="AV97" s="16">
        <f t="shared" si="54"/>
        <v>185.6696</v>
      </c>
      <c r="AW97" s="16">
        <f t="shared" si="51"/>
        <v>0</v>
      </c>
      <c r="AX97" s="16" t="str">
        <f t="shared" si="53"/>
        <v>SFA</v>
      </c>
      <c r="AY97" s="22">
        <v>45005</v>
      </c>
      <c r="AZ97" s="22"/>
      <c r="BA97" s="1"/>
      <c r="BB97" s="22" t="str">
        <f t="shared" si="56"/>
        <v>FIRE</v>
      </c>
      <c r="BC97" s="1"/>
      <c r="BD97" s="1"/>
      <c r="BE97" s="1"/>
    </row>
    <row r="98" spans="1:57" ht="14.25" hidden="1" customHeight="1">
      <c r="A98" s="2" t="s">
        <v>157</v>
      </c>
      <c r="B98" s="1" t="s">
        <v>58</v>
      </c>
      <c r="C98" s="27">
        <v>44949</v>
      </c>
      <c r="D98" s="27">
        <v>44974</v>
      </c>
      <c r="E98" s="27">
        <v>44974</v>
      </c>
      <c r="F98" s="27">
        <v>45338</v>
      </c>
      <c r="G98" s="13" t="str">
        <f t="shared" si="43"/>
        <v>000-097/AIB RDC/2023</v>
      </c>
      <c r="H98" s="1">
        <v>1</v>
      </c>
      <c r="I98" s="1" t="s">
        <v>68</v>
      </c>
      <c r="J98" s="29" t="s">
        <v>287</v>
      </c>
      <c r="K98" s="2" t="s">
        <v>283</v>
      </c>
      <c r="L98" s="1"/>
      <c r="M98" s="1" t="s">
        <v>99</v>
      </c>
      <c r="N98" s="1" t="s">
        <v>100</v>
      </c>
      <c r="O98" s="1" t="s">
        <v>104</v>
      </c>
      <c r="P98" s="1" t="s">
        <v>105</v>
      </c>
      <c r="Q98" s="1" t="s">
        <v>66</v>
      </c>
      <c r="R98" s="1" t="s">
        <v>66</v>
      </c>
      <c r="S98" s="25">
        <v>500000</v>
      </c>
      <c r="T98" s="25">
        <v>2179.09</v>
      </c>
      <c r="U98" s="25">
        <v>0</v>
      </c>
      <c r="V98" s="25">
        <v>0</v>
      </c>
      <c r="W98" s="25">
        <v>9.19</v>
      </c>
      <c r="X98" s="25">
        <v>1837.5</v>
      </c>
      <c r="Y98" s="25">
        <v>295.47000000000003</v>
      </c>
      <c r="Z98" s="17">
        <f t="shared" si="44"/>
        <v>3.6749999999999999E-3</v>
      </c>
      <c r="AA98" s="18">
        <v>0.15</v>
      </c>
      <c r="AB98" s="16">
        <f t="shared" si="55"/>
        <v>275.625</v>
      </c>
      <c r="AC98" s="16">
        <v>0</v>
      </c>
      <c r="AD98" s="16">
        <v>0</v>
      </c>
      <c r="AE98" s="16">
        <v>0</v>
      </c>
      <c r="AF98" s="16">
        <f t="shared" si="45"/>
        <v>275.625</v>
      </c>
      <c r="AG98" s="16">
        <f t="shared" si="57"/>
        <v>44.1</v>
      </c>
      <c r="AH98" s="16">
        <f t="shared" si="46"/>
        <v>319.72500000000002</v>
      </c>
      <c r="AI98" s="16">
        <f t="shared" si="58"/>
        <v>5.5125000000000002</v>
      </c>
      <c r="AJ98" s="16">
        <v>0</v>
      </c>
      <c r="AK98" s="16">
        <f t="shared" si="47"/>
        <v>5.5125000000000002</v>
      </c>
      <c r="AL98" s="19"/>
      <c r="AM98" s="16">
        <f t="shared" si="48"/>
        <v>270.11250000000001</v>
      </c>
      <c r="AN98" s="16"/>
      <c r="AO98" s="20"/>
      <c r="AP98" s="16">
        <f t="shared" si="49"/>
        <v>0</v>
      </c>
      <c r="AQ98" s="16"/>
      <c r="AR98" s="15"/>
      <c r="AS98" s="16">
        <f t="shared" si="50"/>
        <v>0</v>
      </c>
      <c r="AT98" s="16"/>
      <c r="AU98" s="16">
        <v>319.72500000000002</v>
      </c>
      <c r="AV98" s="16">
        <f t="shared" si="54"/>
        <v>319.72500000000002</v>
      </c>
      <c r="AW98" s="16">
        <f t="shared" si="51"/>
        <v>0</v>
      </c>
      <c r="AX98" s="16" t="str">
        <f t="shared" si="53"/>
        <v>SFA</v>
      </c>
      <c r="AY98" s="22">
        <v>45005</v>
      </c>
      <c r="AZ98" s="22"/>
      <c r="BA98" s="1"/>
      <c r="BB98" s="22" t="str">
        <f t="shared" si="56"/>
        <v>MARINE CARGO / GIT</v>
      </c>
      <c r="BC98" s="1"/>
      <c r="BD98" s="1"/>
      <c r="BE98" s="1"/>
    </row>
    <row r="99" spans="1:57" ht="14.25" hidden="1" customHeight="1">
      <c r="A99" s="2" t="s">
        <v>157</v>
      </c>
      <c r="B99" s="1" t="s">
        <v>58</v>
      </c>
      <c r="C99" s="27">
        <v>44974</v>
      </c>
      <c r="D99" s="27">
        <v>44978</v>
      </c>
      <c r="E99" s="27">
        <v>44966</v>
      </c>
      <c r="F99" s="27">
        <v>45195</v>
      </c>
      <c r="G99" s="13" t="str">
        <f t="shared" si="43"/>
        <v>000-098/AIB RDC/2023</v>
      </c>
      <c r="H99" s="1">
        <v>1</v>
      </c>
      <c r="I99" s="1" t="s">
        <v>59</v>
      </c>
      <c r="J99" s="29" t="s">
        <v>288</v>
      </c>
      <c r="K99" s="1" t="s">
        <v>289</v>
      </c>
      <c r="L99" s="1"/>
      <c r="M99" s="1" t="s">
        <v>99</v>
      </c>
      <c r="N99" s="1" t="s">
        <v>100</v>
      </c>
      <c r="O99" s="1" t="s">
        <v>101</v>
      </c>
      <c r="P99" s="1" t="s">
        <v>81</v>
      </c>
      <c r="Q99" s="1" t="s">
        <v>127</v>
      </c>
      <c r="R99" s="1" t="s">
        <v>127</v>
      </c>
      <c r="S99" s="25">
        <v>0</v>
      </c>
      <c r="T99" s="25">
        <v>3042</v>
      </c>
      <c r="U99" s="25">
        <v>0</v>
      </c>
      <c r="V99" s="25">
        <v>0</v>
      </c>
      <c r="W99" s="25">
        <v>50</v>
      </c>
      <c r="X99" s="25">
        <v>2528</v>
      </c>
      <c r="Y99" s="25">
        <v>413</v>
      </c>
      <c r="Z99" s="17" t="e">
        <f t="shared" si="44"/>
        <v>#DIV/0!</v>
      </c>
      <c r="AA99" s="18">
        <v>0.1</v>
      </c>
      <c r="AB99" s="16">
        <f t="shared" si="55"/>
        <v>252.8</v>
      </c>
      <c r="AC99" s="16">
        <v>0</v>
      </c>
      <c r="AD99" s="16">
        <v>0</v>
      </c>
      <c r="AE99" s="16">
        <v>0</v>
      </c>
      <c r="AF99" s="16">
        <f t="shared" si="45"/>
        <v>252.8</v>
      </c>
      <c r="AG99" s="16">
        <f t="shared" si="57"/>
        <v>40.448</v>
      </c>
      <c r="AH99" s="16">
        <f t="shared" si="46"/>
        <v>293.24799999999999</v>
      </c>
      <c r="AI99" s="16">
        <f t="shared" si="58"/>
        <v>5.056</v>
      </c>
      <c r="AJ99" s="16">
        <v>0</v>
      </c>
      <c r="AK99" s="16">
        <f t="shared" si="47"/>
        <v>5.056</v>
      </c>
      <c r="AL99" s="19"/>
      <c r="AM99" s="16">
        <f t="shared" si="48"/>
        <v>247.744</v>
      </c>
      <c r="AN99" s="16"/>
      <c r="AO99" s="20"/>
      <c r="AP99" s="16">
        <f t="shared" si="49"/>
        <v>0</v>
      </c>
      <c r="AQ99" s="16"/>
      <c r="AR99" s="15"/>
      <c r="AS99" s="16">
        <f t="shared" si="50"/>
        <v>0</v>
      </c>
      <c r="AT99" s="16"/>
      <c r="AU99" s="16">
        <v>293.24799999999999</v>
      </c>
      <c r="AV99" s="16">
        <f t="shared" si="54"/>
        <v>293.24799999999999</v>
      </c>
      <c r="AW99" s="16">
        <f t="shared" si="51"/>
        <v>0</v>
      </c>
      <c r="AX99" s="16" t="str">
        <f t="shared" si="53"/>
        <v>MAYFAIR</v>
      </c>
      <c r="AY99" s="22">
        <v>45015</v>
      </c>
      <c r="AZ99" s="22"/>
      <c r="BA99" s="1"/>
      <c r="BB99" s="22" t="str">
        <f t="shared" si="56"/>
        <v>GPA</v>
      </c>
      <c r="BC99" s="1"/>
      <c r="BD99" s="1"/>
      <c r="BE99" s="1"/>
    </row>
    <row r="100" spans="1:57" ht="14.25" hidden="1" customHeight="1">
      <c r="A100" s="2" t="s">
        <v>157</v>
      </c>
      <c r="B100" s="1" t="s">
        <v>58</v>
      </c>
      <c r="C100" s="27">
        <v>44974</v>
      </c>
      <c r="D100" s="27">
        <v>44978</v>
      </c>
      <c r="E100" s="27">
        <v>44966</v>
      </c>
      <c r="F100" s="27">
        <v>45195</v>
      </c>
      <c r="G100" s="13" t="str">
        <f t="shared" si="43"/>
        <v>000-099/AIB RDC/2023</v>
      </c>
      <c r="H100" s="1">
        <v>1</v>
      </c>
      <c r="I100" s="1" t="s">
        <v>59</v>
      </c>
      <c r="J100" s="29" t="s">
        <v>290</v>
      </c>
      <c r="K100" s="1" t="s">
        <v>289</v>
      </c>
      <c r="L100" s="1"/>
      <c r="M100" s="1" t="s">
        <v>99</v>
      </c>
      <c r="N100" s="1" t="s">
        <v>100</v>
      </c>
      <c r="O100" s="1" t="s">
        <v>101</v>
      </c>
      <c r="P100" s="1" t="s">
        <v>81</v>
      </c>
      <c r="Q100" s="1" t="s">
        <v>127</v>
      </c>
      <c r="R100" s="1" t="s">
        <v>127</v>
      </c>
      <c r="S100" s="25">
        <v>0</v>
      </c>
      <c r="T100" s="25">
        <v>3233</v>
      </c>
      <c r="U100" s="25">
        <v>0</v>
      </c>
      <c r="V100" s="25">
        <v>0</v>
      </c>
      <c r="W100" s="25">
        <v>50</v>
      </c>
      <c r="X100" s="25">
        <v>2690</v>
      </c>
      <c r="Y100" s="25">
        <v>438</v>
      </c>
      <c r="Z100" s="17" t="e">
        <f t="shared" si="44"/>
        <v>#DIV/0!</v>
      </c>
      <c r="AA100" s="18">
        <v>0.1</v>
      </c>
      <c r="AB100" s="16">
        <f t="shared" si="55"/>
        <v>269</v>
      </c>
      <c r="AC100" s="16">
        <v>0</v>
      </c>
      <c r="AD100" s="16">
        <v>0</v>
      </c>
      <c r="AE100" s="16">
        <v>0</v>
      </c>
      <c r="AF100" s="16">
        <f t="shared" si="45"/>
        <v>269</v>
      </c>
      <c r="AG100" s="16">
        <f t="shared" si="57"/>
        <v>43.04</v>
      </c>
      <c r="AH100" s="16">
        <f t="shared" si="46"/>
        <v>312.04000000000002</v>
      </c>
      <c r="AI100" s="16">
        <f t="shared" si="58"/>
        <v>5.38</v>
      </c>
      <c r="AJ100" s="16">
        <v>0</v>
      </c>
      <c r="AK100" s="16">
        <f t="shared" si="47"/>
        <v>5.38</v>
      </c>
      <c r="AL100" s="19"/>
      <c r="AM100" s="16">
        <f t="shared" si="48"/>
        <v>263.62</v>
      </c>
      <c r="AN100" s="16"/>
      <c r="AO100" s="20"/>
      <c r="AP100" s="16">
        <f t="shared" si="49"/>
        <v>0</v>
      </c>
      <c r="AQ100" s="16"/>
      <c r="AR100" s="15"/>
      <c r="AS100" s="16">
        <f t="shared" si="50"/>
        <v>0</v>
      </c>
      <c r="AT100" s="16"/>
      <c r="AU100" s="16">
        <v>312.04000000000002</v>
      </c>
      <c r="AV100" s="16">
        <f t="shared" si="54"/>
        <v>312.04000000000002</v>
      </c>
      <c r="AW100" s="16">
        <f t="shared" si="51"/>
        <v>0</v>
      </c>
      <c r="AX100" s="16" t="str">
        <f t="shared" si="53"/>
        <v>MAYFAIR</v>
      </c>
      <c r="AY100" s="22">
        <v>45015</v>
      </c>
      <c r="AZ100" s="22"/>
      <c r="BA100" s="1"/>
      <c r="BB100" s="22" t="str">
        <f t="shared" si="56"/>
        <v>GPA</v>
      </c>
      <c r="BC100" s="1"/>
      <c r="BD100" s="1"/>
      <c r="BE100" s="1"/>
    </row>
    <row r="101" spans="1:57" ht="14.25" hidden="1" customHeight="1">
      <c r="A101" s="2" t="s">
        <v>157</v>
      </c>
      <c r="B101" s="1" t="s">
        <v>58</v>
      </c>
      <c r="C101" s="27">
        <v>44614</v>
      </c>
      <c r="D101" s="27">
        <v>44986</v>
      </c>
      <c r="E101" s="27">
        <v>44979</v>
      </c>
      <c r="F101" s="27">
        <v>44993</v>
      </c>
      <c r="G101" s="13" t="str">
        <f t="shared" si="43"/>
        <v>000-100/AIB RDC/2023</v>
      </c>
      <c r="H101" s="1">
        <v>4</v>
      </c>
      <c r="I101" s="1" t="s">
        <v>189</v>
      </c>
      <c r="J101" s="29" t="s">
        <v>190</v>
      </c>
      <c r="K101" s="2" t="s">
        <v>191</v>
      </c>
      <c r="L101" s="1"/>
      <c r="M101" s="1" t="s">
        <v>99</v>
      </c>
      <c r="N101" s="1" t="s">
        <v>100</v>
      </c>
      <c r="O101" s="1" t="s">
        <v>133</v>
      </c>
      <c r="P101" s="1" t="s">
        <v>134</v>
      </c>
      <c r="Q101" s="1" t="s">
        <v>66</v>
      </c>
      <c r="R101" s="1" t="s">
        <v>66</v>
      </c>
      <c r="S101" s="25">
        <v>149952</v>
      </c>
      <c r="T101" s="25">
        <v>950.55</v>
      </c>
      <c r="U101" s="16">
        <v>0</v>
      </c>
      <c r="V101" s="16">
        <v>0</v>
      </c>
      <c r="W101" s="25">
        <v>11.88</v>
      </c>
      <c r="X101" s="25">
        <v>793.68</v>
      </c>
      <c r="Y101" s="25">
        <v>128.88</v>
      </c>
      <c r="Z101" s="17">
        <f t="shared" si="44"/>
        <v>5.2928937259923174E-3</v>
      </c>
      <c r="AA101" s="18">
        <v>0.15</v>
      </c>
      <c r="AB101" s="16">
        <f t="shared" si="55"/>
        <v>119.05199999999999</v>
      </c>
      <c r="AC101" s="16">
        <v>0</v>
      </c>
      <c r="AD101" s="16">
        <v>0</v>
      </c>
      <c r="AE101" s="16">
        <v>0</v>
      </c>
      <c r="AF101" s="16">
        <f t="shared" si="45"/>
        <v>119.05199999999999</v>
      </c>
      <c r="AG101" s="16">
        <f t="shared" si="57"/>
        <v>19.04832</v>
      </c>
      <c r="AH101" s="16">
        <f t="shared" si="46"/>
        <v>138.10031999999998</v>
      </c>
      <c r="AI101" s="16">
        <f t="shared" si="58"/>
        <v>2.38104</v>
      </c>
      <c r="AJ101" s="16">
        <v>0</v>
      </c>
      <c r="AK101" s="16">
        <f t="shared" si="47"/>
        <v>2.38104</v>
      </c>
      <c r="AL101" s="19"/>
      <c r="AM101" s="16">
        <f t="shared" si="48"/>
        <v>116.67095999999999</v>
      </c>
      <c r="AN101" s="16"/>
      <c r="AO101" s="20"/>
      <c r="AP101" s="16">
        <f t="shared" si="49"/>
        <v>0</v>
      </c>
      <c r="AQ101" s="16"/>
      <c r="AR101" s="15"/>
      <c r="AS101" s="16">
        <f t="shared" si="50"/>
        <v>0</v>
      </c>
      <c r="AT101" s="16"/>
      <c r="AU101" s="16">
        <v>138.10031999999998</v>
      </c>
      <c r="AV101" s="16">
        <f t="shared" si="54"/>
        <v>138.10031999999998</v>
      </c>
      <c r="AW101" s="16">
        <f t="shared" si="51"/>
        <v>0</v>
      </c>
      <c r="AX101" s="16" t="str">
        <f t="shared" si="53"/>
        <v>SFA</v>
      </c>
      <c r="AY101" s="22">
        <v>45005</v>
      </c>
      <c r="AZ101" s="22"/>
      <c r="BA101" s="1" t="s">
        <v>235</v>
      </c>
      <c r="BB101" s="22" t="str">
        <f t="shared" si="56"/>
        <v>COMP MOTOR</v>
      </c>
      <c r="BC101" s="1"/>
      <c r="BD101" s="1"/>
      <c r="BE101" s="1"/>
    </row>
    <row r="102" spans="1:57" ht="14.25" customHeight="1">
      <c r="A102" s="2" t="s">
        <v>871</v>
      </c>
      <c r="B102" s="1" t="s">
        <v>169</v>
      </c>
      <c r="C102" s="27">
        <v>45160</v>
      </c>
      <c r="D102" s="27">
        <v>45153</v>
      </c>
      <c r="E102" s="27">
        <v>45159</v>
      </c>
      <c r="F102" s="27">
        <v>45524</v>
      </c>
      <c r="G102" s="13" t="str">
        <f t="shared" si="43"/>
        <v>000-101/AIB RDC/2023</v>
      </c>
      <c r="H102" s="1">
        <v>0</v>
      </c>
      <c r="I102" s="1" t="s">
        <v>83</v>
      </c>
      <c r="J102" s="2" t="s">
        <v>1015</v>
      </c>
      <c r="K102" s="2" t="s">
        <v>1013</v>
      </c>
      <c r="L102" s="1"/>
      <c r="M102" s="1" t="s">
        <v>74</v>
      </c>
      <c r="N102" s="1" t="s">
        <v>724</v>
      </c>
      <c r="O102" s="1" t="s">
        <v>89</v>
      </c>
      <c r="P102" s="1" t="s">
        <v>89</v>
      </c>
      <c r="Q102" s="1" t="s">
        <v>1014</v>
      </c>
      <c r="R102" s="1" t="s">
        <v>1014</v>
      </c>
      <c r="S102" s="25">
        <v>100000</v>
      </c>
      <c r="T102" s="25">
        <v>341.18</v>
      </c>
      <c r="U102" s="25">
        <v>0</v>
      </c>
      <c r="V102" s="25">
        <v>0</v>
      </c>
      <c r="W102" s="25">
        <v>1</v>
      </c>
      <c r="X102" s="25">
        <v>340.18</v>
      </c>
      <c r="Y102" s="25">
        <v>0</v>
      </c>
      <c r="Z102" s="17">
        <f t="shared" si="44"/>
        <v>3.4018E-3</v>
      </c>
      <c r="AA102" s="18">
        <v>0.3</v>
      </c>
      <c r="AB102" s="16">
        <f t="shared" si="55"/>
        <v>102.054</v>
      </c>
      <c r="AC102" s="16">
        <v>0</v>
      </c>
      <c r="AD102" s="16">
        <v>0</v>
      </c>
      <c r="AE102" s="16">
        <v>0</v>
      </c>
      <c r="AF102" s="16">
        <f t="shared" si="45"/>
        <v>102.054</v>
      </c>
      <c r="AG102" s="16">
        <v>0</v>
      </c>
      <c r="AH102" s="16">
        <f t="shared" si="46"/>
        <v>102.054</v>
      </c>
      <c r="AI102" s="16">
        <f>1%*(AB102+AC102+AD102)</f>
        <v>1.02054</v>
      </c>
      <c r="AJ102" s="16">
        <v>0</v>
      </c>
      <c r="AK102" s="16">
        <f t="shared" si="47"/>
        <v>1.02054</v>
      </c>
      <c r="AL102" s="19"/>
      <c r="AM102" s="16">
        <f t="shared" si="48"/>
        <v>101.03346000000001</v>
      </c>
      <c r="AN102" s="16"/>
      <c r="AO102" s="20"/>
      <c r="AP102" s="16">
        <f t="shared" si="49"/>
        <v>0</v>
      </c>
      <c r="AQ102" s="16"/>
      <c r="AR102" s="15"/>
      <c r="AS102" s="16">
        <f t="shared" si="50"/>
        <v>0</v>
      </c>
      <c r="AT102" s="16"/>
      <c r="AU102" s="16"/>
      <c r="AV102" s="16">
        <f t="shared" si="54"/>
        <v>102.054</v>
      </c>
      <c r="AW102" s="60">
        <f t="shared" si="51"/>
        <v>102.054</v>
      </c>
      <c r="AX102" s="16" t="str">
        <f t="shared" si="53"/>
        <v>AFRISSUR</v>
      </c>
      <c r="AY102" s="22"/>
      <c r="BA102" s="1"/>
      <c r="BB102" s="22" t="str">
        <f t="shared" si="56"/>
        <v>LIFE</v>
      </c>
      <c r="BC102" s="1"/>
      <c r="BD102" s="1"/>
      <c r="BE102" s="1"/>
    </row>
    <row r="103" spans="1:57" ht="14.25" customHeight="1">
      <c r="A103" s="2" t="s">
        <v>784</v>
      </c>
      <c r="B103" s="1" t="s">
        <v>169</v>
      </c>
      <c r="C103" s="27">
        <v>45201</v>
      </c>
      <c r="D103" s="27">
        <v>45230</v>
      </c>
      <c r="E103" s="27">
        <v>45229</v>
      </c>
      <c r="F103" s="27">
        <v>45594</v>
      </c>
      <c r="G103" s="13" t="str">
        <f t="shared" si="43"/>
        <v>000-102/AIB RDC/2023</v>
      </c>
      <c r="H103" s="1">
        <v>0</v>
      </c>
      <c r="I103" s="1" t="s">
        <v>83</v>
      </c>
      <c r="J103" s="2" t="s">
        <v>1037</v>
      </c>
      <c r="K103" s="2" t="s">
        <v>1038</v>
      </c>
      <c r="L103" s="1"/>
      <c r="M103" s="1" t="s">
        <v>99</v>
      </c>
      <c r="N103" s="1" t="s">
        <v>1021</v>
      </c>
      <c r="O103" s="1" t="s">
        <v>65</v>
      </c>
      <c r="P103" s="1" t="s">
        <v>65</v>
      </c>
      <c r="Q103" s="1" t="s">
        <v>127</v>
      </c>
      <c r="R103" s="1" t="s">
        <v>127</v>
      </c>
      <c r="S103" s="25">
        <v>0</v>
      </c>
      <c r="T103" s="25">
        <v>427.81</v>
      </c>
      <c r="U103" s="25">
        <v>0</v>
      </c>
      <c r="V103" s="25">
        <v>0</v>
      </c>
      <c r="W103" s="25">
        <v>15</v>
      </c>
      <c r="X103" s="25">
        <v>353.8</v>
      </c>
      <c r="Y103" s="25">
        <v>59.01</v>
      </c>
      <c r="Z103" s="17" t="e">
        <f t="shared" si="44"/>
        <v>#DIV/0!</v>
      </c>
      <c r="AA103" s="18">
        <v>0.125</v>
      </c>
      <c r="AB103" s="16">
        <f t="shared" si="55"/>
        <v>44.225000000000001</v>
      </c>
      <c r="AC103" s="16">
        <v>0</v>
      </c>
      <c r="AD103" s="16">
        <v>0</v>
      </c>
      <c r="AE103" s="16">
        <v>0</v>
      </c>
      <c r="AF103" s="16">
        <f t="shared" si="45"/>
        <v>44.225000000000001</v>
      </c>
      <c r="AG103" s="16">
        <f t="shared" ref="AG103:AG134" si="59">16%*AF103</f>
        <v>7.0760000000000005</v>
      </c>
      <c r="AH103" s="16">
        <f t="shared" si="46"/>
        <v>51.301000000000002</v>
      </c>
      <c r="AI103" s="16">
        <f t="shared" ref="AI103:AI134" si="60">2%*(AB103+AC103+AD103)</f>
        <v>0.88450000000000006</v>
      </c>
      <c r="AJ103" s="16">
        <v>0</v>
      </c>
      <c r="AK103" s="16">
        <f t="shared" si="47"/>
        <v>0.88450000000000006</v>
      </c>
      <c r="AL103" s="19"/>
      <c r="AM103" s="16">
        <f t="shared" si="48"/>
        <v>43.340499999999999</v>
      </c>
      <c r="AN103" s="16"/>
      <c r="AO103" s="20"/>
      <c r="AP103" s="16">
        <f t="shared" si="49"/>
        <v>0</v>
      </c>
      <c r="AQ103" s="16"/>
      <c r="AR103" s="15"/>
      <c r="AS103" s="16">
        <f t="shared" si="50"/>
        <v>0</v>
      </c>
      <c r="AT103" s="16"/>
      <c r="AU103" s="16"/>
      <c r="AV103" s="16">
        <f t="shared" si="54"/>
        <v>51.301000000000002</v>
      </c>
      <c r="AW103" s="60">
        <f t="shared" si="51"/>
        <v>51.301000000000002</v>
      </c>
      <c r="AX103" s="16" t="str">
        <f t="shared" si="53"/>
        <v>MAYFAIR</v>
      </c>
      <c r="AY103" s="22"/>
      <c r="BA103" s="1"/>
      <c r="BB103" s="22"/>
      <c r="BC103" s="1"/>
      <c r="BD103" s="1"/>
      <c r="BE103" s="1"/>
    </row>
    <row r="104" spans="1:57" ht="14.25" hidden="1" customHeight="1">
      <c r="A104" s="2" t="s">
        <v>157</v>
      </c>
      <c r="B104" s="1" t="s">
        <v>58</v>
      </c>
      <c r="C104" s="27">
        <v>44980</v>
      </c>
      <c r="D104" s="27">
        <v>44991</v>
      </c>
      <c r="E104" s="27">
        <v>44979</v>
      </c>
      <c r="F104" s="27">
        <v>45216</v>
      </c>
      <c r="G104" s="13" t="str">
        <f t="shared" si="43"/>
        <v>000-103/AIB RDC/2023</v>
      </c>
      <c r="H104" s="1">
        <v>1</v>
      </c>
      <c r="I104" s="1" t="s">
        <v>59</v>
      </c>
      <c r="J104" s="29" t="s">
        <v>294</v>
      </c>
      <c r="K104" s="2" t="s">
        <v>295</v>
      </c>
      <c r="L104" s="1"/>
      <c r="M104" s="1" t="s">
        <v>99</v>
      </c>
      <c r="N104" s="1" t="s">
        <v>100</v>
      </c>
      <c r="O104" s="1" t="s">
        <v>65</v>
      </c>
      <c r="P104" s="1" t="s">
        <v>65</v>
      </c>
      <c r="Q104" s="1" t="s">
        <v>66</v>
      </c>
      <c r="R104" s="1" t="s">
        <v>66</v>
      </c>
      <c r="S104" s="25">
        <v>0</v>
      </c>
      <c r="T104" s="25">
        <v>970.51</v>
      </c>
      <c r="U104" s="25">
        <v>0</v>
      </c>
      <c r="V104" s="25">
        <v>0</v>
      </c>
      <c r="W104" s="25">
        <v>10.46</v>
      </c>
      <c r="X104" s="25">
        <v>810.32</v>
      </c>
      <c r="Y104" s="25">
        <v>131.32</v>
      </c>
      <c r="Z104" s="17" t="e">
        <f t="shared" si="44"/>
        <v>#DIV/0!</v>
      </c>
      <c r="AA104" s="18">
        <v>0.1</v>
      </c>
      <c r="AB104" s="16">
        <f t="shared" si="55"/>
        <v>81.032000000000011</v>
      </c>
      <c r="AC104" s="16">
        <v>0</v>
      </c>
      <c r="AD104" s="16">
        <v>0</v>
      </c>
      <c r="AE104" s="16">
        <v>0</v>
      </c>
      <c r="AF104" s="16">
        <f t="shared" si="45"/>
        <v>81.032000000000011</v>
      </c>
      <c r="AG104" s="16">
        <f t="shared" si="59"/>
        <v>12.965120000000002</v>
      </c>
      <c r="AH104" s="16">
        <f t="shared" si="46"/>
        <v>93.99712000000001</v>
      </c>
      <c r="AI104" s="16">
        <f t="shared" si="60"/>
        <v>1.6206400000000003</v>
      </c>
      <c r="AJ104" s="16">
        <v>0</v>
      </c>
      <c r="AK104" s="16">
        <f t="shared" si="47"/>
        <v>1.6206400000000003</v>
      </c>
      <c r="AL104" s="19"/>
      <c r="AM104" s="16">
        <f t="shared" si="48"/>
        <v>79.411360000000016</v>
      </c>
      <c r="AN104" s="16"/>
      <c r="AO104" s="20"/>
      <c r="AP104" s="16">
        <f t="shared" si="49"/>
        <v>0</v>
      </c>
      <c r="AQ104" s="16"/>
      <c r="AR104" s="15"/>
      <c r="AS104" s="16">
        <f t="shared" si="50"/>
        <v>0</v>
      </c>
      <c r="AT104" s="16"/>
      <c r="AU104" s="16">
        <v>93.99712000000001</v>
      </c>
      <c r="AV104" s="16">
        <f t="shared" si="54"/>
        <v>93.99712000000001</v>
      </c>
      <c r="AW104" s="16">
        <f t="shared" si="51"/>
        <v>0</v>
      </c>
      <c r="AX104" s="16" t="str">
        <f t="shared" si="53"/>
        <v>SFA</v>
      </c>
      <c r="AY104" s="22">
        <v>45070</v>
      </c>
      <c r="AZ104" s="22"/>
      <c r="BA104" s="1"/>
      <c r="BB104" s="22" t="str">
        <f t="shared" ref="BB104:BB122" si="61">O104</f>
        <v>MOTOR TPL</v>
      </c>
      <c r="BC104" s="1"/>
      <c r="BD104" s="1"/>
      <c r="BE104" s="1"/>
    </row>
    <row r="105" spans="1:57" ht="14.25" hidden="1" customHeight="1">
      <c r="A105" s="2" t="s">
        <v>157</v>
      </c>
      <c r="B105" s="1" t="s">
        <v>58</v>
      </c>
      <c r="C105" s="27">
        <v>44981</v>
      </c>
      <c r="D105" s="27">
        <v>44985</v>
      </c>
      <c r="E105" s="27">
        <v>44981</v>
      </c>
      <c r="F105" s="27">
        <v>44994</v>
      </c>
      <c r="G105" s="13" t="str">
        <f t="shared" si="43"/>
        <v>000-104/AIB RDC/2023</v>
      </c>
      <c r="H105" s="1">
        <v>3</v>
      </c>
      <c r="I105" s="1" t="s">
        <v>59</v>
      </c>
      <c r="J105" s="29" t="s">
        <v>296</v>
      </c>
      <c r="K105" s="2" t="s">
        <v>297</v>
      </c>
      <c r="L105" s="1"/>
      <c r="M105" s="1" t="s">
        <v>99</v>
      </c>
      <c r="N105" s="1" t="s">
        <v>100</v>
      </c>
      <c r="O105" s="1" t="s">
        <v>65</v>
      </c>
      <c r="P105" s="1" t="s">
        <v>65</v>
      </c>
      <c r="Q105" s="1" t="s">
        <v>127</v>
      </c>
      <c r="R105" s="1" t="s">
        <v>127</v>
      </c>
      <c r="S105" s="25"/>
      <c r="T105" s="25">
        <v>318.60000000000002</v>
      </c>
      <c r="U105" s="25">
        <v>0</v>
      </c>
      <c r="V105" s="25">
        <v>0</v>
      </c>
      <c r="W105" s="25">
        <v>30</v>
      </c>
      <c r="X105" s="25">
        <v>240</v>
      </c>
      <c r="Y105" s="25">
        <v>43.2</v>
      </c>
      <c r="Z105" s="17" t="e">
        <f t="shared" si="44"/>
        <v>#DIV/0!</v>
      </c>
      <c r="AA105" s="18">
        <v>0.1</v>
      </c>
      <c r="AB105" s="16">
        <f t="shared" si="55"/>
        <v>24</v>
      </c>
      <c r="AC105" s="16">
        <v>0</v>
      </c>
      <c r="AD105" s="16">
        <v>0</v>
      </c>
      <c r="AE105" s="16">
        <v>0</v>
      </c>
      <c r="AF105" s="16">
        <f t="shared" si="45"/>
        <v>24</v>
      </c>
      <c r="AG105" s="16">
        <f t="shared" si="59"/>
        <v>3.84</v>
      </c>
      <c r="AH105" s="16">
        <f t="shared" si="46"/>
        <v>27.84</v>
      </c>
      <c r="AI105" s="16">
        <f t="shared" si="60"/>
        <v>0.48</v>
      </c>
      <c r="AJ105" s="16">
        <v>0</v>
      </c>
      <c r="AK105" s="16">
        <f t="shared" si="47"/>
        <v>0.48</v>
      </c>
      <c r="AL105" s="19"/>
      <c r="AM105" s="16">
        <f t="shared" si="48"/>
        <v>23.52</v>
      </c>
      <c r="AN105" s="16"/>
      <c r="AO105" s="20"/>
      <c r="AP105" s="16">
        <f t="shared" si="49"/>
        <v>0</v>
      </c>
      <c r="AQ105" s="16"/>
      <c r="AR105" s="15"/>
      <c r="AS105" s="16">
        <f t="shared" si="50"/>
        <v>0</v>
      </c>
      <c r="AT105" s="16"/>
      <c r="AU105" s="16">
        <v>27.84</v>
      </c>
      <c r="AV105" s="16">
        <f t="shared" si="54"/>
        <v>27.84</v>
      </c>
      <c r="AW105" s="16">
        <f t="shared" si="51"/>
        <v>0</v>
      </c>
      <c r="AX105" s="16" t="str">
        <f t="shared" si="53"/>
        <v>MAYFAIR</v>
      </c>
      <c r="AY105" s="22">
        <v>45015</v>
      </c>
      <c r="AZ105" s="22"/>
      <c r="BA105" s="1" t="s">
        <v>275</v>
      </c>
      <c r="BB105" s="22" t="str">
        <f t="shared" si="61"/>
        <v>MOTOR TPL</v>
      </c>
      <c r="BC105" s="1"/>
      <c r="BD105" s="1"/>
      <c r="BE105" s="1"/>
    </row>
    <row r="106" spans="1:57" ht="14.25" hidden="1" customHeight="1">
      <c r="A106" s="2" t="s">
        <v>157</v>
      </c>
      <c r="B106" s="1" t="s">
        <v>58</v>
      </c>
      <c r="C106" s="27">
        <v>44994</v>
      </c>
      <c r="D106" s="27">
        <v>44984</v>
      </c>
      <c r="E106" s="27">
        <v>44981</v>
      </c>
      <c r="F106" s="27">
        <v>44994</v>
      </c>
      <c r="G106" s="13" t="str">
        <f t="shared" si="43"/>
        <v>000-105/AIB RDC/2023</v>
      </c>
      <c r="H106" s="1">
        <v>4</v>
      </c>
      <c r="I106" s="1" t="s">
        <v>59</v>
      </c>
      <c r="J106" s="29" t="s">
        <v>298</v>
      </c>
      <c r="K106" s="2" t="s">
        <v>299</v>
      </c>
      <c r="L106" s="1"/>
      <c r="M106" s="1" t="s">
        <v>99</v>
      </c>
      <c r="N106" s="1" t="s">
        <v>100</v>
      </c>
      <c r="O106" s="1" t="s">
        <v>65</v>
      </c>
      <c r="P106" s="1" t="s">
        <v>65</v>
      </c>
      <c r="Q106" s="1" t="s">
        <v>127</v>
      </c>
      <c r="R106" s="1" t="s">
        <v>127</v>
      </c>
      <c r="S106" s="25">
        <v>0</v>
      </c>
      <c r="T106" s="25">
        <v>212.4</v>
      </c>
      <c r="U106" s="25">
        <v>0</v>
      </c>
      <c r="V106" s="25">
        <v>0</v>
      </c>
      <c r="W106" s="25">
        <v>20</v>
      </c>
      <c r="X106" s="25">
        <v>160</v>
      </c>
      <c r="Y106" s="25">
        <v>28.8</v>
      </c>
      <c r="Z106" s="17" t="e">
        <f t="shared" si="44"/>
        <v>#DIV/0!</v>
      </c>
      <c r="AA106" s="18">
        <v>0.1</v>
      </c>
      <c r="AB106" s="16">
        <f t="shared" si="55"/>
        <v>16</v>
      </c>
      <c r="AC106" s="16">
        <v>0</v>
      </c>
      <c r="AD106" s="16">
        <v>0</v>
      </c>
      <c r="AE106" s="16">
        <v>0</v>
      </c>
      <c r="AF106" s="16">
        <f t="shared" si="45"/>
        <v>16</v>
      </c>
      <c r="AG106" s="16">
        <f t="shared" si="59"/>
        <v>2.56</v>
      </c>
      <c r="AH106" s="16">
        <f t="shared" si="46"/>
        <v>18.559999999999999</v>
      </c>
      <c r="AI106" s="16">
        <f t="shared" si="60"/>
        <v>0.32</v>
      </c>
      <c r="AJ106" s="16">
        <v>0</v>
      </c>
      <c r="AK106" s="16">
        <f t="shared" si="47"/>
        <v>0.32</v>
      </c>
      <c r="AL106" s="19"/>
      <c r="AM106" s="16">
        <f t="shared" si="48"/>
        <v>15.68</v>
      </c>
      <c r="AN106" s="16"/>
      <c r="AO106" s="20"/>
      <c r="AP106" s="16">
        <f t="shared" si="49"/>
        <v>0</v>
      </c>
      <c r="AQ106" s="16"/>
      <c r="AR106" s="15"/>
      <c r="AS106" s="16">
        <f t="shared" si="50"/>
        <v>0</v>
      </c>
      <c r="AT106" s="16"/>
      <c r="AU106" s="16">
        <v>18.559999999999999</v>
      </c>
      <c r="AV106" s="16">
        <f t="shared" si="54"/>
        <v>18.559999999999999</v>
      </c>
      <c r="AW106" s="16">
        <f t="shared" si="51"/>
        <v>0</v>
      </c>
      <c r="AX106" s="16" t="str">
        <f t="shared" si="53"/>
        <v>MAYFAIR</v>
      </c>
      <c r="AY106" s="22">
        <v>45015</v>
      </c>
      <c r="AZ106" s="22"/>
      <c r="BA106" s="1" t="s">
        <v>275</v>
      </c>
      <c r="BB106" s="22" t="str">
        <f t="shared" si="61"/>
        <v>MOTOR TPL</v>
      </c>
      <c r="BC106" s="1"/>
      <c r="BD106" s="1"/>
      <c r="BE106" s="1"/>
    </row>
    <row r="107" spans="1:57" ht="14.25" hidden="1" customHeight="1">
      <c r="A107" s="2" t="s">
        <v>165</v>
      </c>
      <c r="B107" s="1" t="s">
        <v>169</v>
      </c>
      <c r="C107" s="27">
        <v>45156</v>
      </c>
      <c r="D107" s="27"/>
      <c r="E107" s="27">
        <v>45000</v>
      </c>
      <c r="F107" s="27">
        <v>45092</v>
      </c>
      <c r="G107" s="13" t="str">
        <f t="shared" si="43"/>
        <v>000-106/AIB RDC/2023</v>
      </c>
      <c r="H107" s="1">
        <v>0</v>
      </c>
      <c r="I107" s="1" t="s">
        <v>83</v>
      </c>
      <c r="J107" s="2" t="s">
        <v>300</v>
      </c>
      <c r="K107" s="2" t="s">
        <v>301</v>
      </c>
      <c r="L107" s="1"/>
      <c r="M107" s="1" t="s">
        <v>99</v>
      </c>
      <c r="N107" s="1" t="s">
        <v>100</v>
      </c>
      <c r="O107" s="1" t="s">
        <v>302</v>
      </c>
      <c r="P107" s="1" t="s">
        <v>81</v>
      </c>
      <c r="Q107" s="1" t="s">
        <v>135</v>
      </c>
      <c r="R107" s="1" t="s">
        <v>135</v>
      </c>
      <c r="S107" s="25">
        <v>30000</v>
      </c>
      <c r="T107" s="25">
        <v>165.91</v>
      </c>
      <c r="U107" s="25">
        <v>0</v>
      </c>
      <c r="V107" s="25">
        <v>0</v>
      </c>
      <c r="W107" s="25">
        <v>2</v>
      </c>
      <c r="X107" s="25">
        <v>138.6</v>
      </c>
      <c r="Y107" s="25">
        <v>22.5</v>
      </c>
      <c r="Z107" s="17">
        <f t="shared" si="44"/>
        <v>4.62E-3</v>
      </c>
      <c r="AA107" s="18">
        <v>0.2</v>
      </c>
      <c r="AB107" s="16">
        <f t="shared" si="55"/>
        <v>27.72</v>
      </c>
      <c r="AC107" s="16">
        <v>0</v>
      </c>
      <c r="AD107" s="16">
        <v>0</v>
      </c>
      <c r="AE107" s="16">
        <v>0</v>
      </c>
      <c r="AF107" s="16">
        <f t="shared" si="45"/>
        <v>27.72</v>
      </c>
      <c r="AG107" s="16">
        <f t="shared" si="59"/>
        <v>4.4352</v>
      </c>
      <c r="AH107" s="16">
        <f t="shared" si="46"/>
        <v>32.155200000000001</v>
      </c>
      <c r="AI107" s="16">
        <f t="shared" si="60"/>
        <v>0.5544</v>
      </c>
      <c r="AJ107" s="16">
        <v>0</v>
      </c>
      <c r="AK107" s="16">
        <f t="shared" si="47"/>
        <v>0.5544</v>
      </c>
      <c r="AL107" s="19"/>
      <c r="AM107" s="16">
        <f t="shared" si="48"/>
        <v>27.165599999999998</v>
      </c>
      <c r="AN107" s="16"/>
      <c r="AO107" s="20"/>
      <c r="AP107" s="16">
        <f t="shared" si="49"/>
        <v>0</v>
      </c>
      <c r="AQ107" s="16"/>
      <c r="AR107" s="15"/>
      <c r="AS107" s="16">
        <f t="shared" si="50"/>
        <v>0</v>
      </c>
      <c r="AT107" s="16"/>
      <c r="AU107" s="16">
        <v>32.155200000000001</v>
      </c>
      <c r="AV107" s="16">
        <f t="shared" si="54"/>
        <v>32.155200000000001</v>
      </c>
      <c r="AW107" s="16">
        <f t="shared" si="51"/>
        <v>0</v>
      </c>
      <c r="AX107" s="16" t="str">
        <f t="shared" si="53"/>
        <v>RAWSUR</v>
      </c>
      <c r="AY107" s="22">
        <v>45244</v>
      </c>
      <c r="AZ107" s="22"/>
      <c r="BA107" s="1" t="s">
        <v>148</v>
      </c>
      <c r="BB107" s="22" t="str">
        <f t="shared" si="61"/>
        <v>TRAVEL</v>
      </c>
      <c r="BC107" s="1"/>
      <c r="BD107" s="1"/>
      <c r="BE107" s="1" t="s">
        <v>303</v>
      </c>
    </row>
    <row r="108" spans="1:57" ht="14.25" hidden="1" customHeight="1">
      <c r="A108" s="2" t="s">
        <v>165</v>
      </c>
      <c r="B108" s="1" t="s">
        <v>169</v>
      </c>
      <c r="C108" s="27">
        <v>45156</v>
      </c>
      <c r="D108" s="27"/>
      <c r="E108" s="27">
        <v>44988</v>
      </c>
      <c r="F108" s="27">
        <v>45109</v>
      </c>
      <c r="G108" s="13" t="str">
        <f t="shared" si="43"/>
        <v>000-107/AIB RDC/2023</v>
      </c>
      <c r="H108" s="1">
        <v>0</v>
      </c>
      <c r="I108" s="1" t="s">
        <v>83</v>
      </c>
      <c r="J108" s="2" t="s">
        <v>304</v>
      </c>
      <c r="K108" s="2" t="s">
        <v>305</v>
      </c>
      <c r="L108" s="1"/>
      <c r="M108" s="1" t="s">
        <v>99</v>
      </c>
      <c r="N108" s="1" t="s">
        <v>100</v>
      </c>
      <c r="O108" s="1" t="s">
        <v>302</v>
      </c>
      <c r="P108" s="1" t="s">
        <v>81</v>
      </c>
      <c r="Q108" s="1" t="s">
        <v>135</v>
      </c>
      <c r="R108" s="1" t="s">
        <v>135</v>
      </c>
      <c r="S108" s="25">
        <v>300000</v>
      </c>
      <c r="T108" s="25">
        <v>165.91</v>
      </c>
      <c r="U108" s="25">
        <v>0</v>
      </c>
      <c r="V108" s="25">
        <v>0</v>
      </c>
      <c r="W108" s="25">
        <v>2</v>
      </c>
      <c r="X108" s="25">
        <v>138.6</v>
      </c>
      <c r="Y108" s="25">
        <v>22.5</v>
      </c>
      <c r="Z108" s="17">
        <f t="shared" si="44"/>
        <v>4.6199999999999995E-4</v>
      </c>
      <c r="AA108" s="18">
        <v>0.2</v>
      </c>
      <c r="AB108" s="16">
        <f t="shared" si="55"/>
        <v>27.72</v>
      </c>
      <c r="AC108" s="16">
        <v>0</v>
      </c>
      <c r="AD108" s="16">
        <v>0</v>
      </c>
      <c r="AE108" s="16">
        <v>0</v>
      </c>
      <c r="AF108" s="16">
        <f t="shared" si="45"/>
        <v>27.72</v>
      </c>
      <c r="AG108" s="16">
        <f t="shared" si="59"/>
        <v>4.4352</v>
      </c>
      <c r="AH108" s="16">
        <f t="shared" si="46"/>
        <v>32.155200000000001</v>
      </c>
      <c r="AI108" s="16">
        <f t="shared" si="60"/>
        <v>0.5544</v>
      </c>
      <c r="AJ108" s="16">
        <v>0</v>
      </c>
      <c r="AK108" s="16">
        <f t="shared" si="47"/>
        <v>0.5544</v>
      </c>
      <c r="AL108" s="19"/>
      <c r="AM108" s="16">
        <f t="shared" si="48"/>
        <v>27.165599999999998</v>
      </c>
      <c r="AN108" s="16"/>
      <c r="AO108" s="20"/>
      <c r="AP108" s="16">
        <f t="shared" si="49"/>
        <v>0</v>
      </c>
      <c r="AQ108" s="16"/>
      <c r="AR108" s="15"/>
      <c r="AS108" s="16">
        <f t="shared" si="50"/>
        <v>0</v>
      </c>
      <c r="AT108" s="16"/>
      <c r="AU108" s="16">
        <v>32.155200000000001</v>
      </c>
      <c r="AV108" s="16">
        <f t="shared" si="54"/>
        <v>32.155200000000001</v>
      </c>
      <c r="AW108" s="16">
        <f t="shared" si="51"/>
        <v>0</v>
      </c>
      <c r="AX108" s="16" t="str">
        <f t="shared" si="53"/>
        <v>RAWSUR</v>
      </c>
      <c r="AY108" s="22">
        <v>45244</v>
      </c>
      <c r="AZ108" s="22"/>
      <c r="BA108" s="1" t="s">
        <v>148</v>
      </c>
      <c r="BB108" s="22" t="str">
        <f t="shared" si="61"/>
        <v>TRAVEL</v>
      </c>
      <c r="BC108" s="1"/>
      <c r="BD108" s="1"/>
      <c r="BE108" s="1" t="s">
        <v>303</v>
      </c>
    </row>
    <row r="109" spans="1:57" ht="14.25" hidden="1" customHeight="1">
      <c r="A109" s="2" t="s">
        <v>157</v>
      </c>
      <c r="B109" s="1" t="s">
        <v>58</v>
      </c>
      <c r="C109" s="27">
        <v>44963</v>
      </c>
      <c r="D109" s="27">
        <v>44963</v>
      </c>
      <c r="E109" s="27">
        <v>44963</v>
      </c>
      <c r="F109" s="27">
        <v>45051</v>
      </c>
      <c r="G109" s="13" t="str">
        <f t="shared" si="43"/>
        <v>000-108/AIB RDC/2023</v>
      </c>
      <c r="H109" s="1">
        <v>0</v>
      </c>
      <c r="I109" s="1" t="s">
        <v>83</v>
      </c>
      <c r="J109" s="29" t="s">
        <v>306</v>
      </c>
      <c r="K109" s="2" t="s">
        <v>307</v>
      </c>
      <c r="L109" s="1"/>
      <c r="M109" s="1" t="s">
        <v>99</v>
      </c>
      <c r="N109" s="1" t="s">
        <v>100</v>
      </c>
      <c r="O109" s="1" t="s">
        <v>104</v>
      </c>
      <c r="P109" s="1" t="s">
        <v>105</v>
      </c>
      <c r="Q109" s="1" t="s">
        <v>117</v>
      </c>
      <c r="R109" s="1" t="s">
        <v>117</v>
      </c>
      <c r="S109" s="25">
        <v>158495</v>
      </c>
      <c r="T109" s="25">
        <v>669.99</v>
      </c>
      <c r="U109" s="16">
        <v>0</v>
      </c>
      <c r="V109" s="16">
        <v>0</v>
      </c>
      <c r="W109" s="25">
        <v>10</v>
      </c>
      <c r="X109" s="25">
        <v>567.58000000000004</v>
      </c>
      <c r="Y109" s="25">
        <v>92.41</v>
      </c>
      <c r="Z109" s="17">
        <f t="shared" si="44"/>
        <v>3.5810593394113382E-3</v>
      </c>
      <c r="AA109" s="18">
        <v>0.15</v>
      </c>
      <c r="AB109" s="16">
        <f t="shared" si="55"/>
        <v>85.137</v>
      </c>
      <c r="AC109" s="16">
        <v>0</v>
      </c>
      <c r="AD109" s="16">
        <v>0</v>
      </c>
      <c r="AE109" s="16">
        <v>0</v>
      </c>
      <c r="AF109" s="16">
        <f t="shared" si="45"/>
        <v>85.137</v>
      </c>
      <c r="AG109" s="16">
        <f t="shared" si="59"/>
        <v>13.621920000000001</v>
      </c>
      <c r="AH109" s="16">
        <f t="shared" si="46"/>
        <v>98.758920000000003</v>
      </c>
      <c r="AI109" s="16">
        <f t="shared" si="60"/>
        <v>1.7027400000000001</v>
      </c>
      <c r="AJ109" s="16">
        <v>0</v>
      </c>
      <c r="AK109" s="16">
        <f t="shared" si="47"/>
        <v>1.7027400000000001</v>
      </c>
      <c r="AL109" s="19"/>
      <c r="AM109" s="16">
        <f t="shared" si="48"/>
        <v>83.434259999999995</v>
      </c>
      <c r="AN109" s="16" t="s">
        <v>215</v>
      </c>
      <c r="AO109" s="20">
        <v>0.5</v>
      </c>
      <c r="AP109" s="16">
        <f t="shared" si="49"/>
        <v>41.717129999999997</v>
      </c>
      <c r="AQ109" s="16">
        <v>41.72</v>
      </c>
      <c r="AR109" s="15">
        <v>45222</v>
      </c>
      <c r="AS109" s="16">
        <f t="shared" si="50"/>
        <v>-2.8700000000014825E-3</v>
      </c>
      <c r="AT109" s="16"/>
      <c r="AU109" s="16">
        <v>98.758920000000003</v>
      </c>
      <c r="AV109" s="16">
        <f t="shared" si="54"/>
        <v>98.758920000000003</v>
      </c>
      <c r="AW109" s="16">
        <f t="shared" si="51"/>
        <v>0</v>
      </c>
      <c r="AX109" s="16" t="str">
        <f t="shared" si="53"/>
        <v>SUNU</v>
      </c>
      <c r="AY109" s="22">
        <v>45062</v>
      </c>
      <c r="AZ109" s="22"/>
      <c r="BA109" s="1" t="s">
        <v>148</v>
      </c>
      <c r="BB109" s="22" t="str">
        <f t="shared" si="61"/>
        <v>MARINE CARGO / GIT</v>
      </c>
      <c r="BC109" s="1"/>
      <c r="BD109" s="1"/>
      <c r="BE109" s="1"/>
    </row>
    <row r="110" spans="1:57" ht="14.25" hidden="1" customHeight="1">
      <c r="A110" s="2" t="s">
        <v>165</v>
      </c>
      <c r="B110" s="1" t="s">
        <v>58</v>
      </c>
      <c r="C110" s="27">
        <v>44984</v>
      </c>
      <c r="D110" s="27">
        <v>44984</v>
      </c>
      <c r="E110" s="27">
        <v>44986</v>
      </c>
      <c r="F110" s="27">
        <v>45107</v>
      </c>
      <c r="G110" s="13" t="str">
        <f t="shared" si="43"/>
        <v>000-109/AIB RDC/2023</v>
      </c>
      <c r="H110" s="1">
        <v>1</v>
      </c>
      <c r="I110" s="1" t="s">
        <v>189</v>
      </c>
      <c r="J110" s="2" t="s">
        <v>308</v>
      </c>
      <c r="K110" s="15" t="s">
        <v>193</v>
      </c>
      <c r="L110" s="1"/>
      <c r="M110" s="1" t="s">
        <v>99</v>
      </c>
      <c r="N110" s="1" t="s">
        <v>100</v>
      </c>
      <c r="O110" s="1" t="s">
        <v>309</v>
      </c>
      <c r="P110" s="1" t="s">
        <v>234</v>
      </c>
      <c r="Q110" s="1" t="s">
        <v>127</v>
      </c>
      <c r="R110" s="1" t="s">
        <v>127</v>
      </c>
      <c r="S110" s="16">
        <v>0</v>
      </c>
      <c r="T110" s="25">
        <v>5293.57</v>
      </c>
      <c r="U110" s="25">
        <v>0</v>
      </c>
      <c r="V110" s="16">
        <v>0</v>
      </c>
      <c r="W110" s="25">
        <v>100</v>
      </c>
      <c r="X110" s="25">
        <v>4386.08</v>
      </c>
      <c r="Y110" s="25">
        <v>717.77</v>
      </c>
      <c r="Z110" s="17" t="e">
        <f t="shared" si="44"/>
        <v>#DIV/0!</v>
      </c>
      <c r="AA110" s="18">
        <v>0.15</v>
      </c>
      <c r="AB110" s="16">
        <f t="shared" si="55"/>
        <v>657.91199999999992</v>
      </c>
      <c r="AC110" s="16">
        <f>30%*U110</f>
        <v>0</v>
      </c>
      <c r="AD110" s="16">
        <v>0</v>
      </c>
      <c r="AE110" s="16">
        <v>0</v>
      </c>
      <c r="AF110" s="16">
        <f t="shared" si="45"/>
        <v>657.91199999999992</v>
      </c>
      <c r="AG110" s="16">
        <f t="shared" si="59"/>
        <v>105.26591999999999</v>
      </c>
      <c r="AH110" s="16">
        <f t="shared" si="46"/>
        <v>763.17791999999986</v>
      </c>
      <c r="AI110" s="16">
        <f t="shared" si="60"/>
        <v>13.158239999999999</v>
      </c>
      <c r="AJ110" s="16">
        <v>0</v>
      </c>
      <c r="AK110" s="16">
        <f t="shared" si="47"/>
        <v>13.158239999999999</v>
      </c>
      <c r="AL110" s="19"/>
      <c r="AM110" s="16">
        <f t="shared" si="48"/>
        <v>644.75375999999994</v>
      </c>
      <c r="AN110" s="16" t="s">
        <v>195</v>
      </c>
      <c r="AO110" s="20"/>
      <c r="AP110" s="16">
        <f t="shared" si="49"/>
        <v>0</v>
      </c>
      <c r="AQ110" s="16"/>
      <c r="AR110" s="15"/>
      <c r="AS110" s="16">
        <f t="shared" si="50"/>
        <v>0</v>
      </c>
      <c r="AT110" s="16"/>
      <c r="AU110" s="16">
        <v>763.17791999999986</v>
      </c>
      <c r="AV110" s="16">
        <f t="shared" si="54"/>
        <v>763.17791999999986</v>
      </c>
      <c r="AW110" s="16">
        <f t="shared" si="51"/>
        <v>0</v>
      </c>
      <c r="AX110" s="16" t="str">
        <f t="shared" ref="AX110:AX141" si="62">Q110</f>
        <v>MAYFAIR</v>
      </c>
      <c r="AY110" s="22">
        <v>45146</v>
      </c>
      <c r="AZ110" s="22"/>
      <c r="BA110" s="1" t="s">
        <v>235</v>
      </c>
      <c r="BB110" s="22" t="str">
        <f t="shared" si="61"/>
        <v>TRC</v>
      </c>
      <c r="BC110" s="1"/>
      <c r="BD110" s="1"/>
      <c r="BE110" s="1"/>
    </row>
    <row r="111" spans="1:57" ht="14.25" hidden="1" customHeight="1">
      <c r="A111" s="2" t="s">
        <v>165</v>
      </c>
      <c r="B111" s="1" t="s">
        <v>58</v>
      </c>
      <c r="C111" s="27">
        <v>44984</v>
      </c>
      <c r="D111" s="27">
        <v>44984</v>
      </c>
      <c r="E111" s="27">
        <v>44958</v>
      </c>
      <c r="F111" s="27">
        <v>45107</v>
      </c>
      <c r="G111" s="13" t="str">
        <f t="shared" si="43"/>
        <v>000-110/AIB RDC/2023</v>
      </c>
      <c r="H111" s="1">
        <v>1</v>
      </c>
      <c r="I111" s="1" t="s">
        <v>189</v>
      </c>
      <c r="J111" s="2" t="s">
        <v>310</v>
      </c>
      <c r="K111" s="15" t="s">
        <v>193</v>
      </c>
      <c r="L111" s="1"/>
      <c r="M111" s="1" t="s">
        <v>99</v>
      </c>
      <c r="N111" s="1" t="s">
        <v>100</v>
      </c>
      <c r="O111" s="1" t="s">
        <v>309</v>
      </c>
      <c r="P111" s="1" t="s">
        <v>234</v>
      </c>
      <c r="Q111" s="1" t="s">
        <v>127</v>
      </c>
      <c r="R111" s="1" t="s">
        <v>127</v>
      </c>
      <c r="S111" s="25">
        <v>0</v>
      </c>
      <c r="T111" s="25">
        <v>2476.4899999999998</v>
      </c>
      <c r="U111" s="25">
        <v>0</v>
      </c>
      <c r="V111" s="25">
        <v>0</v>
      </c>
      <c r="W111" s="25">
        <v>100</v>
      </c>
      <c r="X111" s="25">
        <v>1998.72</v>
      </c>
      <c r="Y111" s="25">
        <v>335.79</v>
      </c>
      <c r="Z111" s="17" t="e">
        <f t="shared" si="44"/>
        <v>#DIV/0!</v>
      </c>
      <c r="AA111" s="18">
        <v>0.15</v>
      </c>
      <c r="AB111" s="16">
        <f t="shared" si="55"/>
        <v>299.80799999999999</v>
      </c>
      <c r="AC111" s="16">
        <f>30%*U111</f>
        <v>0</v>
      </c>
      <c r="AD111" s="16">
        <v>0</v>
      </c>
      <c r="AE111" s="16">
        <v>0</v>
      </c>
      <c r="AF111" s="16">
        <f t="shared" si="45"/>
        <v>299.80799999999999</v>
      </c>
      <c r="AG111" s="16">
        <f t="shared" si="59"/>
        <v>47.969279999999998</v>
      </c>
      <c r="AH111" s="16">
        <f t="shared" si="46"/>
        <v>347.77728000000002</v>
      </c>
      <c r="AI111" s="16">
        <f t="shared" si="60"/>
        <v>5.9961599999999997</v>
      </c>
      <c r="AJ111" s="16">
        <v>0</v>
      </c>
      <c r="AK111" s="16">
        <f t="shared" si="47"/>
        <v>5.9961599999999997</v>
      </c>
      <c r="AL111" s="19"/>
      <c r="AM111" s="16">
        <f t="shared" si="48"/>
        <v>293.81184000000002</v>
      </c>
      <c r="AN111" s="16" t="s">
        <v>195</v>
      </c>
      <c r="AO111" s="20"/>
      <c r="AP111" s="16">
        <f t="shared" si="49"/>
        <v>0</v>
      </c>
      <c r="AQ111" s="16"/>
      <c r="AR111" s="15"/>
      <c r="AS111" s="16">
        <f t="shared" si="50"/>
        <v>0</v>
      </c>
      <c r="AT111" s="16"/>
      <c r="AU111" s="16">
        <v>347.77728000000002</v>
      </c>
      <c r="AV111" s="16">
        <f t="shared" si="54"/>
        <v>347.77728000000002</v>
      </c>
      <c r="AW111" s="16">
        <f t="shared" si="51"/>
        <v>0</v>
      </c>
      <c r="AX111" s="16" t="str">
        <f t="shared" si="62"/>
        <v>MAYFAIR</v>
      </c>
      <c r="AY111" s="22">
        <v>45146</v>
      </c>
      <c r="AZ111" s="22"/>
      <c r="BA111" s="1"/>
      <c r="BB111" s="22" t="str">
        <f t="shared" si="61"/>
        <v>TRC</v>
      </c>
      <c r="BC111" s="1"/>
      <c r="BD111" s="1"/>
      <c r="BE111" s="1"/>
    </row>
    <row r="112" spans="1:57" ht="14.25" hidden="1" customHeight="1">
      <c r="A112" s="2" t="s">
        <v>157</v>
      </c>
      <c r="B112" s="1" t="s">
        <v>58</v>
      </c>
      <c r="C112" s="27">
        <v>44970</v>
      </c>
      <c r="D112" s="27">
        <v>44971</v>
      </c>
      <c r="E112" s="27">
        <v>44968</v>
      </c>
      <c r="F112" s="27">
        <v>45332</v>
      </c>
      <c r="G112" s="13" t="str">
        <f t="shared" si="43"/>
        <v>000-111/AIB RDC/2023</v>
      </c>
      <c r="H112" s="1">
        <v>0</v>
      </c>
      <c r="I112" s="1" t="s">
        <v>83</v>
      </c>
      <c r="J112" s="29" t="s">
        <v>311</v>
      </c>
      <c r="K112" s="2" t="s">
        <v>312</v>
      </c>
      <c r="L112" s="1"/>
      <c r="M112" s="1" t="s">
        <v>74</v>
      </c>
      <c r="N112" s="1" t="s">
        <v>75</v>
      </c>
      <c r="O112" s="1" t="s">
        <v>107</v>
      </c>
      <c r="P112" s="1" t="s">
        <v>108</v>
      </c>
      <c r="Q112" s="1" t="s">
        <v>127</v>
      </c>
      <c r="R112" s="1" t="s">
        <v>127</v>
      </c>
      <c r="S112" s="25">
        <v>4000000</v>
      </c>
      <c r="T112" s="25">
        <v>8013.38</v>
      </c>
      <c r="U112" s="25">
        <v>0</v>
      </c>
      <c r="V112" s="25">
        <v>0</v>
      </c>
      <c r="W112" s="25">
        <v>50</v>
      </c>
      <c r="X112" s="25">
        <v>6741</v>
      </c>
      <c r="Y112" s="25">
        <v>1086.56</v>
      </c>
      <c r="Z112" s="17">
        <f t="shared" si="44"/>
        <v>1.6852499999999999E-3</v>
      </c>
      <c r="AA112" s="18">
        <v>0.15</v>
      </c>
      <c r="AB112" s="16">
        <f t="shared" si="55"/>
        <v>1011.15</v>
      </c>
      <c r="AC112" s="16"/>
      <c r="AD112" s="16">
        <v>0</v>
      </c>
      <c r="AE112" s="16">
        <v>0</v>
      </c>
      <c r="AF112" s="16">
        <f t="shared" si="45"/>
        <v>1011.15</v>
      </c>
      <c r="AG112" s="16">
        <f t="shared" si="59"/>
        <v>161.78399999999999</v>
      </c>
      <c r="AH112" s="16">
        <f t="shared" si="46"/>
        <v>1172.934</v>
      </c>
      <c r="AI112" s="16">
        <f t="shared" si="60"/>
        <v>20.222999999999999</v>
      </c>
      <c r="AJ112" s="16">
        <v>0</v>
      </c>
      <c r="AK112" s="16">
        <f t="shared" si="47"/>
        <v>20.222999999999999</v>
      </c>
      <c r="AL112" s="19"/>
      <c r="AM112" s="16">
        <f t="shared" si="48"/>
        <v>990.92700000000002</v>
      </c>
      <c r="AN112" s="16"/>
      <c r="AO112" s="20"/>
      <c r="AP112" s="16">
        <f t="shared" si="49"/>
        <v>0</v>
      </c>
      <c r="AQ112" s="16"/>
      <c r="AR112" s="15"/>
      <c r="AS112" s="16">
        <f t="shared" si="50"/>
        <v>0</v>
      </c>
      <c r="AT112" s="16"/>
      <c r="AU112" s="16">
        <v>1172.934</v>
      </c>
      <c r="AV112" s="16">
        <f t="shared" si="54"/>
        <v>1172.934</v>
      </c>
      <c r="AW112" s="16">
        <f t="shared" si="51"/>
        <v>0</v>
      </c>
      <c r="AX112" s="16" t="str">
        <f t="shared" si="62"/>
        <v>MAYFAIR</v>
      </c>
      <c r="AY112" s="22">
        <v>45015</v>
      </c>
      <c r="AZ112" s="22"/>
      <c r="BA112" s="1"/>
      <c r="BB112" s="22" t="str">
        <f t="shared" si="61"/>
        <v>FIRE</v>
      </c>
      <c r="BC112" s="1"/>
      <c r="BD112" s="1"/>
      <c r="BE112" s="1"/>
    </row>
    <row r="113" spans="1:57" ht="14.25" hidden="1" customHeight="1">
      <c r="A113" s="2" t="s">
        <v>157</v>
      </c>
      <c r="B113" s="1" t="s">
        <v>58</v>
      </c>
      <c r="C113" s="27">
        <v>44960</v>
      </c>
      <c r="D113" s="27">
        <v>44960</v>
      </c>
      <c r="E113" s="27">
        <v>44960</v>
      </c>
      <c r="F113" s="27">
        <v>45275</v>
      </c>
      <c r="G113" s="13" t="str">
        <f t="shared" si="43"/>
        <v>000-112/AIB RDC/2023</v>
      </c>
      <c r="H113" s="1">
        <v>1</v>
      </c>
      <c r="I113" s="1" t="s">
        <v>59</v>
      </c>
      <c r="J113" s="29" t="s">
        <v>313</v>
      </c>
      <c r="K113" s="2" t="s">
        <v>257</v>
      </c>
      <c r="L113" s="1"/>
      <c r="M113" s="1" t="s">
        <v>74</v>
      </c>
      <c r="N113" s="1" t="s">
        <v>75</v>
      </c>
      <c r="O113" s="1" t="s">
        <v>133</v>
      </c>
      <c r="P113" s="1" t="s">
        <v>134</v>
      </c>
      <c r="Q113" s="1" t="s">
        <v>117</v>
      </c>
      <c r="R113" s="1" t="s">
        <v>117</v>
      </c>
      <c r="S113" s="25">
        <v>33060.53</v>
      </c>
      <c r="T113" s="25">
        <v>2747.31</v>
      </c>
      <c r="U113" s="16">
        <v>0</v>
      </c>
      <c r="V113" s="16">
        <v>0</v>
      </c>
      <c r="W113" s="25">
        <v>23.45</v>
      </c>
      <c r="X113" s="25">
        <v>2344.92</v>
      </c>
      <c r="Y113" s="25">
        <v>378.94</v>
      </c>
      <c r="Z113" s="17">
        <f t="shared" si="44"/>
        <v>7.0928082520153188E-2</v>
      </c>
      <c r="AA113" s="18">
        <v>0.15</v>
      </c>
      <c r="AB113" s="16">
        <f t="shared" si="55"/>
        <v>351.738</v>
      </c>
      <c r="AC113" s="16">
        <v>0</v>
      </c>
      <c r="AD113" s="16">
        <v>0</v>
      </c>
      <c r="AE113" s="16">
        <v>0</v>
      </c>
      <c r="AF113" s="16">
        <f t="shared" si="45"/>
        <v>351.738</v>
      </c>
      <c r="AG113" s="16">
        <f t="shared" si="59"/>
        <v>56.278080000000003</v>
      </c>
      <c r="AH113" s="16">
        <f t="shared" si="46"/>
        <v>408.01607999999999</v>
      </c>
      <c r="AI113" s="16">
        <f t="shared" si="60"/>
        <v>7.0347600000000003</v>
      </c>
      <c r="AJ113" s="16">
        <v>0</v>
      </c>
      <c r="AK113" s="16">
        <f t="shared" si="47"/>
        <v>7.0347600000000003</v>
      </c>
      <c r="AL113" s="19"/>
      <c r="AM113" s="16">
        <f t="shared" si="48"/>
        <v>344.70323999999999</v>
      </c>
      <c r="AN113" s="16"/>
      <c r="AO113" s="20"/>
      <c r="AP113" s="16">
        <f t="shared" si="49"/>
        <v>0</v>
      </c>
      <c r="AQ113" s="16"/>
      <c r="AR113" s="15"/>
      <c r="AS113" s="16">
        <f t="shared" si="50"/>
        <v>0</v>
      </c>
      <c r="AT113" s="16"/>
      <c r="AU113" s="16">
        <v>408.01607999999999</v>
      </c>
      <c r="AV113" s="16">
        <f t="shared" si="54"/>
        <v>408.01607999999999</v>
      </c>
      <c r="AW113" s="16">
        <f t="shared" si="51"/>
        <v>0</v>
      </c>
      <c r="AX113" s="16" t="str">
        <f t="shared" si="62"/>
        <v>SUNU</v>
      </c>
      <c r="AY113" s="22">
        <v>45062</v>
      </c>
      <c r="AZ113" s="22"/>
      <c r="BA113" s="1"/>
      <c r="BB113" s="22" t="str">
        <f t="shared" si="61"/>
        <v>COMP MOTOR</v>
      </c>
      <c r="BC113" s="1"/>
      <c r="BD113" s="1"/>
      <c r="BE113" s="1"/>
    </row>
    <row r="114" spans="1:57" ht="14.25" hidden="1" customHeight="1">
      <c r="A114" s="2" t="s">
        <v>157</v>
      </c>
      <c r="B114" s="1" t="s">
        <v>58</v>
      </c>
      <c r="C114" s="27">
        <v>44993</v>
      </c>
      <c r="D114" s="27">
        <v>44986</v>
      </c>
      <c r="E114" s="27">
        <v>44977</v>
      </c>
      <c r="F114" s="27">
        <v>45169</v>
      </c>
      <c r="G114" s="13" t="str">
        <f t="shared" si="43"/>
        <v>000-113/AIB RDC/2023</v>
      </c>
      <c r="H114" s="1">
        <v>0</v>
      </c>
      <c r="I114" s="1" t="s">
        <v>83</v>
      </c>
      <c r="J114" s="29" t="s">
        <v>314</v>
      </c>
      <c r="K114" s="2" t="s">
        <v>315</v>
      </c>
      <c r="L114" s="1"/>
      <c r="M114" s="1" t="s">
        <v>95</v>
      </c>
      <c r="N114" s="1" t="s">
        <v>96</v>
      </c>
      <c r="O114" s="1" t="s">
        <v>107</v>
      </c>
      <c r="P114" s="1" t="s">
        <v>108</v>
      </c>
      <c r="Q114" s="1" t="s">
        <v>127</v>
      </c>
      <c r="R114" s="1" t="s">
        <v>127</v>
      </c>
      <c r="S114" s="25">
        <v>0</v>
      </c>
      <c r="T114" s="25">
        <v>268.89</v>
      </c>
      <c r="U114" s="16">
        <v>0</v>
      </c>
      <c r="V114" s="16">
        <v>0</v>
      </c>
      <c r="W114" s="25">
        <v>20</v>
      </c>
      <c r="X114" s="25">
        <v>207.87</v>
      </c>
      <c r="Y114" s="25">
        <v>36.46</v>
      </c>
      <c r="Z114" s="17" t="e">
        <f t="shared" si="44"/>
        <v>#DIV/0!</v>
      </c>
      <c r="AA114" s="18">
        <v>0.2</v>
      </c>
      <c r="AB114" s="16">
        <f t="shared" si="55"/>
        <v>41.574000000000005</v>
      </c>
      <c r="AC114" s="16">
        <v>0</v>
      </c>
      <c r="AD114" s="16">
        <v>0</v>
      </c>
      <c r="AE114" s="16">
        <v>0</v>
      </c>
      <c r="AF114" s="16">
        <f t="shared" si="45"/>
        <v>41.574000000000005</v>
      </c>
      <c r="AG114" s="16">
        <f t="shared" si="59"/>
        <v>6.6518400000000009</v>
      </c>
      <c r="AH114" s="16">
        <f t="shared" si="46"/>
        <v>48.225840000000005</v>
      </c>
      <c r="AI114" s="16">
        <f t="shared" si="60"/>
        <v>0.83148000000000011</v>
      </c>
      <c r="AJ114" s="16">
        <v>0</v>
      </c>
      <c r="AK114" s="16">
        <f t="shared" si="47"/>
        <v>0.83148000000000011</v>
      </c>
      <c r="AL114" s="19"/>
      <c r="AM114" s="16">
        <f t="shared" si="48"/>
        <v>40.742520000000006</v>
      </c>
      <c r="AN114" s="16"/>
      <c r="AO114" s="20"/>
      <c r="AP114" s="16">
        <f t="shared" si="49"/>
        <v>0</v>
      </c>
      <c r="AQ114" s="16"/>
      <c r="AR114" s="15"/>
      <c r="AS114" s="16">
        <f t="shared" si="50"/>
        <v>0</v>
      </c>
      <c r="AT114" s="16"/>
      <c r="AU114" s="16">
        <v>48.225840000000005</v>
      </c>
      <c r="AV114" s="16">
        <f t="shared" si="54"/>
        <v>48.225840000000005</v>
      </c>
      <c r="AW114" s="16">
        <f t="shared" si="51"/>
        <v>0</v>
      </c>
      <c r="AX114" s="16" t="str">
        <f t="shared" si="62"/>
        <v>MAYFAIR</v>
      </c>
      <c r="AY114" s="22">
        <v>45064</v>
      </c>
      <c r="AZ114" s="22"/>
      <c r="BA114" s="1"/>
      <c r="BB114" s="22" t="str">
        <f t="shared" si="61"/>
        <v>FIRE</v>
      </c>
      <c r="BC114" s="1"/>
      <c r="BD114" s="1"/>
      <c r="BE114" s="1"/>
    </row>
    <row r="115" spans="1:57" ht="14.25" hidden="1" customHeight="1">
      <c r="A115" s="2" t="s">
        <v>157</v>
      </c>
      <c r="B115" s="1" t="s">
        <v>58</v>
      </c>
      <c r="C115" s="27">
        <v>44977</v>
      </c>
      <c r="D115" s="27">
        <v>44965</v>
      </c>
      <c r="E115" s="27">
        <v>44965</v>
      </c>
      <c r="F115" s="27">
        <v>45322</v>
      </c>
      <c r="G115" s="13" t="str">
        <f t="shared" si="43"/>
        <v>000-114/AIB RDC/2023</v>
      </c>
      <c r="H115" s="1">
        <v>28</v>
      </c>
      <c r="I115" s="1" t="s">
        <v>59</v>
      </c>
      <c r="J115" s="14" t="s">
        <v>239</v>
      </c>
      <c r="K115" s="1" t="s">
        <v>240</v>
      </c>
      <c r="L115" s="1" t="s">
        <v>139</v>
      </c>
      <c r="M115" s="1" t="s">
        <v>63</v>
      </c>
      <c r="N115" s="1" t="s">
        <v>71</v>
      </c>
      <c r="O115" s="1" t="s">
        <v>133</v>
      </c>
      <c r="P115" s="1" t="s">
        <v>134</v>
      </c>
      <c r="Q115" s="1" t="s">
        <v>76</v>
      </c>
      <c r="R115" s="1" t="s">
        <v>76</v>
      </c>
      <c r="S115" s="25">
        <v>42973</v>
      </c>
      <c r="T115" s="25">
        <v>2246.77</v>
      </c>
      <c r="U115" s="16">
        <v>0</v>
      </c>
      <c r="V115" s="16">
        <v>0</v>
      </c>
      <c r="W115" s="25">
        <v>19.18</v>
      </c>
      <c r="X115" s="25">
        <v>1917.7</v>
      </c>
      <c r="Y115" s="25">
        <v>309.89999999999998</v>
      </c>
      <c r="Z115" s="17">
        <f t="shared" si="44"/>
        <v>4.4625695203965282E-2</v>
      </c>
      <c r="AA115" s="18">
        <v>0.14588906444732899</v>
      </c>
      <c r="AB115" s="16">
        <f t="shared" si="55"/>
        <v>279.7714588906428</v>
      </c>
      <c r="AC115" s="16">
        <v>0</v>
      </c>
      <c r="AD115" s="16">
        <v>0</v>
      </c>
      <c r="AE115" s="16">
        <f>3%*X115</f>
        <v>57.530999999999999</v>
      </c>
      <c r="AF115" s="16">
        <f t="shared" si="45"/>
        <v>337.30245889064281</v>
      </c>
      <c r="AG115" s="16">
        <f t="shared" si="59"/>
        <v>53.968393422502849</v>
      </c>
      <c r="AH115" s="16">
        <f t="shared" si="46"/>
        <v>391.27085231314567</v>
      </c>
      <c r="AI115" s="16">
        <f t="shared" si="60"/>
        <v>5.5954291778128562</v>
      </c>
      <c r="AJ115" s="16">
        <v>0</v>
      </c>
      <c r="AK115" s="16">
        <f t="shared" si="47"/>
        <v>5.5954291778128562</v>
      </c>
      <c r="AL115" s="19"/>
      <c r="AM115" s="16">
        <f t="shared" si="48"/>
        <v>331.70702971282998</v>
      </c>
      <c r="AN115" s="16" t="s">
        <v>228</v>
      </c>
      <c r="AO115" s="20">
        <v>0</v>
      </c>
      <c r="AP115" s="16">
        <f t="shared" si="49"/>
        <v>0</v>
      </c>
      <c r="AQ115" s="16"/>
      <c r="AR115" s="15"/>
      <c r="AS115" s="16">
        <f t="shared" si="50"/>
        <v>0</v>
      </c>
      <c r="AT115" s="16"/>
      <c r="AU115" s="16">
        <f>66.73+324.54</f>
        <v>391.27000000000004</v>
      </c>
      <c r="AV115" s="16">
        <v>391.27000000000004</v>
      </c>
      <c r="AW115" s="16">
        <f t="shared" si="51"/>
        <v>0</v>
      </c>
      <c r="AX115" s="16" t="str">
        <f t="shared" si="62"/>
        <v>ACTIVA</v>
      </c>
      <c r="AY115" s="22">
        <v>45077</v>
      </c>
      <c r="AZ115" s="22"/>
      <c r="BA115" s="1"/>
      <c r="BB115" s="22" t="str">
        <f t="shared" si="61"/>
        <v>COMP MOTOR</v>
      </c>
      <c r="BC115" s="1"/>
      <c r="BD115" s="1"/>
      <c r="BE115" s="1"/>
    </row>
    <row r="116" spans="1:57" ht="14.25" hidden="1" customHeight="1">
      <c r="A116" s="2" t="s">
        <v>157</v>
      </c>
      <c r="B116" s="1" t="s">
        <v>58</v>
      </c>
      <c r="C116" s="27">
        <v>44977</v>
      </c>
      <c r="D116" s="27">
        <v>44958</v>
      </c>
      <c r="E116" s="27">
        <v>44958</v>
      </c>
      <c r="F116" s="27">
        <v>45322</v>
      </c>
      <c r="G116" s="13" t="str">
        <f t="shared" si="43"/>
        <v>000-115/AIB RDC/2023</v>
      </c>
      <c r="H116" s="1">
        <v>0</v>
      </c>
      <c r="I116" s="1" t="s">
        <v>83</v>
      </c>
      <c r="J116" s="29" t="s">
        <v>316</v>
      </c>
      <c r="K116" s="2" t="s">
        <v>317</v>
      </c>
      <c r="L116" s="1" t="s">
        <v>318</v>
      </c>
      <c r="M116" s="1" t="s">
        <v>63</v>
      </c>
      <c r="N116" s="1" t="s">
        <v>205</v>
      </c>
      <c r="O116" s="1" t="s">
        <v>107</v>
      </c>
      <c r="P116" s="1" t="s">
        <v>108</v>
      </c>
      <c r="Q116" s="1" t="s">
        <v>117</v>
      </c>
      <c r="R116" s="1" t="s">
        <v>117</v>
      </c>
      <c r="S116" s="25">
        <v>7886345.5300000003</v>
      </c>
      <c r="T116" s="25">
        <v>9487.48</v>
      </c>
      <c r="U116" s="16">
        <v>0</v>
      </c>
      <c r="V116" s="16">
        <v>0</v>
      </c>
      <c r="W116" s="25">
        <v>80.98</v>
      </c>
      <c r="X116" s="25">
        <v>8097.88</v>
      </c>
      <c r="Y116" s="25">
        <v>1308.6199999999999</v>
      </c>
      <c r="Z116" s="17">
        <f t="shared" si="44"/>
        <v>1.0268228762226196E-3</v>
      </c>
      <c r="AA116" s="18">
        <v>0.1047</v>
      </c>
      <c r="AB116" s="16">
        <f t="shared" si="55"/>
        <v>847.84803599999998</v>
      </c>
      <c r="AC116" s="16">
        <v>0</v>
      </c>
      <c r="AD116" s="16">
        <v>0</v>
      </c>
      <c r="AE116" s="16">
        <v>0</v>
      </c>
      <c r="AF116" s="16">
        <f t="shared" si="45"/>
        <v>847.84803599999998</v>
      </c>
      <c r="AG116" s="16">
        <f t="shared" si="59"/>
        <v>135.65568576000001</v>
      </c>
      <c r="AH116" s="16">
        <f t="shared" si="46"/>
        <v>983.50372175999996</v>
      </c>
      <c r="AI116" s="16">
        <f t="shared" si="60"/>
        <v>16.956960720000001</v>
      </c>
      <c r="AJ116" s="16">
        <v>0</v>
      </c>
      <c r="AK116" s="16">
        <f t="shared" si="47"/>
        <v>16.956960720000001</v>
      </c>
      <c r="AL116" s="19"/>
      <c r="AM116" s="16">
        <f t="shared" si="48"/>
        <v>830.89107528</v>
      </c>
      <c r="AN116" s="16" t="s">
        <v>319</v>
      </c>
      <c r="AO116" s="20"/>
      <c r="AP116" s="16">
        <f t="shared" si="49"/>
        <v>0</v>
      </c>
      <c r="AQ116" s="16"/>
      <c r="AR116" s="15"/>
      <c r="AS116" s="16">
        <f t="shared" si="50"/>
        <v>0</v>
      </c>
      <c r="AT116" s="16"/>
      <c r="AU116" s="16">
        <v>983.50372175999996</v>
      </c>
      <c r="AV116" s="16">
        <f t="shared" ref="AV116:AV147" si="63">AH116</f>
        <v>983.50372175999996</v>
      </c>
      <c r="AW116" s="16">
        <f t="shared" si="51"/>
        <v>0</v>
      </c>
      <c r="AX116" s="16" t="str">
        <f t="shared" si="62"/>
        <v>SUNU</v>
      </c>
      <c r="AY116" s="22">
        <v>45062</v>
      </c>
      <c r="AZ116" s="22"/>
      <c r="BA116" s="1"/>
      <c r="BB116" s="22" t="str">
        <f t="shared" si="61"/>
        <v>FIRE</v>
      </c>
      <c r="BC116" s="1"/>
      <c r="BD116" s="1"/>
      <c r="BE116" s="1"/>
    </row>
    <row r="117" spans="1:57" ht="14.25" hidden="1" customHeight="1">
      <c r="A117" s="2" t="s">
        <v>157</v>
      </c>
      <c r="B117" s="1" t="s">
        <v>58</v>
      </c>
      <c r="C117" s="27">
        <v>44977</v>
      </c>
      <c r="D117" s="27">
        <v>44958</v>
      </c>
      <c r="E117" s="27">
        <v>44958</v>
      </c>
      <c r="F117" s="27">
        <v>45322</v>
      </c>
      <c r="G117" s="13" t="str">
        <f t="shared" si="43"/>
        <v>000-116/AIB RDC/2023</v>
      </c>
      <c r="H117" s="1">
        <v>0</v>
      </c>
      <c r="I117" s="1" t="s">
        <v>83</v>
      </c>
      <c r="J117" s="29" t="s">
        <v>320</v>
      </c>
      <c r="K117" s="2" t="s">
        <v>317</v>
      </c>
      <c r="L117" s="1" t="s">
        <v>318</v>
      </c>
      <c r="M117" s="1" t="s">
        <v>63</v>
      </c>
      <c r="N117" s="1" t="s">
        <v>205</v>
      </c>
      <c r="O117" s="1" t="s">
        <v>101</v>
      </c>
      <c r="P117" s="1" t="s">
        <v>81</v>
      </c>
      <c r="Q117" s="1" t="s">
        <v>117</v>
      </c>
      <c r="R117" s="1" t="s">
        <v>117</v>
      </c>
      <c r="S117" s="25">
        <v>0</v>
      </c>
      <c r="T117" s="25">
        <v>4175.88</v>
      </c>
      <c r="U117" s="16">
        <v>0</v>
      </c>
      <c r="V117" s="16">
        <v>0</v>
      </c>
      <c r="W117" s="25">
        <v>35.64</v>
      </c>
      <c r="X117" s="25">
        <v>3564.26</v>
      </c>
      <c r="Y117" s="25">
        <v>575.98</v>
      </c>
      <c r="Z117" s="17" t="e">
        <f t="shared" si="44"/>
        <v>#DIV/0!</v>
      </c>
      <c r="AA117" s="18">
        <v>0.1</v>
      </c>
      <c r="AB117" s="16">
        <f t="shared" si="55"/>
        <v>356.42600000000004</v>
      </c>
      <c r="AC117" s="16">
        <v>0</v>
      </c>
      <c r="AD117" s="16">
        <v>0</v>
      </c>
      <c r="AE117" s="16">
        <v>0</v>
      </c>
      <c r="AF117" s="16">
        <f t="shared" si="45"/>
        <v>356.42600000000004</v>
      </c>
      <c r="AG117" s="16">
        <f t="shared" si="59"/>
        <v>57.028160000000007</v>
      </c>
      <c r="AH117" s="16">
        <f t="shared" si="46"/>
        <v>413.45416000000006</v>
      </c>
      <c r="AI117" s="16">
        <f t="shared" si="60"/>
        <v>7.1285200000000009</v>
      </c>
      <c r="AJ117" s="16">
        <v>0</v>
      </c>
      <c r="AK117" s="16">
        <f t="shared" si="47"/>
        <v>7.1285200000000009</v>
      </c>
      <c r="AL117" s="19"/>
      <c r="AM117" s="16">
        <f t="shared" si="48"/>
        <v>349.29748000000006</v>
      </c>
      <c r="AN117" s="16" t="s">
        <v>319</v>
      </c>
      <c r="AO117" s="20"/>
      <c r="AP117" s="16">
        <f t="shared" si="49"/>
        <v>0</v>
      </c>
      <c r="AQ117" s="16"/>
      <c r="AR117" s="15"/>
      <c r="AS117" s="16">
        <f t="shared" si="50"/>
        <v>0</v>
      </c>
      <c r="AT117" s="16"/>
      <c r="AU117" s="16">
        <v>413.45416000000006</v>
      </c>
      <c r="AV117" s="16">
        <f t="shared" si="63"/>
        <v>413.45416000000006</v>
      </c>
      <c r="AW117" s="16">
        <f t="shared" si="51"/>
        <v>0</v>
      </c>
      <c r="AX117" s="16" t="str">
        <f t="shared" si="62"/>
        <v>SUNU</v>
      </c>
      <c r="AY117" s="22">
        <v>45062</v>
      </c>
      <c r="AZ117" s="22"/>
      <c r="BA117" s="1"/>
      <c r="BB117" s="22" t="str">
        <f t="shared" si="61"/>
        <v>GPA</v>
      </c>
      <c r="BC117" s="1"/>
      <c r="BD117" s="1"/>
      <c r="BE117" s="1"/>
    </row>
    <row r="118" spans="1:57" ht="14.25" hidden="1" customHeight="1">
      <c r="A118" s="2" t="s">
        <v>157</v>
      </c>
      <c r="B118" s="1" t="s">
        <v>58</v>
      </c>
      <c r="C118" s="27">
        <v>44977</v>
      </c>
      <c r="D118" s="27">
        <v>44958</v>
      </c>
      <c r="E118" s="27">
        <v>44958</v>
      </c>
      <c r="F118" s="27">
        <v>45322</v>
      </c>
      <c r="G118" s="13" t="str">
        <f t="shared" si="43"/>
        <v>000-117/AIB RDC/2023</v>
      </c>
      <c r="H118" s="1">
        <v>0</v>
      </c>
      <c r="I118" s="1" t="s">
        <v>83</v>
      </c>
      <c r="J118" s="29" t="s">
        <v>321</v>
      </c>
      <c r="K118" s="2" t="s">
        <v>317</v>
      </c>
      <c r="L118" s="1" t="s">
        <v>318</v>
      </c>
      <c r="M118" s="1" t="s">
        <v>63</v>
      </c>
      <c r="N118" s="1" t="s">
        <v>205</v>
      </c>
      <c r="O118" s="1" t="s">
        <v>111</v>
      </c>
      <c r="P118" s="1" t="s">
        <v>112</v>
      </c>
      <c r="Q118" s="1" t="s">
        <v>117</v>
      </c>
      <c r="R118" s="1" t="s">
        <v>117</v>
      </c>
      <c r="S118" s="25">
        <v>50000</v>
      </c>
      <c r="T118" s="25">
        <v>894.35</v>
      </c>
      <c r="U118" s="16">
        <v>0</v>
      </c>
      <c r="V118" s="16">
        <v>0</v>
      </c>
      <c r="W118" s="25">
        <v>10</v>
      </c>
      <c r="X118" s="25">
        <v>760.99</v>
      </c>
      <c r="Y118" s="25">
        <v>123.36</v>
      </c>
      <c r="Z118" s="17">
        <f t="shared" si="44"/>
        <v>1.52198E-2</v>
      </c>
      <c r="AA118" s="18">
        <v>0.15</v>
      </c>
      <c r="AB118" s="16">
        <f t="shared" si="55"/>
        <v>114.1485</v>
      </c>
      <c r="AC118" s="16">
        <v>0</v>
      </c>
      <c r="AD118" s="16">
        <v>0</v>
      </c>
      <c r="AE118" s="16">
        <v>0</v>
      </c>
      <c r="AF118" s="16">
        <f t="shared" si="45"/>
        <v>114.1485</v>
      </c>
      <c r="AG118" s="16">
        <f t="shared" si="59"/>
        <v>18.263760000000001</v>
      </c>
      <c r="AH118" s="16">
        <f t="shared" si="46"/>
        <v>132.41226</v>
      </c>
      <c r="AI118" s="16">
        <f t="shared" si="60"/>
        <v>2.2829700000000002</v>
      </c>
      <c r="AJ118" s="16">
        <v>0</v>
      </c>
      <c r="AK118" s="16">
        <f t="shared" si="47"/>
        <v>2.2829700000000002</v>
      </c>
      <c r="AL118" s="19"/>
      <c r="AM118" s="16">
        <f t="shared" si="48"/>
        <v>111.86552999999999</v>
      </c>
      <c r="AN118" s="16" t="s">
        <v>319</v>
      </c>
      <c r="AO118" s="20"/>
      <c r="AP118" s="16">
        <f t="shared" si="49"/>
        <v>0</v>
      </c>
      <c r="AQ118" s="16"/>
      <c r="AR118" s="15"/>
      <c r="AS118" s="16">
        <f t="shared" si="50"/>
        <v>0</v>
      </c>
      <c r="AT118" s="16"/>
      <c r="AU118" s="16">
        <v>132.41226</v>
      </c>
      <c r="AV118" s="16">
        <f t="shared" si="63"/>
        <v>132.41226</v>
      </c>
      <c r="AW118" s="16">
        <f t="shared" si="51"/>
        <v>0</v>
      </c>
      <c r="AX118" s="16" t="str">
        <f t="shared" si="62"/>
        <v>SUNU</v>
      </c>
      <c r="AY118" s="22">
        <v>45062</v>
      </c>
      <c r="AZ118" s="22"/>
      <c r="BA118" s="1"/>
      <c r="BB118" s="22" t="str">
        <f t="shared" si="61"/>
        <v>GENERAL LIABILITY</v>
      </c>
      <c r="BC118" s="1"/>
      <c r="BD118" s="1"/>
      <c r="BE118" s="1"/>
    </row>
    <row r="119" spans="1:57" ht="14.25" hidden="1" customHeight="1">
      <c r="A119" s="2" t="s">
        <v>157</v>
      </c>
      <c r="B119" s="1" t="s">
        <v>58</v>
      </c>
      <c r="C119" s="27">
        <v>44977</v>
      </c>
      <c r="D119" s="27">
        <v>44964</v>
      </c>
      <c r="E119" s="27">
        <v>44958</v>
      </c>
      <c r="F119" s="27">
        <v>45322</v>
      </c>
      <c r="G119" s="13" t="str">
        <f t="shared" si="43"/>
        <v>000-118/AIB RDC/2023</v>
      </c>
      <c r="H119" s="1">
        <v>0</v>
      </c>
      <c r="I119" s="1" t="s">
        <v>83</v>
      </c>
      <c r="J119" s="29" t="s">
        <v>322</v>
      </c>
      <c r="K119" s="2" t="s">
        <v>317</v>
      </c>
      <c r="L119" s="1" t="s">
        <v>318</v>
      </c>
      <c r="M119" s="1" t="s">
        <v>63</v>
      </c>
      <c r="N119" s="1" t="s">
        <v>205</v>
      </c>
      <c r="O119" s="1" t="s">
        <v>284</v>
      </c>
      <c r="P119" s="1" t="s">
        <v>285</v>
      </c>
      <c r="Q119" s="1" t="s">
        <v>117</v>
      </c>
      <c r="R119" s="1" t="s">
        <v>117</v>
      </c>
      <c r="S119" s="25">
        <v>0</v>
      </c>
      <c r="T119" s="25">
        <v>4217.76</v>
      </c>
      <c r="U119" s="16">
        <v>0</v>
      </c>
      <c r="V119" s="16">
        <v>0</v>
      </c>
      <c r="W119" s="25">
        <v>36</v>
      </c>
      <c r="X119" s="25">
        <v>3600</v>
      </c>
      <c r="Y119" s="25">
        <v>581.76</v>
      </c>
      <c r="Z119" s="17" t="e">
        <f t="shared" si="44"/>
        <v>#DIV/0!</v>
      </c>
      <c r="AA119" s="18">
        <v>0.15</v>
      </c>
      <c r="AB119" s="16">
        <f t="shared" si="55"/>
        <v>540</v>
      </c>
      <c r="AC119" s="16">
        <v>0</v>
      </c>
      <c r="AD119" s="16">
        <v>0</v>
      </c>
      <c r="AE119" s="16">
        <v>0</v>
      </c>
      <c r="AF119" s="16">
        <f t="shared" si="45"/>
        <v>540</v>
      </c>
      <c r="AG119" s="16">
        <f t="shared" si="59"/>
        <v>86.4</v>
      </c>
      <c r="AH119" s="16">
        <f t="shared" si="46"/>
        <v>626.4</v>
      </c>
      <c r="AI119" s="16">
        <f t="shared" si="60"/>
        <v>10.8</v>
      </c>
      <c r="AJ119" s="16">
        <v>0</v>
      </c>
      <c r="AK119" s="16">
        <f t="shared" si="47"/>
        <v>10.8</v>
      </c>
      <c r="AL119" s="19"/>
      <c r="AM119" s="16">
        <f t="shared" si="48"/>
        <v>529.20000000000005</v>
      </c>
      <c r="AN119" s="16" t="s">
        <v>319</v>
      </c>
      <c r="AO119" s="20"/>
      <c r="AP119" s="16">
        <f t="shared" si="49"/>
        <v>0</v>
      </c>
      <c r="AQ119" s="16"/>
      <c r="AR119" s="15"/>
      <c r="AS119" s="16">
        <f t="shared" si="50"/>
        <v>0</v>
      </c>
      <c r="AT119" s="16"/>
      <c r="AU119" s="16">
        <v>626.4</v>
      </c>
      <c r="AV119" s="16">
        <f t="shared" si="63"/>
        <v>626.4</v>
      </c>
      <c r="AW119" s="16">
        <f t="shared" si="51"/>
        <v>0</v>
      </c>
      <c r="AX119" s="16" t="str">
        <f t="shared" si="62"/>
        <v>SUNU</v>
      </c>
      <c r="AY119" s="22">
        <v>45062</v>
      </c>
      <c r="AZ119" s="22"/>
      <c r="BA119" s="1"/>
      <c r="BB119" s="22" t="str">
        <f t="shared" si="61"/>
        <v>PVT</v>
      </c>
      <c r="BC119" s="1"/>
      <c r="BD119" s="1"/>
      <c r="BE119" s="1"/>
    </row>
    <row r="120" spans="1:57" ht="14.25" hidden="1" customHeight="1">
      <c r="A120" s="2" t="s">
        <v>157</v>
      </c>
      <c r="B120" s="1" t="s">
        <v>58</v>
      </c>
      <c r="C120" s="27">
        <v>44977</v>
      </c>
      <c r="D120" s="27">
        <v>44958</v>
      </c>
      <c r="E120" s="27">
        <v>44958</v>
      </c>
      <c r="F120" s="27">
        <v>45322</v>
      </c>
      <c r="G120" s="13" t="str">
        <f t="shared" si="43"/>
        <v>000-119/AIB RDC/2023</v>
      </c>
      <c r="H120" s="1">
        <v>0</v>
      </c>
      <c r="I120" s="1" t="s">
        <v>83</v>
      </c>
      <c r="J120" s="29" t="s">
        <v>323</v>
      </c>
      <c r="K120" s="2" t="s">
        <v>317</v>
      </c>
      <c r="L120" s="1" t="s">
        <v>318</v>
      </c>
      <c r="M120" s="1" t="s">
        <v>63</v>
      </c>
      <c r="N120" s="1" t="s">
        <v>205</v>
      </c>
      <c r="O120" s="1" t="s">
        <v>133</v>
      </c>
      <c r="P120" s="1" t="s">
        <v>134</v>
      </c>
      <c r="Q120" s="1" t="s">
        <v>117</v>
      </c>
      <c r="R120" s="1" t="s">
        <v>117</v>
      </c>
      <c r="S120" s="25">
        <v>204370</v>
      </c>
      <c r="T120" s="25">
        <v>9270.4</v>
      </c>
      <c r="U120" s="16">
        <v>0</v>
      </c>
      <c r="V120" s="16">
        <v>0</v>
      </c>
      <c r="W120" s="25">
        <v>79.12</v>
      </c>
      <c r="X120" s="25">
        <v>7912.6</v>
      </c>
      <c r="Y120" s="25">
        <v>1278.68</v>
      </c>
      <c r="Z120" s="17">
        <f t="shared" si="44"/>
        <v>3.871703283260753E-2</v>
      </c>
      <c r="AA120" s="18">
        <v>0.15</v>
      </c>
      <c r="AB120" s="16">
        <f t="shared" si="55"/>
        <v>1186.8900000000001</v>
      </c>
      <c r="AC120" s="16">
        <v>0</v>
      </c>
      <c r="AD120" s="16">
        <v>0</v>
      </c>
      <c r="AE120" s="16">
        <v>0</v>
      </c>
      <c r="AF120" s="16">
        <f t="shared" si="45"/>
        <v>1186.8900000000001</v>
      </c>
      <c r="AG120" s="16">
        <f t="shared" si="59"/>
        <v>189.90240000000003</v>
      </c>
      <c r="AH120" s="16">
        <f t="shared" si="46"/>
        <v>1376.7924</v>
      </c>
      <c r="AI120" s="16">
        <f t="shared" si="60"/>
        <v>23.737800000000004</v>
      </c>
      <c r="AJ120" s="16">
        <v>0</v>
      </c>
      <c r="AK120" s="16">
        <f t="shared" si="47"/>
        <v>23.737800000000004</v>
      </c>
      <c r="AL120" s="19"/>
      <c r="AM120" s="16">
        <f t="shared" si="48"/>
        <v>1163.1522</v>
      </c>
      <c r="AN120" s="16" t="s">
        <v>319</v>
      </c>
      <c r="AO120" s="20"/>
      <c r="AP120" s="16">
        <f t="shared" si="49"/>
        <v>0</v>
      </c>
      <c r="AQ120" s="16"/>
      <c r="AR120" s="15"/>
      <c r="AS120" s="16">
        <f t="shared" si="50"/>
        <v>0</v>
      </c>
      <c r="AT120" s="16"/>
      <c r="AU120" s="16">
        <v>1376.7924</v>
      </c>
      <c r="AV120" s="16">
        <f t="shared" si="63"/>
        <v>1376.7924</v>
      </c>
      <c r="AW120" s="16">
        <f t="shared" si="51"/>
        <v>0</v>
      </c>
      <c r="AX120" s="16" t="str">
        <f t="shared" si="62"/>
        <v>SUNU</v>
      </c>
      <c r="AY120" s="22">
        <v>45062</v>
      </c>
      <c r="AZ120" s="22"/>
      <c r="BA120" s="1"/>
      <c r="BB120" s="22" t="str">
        <f t="shared" si="61"/>
        <v>COMP MOTOR</v>
      </c>
      <c r="BC120" s="1"/>
      <c r="BD120" s="1"/>
      <c r="BE120" s="1"/>
    </row>
    <row r="121" spans="1:57" ht="14.25" hidden="1" customHeight="1">
      <c r="A121" s="2" t="s">
        <v>157</v>
      </c>
      <c r="B121" s="1" t="s">
        <v>58</v>
      </c>
      <c r="C121" s="27">
        <v>44977</v>
      </c>
      <c r="D121" s="27">
        <v>44965</v>
      </c>
      <c r="E121" s="27">
        <v>44964</v>
      </c>
      <c r="F121" s="27">
        <v>45052</v>
      </c>
      <c r="G121" s="13" t="str">
        <f t="shared" si="43"/>
        <v>000-120/AIB RDC/2023</v>
      </c>
      <c r="H121" s="1">
        <v>0</v>
      </c>
      <c r="I121" s="1" t="s">
        <v>83</v>
      </c>
      <c r="J121" s="29" t="s">
        <v>324</v>
      </c>
      <c r="K121" s="2" t="s">
        <v>325</v>
      </c>
      <c r="L121" s="1" t="s">
        <v>326</v>
      </c>
      <c r="M121" s="1" t="s">
        <v>63</v>
      </c>
      <c r="N121" s="1" t="s">
        <v>71</v>
      </c>
      <c r="O121" s="1" t="s">
        <v>104</v>
      </c>
      <c r="P121" s="1" t="s">
        <v>105</v>
      </c>
      <c r="Q121" s="1" t="s">
        <v>76</v>
      </c>
      <c r="R121" s="1" t="s">
        <v>76</v>
      </c>
      <c r="S121" s="25">
        <v>28143.599999999999</v>
      </c>
      <c r="T121" s="25">
        <v>180.6</v>
      </c>
      <c r="U121" s="25">
        <v>0</v>
      </c>
      <c r="V121" s="25">
        <v>0</v>
      </c>
      <c r="W121" s="25">
        <v>10</v>
      </c>
      <c r="X121" s="25">
        <v>150</v>
      </c>
      <c r="Y121" s="25">
        <v>25.6</v>
      </c>
      <c r="Z121" s="17">
        <f t="shared" si="44"/>
        <v>5.3298085532767665E-3</v>
      </c>
      <c r="AA121" s="18">
        <v>0.15</v>
      </c>
      <c r="AB121" s="16">
        <f t="shared" si="55"/>
        <v>22.5</v>
      </c>
      <c r="AC121" s="16">
        <v>0</v>
      </c>
      <c r="AD121" s="16">
        <v>0</v>
      </c>
      <c r="AE121" s="16">
        <v>0</v>
      </c>
      <c r="AF121" s="16">
        <f t="shared" si="45"/>
        <v>22.5</v>
      </c>
      <c r="AG121" s="16">
        <f t="shared" si="59"/>
        <v>3.6</v>
      </c>
      <c r="AH121" s="16">
        <f t="shared" si="46"/>
        <v>26.1</v>
      </c>
      <c r="AI121" s="16">
        <f t="shared" si="60"/>
        <v>0.45</v>
      </c>
      <c r="AJ121" s="16">
        <v>0</v>
      </c>
      <c r="AK121" s="16">
        <f t="shared" si="47"/>
        <v>0.45</v>
      </c>
      <c r="AL121" s="19"/>
      <c r="AM121" s="16">
        <f t="shared" si="48"/>
        <v>22.05</v>
      </c>
      <c r="AN121" s="16" t="s">
        <v>319</v>
      </c>
      <c r="AO121" s="20"/>
      <c r="AP121" s="16">
        <f t="shared" si="49"/>
        <v>0</v>
      </c>
      <c r="AQ121" s="16"/>
      <c r="AR121" s="15"/>
      <c r="AS121" s="16">
        <f t="shared" si="50"/>
        <v>0</v>
      </c>
      <c r="AT121" s="16"/>
      <c r="AU121" s="16">
        <v>26.1</v>
      </c>
      <c r="AV121" s="16">
        <f t="shared" si="63"/>
        <v>26.1</v>
      </c>
      <c r="AW121" s="16">
        <f t="shared" si="51"/>
        <v>0</v>
      </c>
      <c r="AX121" s="16" t="str">
        <f t="shared" si="62"/>
        <v>ACTIVA</v>
      </c>
      <c r="AY121" s="22">
        <v>45035</v>
      </c>
      <c r="AZ121" s="22"/>
      <c r="BA121" s="1"/>
      <c r="BB121" s="22" t="str">
        <f t="shared" si="61"/>
        <v>MARINE CARGO / GIT</v>
      </c>
      <c r="BC121" s="1"/>
      <c r="BD121" s="1"/>
      <c r="BE121" s="1"/>
    </row>
    <row r="122" spans="1:57" ht="14.25" hidden="1" customHeight="1">
      <c r="A122" s="2" t="s">
        <v>57</v>
      </c>
      <c r="B122" s="1" t="s">
        <v>58</v>
      </c>
      <c r="C122" s="27">
        <v>44977</v>
      </c>
      <c r="D122" s="27">
        <v>44964</v>
      </c>
      <c r="E122" s="27">
        <v>44957</v>
      </c>
      <c r="F122" s="27">
        <v>45260</v>
      </c>
      <c r="G122" s="13" t="str">
        <f t="shared" si="43"/>
        <v>000-121/AIB RDC/2023</v>
      </c>
      <c r="H122" s="1">
        <v>1</v>
      </c>
      <c r="I122" s="1" t="s">
        <v>59</v>
      </c>
      <c r="J122" s="29" t="s">
        <v>327</v>
      </c>
      <c r="K122" s="2" t="s">
        <v>328</v>
      </c>
      <c r="L122" s="1" t="s">
        <v>329</v>
      </c>
      <c r="M122" s="1" t="s">
        <v>63</v>
      </c>
      <c r="N122" s="1" t="s">
        <v>146</v>
      </c>
      <c r="O122" s="1" t="s">
        <v>65</v>
      </c>
      <c r="P122" s="1" t="s">
        <v>65</v>
      </c>
      <c r="Q122" s="1" t="s">
        <v>135</v>
      </c>
      <c r="R122" s="1" t="s">
        <v>135</v>
      </c>
      <c r="S122" s="25">
        <v>0</v>
      </c>
      <c r="T122" s="25">
        <v>1413.25</v>
      </c>
      <c r="U122" s="25">
        <v>0</v>
      </c>
      <c r="V122" s="25">
        <v>0</v>
      </c>
      <c r="W122" s="25">
        <v>160</v>
      </c>
      <c r="X122" s="25">
        <v>1037.71</v>
      </c>
      <c r="Y122" s="25">
        <v>191.59</v>
      </c>
      <c r="Z122" s="17" t="e">
        <f t="shared" si="44"/>
        <v>#DIV/0!</v>
      </c>
      <c r="AA122" s="18">
        <v>0.1</v>
      </c>
      <c r="AB122" s="16">
        <f t="shared" si="55"/>
        <v>103.77100000000002</v>
      </c>
      <c r="AC122" s="16">
        <v>0</v>
      </c>
      <c r="AD122" s="16">
        <v>0</v>
      </c>
      <c r="AE122" s="16">
        <v>0</v>
      </c>
      <c r="AF122" s="16">
        <f t="shared" si="45"/>
        <v>103.77100000000002</v>
      </c>
      <c r="AG122" s="16">
        <f t="shared" si="59"/>
        <v>16.603360000000002</v>
      </c>
      <c r="AH122" s="16">
        <f t="shared" si="46"/>
        <v>120.37436000000002</v>
      </c>
      <c r="AI122" s="16">
        <f t="shared" si="60"/>
        <v>2.0754200000000003</v>
      </c>
      <c r="AJ122" s="16">
        <v>0</v>
      </c>
      <c r="AK122" s="16">
        <f t="shared" si="47"/>
        <v>2.0754200000000003</v>
      </c>
      <c r="AL122" s="19"/>
      <c r="AM122" s="16">
        <f t="shared" si="48"/>
        <v>101.69558000000002</v>
      </c>
      <c r="AN122" s="16" t="s">
        <v>319</v>
      </c>
      <c r="AO122" s="20"/>
      <c r="AP122" s="16">
        <f t="shared" si="49"/>
        <v>0</v>
      </c>
      <c r="AQ122" s="16"/>
      <c r="AR122" s="15"/>
      <c r="AS122" s="16">
        <f t="shared" si="50"/>
        <v>0</v>
      </c>
      <c r="AT122" s="16"/>
      <c r="AU122" s="16">
        <v>120.37436000000002</v>
      </c>
      <c r="AV122" s="16">
        <f t="shared" si="63"/>
        <v>120.37436000000002</v>
      </c>
      <c r="AW122" s="16">
        <f t="shared" si="51"/>
        <v>0</v>
      </c>
      <c r="AX122" s="16" t="str">
        <f t="shared" si="62"/>
        <v>RAWSUR</v>
      </c>
      <c r="AY122" s="22">
        <v>44992</v>
      </c>
      <c r="AZ122" s="22"/>
      <c r="BA122" s="1"/>
      <c r="BB122" s="22" t="str">
        <f t="shared" si="61"/>
        <v>MOTOR TPL</v>
      </c>
      <c r="BC122" s="1"/>
      <c r="BD122" s="1"/>
      <c r="BE122" s="1"/>
    </row>
    <row r="123" spans="1:57" ht="14.25" customHeight="1">
      <c r="A123" s="2" t="s">
        <v>784</v>
      </c>
      <c r="B123" s="1" t="s">
        <v>58</v>
      </c>
      <c r="C123" s="27">
        <v>45196</v>
      </c>
      <c r="D123" s="27">
        <v>45196</v>
      </c>
      <c r="E123" s="27">
        <v>45195</v>
      </c>
      <c r="F123" s="27">
        <v>45560</v>
      </c>
      <c r="G123" s="13" t="str">
        <f t="shared" si="43"/>
        <v>000-122/AIB RDC/2023</v>
      </c>
      <c r="H123" s="1">
        <v>0</v>
      </c>
      <c r="I123" s="1" t="s">
        <v>83</v>
      </c>
      <c r="J123" s="2" t="s">
        <v>1028</v>
      </c>
      <c r="K123" s="2" t="s">
        <v>1029</v>
      </c>
      <c r="L123" s="1"/>
      <c r="M123" s="1" t="s">
        <v>99</v>
      </c>
      <c r="N123" s="1" t="s">
        <v>1021</v>
      </c>
      <c r="O123" s="28" t="s">
        <v>107</v>
      </c>
      <c r="P123" s="1" t="s">
        <v>108</v>
      </c>
      <c r="Q123" s="1" t="s">
        <v>66</v>
      </c>
      <c r="R123" s="1" t="s">
        <v>66</v>
      </c>
      <c r="S123" s="25">
        <v>7015593</v>
      </c>
      <c r="T123" s="25">
        <v>12433.4</v>
      </c>
      <c r="U123" s="25">
        <v>0</v>
      </c>
      <c r="V123" s="25">
        <v>0</v>
      </c>
      <c r="W123" s="25">
        <v>272.39999999999998</v>
      </c>
      <c r="X123" s="25">
        <v>10446</v>
      </c>
      <c r="Y123" s="25">
        <v>1714.95</v>
      </c>
      <c r="Z123" s="17">
        <f t="shared" si="44"/>
        <v>1.4889689296400175E-3</v>
      </c>
      <c r="AA123" s="18">
        <v>0.1</v>
      </c>
      <c r="AB123" s="16">
        <f t="shared" si="55"/>
        <v>1044.6000000000001</v>
      </c>
      <c r="AC123" s="16">
        <v>0</v>
      </c>
      <c r="AD123" s="16">
        <v>0</v>
      </c>
      <c r="AE123" s="16">
        <v>0</v>
      </c>
      <c r="AF123" s="16">
        <f t="shared" si="45"/>
        <v>1044.6000000000001</v>
      </c>
      <c r="AG123" s="16">
        <f t="shared" si="59"/>
        <v>167.13600000000002</v>
      </c>
      <c r="AH123" s="16">
        <f t="shared" si="46"/>
        <v>1211.7360000000001</v>
      </c>
      <c r="AI123" s="16">
        <f t="shared" si="60"/>
        <v>20.892000000000003</v>
      </c>
      <c r="AJ123" s="16">
        <v>0</v>
      </c>
      <c r="AK123" s="16">
        <f t="shared" si="47"/>
        <v>20.892000000000003</v>
      </c>
      <c r="AL123" s="19"/>
      <c r="AM123" s="16">
        <f t="shared" si="48"/>
        <v>1023.7080000000001</v>
      </c>
      <c r="AN123" s="16"/>
      <c r="AO123" s="20"/>
      <c r="AP123" s="16">
        <f t="shared" si="49"/>
        <v>0</v>
      </c>
      <c r="AQ123" s="16"/>
      <c r="AR123" s="15"/>
      <c r="AS123" s="16">
        <f t="shared" si="50"/>
        <v>0</v>
      </c>
      <c r="AT123" s="16"/>
      <c r="AU123" s="16">
        <v>577.54</v>
      </c>
      <c r="AV123" s="16">
        <f t="shared" si="63"/>
        <v>1211.7360000000001</v>
      </c>
      <c r="AW123" s="60">
        <f t="shared" si="51"/>
        <v>634.19600000000014</v>
      </c>
      <c r="AX123" s="16" t="str">
        <f t="shared" si="62"/>
        <v>SFA</v>
      </c>
      <c r="AY123" s="22">
        <v>45216</v>
      </c>
      <c r="BA123" s="1"/>
      <c r="BB123" s="22"/>
      <c r="BC123" s="1"/>
      <c r="BD123" s="1"/>
      <c r="BE123" s="1"/>
    </row>
    <row r="124" spans="1:57" ht="14.25" hidden="1" customHeight="1">
      <c r="A124" s="2" t="s">
        <v>157</v>
      </c>
      <c r="B124" s="1" t="s">
        <v>58</v>
      </c>
      <c r="C124" s="27">
        <v>44977</v>
      </c>
      <c r="D124" s="27">
        <v>44978</v>
      </c>
      <c r="E124" s="27">
        <v>44983</v>
      </c>
      <c r="F124" s="27">
        <v>45347</v>
      </c>
      <c r="G124" s="13" t="str">
        <f t="shared" si="43"/>
        <v>000-123/AIB RDC/2023</v>
      </c>
      <c r="H124" s="1">
        <v>0</v>
      </c>
      <c r="I124" s="1" t="s">
        <v>83</v>
      </c>
      <c r="J124" s="29">
        <v>30000017</v>
      </c>
      <c r="K124" s="1" t="s">
        <v>332</v>
      </c>
      <c r="L124" s="1" t="s">
        <v>62</v>
      </c>
      <c r="M124" s="1" t="s">
        <v>63</v>
      </c>
      <c r="N124" s="1" t="s">
        <v>64</v>
      </c>
      <c r="O124" s="1" t="s">
        <v>65</v>
      </c>
      <c r="P124" s="1" t="s">
        <v>65</v>
      </c>
      <c r="Q124" s="1" t="s">
        <v>135</v>
      </c>
      <c r="R124" s="1" t="s">
        <v>135</v>
      </c>
      <c r="S124" s="25">
        <v>0</v>
      </c>
      <c r="T124" s="25">
        <v>52846.080000000002</v>
      </c>
      <c r="U124" s="25">
        <v>0</v>
      </c>
      <c r="V124" s="25">
        <v>0</v>
      </c>
      <c r="W124" s="25">
        <v>1620</v>
      </c>
      <c r="X124" s="25">
        <v>43164.59</v>
      </c>
      <c r="Y124" s="25">
        <v>7165.48</v>
      </c>
      <c r="Z124" s="17" t="e">
        <f t="shared" si="44"/>
        <v>#DIV/0!</v>
      </c>
      <c r="AA124" s="18">
        <v>0.1</v>
      </c>
      <c r="AB124" s="16">
        <f t="shared" si="55"/>
        <v>4316.4589999999998</v>
      </c>
      <c r="AC124" s="16">
        <v>0</v>
      </c>
      <c r="AD124" s="16">
        <v>0</v>
      </c>
      <c r="AE124" s="16">
        <v>0</v>
      </c>
      <c r="AF124" s="16">
        <f t="shared" si="45"/>
        <v>4316.4589999999998</v>
      </c>
      <c r="AG124" s="16">
        <f t="shared" si="59"/>
        <v>690.63343999999995</v>
      </c>
      <c r="AH124" s="16">
        <f t="shared" si="46"/>
        <v>5007.0924399999994</v>
      </c>
      <c r="AI124" s="16">
        <f t="shared" si="60"/>
        <v>86.329179999999994</v>
      </c>
      <c r="AJ124" s="16">
        <v>0</v>
      </c>
      <c r="AK124" s="16">
        <f t="shared" si="47"/>
        <v>86.329179999999994</v>
      </c>
      <c r="AL124" s="19"/>
      <c r="AM124" s="16">
        <f t="shared" si="48"/>
        <v>4230.1298200000001</v>
      </c>
      <c r="AN124" s="16" t="s">
        <v>319</v>
      </c>
      <c r="AO124" s="20"/>
      <c r="AP124" s="16">
        <f t="shared" si="49"/>
        <v>0</v>
      </c>
      <c r="AQ124" s="16"/>
      <c r="AR124" s="15"/>
      <c r="AS124" s="16">
        <f t="shared" si="50"/>
        <v>0</v>
      </c>
      <c r="AT124" s="16"/>
      <c r="AU124" s="16">
        <v>5007.0924399999994</v>
      </c>
      <c r="AV124" s="16">
        <f t="shared" si="63"/>
        <v>5007.0924399999994</v>
      </c>
      <c r="AW124" s="16">
        <f t="shared" si="51"/>
        <v>0</v>
      </c>
      <c r="AX124" s="16" t="str">
        <f t="shared" si="62"/>
        <v>RAWSUR</v>
      </c>
      <c r="AY124" s="22">
        <v>44992</v>
      </c>
      <c r="AZ124" s="22"/>
      <c r="BA124" s="1"/>
      <c r="BB124" s="22" t="str">
        <f t="shared" ref="BB124:BB155" si="64">O124</f>
        <v>MOTOR TPL</v>
      </c>
      <c r="BC124" s="1"/>
      <c r="BD124" s="1"/>
      <c r="BE124" s="1"/>
    </row>
    <row r="125" spans="1:57" ht="14.25" hidden="1" customHeight="1">
      <c r="A125" s="2" t="s">
        <v>157</v>
      </c>
      <c r="B125" s="1" t="s">
        <v>58</v>
      </c>
      <c r="C125" s="27">
        <v>44973</v>
      </c>
      <c r="D125" s="27">
        <v>44977</v>
      </c>
      <c r="E125" s="27">
        <v>44969</v>
      </c>
      <c r="F125" s="27">
        <v>44996</v>
      </c>
      <c r="G125" s="13" t="str">
        <f t="shared" si="43"/>
        <v>000-124/AIB RDC/2023</v>
      </c>
      <c r="H125" s="1">
        <v>1</v>
      </c>
      <c r="I125" s="1" t="s">
        <v>189</v>
      </c>
      <c r="J125" s="39" t="s">
        <v>333</v>
      </c>
      <c r="K125" s="2" t="s">
        <v>334</v>
      </c>
      <c r="L125" s="1" t="s">
        <v>335</v>
      </c>
      <c r="M125" s="1" t="s">
        <v>63</v>
      </c>
      <c r="N125" s="1" t="s">
        <v>71</v>
      </c>
      <c r="O125" s="1" t="s">
        <v>65</v>
      </c>
      <c r="P125" s="1" t="s">
        <v>65</v>
      </c>
      <c r="Q125" s="1" t="s">
        <v>117</v>
      </c>
      <c r="R125" s="1" t="s">
        <v>117</v>
      </c>
      <c r="S125" s="25">
        <v>0</v>
      </c>
      <c r="T125" s="25">
        <v>1004.82</v>
      </c>
      <c r="U125" s="16">
        <v>0</v>
      </c>
      <c r="V125" s="16">
        <v>0</v>
      </c>
      <c r="W125" s="25">
        <v>10</v>
      </c>
      <c r="X125" s="25">
        <v>856.23</v>
      </c>
      <c r="Y125" s="25">
        <v>138.59</v>
      </c>
      <c r="Z125" s="17" t="e">
        <f t="shared" si="44"/>
        <v>#DIV/0!</v>
      </c>
      <c r="AA125" s="18">
        <v>0.1</v>
      </c>
      <c r="AB125" s="16">
        <f t="shared" ref="AB125:AB156" si="65">AA125*X125</f>
        <v>85.623000000000005</v>
      </c>
      <c r="AC125" s="16">
        <v>0</v>
      </c>
      <c r="AD125" s="16">
        <v>0</v>
      </c>
      <c r="AE125" s="16">
        <v>0</v>
      </c>
      <c r="AF125" s="16">
        <f t="shared" si="45"/>
        <v>85.623000000000005</v>
      </c>
      <c r="AG125" s="16">
        <f t="shared" si="59"/>
        <v>13.699680000000001</v>
      </c>
      <c r="AH125" s="16">
        <f t="shared" si="46"/>
        <v>99.322680000000005</v>
      </c>
      <c r="AI125" s="16">
        <f t="shared" si="60"/>
        <v>1.7124600000000001</v>
      </c>
      <c r="AJ125" s="16">
        <v>0</v>
      </c>
      <c r="AK125" s="16">
        <f t="shared" si="47"/>
        <v>1.7124600000000001</v>
      </c>
      <c r="AL125" s="19"/>
      <c r="AM125" s="16">
        <f t="shared" si="48"/>
        <v>83.910539999999997</v>
      </c>
      <c r="AN125" s="16" t="s">
        <v>77</v>
      </c>
      <c r="AO125" s="20">
        <v>0</v>
      </c>
      <c r="AP125" s="16">
        <f t="shared" si="49"/>
        <v>0</v>
      </c>
      <c r="AQ125" s="16"/>
      <c r="AR125" s="15"/>
      <c r="AS125" s="16">
        <f t="shared" si="50"/>
        <v>0</v>
      </c>
      <c r="AT125" s="16"/>
      <c r="AU125" s="16">
        <v>99.322680000000005</v>
      </c>
      <c r="AV125" s="16">
        <f t="shared" si="63"/>
        <v>99.322680000000005</v>
      </c>
      <c r="AW125" s="16">
        <f t="shared" si="51"/>
        <v>0</v>
      </c>
      <c r="AX125" s="16" t="str">
        <f t="shared" si="62"/>
        <v>SUNU</v>
      </c>
      <c r="AY125" s="22">
        <v>45062</v>
      </c>
      <c r="AZ125" s="22"/>
      <c r="BA125" s="1" t="s">
        <v>275</v>
      </c>
      <c r="BB125" s="22" t="str">
        <f t="shared" si="64"/>
        <v>MOTOR TPL</v>
      </c>
      <c r="BC125" s="1"/>
      <c r="BD125" s="1"/>
      <c r="BE125" s="1"/>
    </row>
    <row r="126" spans="1:57" ht="14.25" hidden="1" customHeight="1">
      <c r="A126" s="2" t="s">
        <v>165</v>
      </c>
      <c r="B126" s="1" t="s">
        <v>58</v>
      </c>
      <c r="C126" s="27">
        <v>44970</v>
      </c>
      <c r="D126" s="27">
        <v>44972</v>
      </c>
      <c r="E126" s="27">
        <v>44993</v>
      </c>
      <c r="F126" s="27">
        <v>45213</v>
      </c>
      <c r="G126" s="13" t="str">
        <f t="shared" si="43"/>
        <v>000-125/AIB RDC/2023</v>
      </c>
      <c r="H126" s="1">
        <v>10</v>
      </c>
      <c r="I126" s="1" t="s">
        <v>59</v>
      </c>
      <c r="J126" s="29" t="s">
        <v>60</v>
      </c>
      <c r="K126" s="2" t="s">
        <v>61</v>
      </c>
      <c r="L126" s="1" t="s">
        <v>62</v>
      </c>
      <c r="M126" s="1" t="s">
        <v>63</v>
      </c>
      <c r="N126" s="1" t="s">
        <v>64</v>
      </c>
      <c r="O126" s="1" t="s">
        <v>65</v>
      </c>
      <c r="P126" s="1" t="s">
        <v>65</v>
      </c>
      <c r="Q126" s="1" t="s">
        <v>66</v>
      </c>
      <c r="R126" s="1" t="s">
        <v>66</v>
      </c>
      <c r="S126" s="25">
        <v>0</v>
      </c>
      <c r="T126" s="25">
        <v>189.1</v>
      </c>
      <c r="U126" s="25">
        <v>0</v>
      </c>
      <c r="V126" s="25">
        <v>0</v>
      </c>
      <c r="W126" s="25">
        <v>2.37</v>
      </c>
      <c r="X126" s="25">
        <v>157.88999999999999</v>
      </c>
      <c r="Y126" s="25">
        <v>25.64</v>
      </c>
      <c r="Z126" s="17" t="e">
        <f t="shared" si="44"/>
        <v>#DIV/0!</v>
      </c>
      <c r="AA126" s="18">
        <v>0.1</v>
      </c>
      <c r="AB126" s="16">
        <f t="shared" si="65"/>
        <v>15.789</v>
      </c>
      <c r="AC126" s="16">
        <v>0</v>
      </c>
      <c r="AD126" s="16">
        <v>0</v>
      </c>
      <c r="AE126" s="16">
        <v>0</v>
      </c>
      <c r="AF126" s="16">
        <f t="shared" si="45"/>
        <v>15.789</v>
      </c>
      <c r="AG126" s="16">
        <f t="shared" si="59"/>
        <v>2.52624</v>
      </c>
      <c r="AH126" s="16">
        <f t="shared" si="46"/>
        <v>18.315239999999999</v>
      </c>
      <c r="AI126" s="16">
        <f t="shared" si="60"/>
        <v>0.31578000000000001</v>
      </c>
      <c r="AJ126" s="16">
        <v>0</v>
      </c>
      <c r="AK126" s="16">
        <f t="shared" si="47"/>
        <v>0.31578000000000001</v>
      </c>
      <c r="AL126" s="19"/>
      <c r="AM126" s="16">
        <f t="shared" si="48"/>
        <v>15.47322</v>
      </c>
      <c r="AN126" s="16" t="s">
        <v>319</v>
      </c>
      <c r="AO126" s="20"/>
      <c r="AP126" s="16">
        <f t="shared" si="49"/>
        <v>0</v>
      </c>
      <c r="AQ126" s="16"/>
      <c r="AR126" s="15"/>
      <c r="AS126" s="16">
        <f t="shared" si="50"/>
        <v>0</v>
      </c>
      <c r="AT126" s="16"/>
      <c r="AU126" s="16">
        <v>18.315239999999999</v>
      </c>
      <c r="AV126" s="16">
        <f t="shared" si="63"/>
        <v>18.315239999999999</v>
      </c>
      <c r="AW126" s="16">
        <f t="shared" si="51"/>
        <v>0</v>
      </c>
      <c r="AX126" s="16" t="str">
        <f t="shared" si="62"/>
        <v>SFA</v>
      </c>
      <c r="AY126" s="22">
        <v>45070</v>
      </c>
      <c r="AZ126" s="22"/>
      <c r="BA126" s="1"/>
      <c r="BB126" s="22" t="str">
        <f t="shared" si="64"/>
        <v>MOTOR TPL</v>
      </c>
      <c r="BC126" s="1"/>
      <c r="BD126" s="1"/>
      <c r="BE126" s="1"/>
    </row>
    <row r="127" spans="1:57" ht="14.25" hidden="1" customHeight="1">
      <c r="A127" s="2" t="s">
        <v>157</v>
      </c>
      <c r="B127" s="1" t="s">
        <v>58</v>
      </c>
      <c r="C127" s="27">
        <v>44970</v>
      </c>
      <c r="D127" s="27">
        <v>44972</v>
      </c>
      <c r="E127" s="27">
        <v>44970</v>
      </c>
      <c r="F127" s="27">
        <v>45213</v>
      </c>
      <c r="G127" s="13" t="str">
        <f t="shared" si="43"/>
        <v>000-126/AIB RDC/2023</v>
      </c>
      <c r="H127" s="1">
        <v>9</v>
      </c>
      <c r="I127" s="1" t="s">
        <v>59</v>
      </c>
      <c r="J127" s="29" t="s">
        <v>60</v>
      </c>
      <c r="K127" s="2" t="s">
        <v>61</v>
      </c>
      <c r="L127" s="1" t="s">
        <v>62</v>
      </c>
      <c r="M127" s="1" t="s">
        <v>63</v>
      </c>
      <c r="N127" s="1" t="s">
        <v>64</v>
      </c>
      <c r="O127" s="1" t="s">
        <v>65</v>
      </c>
      <c r="P127" s="1" t="s">
        <v>65</v>
      </c>
      <c r="Q127" s="1" t="s">
        <v>66</v>
      </c>
      <c r="R127" s="1" t="s">
        <v>66</v>
      </c>
      <c r="S127" s="25">
        <v>0</v>
      </c>
      <c r="T127" s="25">
        <v>3617.94</v>
      </c>
      <c r="U127" s="16">
        <v>0</v>
      </c>
      <c r="V127" s="16">
        <v>0</v>
      </c>
      <c r="W127" s="25">
        <v>45.24</v>
      </c>
      <c r="X127" s="25">
        <v>3020.82</v>
      </c>
      <c r="Y127" s="25">
        <v>490.56</v>
      </c>
      <c r="Z127" s="17" t="e">
        <f t="shared" si="44"/>
        <v>#DIV/0!</v>
      </c>
      <c r="AA127" s="18">
        <v>0.1</v>
      </c>
      <c r="AB127" s="16">
        <f t="shared" si="65"/>
        <v>302.08200000000005</v>
      </c>
      <c r="AC127" s="16">
        <v>0</v>
      </c>
      <c r="AD127" s="16">
        <v>0</v>
      </c>
      <c r="AE127" s="16">
        <v>0</v>
      </c>
      <c r="AF127" s="16">
        <f t="shared" si="45"/>
        <v>302.08200000000005</v>
      </c>
      <c r="AG127" s="16">
        <f t="shared" si="59"/>
        <v>48.333120000000008</v>
      </c>
      <c r="AH127" s="16">
        <f t="shared" si="46"/>
        <v>350.41512000000006</v>
      </c>
      <c r="AI127" s="16">
        <f t="shared" si="60"/>
        <v>6.041640000000001</v>
      </c>
      <c r="AJ127" s="16">
        <v>0</v>
      </c>
      <c r="AK127" s="16">
        <f t="shared" si="47"/>
        <v>6.041640000000001</v>
      </c>
      <c r="AL127" s="19"/>
      <c r="AM127" s="16">
        <f t="shared" si="48"/>
        <v>296.04036000000008</v>
      </c>
      <c r="AN127" s="16" t="s">
        <v>319</v>
      </c>
      <c r="AO127" s="20"/>
      <c r="AP127" s="16">
        <f t="shared" si="49"/>
        <v>0</v>
      </c>
      <c r="AQ127" s="16"/>
      <c r="AR127" s="15"/>
      <c r="AS127" s="16">
        <f t="shared" si="50"/>
        <v>0</v>
      </c>
      <c r="AT127" s="16"/>
      <c r="AU127" s="16">
        <v>350.41512000000006</v>
      </c>
      <c r="AV127" s="16">
        <f t="shared" si="63"/>
        <v>350.41512000000006</v>
      </c>
      <c r="AW127" s="16">
        <f t="shared" si="51"/>
        <v>0</v>
      </c>
      <c r="AX127" s="16" t="str">
        <f t="shared" si="62"/>
        <v>SFA</v>
      </c>
      <c r="AY127" s="22">
        <v>45070</v>
      </c>
      <c r="AZ127" s="22"/>
      <c r="BA127" s="1"/>
      <c r="BB127" s="22" t="str">
        <f t="shared" si="64"/>
        <v>MOTOR TPL</v>
      </c>
      <c r="BC127" s="1"/>
      <c r="BD127" s="1"/>
      <c r="BE127" s="1"/>
    </row>
    <row r="128" spans="1:57" ht="14.25" hidden="1" customHeight="1">
      <c r="A128" s="2" t="s">
        <v>165</v>
      </c>
      <c r="B128" s="1" t="s">
        <v>58</v>
      </c>
      <c r="C128" s="27">
        <v>44964</v>
      </c>
      <c r="D128" s="27">
        <v>44992</v>
      </c>
      <c r="E128" s="27">
        <v>44992</v>
      </c>
      <c r="F128" s="27">
        <v>45301</v>
      </c>
      <c r="G128" s="13" t="str">
        <f t="shared" si="43"/>
        <v>000-127/AIB RDC/2023</v>
      </c>
      <c r="H128" s="1">
        <v>1</v>
      </c>
      <c r="I128" s="1" t="s">
        <v>59</v>
      </c>
      <c r="J128" s="29" t="s">
        <v>225</v>
      </c>
      <c r="K128" s="2" t="s">
        <v>119</v>
      </c>
      <c r="L128" s="1" t="s">
        <v>120</v>
      </c>
      <c r="M128" s="1" t="s">
        <v>64</v>
      </c>
      <c r="N128" s="1" t="s">
        <v>71</v>
      </c>
      <c r="O128" s="1" t="s">
        <v>133</v>
      </c>
      <c r="P128" s="1" t="s">
        <v>134</v>
      </c>
      <c r="Q128" s="1" t="s">
        <v>76</v>
      </c>
      <c r="R128" s="1" t="s">
        <v>76</v>
      </c>
      <c r="S128" s="25">
        <v>150884.28</v>
      </c>
      <c r="T128" s="25">
        <v>9313.39</v>
      </c>
      <c r="U128" s="25">
        <v>0</v>
      </c>
      <c r="V128" s="25">
        <v>0</v>
      </c>
      <c r="W128" s="25">
        <v>79</v>
      </c>
      <c r="X128" s="25">
        <v>7949.72</v>
      </c>
      <c r="Y128" s="25">
        <v>1284.67</v>
      </c>
      <c r="Z128" s="17">
        <f t="shared" si="44"/>
        <v>5.2687529807611502E-2</v>
      </c>
      <c r="AA128" s="18">
        <v>0.15</v>
      </c>
      <c r="AB128" s="16">
        <f t="shared" si="65"/>
        <v>1192.4580000000001</v>
      </c>
      <c r="AC128" s="16">
        <v>0</v>
      </c>
      <c r="AD128" s="16">
        <v>0</v>
      </c>
      <c r="AE128" s="16">
        <v>0</v>
      </c>
      <c r="AF128" s="16">
        <f t="shared" si="45"/>
        <v>1192.4580000000001</v>
      </c>
      <c r="AG128" s="16">
        <f t="shared" si="59"/>
        <v>190.79328000000001</v>
      </c>
      <c r="AH128" s="16">
        <f t="shared" si="46"/>
        <v>1383.2512800000002</v>
      </c>
      <c r="AI128" s="16">
        <f t="shared" si="60"/>
        <v>23.849160000000001</v>
      </c>
      <c r="AJ128" s="16">
        <v>0</v>
      </c>
      <c r="AK128" s="16">
        <f t="shared" si="47"/>
        <v>23.849160000000001</v>
      </c>
      <c r="AL128" s="19"/>
      <c r="AM128" s="16">
        <f t="shared" si="48"/>
        <v>1168.6088400000001</v>
      </c>
      <c r="AN128" s="16" t="s">
        <v>77</v>
      </c>
      <c r="AO128" s="20">
        <v>0.35</v>
      </c>
      <c r="AP128" s="16">
        <f t="shared" si="49"/>
        <v>409.01309400000002</v>
      </c>
      <c r="AQ128" s="16"/>
      <c r="AR128" s="15"/>
      <c r="AS128" s="16">
        <f t="shared" si="50"/>
        <v>409.01309400000002</v>
      </c>
      <c r="AT128" s="16"/>
      <c r="AU128" s="16">
        <v>1383.2512800000002</v>
      </c>
      <c r="AV128" s="16">
        <f t="shared" si="63"/>
        <v>1383.2512800000002</v>
      </c>
      <c r="AW128" s="16">
        <f t="shared" si="51"/>
        <v>0</v>
      </c>
      <c r="AX128" s="16" t="str">
        <f t="shared" si="62"/>
        <v>ACTIVA</v>
      </c>
      <c r="AY128" s="22">
        <v>45077</v>
      </c>
      <c r="AZ128" s="22"/>
      <c r="BA128" s="1"/>
      <c r="BB128" s="22" t="str">
        <f t="shared" si="64"/>
        <v>COMP MOTOR</v>
      </c>
      <c r="BC128" s="1"/>
      <c r="BD128" s="1"/>
      <c r="BE128" s="1"/>
    </row>
    <row r="129" spans="1:57" ht="14.25" hidden="1" customHeight="1">
      <c r="A129" s="2" t="s">
        <v>157</v>
      </c>
      <c r="B129" s="1" t="s">
        <v>58</v>
      </c>
      <c r="C129" s="27">
        <v>44991</v>
      </c>
      <c r="D129" s="27">
        <v>44985</v>
      </c>
      <c r="E129" s="27">
        <v>44985</v>
      </c>
      <c r="F129" s="27">
        <v>45301</v>
      </c>
      <c r="G129" s="13" t="str">
        <f t="shared" si="43"/>
        <v>000-128/AIB RDC/2023</v>
      </c>
      <c r="H129" s="1">
        <v>2</v>
      </c>
      <c r="I129" s="1" t="s">
        <v>59</v>
      </c>
      <c r="J129" s="29" t="s">
        <v>225</v>
      </c>
      <c r="K129" s="2" t="s">
        <v>119</v>
      </c>
      <c r="L129" s="1" t="s">
        <v>120</v>
      </c>
      <c r="M129" s="1" t="s">
        <v>63</v>
      </c>
      <c r="N129" s="1" t="s">
        <v>71</v>
      </c>
      <c r="O129" s="1" t="s">
        <v>133</v>
      </c>
      <c r="P129" s="1" t="s">
        <v>134</v>
      </c>
      <c r="Q129" s="1" t="s">
        <v>76</v>
      </c>
      <c r="R129" s="1" t="s">
        <v>76</v>
      </c>
      <c r="S129" s="25">
        <v>22500</v>
      </c>
      <c r="T129" s="25">
        <v>321.58999999999997</v>
      </c>
      <c r="U129" s="25">
        <v>0</v>
      </c>
      <c r="V129" s="25">
        <v>0</v>
      </c>
      <c r="W129" s="25">
        <v>10</v>
      </c>
      <c r="X129" s="25">
        <v>267.24</v>
      </c>
      <c r="Y129" s="25">
        <v>44.36</v>
      </c>
      <c r="Z129" s="17">
        <f t="shared" si="44"/>
        <v>1.1877333333333333E-2</v>
      </c>
      <c r="AA129" s="18">
        <v>0.113427138687224</v>
      </c>
      <c r="AB129" s="16">
        <f t="shared" si="65"/>
        <v>30.31226854277374</v>
      </c>
      <c r="AC129" s="16">
        <v>0</v>
      </c>
      <c r="AD129" s="16">
        <v>0</v>
      </c>
      <c r="AE129" s="16">
        <v>0</v>
      </c>
      <c r="AF129" s="16">
        <f t="shared" si="45"/>
        <v>30.31226854277374</v>
      </c>
      <c r="AG129" s="16">
        <f t="shared" si="59"/>
        <v>4.8499629668437985</v>
      </c>
      <c r="AH129" s="16">
        <f t="shared" si="46"/>
        <v>35.162231509617541</v>
      </c>
      <c r="AI129" s="16">
        <f t="shared" si="60"/>
        <v>0.60624537085547481</v>
      </c>
      <c r="AJ129" s="16">
        <v>0</v>
      </c>
      <c r="AK129" s="16">
        <f t="shared" si="47"/>
        <v>0.60624537085547481</v>
      </c>
      <c r="AL129" s="19"/>
      <c r="AM129" s="16">
        <f t="shared" si="48"/>
        <v>29.706023171918265</v>
      </c>
      <c r="AN129" s="16" t="s">
        <v>77</v>
      </c>
      <c r="AO129" s="20">
        <v>0.35</v>
      </c>
      <c r="AP129" s="16">
        <f t="shared" si="49"/>
        <v>10.397108110171391</v>
      </c>
      <c r="AQ129" s="16"/>
      <c r="AR129" s="15"/>
      <c r="AS129" s="16">
        <f t="shared" si="50"/>
        <v>10.397108110171391</v>
      </c>
      <c r="AT129" s="16"/>
      <c r="AU129" s="16">
        <v>35.162231509617541</v>
      </c>
      <c r="AV129" s="16">
        <f t="shared" si="63"/>
        <v>35.162231509617541</v>
      </c>
      <c r="AW129" s="16">
        <f t="shared" si="51"/>
        <v>0</v>
      </c>
      <c r="AX129" s="16" t="str">
        <f t="shared" si="62"/>
        <v>ACTIVA</v>
      </c>
      <c r="AY129" s="22">
        <v>45077</v>
      </c>
      <c r="AZ129" s="22"/>
      <c r="BA129" s="1"/>
      <c r="BB129" s="22" t="str">
        <f t="shared" si="64"/>
        <v>COMP MOTOR</v>
      </c>
      <c r="BC129" s="1"/>
      <c r="BD129" s="1"/>
      <c r="BE129" s="1"/>
    </row>
    <row r="130" spans="1:57" ht="14.25" hidden="1" customHeight="1">
      <c r="A130" s="2" t="s">
        <v>165</v>
      </c>
      <c r="B130" s="1" t="s">
        <v>58</v>
      </c>
      <c r="C130" s="27">
        <v>44956</v>
      </c>
      <c r="D130" s="27">
        <v>44986</v>
      </c>
      <c r="E130" s="27">
        <v>44986</v>
      </c>
      <c r="F130" s="27">
        <v>45351</v>
      </c>
      <c r="G130" s="13" t="str">
        <f t="shared" si="43"/>
        <v>000-129/AIB RDC/2023</v>
      </c>
      <c r="H130" s="1">
        <v>0</v>
      </c>
      <c r="I130" s="1" t="s">
        <v>83</v>
      </c>
      <c r="J130" s="29" t="s">
        <v>336</v>
      </c>
      <c r="K130" s="2" t="s">
        <v>337</v>
      </c>
      <c r="L130" s="1" t="s">
        <v>139</v>
      </c>
      <c r="M130" s="1" t="s">
        <v>63</v>
      </c>
      <c r="N130" s="1" t="s">
        <v>64</v>
      </c>
      <c r="O130" s="1" t="s">
        <v>133</v>
      </c>
      <c r="P130" s="1" t="s">
        <v>134</v>
      </c>
      <c r="Q130" s="1" t="s">
        <v>66</v>
      </c>
      <c r="R130" s="1" t="s">
        <v>66</v>
      </c>
      <c r="S130" s="25">
        <v>17397</v>
      </c>
      <c r="T130" s="25">
        <v>2277.7800000000002</v>
      </c>
      <c r="U130" s="25">
        <v>0</v>
      </c>
      <c r="V130" s="25">
        <v>0</v>
      </c>
      <c r="W130" s="25">
        <v>28.52</v>
      </c>
      <c r="X130" s="25">
        <v>1901.39</v>
      </c>
      <c r="Y130" s="25">
        <v>308.77999999999997</v>
      </c>
      <c r="Z130" s="17">
        <f t="shared" si="44"/>
        <v>0.10929413117204116</v>
      </c>
      <c r="AA130" s="18">
        <v>0.15</v>
      </c>
      <c r="AB130" s="16">
        <f t="shared" si="65"/>
        <v>285.20850000000002</v>
      </c>
      <c r="AC130" s="16">
        <v>0</v>
      </c>
      <c r="AD130" s="16">
        <v>0</v>
      </c>
      <c r="AE130" s="16">
        <v>0</v>
      </c>
      <c r="AF130" s="16">
        <f t="shared" si="45"/>
        <v>285.20850000000002</v>
      </c>
      <c r="AG130" s="16">
        <f t="shared" si="59"/>
        <v>45.633360000000003</v>
      </c>
      <c r="AH130" s="16">
        <f t="shared" si="46"/>
        <v>330.84186</v>
      </c>
      <c r="AI130" s="16">
        <f t="shared" si="60"/>
        <v>5.7041700000000004</v>
      </c>
      <c r="AJ130" s="16">
        <v>0</v>
      </c>
      <c r="AK130" s="16">
        <f t="shared" si="47"/>
        <v>5.7041700000000004</v>
      </c>
      <c r="AL130" s="19"/>
      <c r="AM130" s="16">
        <f t="shared" si="48"/>
        <v>279.50433000000004</v>
      </c>
      <c r="AN130" s="16" t="s">
        <v>77</v>
      </c>
      <c r="AO130" s="20">
        <v>0.35</v>
      </c>
      <c r="AP130" s="16">
        <f t="shared" si="49"/>
        <v>97.826515500000014</v>
      </c>
      <c r="AQ130" s="16"/>
      <c r="AR130" s="15"/>
      <c r="AS130" s="16">
        <f t="shared" si="50"/>
        <v>97.826515500000014</v>
      </c>
      <c r="AT130" s="16"/>
      <c r="AU130" s="16">
        <v>330.84186</v>
      </c>
      <c r="AV130" s="16">
        <f t="shared" si="63"/>
        <v>330.84186</v>
      </c>
      <c r="AW130" s="16">
        <f t="shared" si="51"/>
        <v>0</v>
      </c>
      <c r="AX130" s="16" t="str">
        <f t="shared" si="62"/>
        <v>SFA</v>
      </c>
      <c r="AY130" s="22">
        <v>45005</v>
      </c>
      <c r="AZ130" s="22"/>
      <c r="BA130" s="1"/>
      <c r="BB130" s="22" t="str">
        <f t="shared" si="64"/>
        <v>COMP MOTOR</v>
      </c>
      <c r="BC130" s="1"/>
      <c r="BD130" s="1"/>
      <c r="BE130" s="1"/>
    </row>
    <row r="131" spans="1:57" ht="14.25" hidden="1" customHeight="1">
      <c r="A131" s="2" t="s">
        <v>157</v>
      </c>
      <c r="B131" s="1" t="s">
        <v>58</v>
      </c>
      <c r="C131" s="27">
        <v>44928</v>
      </c>
      <c r="D131" s="27">
        <v>44984</v>
      </c>
      <c r="E131" s="27">
        <v>44982</v>
      </c>
      <c r="F131" s="27">
        <v>45346</v>
      </c>
      <c r="G131" s="13" t="str">
        <f t="shared" si="43"/>
        <v>000-130/AIB RDC/2023</v>
      </c>
      <c r="H131" s="1">
        <v>0</v>
      </c>
      <c r="I131" s="1" t="s">
        <v>83</v>
      </c>
      <c r="J131" s="29" t="s">
        <v>338</v>
      </c>
      <c r="K131" s="2" t="s">
        <v>167</v>
      </c>
      <c r="L131" s="1"/>
      <c r="M131" s="1" t="s">
        <v>95</v>
      </c>
      <c r="N131" s="1" t="s">
        <v>146</v>
      </c>
      <c r="O131" s="1" t="s">
        <v>104</v>
      </c>
      <c r="P131" s="1" t="s">
        <v>105</v>
      </c>
      <c r="Q131" s="1" t="s">
        <v>66</v>
      </c>
      <c r="R131" s="1" t="s">
        <v>66</v>
      </c>
      <c r="S131" s="25">
        <v>83691.13</v>
      </c>
      <c r="T131" s="25">
        <v>131.74</v>
      </c>
      <c r="U131" s="25">
        <v>0</v>
      </c>
      <c r="V131" s="25">
        <v>0</v>
      </c>
      <c r="W131" s="25">
        <v>1.65</v>
      </c>
      <c r="X131" s="25">
        <v>110</v>
      </c>
      <c r="Y131" s="25">
        <v>17.86</v>
      </c>
      <c r="Z131" s="17">
        <f t="shared" si="44"/>
        <v>1.3143567305161251E-3</v>
      </c>
      <c r="AA131" s="18">
        <v>0.15</v>
      </c>
      <c r="AB131" s="16">
        <f t="shared" si="65"/>
        <v>16.5</v>
      </c>
      <c r="AC131" s="16">
        <v>0</v>
      </c>
      <c r="AD131" s="16">
        <v>0</v>
      </c>
      <c r="AE131" s="16">
        <v>0</v>
      </c>
      <c r="AF131" s="16">
        <f t="shared" si="45"/>
        <v>16.5</v>
      </c>
      <c r="AG131" s="16">
        <f t="shared" si="59"/>
        <v>2.64</v>
      </c>
      <c r="AH131" s="16">
        <f t="shared" si="46"/>
        <v>19.14</v>
      </c>
      <c r="AI131" s="16">
        <f t="shared" si="60"/>
        <v>0.33</v>
      </c>
      <c r="AJ131" s="16">
        <v>0</v>
      </c>
      <c r="AK131" s="16">
        <f t="shared" si="47"/>
        <v>0.33</v>
      </c>
      <c r="AL131" s="19"/>
      <c r="AM131" s="16">
        <f t="shared" si="48"/>
        <v>16.170000000000002</v>
      </c>
      <c r="AN131" s="16" t="s">
        <v>147</v>
      </c>
      <c r="AO131" s="20">
        <v>0.4</v>
      </c>
      <c r="AP131" s="16">
        <f t="shared" si="49"/>
        <v>6.4680000000000009</v>
      </c>
      <c r="AQ131" s="16">
        <v>6.4680000000000009</v>
      </c>
      <c r="AR131" s="15">
        <v>45229</v>
      </c>
      <c r="AS131" s="16">
        <f t="shared" si="50"/>
        <v>0</v>
      </c>
      <c r="AT131" s="16"/>
      <c r="AU131" s="16">
        <v>19.14</v>
      </c>
      <c r="AV131" s="16">
        <f t="shared" si="63"/>
        <v>19.14</v>
      </c>
      <c r="AW131" s="16">
        <f t="shared" si="51"/>
        <v>0</v>
      </c>
      <c r="AX131" s="16" t="str">
        <f t="shared" si="62"/>
        <v>SFA</v>
      </c>
      <c r="AY131" s="22">
        <v>45005</v>
      </c>
      <c r="AZ131" s="22"/>
      <c r="BA131" s="1" t="s">
        <v>148</v>
      </c>
      <c r="BB131" s="22" t="str">
        <f t="shared" si="64"/>
        <v>MARINE CARGO / GIT</v>
      </c>
      <c r="BC131" s="1"/>
      <c r="BD131" s="1"/>
      <c r="BE131" s="1"/>
    </row>
    <row r="132" spans="1:57" ht="14.25" hidden="1" customHeight="1">
      <c r="A132" s="2" t="s">
        <v>157</v>
      </c>
      <c r="B132" s="1" t="s">
        <v>58</v>
      </c>
      <c r="C132" s="27">
        <v>44928</v>
      </c>
      <c r="D132" s="27">
        <v>44984</v>
      </c>
      <c r="E132" s="27">
        <v>44982</v>
      </c>
      <c r="F132" s="27">
        <v>45346</v>
      </c>
      <c r="G132" s="13" t="str">
        <f t="shared" si="43"/>
        <v>000-131/AIB RDC/2023</v>
      </c>
      <c r="H132" s="1">
        <v>0</v>
      </c>
      <c r="I132" s="1" t="s">
        <v>83</v>
      </c>
      <c r="J132" s="29" t="s">
        <v>339</v>
      </c>
      <c r="K132" s="2" t="s">
        <v>167</v>
      </c>
      <c r="L132" s="1"/>
      <c r="M132" s="1" t="s">
        <v>95</v>
      </c>
      <c r="N132" s="1" t="s">
        <v>146</v>
      </c>
      <c r="O132" s="1" t="s">
        <v>104</v>
      </c>
      <c r="P132" s="1" t="s">
        <v>105</v>
      </c>
      <c r="Q132" s="1" t="s">
        <v>66</v>
      </c>
      <c r="R132" s="1" t="s">
        <v>66</v>
      </c>
      <c r="S132" s="25">
        <v>63859.54</v>
      </c>
      <c r="T132" s="25">
        <v>119.77</v>
      </c>
      <c r="U132" s="25">
        <v>0</v>
      </c>
      <c r="V132" s="25">
        <v>0</v>
      </c>
      <c r="W132" s="25">
        <v>1.5</v>
      </c>
      <c r="X132" s="25">
        <v>100</v>
      </c>
      <c r="Y132" s="25">
        <v>16.239999999999998</v>
      </c>
      <c r="Z132" s="17">
        <f t="shared" si="44"/>
        <v>1.5659367417930037E-3</v>
      </c>
      <c r="AA132" s="18">
        <v>0.15</v>
      </c>
      <c r="AB132" s="16">
        <f t="shared" si="65"/>
        <v>15</v>
      </c>
      <c r="AC132" s="16">
        <v>0</v>
      </c>
      <c r="AD132" s="16">
        <v>0</v>
      </c>
      <c r="AE132" s="16">
        <v>0</v>
      </c>
      <c r="AF132" s="16">
        <f t="shared" si="45"/>
        <v>15</v>
      </c>
      <c r="AG132" s="16">
        <f t="shared" si="59"/>
        <v>2.4</v>
      </c>
      <c r="AH132" s="16">
        <f t="shared" si="46"/>
        <v>17.399999999999999</v>
      </c>
      <c r="AI132" s="16">
        <f t="shared" si="60"/>
        <v>0.3</v>
      </c>
      <c r="AJ132" s="16">
        <v>0</v>
      </c>
      <c r="AK132" s="16">
        <f t="shared" si="47"/>
        <v>0.3</v>
      </c>
      <c r="AL132" s="19"/>
      <c r="AM132" s="16">
        <f t="shared" si="48"/>
        <v>14.7</v>
      </c>
      <c r="AN132" s="16" t="s">
        <v>147</v>
      </c>
      <c r="AO132" s="20">
        <v>0.4</v>
      </c>
      <c r="AP132" s="16">
        <f t="shared" si="49"/>
        <v>5.88</v>
      </c>
      <c r="AQ132" s="16">
        <v>5.88</v>
      </c>
      <c r="AR132" s="15">
        <v>45229</v>
      </c>
      <c r="AS132" s="16">
        <f t="shared" si="50"/>
        <v>0</v>
      </c>
      <c r="AT132" s="16"/>
      <c r="AU132" s="16">
        <v>17.399999999999999</v>
      </c>
      <c r="AV132" s="16">
        <f t="shared" si="63"/>
        <v>17.399999999999999</v>
      </c>
      <c r="AW132" s="16">
        <f t="shared" si="51"/>
        <v>0</v>
      </c>
      <c r="AX132" s="16" t="str">
        <f t="shared" si="62"/>
        <v>SFA</v>
      </c>
      <c r="AY132" s="22">
        <v>45005</v>
      </c>
      <c r="AZ132" s="22"/>
      <c r="BA132" s="1" t="s">
        <v>148</v>
      </c>
      <c r="BB132" s="22" t="str">
        <f t="shared" si="64"/>
        <v>MARINE CARGO / GIT</v>
      </c>
      <c r="BC132" s="1"/>
      <c r="BD132" s="1"/>
      <c r="BE132" s="1"/>
    </row>
    <row r="133" spans="1:57" ht="14.25" hidden="1" customHeight="1">
      <c r="A133" s="2" t="s">
        <v>157</v>
      </c>
      <c r="B133" s="1" t="s">
        <v>58</v>
      </c>
      <c r="C133" s="27">
        <v>44928</v>
      </c>
      <c r="D133" s="27">
        <v>44982</v>
      </c>
      <c r="E133" s="27">
        <v>44982</v>
      </c>
      <c r="F133" s="27">
        <v>45346</v>
      </c>
      <c r="G133" s="13" t="str">
        <f t="shared" si="43"/>
        <v>000-132/AIB RDC/2023</v>
      </c>
      <c r="H133" s="1">
        <v>0</v>
      </c>
      <c r="I133" s="1" t="s">
        <v>83</v>
      </c>
      <c r="J133" s="29" t="s">
        <v>340</v>
      </c>
      <c r="K133" s="2" t="s">
        <v>167</v>
      </c>
      <c r="L133" s="1"/>
      <c r="M133" s="1" t="s">
        <v>95</v>
      </c>
      <c r="N133" s="1" t="s">
        <v>146</v>
      </c>
      <c r="O133" s="1" t="s">
        <v>104</v>
      </c>
      <c r="P133" s="1" t="s">
        <v>105</v>
      </c>
      <c r="Q133" s="1" t="s">
        <v>66</v>
      </c>
      <c r="R133" s="1" t="s">
        <v>66</v>
      </c>
      <c r="S133" s="25">
        <v>95500.79</v>
      </c>
      <c r="T133" s="25">
        <v>281.37</v>
      </c>
      <c r="U133" s="25">
        <v>0</v>
      </c>
      <c r="V133" s="25">
        <v>0</v>
      </c>
      <c r="W133" s="25">
        <v>3.52</v>
      </c>
      <c r="X133" s="25">
        <v>234.93</v>
      </c>
      <c r="Y133" s="25">
        <v>38.15</v>
      </c>
      <c r="Z133" s="17">
        <f t="shared" si="44"/>
        <v>2.459979650430117E-3</v>
      </c>
      <c r="AA133" s="18">
        <v>0.15</v>
      </c>
      <c r="AB133" s="16">
        <f t="shared" si="65"/>
        <v>35.2395</v>
      </c>
      <c r="AC133" s="16">
        <v>0</v>
      </c>
      <c r="AD133" s="16">
        <v>0</v>
      </c>
      <c r="AE133" s="16">
        <v>0</v>
      </c>
      <c r="AF133" s="16">
        <f t="shared" si="45"/>
        <v>35.2395</v>
      </c>
      <c r="AG133" s="16">
        <f t="shared" si="59"/>
        <v>5.6383200000000002</v>
      </c>
      <c r="AH133" s="16">
        <f t="shared" si="46"/>
        <v>40.87782</v>
      </c>
      <c r="AI133" s="16">
        <f t="shared" si="60"/>
        <v>0.70479000000000003</v>
      </c>
      <c r="AJ133" s="16">
        <v>0</v>
      </c>
      <c r="AK133" s="16">
        <f t="shared" si="47"/>
        <v>0.70479000000000003</v>
      </c>
      <c r="AL133" s="19"/>
      <c r="AM133" s="16">
        <f t="shared" si="48"/>
        <v>34.534709999999997</v>
      </c>
      <c r="AN133" s="16" t="s">
        <v>147</v>
      </c>
      <c r="AO133" s="20">
        <v>0.4</v>
      </c>
      <c r="AP133" s="16">
        <f t="shared" si="49"/>
        <v>13.813884</v>
      </c>
      <c r="AQ133" s="16">
        <v>13.813884</v>
      </c>
      <c r="AR133" s="15">
        <v>45229</v>
      </c>
      <c r="AS133" s="16">
        <f t="shared" si="50"/>
        <v>0</v>
      </c>
      <c r="AT133" s="16"/>
      <c r="AU133" s="16">
        <v>40.87782</v>
      </c>
      <c r="AV133" s="16">
        <f t="shared" si="63"/>
        <v>40.87782</v>
      </c>
      <c r="AW133" s="16">
        <f t="shared" si="51"/>
        <v>0</v>
      </c>
      <c r="AX133" s="16" t="str">
        <f t="shared" si="62"/>
        <v>SFA</v>
      </c>
      <c r="AY133" s="22">
        <v>45005</v>
      </c>
      <c r="AZ133" s="22"/>
      <c r="BA133" s="1" t="s">
        <v>148</v>
      </c>
      <c r="BB133" s="22" t="str">
        <f t="shared" si="64"/>
        <v>MARINE CARGO / GIT</v>
      </c>
      <c r="BC133" s="1"/>
      <c r="BD133" s="1"/>
      <c r="BE133" s="1"/>
    </row>
    <row r="134" spans="1:57" ht="14.25" hidden="1" customHeight="1">
      <c r="A134" s="2" t="s">
        <v>157</v>
      </c>
      <c r="B134" s="1" t="s">
        <v>58</v>
      </c>
      <c r="C134" s="27">
        <v>44928</v>
      </c>
      <c r="D134" s="27">
        <v>44982</v>
      </c>
      <c r="E134" s="27">
        <v>44982</v>
      </c>
      <c r="F134" s="27">
        <v>45346</v>
      </c>
      <c r="G134" s="13" t="str">
        <f t="shared" ref="G134:G197" si="66">TEXT(ROW(G134)-1,"000-000") &amp; "/AIB RDC/2023"</f>
        <v>000-133/AIB RDC/2023</v>
      </c>
      <c r="H134" s="1">
        <v>0</v>
      </c>
      <c r="I134" s="1" t="s">
        <v>83</v>
      </c>
      <c r="J134" s="29" t="s">
        <v>341</v>
      </c>
      <c r="K134" s="2" t="s">
        <v>167</v>
      </c>
      <c r="L134" s="1"/>
      <c r="M134" s="1" t="s">
        <v>95</v>
      </c>
      <c r="N134" s="1" t="s">
        <v>146</v>
      </c>
      <c r="O134" s="1" t="s">
        <v>104</v>
      </c>
      <c r="P134" s="1" t="s">
        <v>105</v>
      </c>
      <c r="Q134" s="1" t="s">
        <v>66</v>
      </c>
      <c r="R134" s="1" t="s">
        <v>66</v>
      </c>
      <c r="S134" s="25">
        <v>232958.77</v>
      </c>
      <c r="T134" s="25">
        <v>435.17</v>
      </c>
      <c r="U134" s="25">
        <v>0</v>
      </c>
      <c r="V134" s="25">
        <v>0</v>
      </c>
      <c r="W134" s="25">
        <v>5.45</v>
      </c>
      <c r="X134" s="25">
        <v>363.42</v>
      </c>
      <c r="Y134" s="25">
        <v>59.02</v>
      </c>
      <c r="Z134" s="17">
        <f t="shared" ref="Z134:Z197" si="67">X134/S134</f>
        <v>1.5600185389028282E-3</v>
      </c>
      <c r="AA134" s="18">
        <v>0.15</v>
      </c>
      <c r="AB134" s="16">
        <f t="shared" si="65"/>
        <v>54.512999999999998</v>
      </c>
      <c r="AC134" s="16">
        <v>0</v>
      </c>
      <c r="AD134" s="16">
        <v>0</v>
      </c>
      <c r="AE134" s="16">
        <v>0</v>
      </c>
      <c r="AF134" s="16">
        <f t="shared" ref="AF134:AF197" si="68">SUM(AB134:AE134)</f>
        <v>54.512999999999998</v>
      </c>
      <c r="AG134" s="16">
        <f t="shared" si="59"/>
        <v>8.7220800000000001</v>
      </c>
      <c r="AH134" s="16">
        <f t="shared" ref="AH134:AH197" si="69">AF134+AG134</f>
        <v>63.235079999999996</v>
      </c>
      <c r="AI134" s="16">
        <f t="shared" si="60"/>
        <v>1.09026</v>
      </c>
      <c r="AJ134" s="16">
        <v>0</v>
      </c>
      <c r="AK134" s="16">
        <f t="shared" ref="AK134:AK197" si="70">AI134-AJ134</f>
        <v>1.09026</v>
      </c>
      <c r="AL134" s="19"/>
      <c r="AM134" s="16">
        <f t="shared" ref="AM134:AM197" si="71">AF134-AI134</f>
        <v>53.422739999999997</v>
      </c>
      <c r="AN134" s="16" t="s">
        <v>147</v>
      </c>
      <c r="AO134" s="20">
        <v>0.4</v>
      </c>
      <c r="AP134" s="16">
        <f t="shared" ref="AP134:AP197" si="72">AO134*AM134</f>
        <v>21.369095999999999</v>
      </c>
      <c r="AQ134" s="16">
        <v>21.369095999999999</v>
      </c>
      <c r="AR134" s="15">
        <v>45229</v>
      </c>
      <c r="AS134" s="16">
        <f t="shared" ref="AS134:AS197" si="73">AP134-AQ134</f>
        <v>0</v>
      </c>
      <c r="AT134" s="16"/>
      <c r="AU134" s="16">
        <v>63.235079999999996</v>
      </c>
      <c r="AV134" s="16">
        <f t="shared" si="63"/>
        <v>63.235079999999996</v>
      </c>
      <c r="AW134" s="16">
        <f t="shared" ref="AW134:AW197" si="74">AV134-AU134</f>
        <v>0</v>
      </c>
      <c r="AX134" s="16" t="str">
        <f t="shared" si="62"/>
        <v>SFA</v>
      </c>
      <c r="AY134" s="22">
        <v>45005</v>
      </c>
      <c r="AZ134" s="22"/>
      <c r="BA134" s="1" t="s">
        <v>148</v>
      </c>
      <c r="BB134" s="22" t="str">
        <f t="shared" si="64"/>
        <v>MARINE CARGO / GIT</v>
      </c>
      <c r="BC134" s="1"/>
      <c r="BD134" s="1"/>
      <c r="BE134" s="1"/>
    </row>
    <row r="135" spans="1:57" ht="14.25" hidden="1" customHeight="1">
      <c r="A135" s="2" t="s">
        <v>157</v>
      </c>
      <c r="B135" s="1" t="s">
        <v>58</v>
      </c>
      <c r="C135" s="27">
        <v>44928</v>
      </c>
      <c r="D135" s="27">
        <v>44982</v>
      </c>
      <c r="E135" s="27">
        <v>44982</v>
      </c>
      <c r="F135" s="27">
        <v>45346</v>
      </c>
      <c r="G135" s="13" t="str">
        <f t="shared" si="66"/>
        <v>000-134/AIB RDC/2023</v>
      </c>
      <c r="H135" s="1">
        <v>0</v>
      </c>
      <c r="I135" s="1" t="s">
        <v>83</v>
      </c>
      <c r="J135" s="29" t="s">
        <v>342</v>
      </c>
      <c r="K135" s="2" t="s">
        <v>167</v>
      </c>
      <c r="L135" s="1"/>
      <c r="M135" s="1" t="s">
        <v>95</v>
      </c>
      <c r="N135" s="1" t="s">
        <v>146</v>
      </c>
      <c r="O135" s="1" t="s">
        <v>104</v>
      </c>
      <c r="P135" s="1" t="s">
        <v>105</v>
      </c>
      <c r="Q135" s="1" t="s">
        <v>66</v>
      </c>
      <c r="R135" s="1" t="s">
        <v>66</v>
      </c>
      <c r="S135" s="25">
        <v>211509.47</v>
      </c>
      <c r="T135" s="25">
        <v>395.18</v>
      </c>
      <c r="U135" s="25">
        <v>0</v>
      </c>
      <c r="V135" s="25">
        <v>0</v>
      </c>
      <c r="W135" s="25">
        <v>4.95</v>
      </c>
      <c r="X135" s="25">
        <v>329.95</v>
      </c>
      <c r="Y135" s="25">
        <v>53.58</v>
      </c>
      <c r="Z135" s="17">
        <f t="shared" si="67"/>
        <v>1.5599774326889475E-3</v>
      </c>
      <c r="AA135" s="18">
        <v>0.15</v>
      </c>
      <c r="AB135" s="16">
        <f t="shared" si="65"/>
        <v>49.4925</v>
      </c>
      <c r="AC135" s="16">
        <v>0</v>
      </c>
      <c r="AD135" s="16">
        <v>0</v>
      </c>
      <c r="AE135" s="16">
        <v>0</v>
      </c>
      <c r="AF135" s="16">
        <f t="shared" si="68"/>
        <v>49.4925</v>
      </c>
      <c r="AG135" s="16">
        <f t="shared" ref="AG135:AG166" si="75">16%*AF135</f>
        <v>7.9188000000000001</v>
      </c>
      <c r="AH135" s="16">
        <f t="shared" si="69"/>
        <v>57.411299999999997</v>
      </c>
      <c r="AI135" s="16">
        <f t="shared" ref="AI135:AI166" si="76">2%*(AB135+AC135+AD135)</f>
        <v>0.98985000000000001</v>
      </c>
      <c r="AJ135" s="16">
        <v>0</v>
      </c>
      <c r="AK135" s="16">
        <f t="shared" si="70"/>
        <v>0.98985000000000001</v>
      </c>
      <c r="AL135" s="19"/>
      <c r="AM135" s="16">
        <f t="shared" si="71"/>
        <v>48.502650000000003</v>
      </c>
      <c r="AN135" s="16" t="s">
        <v>147</v>
      </c>
      <c r="AO135" s="20">
        <v>0.4</v>
      </c>
      <c r="AP135" s="16">
        <f t="shared" si="72"/>
        <v>19.401060000000001</v>
      </c>
      <c r="AQ135" s="16">
        <v>19.401060000000001</v>
      </c>
      <c r="AR135" s="15">
        <v>45229</v>
      </c>
      <c r="AS135" s="16">
        <f t="shared" si="73"/>
        <v>0</v>
      </c>
      <c r="AT135" s="16"/>
      <c r="AU135" s="16">
        <v>57.411299999999997</v>
      </c>
      <c r="AV135" s="16">
        <f t="shared" si="63"/>
        <v>57.411299999999997</v>
      </c>
      <c r="AW135" s="16">
        <f t="shared" si="74"/>
        <v>0</v>
      </c>
      <c r="AX135" s="16" t="str">
        <f t="shared" si="62"/>
        <v>SFA</v>
      </c>
      <c r="AY135" s="22">
        <v>45005</v>
      </c>
      <c r="AZ135" s="22"/>
      <c r="BA135" s="1" t="s">
        <v>148</v>
      </c>
      <c r="BB135" s="22" t="str">
        <f t="shared" si="64"/>
        <v>MARINE CARGO / GIT</v>
      </c>
      <c r="BC135" s="1"/>
      <c r="BD135" s="1"/>
      <c r="BE135" s="1"/>
    </row>
    <row r="136" spans="1:57" ht="14.25" hidden="1" customHeight="1">
      <c r="A136" s="2" t="s">
        <v>157</v>
      </c>
      <c r="B136" s="1" t="s">
        <v>58</v>
      </c>
      <c r="C136" s="27">
        <v>44928</v>
      </c>
      <c r="D136" s="27">
        <v>44982</v>
      </c>
      <c r="E136" s="27">
        <v>44982</v>
      </c>
      <c r="F136" s="27">
        <v>45346</v>
      </c>
      <c r="G136" s="13" t="str">
        <f t="shared" si="66"/>
        <v>000-135/AIB RDC/2023</v>
      </c>
      <c r="H136" s="1">
        <v>0</v>
      </c>
      <c r="I136" s="1" t="s">
        <v>83</v>
      </c>
      <c r="J136" s="29" t="s">
        <v>343</v>
      </c>
      <c r="K136" s="2" t="s">
        <v>167</v>
      </c>
      <c r="L136" s="1"/>
      <c r="M136" s="1" t="s">
        <v>95</v>
      </c>
      <c r="N136" s="1" t="s">
        <v>146</v>
      </c>
      <c r="O136" s="1" t="s">
        <v>104</v>
      </c>
      <c r="P136" s="1" t="s">
        <v>105</v>
      </c>
      <c r="Q136" s="1" t="s">
        <v>66</v>
      </c>
      <c r="R136" s="1" t="s">
        <v>66</v>
      </c>
      <c r="S136" s="25">
        <v>196821</v>
      </c>
      <c r="T136" s="25">
        <v>367.74</v>
      </c>
      <c r="U136" s="25">
        <v>0</v>
      </c>
      <c r="V136" s="25">
        <v>0</v>
      </c>
      <c r="W136" s="25">
        <v>4.6100000000000003</v>
      </c>
      <c r="X136" s="25">
        <v>307.04000000000002</v>
      </c>
      <c r="Y136" s="25">
        <v>49.86</v>
      </c>
      <c r="Z136" s="17">
        <f t="shared" si="67"/>
        <v>1.5599961386234193E-3</v>
      </c>
      <c r="AA136" s="18">
        <v>0.15</v>
      </c>
      <c r="AB136" s="16">
        <f t="shared" si="65"/>
        <v>46.056000000000004</v>
      </c>
      <c r="AC136" s="16">
        <v>0</v>
      </c>
      <c r="AD136" s="16">
        <v>0</v>
      </c>
      <c r="AE136" s="16">
        <v>0</v>
      </c>
      <c r="AF136" s="16">
        <f t="shared" si="68"/>
        <v>46.056000000000004</v>
      </c>
      <c r="AG136" s="16">
        <f t="shared" si="75"/>
        <v>7.3689600000000013</v>
      </c>
      <c r="AH136" s="16">
        <f t="shared" si="69"/>
        <v>53.424960000000006</v>
      </c>
      <c r="AI136" s="16">
        <f t="shared" si="76"/>
        <v>0.92112000000000016</v>
      </c>
      <c r="AJ136" s="16">
        <v>0</v>
      </c>
      <c r="AK136" s="16">
        <f t="shared" si="70"/>
        <v>0.92112000000000016</v>
      </c>
      <c r="AL136" s="19"/>
      <c r="AM136" s="16">
        <f t="shared" si="71"/>
        <v>45.134880000000003</v>
      </c>
      <c r="AN136" s="16" t="s">
        <v>147</v>
      </c>
      <c r="AO136" s="20">
        <v>0.4</v>
      </c>
      <c r="AP136" s="16">
        <f t="shared" si="72"/>
        <v>18.053952000000002</v>
      </c>
      <c r="AQ136" s="16">
        <v>18.053952000000002</v>
      </c>
      <c r="AR136" s="15">
        <v>45229</v>
      </c>
      <c r="AS136" s="16">
        <f t="shared" si="73"/>
        <v>0</v>
      </c>
      <c r="AT136" s="16"/>
      <c r="AU136" s="16">
        <v>53.424960000000006</v>
      </c>
      <c r="AV136" s="16">
        <f t="shared" si="63"/>
        <v>53.424960000000006</v>
      </c>
      <c r="AW136" s="16">
        <f t="shared" si="74"/>
        <v>0</v>
      </c>
      <c r="AX136" s="16" t="str">
        <f t="shared" si="62"/>
        <v>SFA</v>
      </c>
      <c r="AY136" s="22">
        <v>45005</v>
      </c>
      <c r="AZ136" s="22"/>
      <c r="BA136" s="1" t="s">
        <v>148</v>
      </c>
      <c r="BB136" s="22" t="str">
        <f t="shared" si="64"/>
        <v>MARINE CARGO / GIT</v>
      </c>
      <c r="BC136" s="1"/>
      <c r="BD136" s="1"/>
      <c r="BE136" s="1"/>
    </row>
    <row r="137" spans="1:57" ht="14.25" hidden="1" customHeight="1">
      <c r="A137" s="2" t="s">
        <v>157</v>
      </c>
      <c r="B137" s="1" t="s">
        <v>58</v>
      </c>
      <c r="C137" s="27">
        <v>44928</v>
      </c>
      <c r="D137" s="27">
        <v>44982</v>
      </c>
      <c r="E137" s="27">
        <v>44982</v>
      </c>
      <c r="F137" s="27">
        <v>45346</v>
      </c>
      <c r="G137" s="13" t="str">
        <f t="shared" si="66"/>
        <v>000-136/AIB RDC/2023</v>
      </c>
      <c r="H137" s="1">
        <v>0</v>
      </c>
      <c r="I137" s="1" t="s">
        <v>83</v>
      </c>
      <c r="J137" s="29" t="s">
        <v>344</v>
      </c>
      <c r="K137" s="2" t="s">
        <v>167</v>
      </c>
      <c r="L137" s="1"/>
      <c r="M137" s="1" t="s">
        <v>95</v>
      </c>
      <c r="N137" s="1" t="s">
        <v>146</v>
      </c>
      <c r="O137" s="1" t="s">
        <v>104</v>
      </c>
      <c r="P137" s="1" t="s">
        <v>105</v>
      </c>
      <c r="Q137" s="1" t="s">
        <v>66</v>
      </c>
      <c r="R137" s="1" t="s">
        <v>66</v>
      </c>
      <c r="S137" s="25">
        <v>232131.34</v>
      </c>
      <c r="T137" s="25">
        <v>433.71</v>
      </c>
      <c r="U137" s="25">
        <v>0</v>
      </c>
      <c r="V137" s="25">
        <v>0</v>
      </c>
      <c r="W137" s="25">
        <v>5.43</v>
      </c>
      <c r="X137" s="25">
        <v>362.12</v>
      </c>
      <c r="Y137" s="25">
        <v>58.81</v>
      </c>
      <c r="Z137" s="17">
        <f t="shared" si="67"/>
        <v>1.5599789326163371E-3</v>
      </c>
      <c r="AA137" s="18">
        <v>0.15</v>
      </c>
      <c r="AB137" s="16">
        <f t="shared" si="65"/>
        <v>54.317999999999998</v>
      </c>
      <c r="AC137" s="16">
        <v>0</v>
      </c>
      <c r="AD137" s="16">
        <v>0</v>
      </c>
      <c r="AE137" s="16">
        <v>0</v>
      </c>
      <c r="AF137" s="16">
        <f t="shared" si="68"/>
        <v>54.317999999999998</v>
      </c>
      <c r="AG137" s="16">
        <f t="shared" si="75"/>
        <v>8.6908799999999999</v>
      </c>
      <c r="AH137" s="16">
        <f t="shared" si="69"/>
        <v>63.008879999999998</v>
      </c>
      <c r="AI137" s="16">
        <f t="shared" si="76"/>
        <v>1.08636</v>
      </c>
      <c r="AJ137" s="16">
        <v>0</v>
      </c>
      <c r="AK137" s="16">
        <f t="shared" si="70"/>
        <v>1.08636</v>
      </c>
      <c r="AL137" s="19"/>
      <c r="AM137" s="16">
        <f t="shared" si="71"/>
        <v>53.231639999999999</v>
      </c>
      <c r="AN137" s="16" t="s">
        <v>147</v>
      </c>
      <c r="AO137" s="20">
        <v>0.4</v>
      </c>
      <c r="AP137" s="16">
        <f t="shared" si="72"/>
        <v>21.292656000000001</v>
      </c>
      <c r="AQ137" s="16">
        <v>21.292656000000001</v>
      </c>
      <c r="AR137" s="15">
        <v>45229</v>
      </c>
      <c r="AS137" s="16">
        <f t="shared" si="73"/>
        <v>0</v>
      </c>
      <c r="AT137" s="16"/>
      <c r="AU137" s="16">
        <v>63.008879999999998</v>
      </c>
      <c r="AV137" s="16">
        <f t="shared" si="63"/>
        <v>63.008879999999998</v>
      </c>
      <c r="AW137" s="16">
        <f t="shared" si="74"/>
        <v>0</v>
      </c>
      <c r="AX137" s="16" t="str">
        <f t="shared" si="62"/>
        <v>SFA</v>
      </c>
      <c r="AY137" s="22">
        <v>45005</v>
      </c>
      <c r="AZ137" s="22"/>
      <c r="BA137" s="1" t="s">
        <v>148</v>
      </c>
      <c r="BB137" s="22" t="str">
        <f t="shared" si="64"/>
        <v>MARINE CARGO / GIT</v>
      </c>
      <c r="BC137" s="1"/>
      <c r="BD137" s="1"/>
      <c r="BE137" s="1"/>
    </row>
    <row r="138" spans="1:57" ht="14.25" hidden="1" customHeight="1">
      <c r="A138" s="2" t="s">
        <v>157</v>
      </c>
      <c r="B138" s="1" t="s">
        <v>58</v>
      </c>
      <c r="C138" s="27">
        <v>44928</v>
      </c>
      <c r="D138" s="27">
        <v>44982</v>
      </c>
      <c r="E138" s="27">
        <v>44982</v>
      </c>
      <c r="F138" s="27">
        <v>45346</v>
      </c>
      <c r="G138" s="13" t="str">
        <f t="shared" si="66"/>
        <v>000-137/AIB RDC/2023</v>
      </c>
      <c r="H138" s="1">
        <v>0</v>
      </c>
      <c r="I138" s="1" t="s">
        <v>83</v>
      </c>
      <c r="J138" s="29" t="s">
        <v>345</v>
      </c>
      <c r="K138" s="2" t="s">
        <v>167</v>
      </c>
      <c r="L138" s="1"/>
      <c r="M138" s="1" t="s">
        <v>95</v>
      </c>
      <c r="N138" s="1" t="s">
        <v>146</v>
      </c>
      <c r="O138" s="1" t="s">
        <v>104</v>
      </c>
      <c r="P138" s="1" t="s">
        <v>105</v>
      </c>
      <c r="Q138" s="1" t="s">
        <v>66</v>
      </c>
      <c r="R138" s="1" t="s">
        <v>66</v>
      </c>
      <c r="S138" s="25">
        <v>25709.93</v>
      </c>
      <c r="T138" s="25">
        <v>65</v>
      </c>
      <c r="U138" s="25">
        <v>0</v>
      </c>
      <c r="V138" s="25">
        <v>0</v>
      </c>
      <c r="W138" s="25">
        <v>0.81</v>
      </c>
      <c r="X138" s="25">
        <v>54.28</v>
      </c>
      <c r="Y138" s="25">
        <v>8.81</v>
      </c>
      <c r="Z138" s="17">
        <f t="shared" si="67"/>
        <v>2.111246510589488E-3</v>
      </c>
      <c r="AA138" s="18">
        <v>0.15</v>
      </c>
      <c r="AB138" s="16">
        <f t="shared" si="65"/>
        <v>8.1419999999999995</v>
      </c>
      <c r="AC138" s="16">
        <v>0</v>
      </c>
      <c r="AD138" s="16">
        <v>0</v>
      </c>
      <c r="AE138" s="16">
        <v>0</v>
      </c>
      <c r="AF138" s="16">
        <f t="shared" si="68"/>
        <v>8.1419999999999995</v>
      </c>
      <c r="AG138" s="16">
        <f t="shared" si="75"/>
        <v>1.3027199999999999</v>
      </c>
      <c r="AH138" s="16">
        <f t="shared" si="69"/>
        <v>9.4447200000000002</v>
      </c>
      <c r="AI138" s="16">
        <f t="shared" si="76"/>
        <v>0.16283999999999998</v>
      </c>
      <c r="AJ138" s="16">
        <v>0</v>
      </c>
      <c r="AK138" s="16">
        <f t="shared" si="70"/>
        <v>0.16283999999999998</v>
      </c>
      <c r="AL138" s="19"/>
      <c r="AM138" s="16">
        <f t="shared" si="71"/>
        <v>7.9791599999999994</v>
      </c>
      <c r="AN138" s="16" t="s">
        <v>147</v>
      </c>
      <c r="AO138" s="20">
        <v>0.4</v>
      </c>
      <c r="AP138" s="16">
        <f t="shared" si="72"/>
        <v>3.1916639999999998</v>
      </c>
      <c r="AQ138" s="16">
        <v>3.1916639999999998</v>
      </c>
      <c r="AR138" s="15">
        <v>45229</v>
      </c>
      <c r="AS138" s="16">
        <f t="shared" si="73"/>
        <v>0</v>
      </c>
      <c r="AT138" s="16"/>
      <c r="AU138" s="16">
        <v>9.4447200000000002</v>
      </c>
      <c r="AV138" s="16">
        <f t="shared" si="63"/>
        <v>9.4447200000000002</v>
      </c>
      <c r="AW138" s="16">
        <f t="shared" si="74"/>
        <v>0</v>
      </c>
      <c r="AX138" s="16" t="str">
        <f t="shared" si="62"/>
        <v>SFA</v>
      </c>
      <c r="AY138" s="22">
        <v>45005</v>
      </c>
      <c r="AZ138" s="22"/>
      <c r="BA138" s="1" t="s">
        <v>148</v>
      </c>
      <c r="BB138" s="22" t="str">
        <f t="shared" si="64"/>
        <v>MARINE CARGO / GIT</v>
      </c>
      <c r="BC138" s="1"/>
      <c r="BD138" s="1"/>
      <c r="BE138" s="1"/>
    </row>
    <row r="139" spans="1:57" ht="14.25" hidden="1" customHeight="1">
      <c r="A139" s="2" t="s">
        <v>157</v>
      </c>
      <c r="B139" s="1" t="s">
        <v>58</v>
      </c>
      <c r="C139" s="27">
        <v>44910</v>
      </c>
      <c r="D139" s="27">
        <v>44982</v>
      </c>
      <c r="E139" s="27">
        <v>44982</v>
      </c>
      <c r="F139" s="27">
        <v>45346</v>
      </c>
      <c r="G139" s="13" t="str">
        <f t="shared" si="66"/>
        <v>000-138/AIB RDC/2023</v>
      </c>
      <c r="H139" s="1">
        <v>0</v>
      </c>
      <c r="I139" s="1" t="s">
        <v>83</v>
      </c>
      <c r="J139" s="29" t="s">
        <v>346</v>
      </c>
      <c r="K139" s="2" t="s">
        <v>163</v>
      </c>
      <c r="L139" s="1"/>
      <c r="M139" s="1" t="s">
        <v>95</v>
      </c>
      <c r="N139" s="1" t="s">
        <v>146</v>
      </c>
      <c r="O139" s="1" t="s">
        <v>104</v>
      </c>
      <c r="P139" s="1" t="s">
        <v>105</v>
      </c>
      <c r="Q139" s="1" t="s">
        <v>66</v>
      </c>
      <c r="R139" s="1" t="s">
        <v>66</v>
      </c>
      <c r="S139" s="25">
        <v>48355.85</v>
      </c>
      <c r="T139" s="25">
        <v>65</v>
      </c>
      <c r="U139" s="25">
        <v>0</v>
      </c>
      <c r="V139" s="25">
        <v>0</v>
      </c>
      <c r="W139" s="25">
        <v>0.81</v>
      </c>
      <c r="X139" s="25">
        <v>54.28</v>
      </c>
      <c r="Y139" s="25">
        <v>8.81</v>
      </c>
      <c r="Z139" s="17">
        <f t="shared" si="67"/>
        <v>1.1225115472068012E-3</v>
      </c>
      <c r="AA139" s="18">
        <v>0.15</v>
      </c>
      <c r="AB139" s="16">
        <f t="shared" si="65"/>
        <v>8.1419999999999995</v>
      </c>
      <c r="AC139" s="16">
        <v>0</v>
      </c>
      <c r="AD139" s="16">
        <v>0</v>
      </c>
      <c r="AE139" s="16">
        <v>0</v>
      </c>
      <c r="AF139" s="16">
        <f t="shared" si="68"/>
        <v>8.1419999999999995</v>
      </c>
      <c r="AG139" s="16">
        <f t="shared" si="75"/>
        <v>1.3027199999999999</v>
      </c>
      <c r="AH139" s="16">
        <f t="shared" si="69"/>
        <v>9.4447200000000002</v>
      </c>
      <c r="AI139" s="16">
        <f t="shared" si="76"/>
        <v>0.16283999999999998</v>
      </c>
      <c r="AJ139" s="16">
        <v>0</v>
      </c>
      <c r="AK139" s="16">
        <f t="shared" si="70"/>
        <v>0.16283999999999998</v>
      </c>
      <c r="AL139" s="19"/>
      <c r="AM139" s="16">
        <f t="shared" si="71"/>
        <v>7.9791599999999994</v>
      </c>
      <c r="AN139" s="16" t="s">
        <v>147</v>
      </c>
      <c r="AO139" s="20">
        <v>0.4</v>
      </c>
      <c r="AP139" s="16">
        <f t="shared" si="72"/>
        <v>3.1916639999999998</v>
      </c>
      <c r="AQ139" s="16">
        <v>3.1916639999999998</v>
      </c>
      <c r="AR139" s="15">
        <v>45229</v>
      </c>
      <c r="AS139" s="16">
        <f t="shared" si="73"/>
        <v>0</v>
      </c>
      <c r="AT139" s="16"/>
      <c r="AU139" s="16">
        <v>9.4447200000000002</v>
      </c>
      <c r="AV139" s="16">
        <f t="shared" si="63"/>
        <v>9.4447200000000002</v>
      </c>
      <c r="AW139" s="16">
        <f t="shared" si="74"/>
        <v>0</v>
      </c>
      <c r="AX139" s="16" t="str">
        <f t="shared" si="62"/>
        <v>SFA</v>
      </c>
      <c r="AY139" s="22">
        <v>45005</v>
      </c>
      <c r="AZ139" s="22"/>
      <c r="BA139" s="1" t="s">
        <v>148</v>
      </c>
      <c r="BB139" s="22" t="str">
        <f t="shared" si="64"/>
        <v>MARINE CARGO / GIT</v>
      </c>
      <c r="BC139" s="1"/>
      <c r="BD139" s="1"/>
      <c r="BE139" s="1"/>
    </row>
    <row r="140" spans="1:57" ht="14.25" hidden="1" customHeight="1">
      <c r="A140" s="2" t="s">
        <v>157</v>
      </c>
      <c r="B140" s="1" t="s">
        <v>58</v>
      </c>
      <c r="C140" s="27">
        <v>44916</v>
      </c>
      <c r="D140" s="27">
        <v>44967</v>
      </c>
      <c r="E140" s="27">
        <v>44967</v>
      </c>
      <c r="F140" s="27">
        <v>45331</v>
      </c>
      <c r="G140" s="13" t="str">
        <f t="shared" si="66"/>
        <v>000-139/AIB RDC/2023</v>
      </c>
      <c r="H140" s="1">
        <v>0</v>
      </c>
      <c r="I140" s="1" t="s">
        <v>83</v>
      </c>
      <c r="J140" s="29" t="s">
        <v>347</v>
      </c>
      <c r="K140" s="2" t="s">
        <v>348</v>
      </c>
      <c r="L140" s="1"/>
      <c r="M140" s="1" t="s">
        <v>95</v>
      </c>
      <c r="N140" s="1" t="s">
        <v>146</v>
      </c>
      <c r="O140" s="1" t="s">
        <v>104</v>
      </c>
      <c r="P140" s="1" t="s">
        <v>105</v>
      </c>
      <c r="Q140" s="1" t="s">
        <v>66</v>
      </c>
      <c r="R140" s="1" t="s">
        <v>66</v>
      </c>
      <c r="S140" s="25">
        <v>3025.41</v>
      </c>
      <c r="T140" s="25">
        <v>115</v>
      </c>
      <c r="U140" s="25">
        <v>0</v>
      </c>
      <c r="V140" s="25">
        <v>0</v>
      </c>
      <c r="W140" s="25">
        <v>1.44</v>
      </c>
      <c r="X140" s="25">
        <v>96.02</v>
      </c>
      <c r="Y140" s="25">
        <v>15.59</v>
      </c>
      <c r="Z140" s="17">
        <f t="shared" si="67"/>
        <v>3.1737847101715143E-2</v>
      </c>
      <c r="AA140" s="18">
        <v>0.15</v>
      </c>
      <c r="AB140" s="16">
        <f t="shared" si="65"/>
        <v>14.402999999999999</v>
      </c>
      <c r="AC140" s="16">
        <v>0</v>
      </c>
      <c r="AD140" s="16">
        <v>0</v>
      </c>
      <c r="AE140" s="16">
        <v>0</v>
      </c>
      <c r="AF140" s="16">
        <f t="shared" si="68"/>
        <v>14.402999999999999</v>
      </c>
      <c r="AG140" s="16">
        <f t="shared" si="75"/>
        <v>2.3044799999999999</v>
      </c>
      <c r="AH140" s="16">
        <f t="shared" si="69"/>
        <v>16.707479999999997</v>
      </c>
      <c r="AI140" s="16">
        <f t="shared" si="76"/>
        <v>0.28805999999999998</v>
      </c>
      <c r="AJ140" s="16">
        <v>0</v>
      </c>
      <c r="AK140" s="16">
        <f t="shared" si="70"/>
        <v>0.28805999999999998</v>
      </c>
      <c r="AL140" s="19"/>
      <c r="AM140" s="16">
        <f t="shared" si="71"/>
        <v>14.114939999999999</v>
      </c>
      <c r="AN140" s="16" t="s">
        <v>147</v>
      </c>
      <c r="AO140" s="20">
        <v>0.4</v>
      </c>
      <c r="AP140" s="16">
        <f t="shared" si="72"/>
        <v>5.6459760000000001</v>
      </c>
      <c r="AQ140" s="16">
        <v>5.6459760000000001</v>
      </c>
      <c r="AR140" s="15">
        <v>45229</v>
      </c>
      <c r="AS140" s="16">
        <f t="shared" si="73"/>
        <v>0</v>
      </c>
      <c r="AT140" s="16"/>
      <c r="AU140" s="16">
        <v>16.707479999999997</v>
      </c>
      <c r="AV140" s="16">
        <f t="shared" si="63"/>
        <v>16.707479999999997</v>
      </c>
      <c r="AW140" s="16">
        <f t="shared" si="74"/>
        <v>0</v>
      </c>
      <c r="AX140" s="16" t="str">
        <f t="shared" si="62"/>
        <v>SFA</v>
      </c>
      <c r="AY140" s="22">
        <v>45005</v>
      </c>
      <c r="AZ140" s="22"/>
      <c r="BA140" s="1" t="s">
        <v>148</v>
      </c>
      <c r="BB140" s="22" t="str">
        <f t="shared" si="64"/>
        <v>MARINE CARGO / GIT</v>
      </c>
      <c r="BC140" s="1"/>
      <c r="BD140" s="1"/>
      <c r="BE140" s="1"/>
    </row>
    <row r="141" spans="1:57" ht="14.25" hidden="1" customHeight="1">
      <c r="A141" s="2" t="s">
        <v>157</v>
      </c>
      <c r="B141" s="1" t="s">
        <v>58</v>
      </c>
      <c r="C141" s="27">
        <v>44928</v>
      </c>
      <c r="D141" s="27">
        <v>44970</v>
      </c>
      <c r="E141" s="27">
        <v>44970</v>
      </c>
      <c r="F141" s="27">
        <v>45334</v>
      </c>
      <c r="G141" s="13" t="str">
        <f t="shared" si="66"/>
        <v>000-140/AIB RDC/2023</v>
      </c>
      <c r="H141" s="1">
        <v>0</v>
      </c>
      <c r="I141" s="1" t="s">
        <v>83</v>
      </c>
      <c r="J141" s="29" t="s">
        <v>349</v>
      </c>
      <c r="K141" s="2" t="s">
        <v>350</v>
      </c>
      <c r="L141" s="1"/>
      <c r="M141" s="2" t="s">
        <v>95</v>
      </c>
      <c r="N141" s="2" t="s">
        <v>146</v>
      </c>
      <c r="O141" s="2" t="s">
        <v>104</v>
      </c>
      <c r="P141" s="2" t="s">
        <v>105</v>
      </c>
      <c r="Q141" s="2" t="s">
        <v>66</v>
      </c>
      <c r="R141" s="2" t="s">
        <v>66</v>
      </c>
      <c r="S141" s="25">
        <v>1925.13</v>
      </c>
      <c r="T141" s="25">
        <v>65</v>
      </c>
      <c r="U141" s="25">
        <v>0</v>
      </c>
      <c r="V141" s="25">
        <v>0</v>
      </c>
      <c r="W141" s="25">
        <v>0.81</v>
      </c>
      <c r="X141" s="25">
        <v>54.28</v>
      </c>
      <c r="Y141" s="25">
        <v>8.81</v>
      </c>
      <c r="Z141" s="17">
        <f t="shared" si="67"/>
        <v>2.8195498485816543E-2</v>
      </c>
      <c r="AA141" s="18">
        <v>0.15</v>
      </c>
      <c r="AB141" s="16">
        <f t="shared" si="65"/>
        <v>8.1419999999999995</v>
      </c>
      <c r="AC141" s="16">
        <v>0</v>
      </c>
      <c r="AD141" s="16">
        <v>0</v>
      </c>
      <c r="AE141" s="16">
        <v>0</v>
      </c>
      <c r="AF141" s="16">
        <f t="shared" si="68"/>
        <v>8.1419999999999995</v>
      </c>
      <c r="AG141" s="16">
        <f t="shared" si="75"/>
        <v>1.3027199999999999</v>
      </c>
      <c r="AH141" s="16">
        <f t="shared" si="69"/>
        <v>9.4447200000000002</v>
      </c>
      <c r="AI141" s="16">
        <f t="shared" si="76"/>
        <v>0.16283999999999998</v>
      </c>
      <c r="AJ141" s="16">
        <v>0</v>
      </c>
      <c r="AK141" s="16">
        <f t="shared" si="70"/>
        <v>0.16283999999999998</v>
      </c>
      <c r="AL141" s="19"/>
      <c r="AM141" s="16">
        <f t="shared" si="71"/>
        <v>7.9791599999999994</v>
      </c>
      <c r="AN141" s="16" t="s">
        <v>147</v>
      </c>
      <c r="AO141" s="20">
        <v>0.4</v>
      </c>
      <c r="AP141" s="16">
        <f t="shared" si="72"/>
        <v>3.1916639999999998</v>
      </c>
      <c r="AQ141" s="16">
        <v>3.1916639999999998</v>
      </c>
      <c r="AR141" s="15">
        <v>45229</v>
      </c>
      <c r="AS141" s="16">
        <f t="shared" si="73"/>
        <v>0</v>
      </c>
      <c r="AT141" s="16"/>
      <c r="AU141" s="16">
        <v>9.4447200000000002</v>
      </c>
      <c r="AV141" s="16">
        <f t="shared" si="63"/>
        <v>9.4447200000000002</v>
      </c>
      <c r="AW141" s="16">
        <f t="shared" si="74"/>
        <v>0</v>
      </c>
      <c r="AX141" s="16" t="str">
        <f t="shared" si="62"/>
        <v>SFA</v>
      </c>
      <c r="AY141" s="22">
        <v>45005</v>
      </c>
      <c r="AZ141" s="22"/>
      <c r="BA141" s="1" t="s">
        <v>148</v>
      </c>
      <c r="BB141" s="22" t="str">
        <f t="shared" si="64"/>
        <v>MARINE CARGO / GIT</v>
      </c>
      <c r="BC141" s="1"/>
      <c r="BD141" s="1"/>
      <c r="BE141" s="1"/>
    </row>
    <row r="142" spans="1:57" ht="14.25" hidden="1" customHeight="1">
      <c r="A142" s="2" t="s">
        <v>165</v>
      </c>
      <c r="B142" s="1" t="s">
        <v>58</v>
      </c>
      <c r="C142" s="27">
        <v>44986</v>
      </c>
      <c r="D142" s="27">
        <v>44986</v>
      </c>
      <c r="E142" s="27">
        <v>44986</v>
      </c>
      <c r="F142" s="27">
        <v>45291</v>
      </c>
      <c r="G142" s="13" t="str">
        <f t="shared" si="66"/>
        <v>000-141/AIB RDC/2023</v>
      </c>
      <c r="H142" s="1">
        <v>0</v>
      </c>
      <c r="I142" s="1" t="s">
        <v>83</v>
      </c>
      <c r="J142" s="29" t="s">
        <v>351</v>
      </c>
      <c r="K142" s="2" t="s">
        <v>188</v>
      </c>
      <c r="L142" s="1"/>
      <c r="M142" s="2" t="s">
        <v>95</v>
      </c>
      <c r="N142" s="2" t="s">
        <v>96</v>
      </c>
      <c r="O142" s="2" t="s">
        <v>111</v>
      </c>
      <c r="P142" s="2" t="s">
        <v>112</v>
      </c>
      <c r="Q142" s="2" t="s">
        <v>66</v>
      </c>
      <c r="R142" s="2" t="s">
        <v>66</v>
      </c>
      <c r="S142" s="25">
        <v>0</v>
      </c>
      <c r="T142" s="25">
        <v>3736.97</v>
      </c>
      <c r="U142" s="25">
        <v>0</v>
      </c>
      <c r="V142" s="25">
        <v>0</v>
      </c>
      <c r="W142" s="25">
        <v>25.71</v>
      </c>
      <c r="X142" s="25">
        <v>3141.21</v>
      </c>
      <c r="Y142" s="25">
        <v>506.71</v>
      </c>
      <c r="Z142" s="17" t="e">
        <f t="shared" si="67"/>
        <v>#DIV/0!</v>
      </c>
      <c r="AA142" s="18">
        <v>0.15</v>
      </c>
      <c r="AB142" s="16">
        <f t="shared" si="65"/>
        <v>471.18149999999997</v>
      </c>
      <c r="AC142" s="16">
        <v>0</v>
      </c>
      <c r="AD142" s="16">
        <v>0</v>
      </c>
      <c r="AE142" s="16">
        <v>0</v>
      </c>
      <c r="AF142" s="16">
        <f t="shared" si="68"/>
        <v>471.18149999999997</v>
      </c>
      <c r="AG142" s="16">
        <f t="shared" si="75"/>
        <v>75.389039999999994</v>
      </c>
      <c r="AH142" s="16">
        <f t="shared" si="69"/>
        <v>546.57053999999994</v>
      </c>
      <c r="AI142" s="16">
        <f t="shared" si="76"/>
        <v>9.4236299999999993</v>
      </c>
      <c r="AJ142" s="16"/>
      <c r="AK142" s="16">
        <f t="shared" si="70"/>
        <v>9.4236299999999993</v>
      </c>
      <c r="AL142" s="19"/>
      <c r="AM142" s="16">
        <f t="shared" si="71"/>
        <v>461.75786999999997</v>
      </c>
      <c r="AN142" s="16"/>
      <c r="AO142" s="20"/>
      <c r="AP142" s="16">
        <f t="shared" si="72"/>
        <v>0</v>
      </c>
      <c r="AQ142" s="16"/>
      <c r="AR142" s="15"/>
      <c r="AS142" s="16">
        <f t="shared" si="73"/>
        <v>0</v>
      </c>
      <c r="AT142" s="16"/>
      <c r="AU142" s="16">
        <v>546.57053999999994</v>
      </c>
      <c r="AV142" s="16">
        <f t="shared" si="63"/>
        <v>546.57053999999994</v>
      </c>
      <c r="AW142" s="16">
        <f t="shared" si="74"/>
        <v>0</v>
      </c>
      <c r="AX142" s="16" t="str">
        <f t="shared" ref="AX142:AX173" si="77">Q142</f>
        <v>SFA</v>
      </c>
      <c r="AY142" s="22">
        <v>45005</v>
      </c>
      <c r="AZ142" s="22"/>
      <c r="BA142" s="1"/>
      <c r="BB142" s="22" t="str">
        <f t="shared" si="64"/>
        <v>GENERAL LIABILITY</v>
      </c>
      <c r="BC142" s="1"/>
      <c r="BD142" s="1"/>
      <c r="BE142" s="1"/>
    </row>
    <row r="143" spans="1:57" ht="14.25" hidden="1" customHeight="1">
      <c r="A143" s="2" t="s">
        <v>165</v>
      </c>
      <c r="B143" s="1" t="s">
        <v>58</v>
      </c>
      <c r="C143" s="27">
        <v>44986</v>
      </c>
      <c r="D143" s="27">
        <v>44986</v>
      </c>
      <c r="E143" s="27">
        <v>44986</v>
      </c>
      <c r="F143" s="27">
        <v>45291</v>
      </c>
      <c r="G143" s="13" t="str">
        <f t="shared" si="66"/>
        <v>000-142/AIB RDC/2023</v>
      </c>
      <c r="H143" s="1">
        <v>0</v>
      </c>
      <c r="I143" s="1" t="s">
        <v>83</v>
      </c>
      <c r="J143" s="29" t="s">
        <v>352</v>
      </c>
      <c r="K143" s="2" t="s">
        <v>188</v>
      </c>
      <c r="L143" s="1"/>
      <c r="M143" s="2" t="s">
        <v>95</v>
      </c>
      <c r="N143" s="2" t="s">
        <v>96</v>
      </c>
      <c r="O143" s="2" t="s">
        <v>107</v>
      </c>
      <c r="P143" s="2" t="s">
        <v>108</v>
      </c>
      <c r="Q143" s="2" t="s">
        <v>66</v>
      </c>
      <c r="R143" s="2" t="s">
        <v>66</v>
      </c>
      <c r="S143" s="25">
        <v>531380</v>
      </c>
      <c r="T143" s="25">
        <v>1591.3</v>
      </c>
      <c r="U143" s="25">
        <v>0</v>
      </c>
      <c r="V143" s="25">
        <v>0</v>
      </c>
      <c r="W143" s="25">
        <v>20</v>
      </c>
      <c r="X143" s="25">
        <v>1328.56</v>
      </c>
      <c r="Y143" s="25">
        <v>215.77</v>
      </c>
      <c r="Z143" s="17">
        <f t="shared" si="67"/>
        <v>2.5002070081674129E-3</v>
      </c>
      <c r="AA143" s="18">
        <v>0.1</v>
      </c>
      <c r="AB143" s="16">
        <f t="shared" si="65"/>
        <v>132.85599999999999</v>
      </c>
      <c r="AC143" s="16">
        <v>0</v>
      </c>
      <c r="AD143" s="16">
        <v>0</v>
      </c>
      <c r="AE143" s="16">
        <v>0</v>
      </c>
      <c r="AF143" s="16">
        <f t="shared" si="68"/>
        <v>132.85599999999999</v>
      </c>
      <c r="AG143" s="16">
        <f t="shared" si="75"/>
        <v>21.256959999999999</v>
      </c>
      <c r="AH143" s="16">
        <f t="shared" si="69"/>
        <v>154.11295999999999</v>
      </c>
      <c r="AI143" s="16">
        <f t="shared" si="76"/>
        <v>2.6571199999999999</v>
      </c>
      <c r="AJ143" s="16"/>
      <c r="AK143" s="16">
        <f t="shared" si="70"/>
        <v>2.6571199999999999</v>
      </c>
      <c r="AL143" s="19"/>
      <c r="AM143" s="16">
        <f t="shared" si="71"/>
        <v>130.19888</v>
      </c>
      <c r="AN143" s="16"/>
      <c r="AO143" s="20"/>
      <c r="AP143" s="16">
        <f t="shared" si="72"/>
        <v>0</v>
      </c>
      <c r="AQ143" s="16"/>
      <c r="AR143" s="15"/>
      <c r="AS143" s="16">
        <f t="shared" si="73"/>
        <v>0</v>
      </c>
      <c r="AT143" s="16"/>
      <c r="AU143" s="16">
        <v>154.11295999999999</v>
      </c>
      <c r="AV143" s="16">
        <f t="shared" si="63"/>
        <v>154.11295999999999</v>
      </c>
      <c r="AW143" s="16">
        <f t="shared" si="74"/>
        <v>0</v>
      </c>
      <c r="AX143" s="16" t="str">
        <f t="shared" si="77"/>
        <v>SFA</v>
      </c>
      <c r="AY143" s="22">
        <v>45005</v>
      </c>
      <c r="AZ143" s="22"/>
      <c r="BA143" s="1"/>
      <c r="BB143" s="22" t="str">
        <f t="shared" si="64"/>
        <v>FIRE</v>
      </c>
      <c r="BC143" s="1"/>
      <c r="BD143" s="1"/>
      <c r="BE143" s="1"/>
    </row>
    <row r="144" spans="1:57" ht="14.25" hidden="1" customHeight="1">
      <c r="A144" s="2" t="s">
        <v>157</v>
      </c>
      <c r="B144" s="1" t="s">
        <v>58</v>
      </c>
      <c r="C144" s="27">
        <v>44827</v>
      </c>
      <c r="D144" s="27">
        <v>44966</v>
      </c>
      <c r="E144" s="27">
        <v>44965</v>
      </c>
      <c r="F144" s="27">
        <v>45329</v>
      </c>
      <c r="G144" s="13" t="str">
        <f t="shared" si="66"/>
        <v>000-143/AIB RDC/2023</v>
      </c>
      <c r="H144" s="1">
        <v>0</v>
      </c>
      <c r="I144" s="1" t="s">
        <v>83</v>
      </c>
      <c r="J144" s="35" t="s">
        <v>353</v>
      </c>
      <c r="K144" s="2" t="s">
        <v>354</v>
      </c>
      <c r="L144" s="1"/>
      <c r="M144" s="2" t="s">
        <v>99</v>
      </c>
      <c r="N144" s="2" t="s">
        <v>100</v>
      </c>
      <c r="O144" s="1" t="s">
        <v>107</v>
      </c>
      <c r="P144" s="1" t="s">
        <v>108</v>
      </c>
      <c r="Q144" s="1" t="s">
        <v>66</v>
      </c>
      <c r="R144" s="1" t="s">
        <v>66</v>
      </c>
      <c r="S144" s="25">
        <v>680000</v>
      </c>
      <c r="T144" s="25">
        <v>1920.92</v>
      </c>
      <c r="U144" s="25">
        <v>0</v>
      </c>
      <c r="V144" s="25">
        <v>0</v>
      </c>
      <c r="W144" s="25">
        <v>32.56</v>
      </c>
      <c r="X144" s="25">
        <v>1607.9</v>
      </c>
      <c r="Y144" s="25">
        <v>260.45999999999998</v>
      </c>
      <c r="Z144" s="17">
        <f t="shared" si="67"/>
        <v>2.3645588235294119E-3</v>
      </c>
      <c r="AA144" s="18">
        <v>0.1</v>
      </c>
      <c r="AB144" s="16">
        <f t="shared" si="65"/>
        <v>160.79000000000002</v>
      </c>
      <c r="AC144" s="16">
        <v>0</v>
      </c>
      <c r="AD144" s="16">
        <v>0</v>
      </c>
      <c r="AE144" s="16">
        <v>0</v>
      </c>
      <c r="AF144" s="16">
        <f t="shared" si="68"/>
        <v>160.79000000000002</v>
      </c>
      <c r="AG144" s="16">
        <f t="shared" si="75"/>
        <v>25.726400000000005</v>
      </c>
      <c r="AH144" s="16">
        <f t="shared" si="69"/>
        <v>186.51640000000003</v>
      </c>
      <c r="AI144" s="16">
        <f t="shared" si="76"/>
        <v>3.2158000000000007</v>
      </c>
      <c r="AJ144" s="16">
        <v>0</v>
      </c>
      <c r="AK144" s="16">
        <f t="shared" si="70"/>
        <v>3.2158000000000007</v>
      </c>
      <c r="AL144" s="19"/>
      <c r="AM144" s="16">
        <f t="shared" si="71"/>
        <v>157.57420000000002</v>
      </c>
      <c r="AN144" s="16"/>
      <c r="AO144" s="20"/>
      <c r="AP144" s="16">
        <f t="shared" si="72"/>
        <v>0</v>
      </c>
      <c r="AQ144" s="16"/>
      <c r="AR144" s="15"/>
      <c r="AS144" s="16">
        <f t="shared" si="73"/>
        <v>0</v>
      </c>
      <c r="AT144" s="16"/>
      <c r="AU144" s="16">
        <v>186.51640000000003</v>
      </c>
      <c r="AV144" s="16">
        <f t="shared" si="63"/>
        <v>186.51640000000003</v>
      </c>
      <c r="AW144" s="16">
        <f t="shared" si="74"/>
        <v>0</v>
      </c>
      <c r="AX144" s="16" t="str">
        <f t="shared" si="77"/>
        <v>SFA</v>
      </c>
      <c r="AY144" s="22">
        <v>45005</v>
      </c>
      <c r="AZ144" s="22"/>
      <c r="BA144" s="1"/>
      <c r="BB144" s="22" t="str">
        <f t="shared" si="64"/>
        <v>FIRE</v>
      </c>
      <c r="BC144" s="1"/>
      <c r="BD144" s="1"/>
      <c r="BE144" s="1"/>
    </row>
    <row r="145" spans="1:57" ht="14.25" hidden="1" customHeight="1">
      <c r="A145" s="2" t="s">
        <v>157</v>
      </c>
      <c r="B145" s="1" t="s">
        <v>58</v>
      </c>
      <c r="C145" s="27">
        <v>45000</v>
      </c>
      <c r="D145" s="27">
        <v>44977</v>
      </c>
      <c r="E145" s="27">
        <v>44974</v>
      </c>
      <c r="F145" s="27">
        <v>45338</v>
      </c>
      <c r="G145" s="13" t="str">
        <f t="shared" si="66"/>
        <v>000-144/AIB RDC/2023</v>
      </c>
      <c r="H145" s="1">
        <v>0</v>
      </c>
      <c r="I145" s="1" t="s">
        <v>83</v>
      </c>
      <c r="J145" s="35" t="s">
        <v>355</v>
      </c>
      <c r="K145" s="1" t="s">
        <v>214</v>
      </c>
      <c r="L145" s="1" t="s">
        <v>62</v>
      </c>
      <c r="M145" s="2" t="s">
        <v>63</v>
      </c>
      <c r="N145" s="2" t="s">
        <v>64</v>
      </c>
      <c r="O145" s="1" t="s">
        <v>104</v>
      </c>
      <c r="P145" s="1" t="s">
        <v>105</v>
      </c>
      <c r="Q145" s="1" t="s">
        <v>66</v>
      </c>
      <c r="R145" s="1" t="s">
        <v>66</v>
      </c>
      <c r="S145" s="25">
        <v>0</v>
      </c>
      <c r="T145" s="25">
        <v>152663.84</v>
      </c>
      <c r="U145" s="16">
        <v>0</v>
      </c>
      <c r="V145" s="16">
        <v>0</v>
      </c>
      <c r="W145" s="25">
        <v>643.66</v>
      </c>
      <c r="X145" s="25">
        <v>128732.48</v>
      </c>
      <c r="Y145" s="25">
        <v>20700.18</v>
      </c>
      <c r="Z145" s="17" t="e">
        <f t="shared" si="67"/>
        <v>#DIV/0!</v>
      </c>
      <c r="AA145" s="18">
        <v>0.15</v>
      </c>
      <c r="AB145" s="16">
        <f t="shared" si="65"/>
        <v>19309.871999999999</v>
      </c>
      <c r="AC145" s="16">
        <v>0</v>
      </c>
      <c r="AD145" s="16">
        <v>0</v>
      </c>
      <c r="AE145" s="16">
        <v>0</v>
      </c>
      <c r="AF145" s="16">
        <f t="shared" si="68"/>
        <v>19309.871999999999</v>
      </c>
      <c r="AG145" s="16">
        <f t="shared" si="75"/>
        <v>3089.5795199999998</v>
      </c>
      <c r="AH145" s="16">
        <f t="shared" si="69"/>
        <v>22399.451519999999</v>
      </c>
      <c r="AI145" s="16">
        <f t="shared" si="76"/>
        <v>386.19743999999997</v>
      </c>
      <c r="AJ145" s="16">
        <v>0</v>
      </c>
      <c r="AK145" s="16">
        <f t="shared" si="70"/>
        <v>386.19743999999997</v>
      </c>
      <c r="AL145" s="19"/>
      <c r="AM145" s="16">
        <f t="shared" si="71"/>
        <v>18923.674559999999</v>
      </c>
      <c r="AN145" s="16" t="s">
        <v>228</v>
      </c>
      <c r="AO145" s="20">
        <v>0</v>
      </c>
      <c r="AP145" s="16">
        <f t="shared" si="72"/>
        <v>0</v>
      </c>
      <c r="AQ145" s="16"/>
      <c r="AR145" s="15"/>
      <c r="AS145" s="16">
        <f t="shared" si="73"/>
        <v>0</v>
      </c>
      <c r="AT145" s="16"/>
      <c r="AU145" s="16">
        <v>22399.451519999999</v>
      </c>
      <c r="AV145" s="16">
        <f t="shared" si="63"/>
        <v>22399.451519999999</v>
      </c>
      <c r="AW145" s="16">
        <f t="shared" si="74"/>
        <v>0</v>
      </c>
      <c r="AX145" s="16" t="str">
        <f t="shared" si="77"/>
        <v>SFA</v>
      </c>
      <c r="AY145" s="22">
        <v>45005</v>
      </c>
      <c r="AZ145" s="22"/>
      <c r="BA145" s="1"/>
      <c r="BB145" s="22" t="str">
        <f t="shared" si="64"/>
        <v>MARINE CARGO / GIT</v>
      </c>
      <c r="BC145" s="1"/>
      <c r="BD145" s="1"/>
      <c r="BE145" s="1"/>
    </row>
    <row r="146" spans="1:57" ht="14.25" hidden="1" customHeight="1">
      <c r="A146" s="2" t="s">
        <v>356</v>
      </c>
      <c r="B146" s="1" t="s">
        <v>169</v>
      </c>
      <c r="C146" s="27">
        <v>44882</v>
      </c>
      <c r="D146" s="27">
        <v>44882</v>
      </c>
      <c r="E146" s="27">
        <v>45245</v>
      </c>
      <c r="F146" s="27">
        <v>45610</v>
      </c>
      <c r="G146" s="13" t="str">
        <f t="shared" si="66"/>
        <v>000-145/AIB RDC/2023</v>
      </c>
      <c r="H146" s="1">
        <v>1</v>
      </c>
      <c r="I146" s="1" t="s">
        <v>189</v>
      </c>
      <c r="J146" s="2" t="s">
        <v>357</v>
      </c>
      <c r="K146" s="2" t="s">
        <v>70</v>
      </c>
      <c r="L146" s="1" t="s">
        <v>62</v>
      </c>
      <c r="M146" s="2" t="s">
        <v>63</v>
      </c>
      <c r="N146" s="2" t="s">
        <v>358</v>
      </c>
      <c r="O146" s="1" t="s">
        <v>233</v>
      </c>
      <c r="P146" s="1" t="s">
        <v>234</v>
      </c>
      <c r="Q146" s="1" t="s">
        <v>135</v>
      </c>
      <c r="R146" s="1" t="s">
        <v>135</v>
      </c>
      <c r="S146" s="25">
        <v>2933200000</v>
      </c>
      <c r="T146" s="25">
        <v>1813957.2</v>
      </c>
      <c r="U146" s="25">
        <v>99983.86</v>
      </c>
      <c r="V146" s="25">
        <v>0</v>
      </c>
      <c r="W146" s="25">
        <v>0</v>
      </c>
      <c r="X146" s="25">
        <v>1149814.3999999999</v>
      </c>
      <c r="Y146" s="25">
        <v>245960.3</v>
      </c>
      <c r="Z146" s="17">
        <f t="shared" si="67"/>
        <v>3.9199999999999999E-4</v>
      </c>
      <c r="AA146" s="18">
        <v>0</v>
      </c>
      <c r="AB146" s="16">
        <v>21559.02</v>
      </c>
      <c r="AC146" s="16">
        <v>29995.16</v>
      </c>
      <c r="AD146" s="16">
        <v>0</v>
      </c>
      <c r="AE146" s="16">
        <v>0</v>
      </c>
      <c r="AF146" s="16">
        <f t="shared" si="68"/>
        <v>51554.18</v>
      </c>
      <c r="AG146" s="16">
        <f t="shared" si="75"/>
        <v>8248.6687999999995</v>
      </c>
      <c r="AH146" s="16">
        <f t="shared" si="69"/>
        <v>59802.8488</v>
      </c>
      <c r="AI146" s="16">
        <f t="shared" si="76"/>
        <v>1031.0835999999999</v>
      </c>
      <c r="AJ146" s="16">
        <v>0</v>
      </c>
      <c r="AK146" s="16">
        <f t="shared" si="70"/>
        <v>1031.0835999999999</v>
      </c>
      <c r="AL146" s="19"/>
      <c r="AM146" s="16">
        <f t="shared" si="71"/>
        <v>50523.096400000002</v>
      </c>
      <c r="AN146" s="16"/>
      <c r="AO146" s="20"/>
      <c r="AP146" s="16">
        <f t="shared" si="72"/>
        <v>0</v>
      </c>
      <c r="AQ146" s="16"/>
      <c r="AR146" s="15"/>
      <c r="AS146" s="16">
        <f t="shared" si="73"/>
        <v>0</v>
      </c>
      <c r="AT146" s="16"/>
      <c r="AU146" s="16"/>
      <c r="AV146" s="16">
        <f t="shared" si="63"/>
        <v>59802.8488</v>
      </c>
      <c r="AW146" s="16">
        <f t="shared" si="74"/>
        <v>59802.8488</v>
      </c>
      <c r="AX146" s="16" t="str">
        <f t="shared" si="77"/>
        <v>RAWSUR</v>
      </c>
      <c r="AY146" s="22"/>
      <c r="AZ146" s="22"/>
      <c r="BA146" s="1"/>
      <c r="BB146" s="22" t="str">
        <f t="shared" si="64"/>
        <v>CAR</v>
      </c>
      <c r="BC146" s="1"/>
      <c r="BD146" s="1"/>
      <c r="BE146" s="1"/>
    </row>
    <row r="147" spans="1:57" ht="14.25" hidden="1" customHeight="1">
      <c r="A147" s="2" t="s">
        <v>157</v>
      </c>
      <c r="B147" s="1" t="s">
        <v>58</v>
      </c>
      <c r="C147" s="27">
        <v>44977</v>
      </c>
      <c r="D147" s="27">
        <v>44981</v>
      </c>
      <c r="E147" s="27">
        <v>44977</v>
      </c>
      <c r="F147" s="27">
        <v>45341</v>
      </c>
      <c r="G147" s="13" t="str">
        <f t="shared" si="66"/>
        <v>000-146/AIB RDC/2023</v>
      </c>
      <c r="H147" s="1">
        <v>0</v>
      </c>
      <c r="I147" s="1" t="s">
        <v>83</v>
      </c>
      <c r="J147" s="29" t="s">
        <v>359</v>
      </c>
      <c r="K147" s="1" t="s">
        <v>93</v>
      </c>
      <c r="L147" s="1" t="s">
        <v>94</v>
      </c>
      <c r="M147" s="2" t="s">
        <v>95</v>
      </c>
      <c r="N147" s="2" t="s">
        <v>96</v>
      </c>
      <c r="O147" s="1" t="s">
        <v>133</v>
      </c>
      <c r="P147" s="1" t="s">
        <v>134</v>
      </c>
      <c r="Q147" s="1" t="s">
        <v>117</v>
      </c>
      <c r="R147" s="1" t="s">
        <v>117</v>
      </c>
      <c r="S147" s="25">
        <v>0</v>
      </c>
      <c r="T147" s="25">
        <v>20267.86</v>
      </c>
      <c r="U147" s="16">
        <v>0</v>
      </c>
      <c r="V147" s="16">
        <v>0</v>
      </c>
      <c r="W147" s="25">
        <v>172.99</v>
      </c>
      <c r="X147" s="25">
        <v>17299.3</v>
      </c>
      <c r="Y147" s="25">
        <v>2795.57</v>
      </c>
      <c r="Z147" s="17" t="e">
        <f t="shared" si="67"/>
        <v>#DIV/0!</v>
      </c>
      <c r="AA147" s="18">
        <v>0.15</v>
      </c>
      <c r="AB147" s="16">
        <f t="shared" ref="AB147:AB178" si="78">AA147*X147</f>
        <v>2594.895</v>
      </c>
      <c r="AC147" s="16">
        <v>0</v>
      </c>
      <c r="AD147" s="16">
        <v>0</v>
      </c>
      <c r="AE147" s="16">
        <v>0</v>
      </c>
      <c r="AF147" s="16">
        <f t="shared" si="68"/>
        <v>2594.895</v>
      </c>
      <c r="AG147" s="16">
        <f t="shared" si="75"/>
        <v>415.1832</v>
      </c>
      <c r="AH147" s="16">
        <f t="shared" si="69"/>
        <v>3010.0781999999999</v>
      </c>
      <c r="AI147" s="16">
        <f t="shared" si="76"/>
        <v>51.8979</v>
      </c>
      <c r="AJ147" s="16">
        <v>0</v>
      </c>
      <c r="AK147" s="16">
        <f t="shared" si="70"/>
        <v>51.8979</v>
      </c>
      <c r="AL147" s="19"/>
      <c r="AM147" s="16">
        <f t="shared" si="71"/>
        <v>2542.9971</v>
      </c>
      <c r="AN147" s="16" t="s">
        <v>77</v>
      </c>
      <c r="AO147" s="20"/>
      <c r="AP147" s="16">
        <f t="shared" si="72"/>
        <v>0</v>
      </c>
      <c r="AQ147" s="16"/>
      <c r="AR147" s="15"/>
      <c r="AS147" s="16">
        <f t="shared" si="73"/>
        <v>0</v>
      </c>
      <c r="AT147" s="16"/>
      <c r="AU147" s="16">
        <v>3010.0781999999999</v>
      </c>
      <c r="AV147" s="16">
        <f t="shared" si="63"/>
        <v>3010.0781999999999</v>
      </c>
      <c r="AW147" s="16">
        <f t="shared" si="74"/>
        <v>0</v>
      </c>
      <c r="AX147" s="16" t="str">
        <f t="shared" si="77"/>
        <v>SUNU</v>
      </c>
      <c r="AY147" s="22">
        <v>45062</v>
      </c>
      <c r="AZ147" s="22"/>
      <c r="BA147" s="1"/>
      <c r="BB147" s="22" t="str">
        <f t="shared" si="64"/>
        <v>COMP MOTOR</v>
      </c>
      <c r="BC147" s="1"/>
      <c r="BD147" s="1"/>
      <c r="BE147" s="1"/>
    </row>
    <row r="148" spans="1:57" ht="14.25" hidden="1" customHeight="1">
      <c r="A148" s="2" t="s">
        <v>165</v>
      </c>
      <c r="B148" s="1" t="s">
        <v>58</v>
      </c>
      <c r="C148" s="27">
        <v>44895</v>
      </c>
      <c r="D148" s="27">
        <v>44986</v>
      </c>
      <c r="E148" s="27">
        <v>44986</v>
      </c>
      <c r="F148" s="27">
        <v>45351</v>
      </c>
      <c r="G148" s="13" t="str">
        <f t="shared" si="66"/>
        <v>000-147/AIB RDC/2023</v>
      </c>
      <c r="H148" s="1">
        <v>0</v>
      </c>
      <c r="I148" s="1" t="s">
        <v>83</v>
      </c>
      <c r="J148" s="29" t="s">
        <v>360</v>
      </c>
      <c r="K148" s="1" t="s">
        <v>361</v>
      </c>
      <c r="L148" s="1"/>
      <c r="M148" s="2" t="s">
        <v>99</v>
      </c>
      <c r="N148" s="2" t="s">
        <v>100</v>
      </c>
      <c r="O148" s="1" t="s">
        <v>250</v>
      </c>
      <c r="P148" s="1" t="s">
        <v>251</v>
      </c>
      <c r="Q148" s="1" t="s">
        <v>117</v>
      </c>
      <c r="R148" s="1" t="s">
        <v>117</v>
      </c>
      <c r="S148" s="25">
        <v>0</v>
      </c>
      <c r="T148" s="25">
        <v>14021.18</v>
      </c>
      <c r="U148" s="25">
        <v>0</v>
      </c>
      <c r="V148" s="25">
        <v>0</v>
      </c>
      <c r="W148" s="25">
        <v>119.67</v>
      </c>
      <c r="X148" s="25">
        <v>11764.71</v>
      </c>
      <c r="Y148" s="25">
        <v>1933.95</v>
      </c>
      <c r="Z148" s="17" t="e">
        <f t="shared" si="67"/>
        <v>#DIV/0!</v>
      </c>
      <c r="AA148" s="18">
        <v>0</v>
      </c>
      <c r="AB148" s="16">
        <f t="shared" si="78"/>
        <v>0</v>
      </c>
      <c r="AC148" s="16">
        <f>4.4999834250058%*X148</f>
        <v>529.40999999999974</v>
      </c>
      <c r="AD148" s="16">
        <f>1000/1.16</f>
        <v>862.06896551724139</v>
      </c>
      <c r="AE148" s="16">
        <v>0</v>
      </c>
      <c r="AF148" s="16">
        <f t="shared" si="68"/>
        <v>1391.4789655172412</v>
      </c>
      <c r="AG148" s="16">
        <f t="shared" si="75"/>
        <v>222.63663448275861</v>
      </c>
      <c r="AH148" s="16">
        <f t="shared" si="69"/>
        <v>1614.1155999999999</v>
      </c>
      <c r="AI148" s="16">
        <f t="shared" si="76"/>
        <v>27.829579310344826</v>
      </c>
      <c r="AJ148" s="16">
        <v>0</v>
      </c>
      <c r="AK148" s="16">
        <f t="shared" si="70"/>
        <v>27.829579310344826</v>
      </c>
      <c r="AL148" s="19"/>
      <c r="AM148" s="16">
        <f t="shared" si="71"/>
        <v>1363.6493862068965</v>
      </c>
      <c r="AN148" s="16" t="s">
        <v>77</v>
      </c>
      <c r="AO148" s="20"/>
      <c r="AP148" s="16">
        <f t="shared" si="72"/>
        <v>0</v>
      </c>
      <c r="AQ148" s="16"/>
      <c r="AR148" s="15"/>
      <c r="AS148" s="16">
        <f t="shared" si="73"/>
        <v>0</v>
      </c>
      <c r="AT148" s="16"/>
      <c r="AU148" s="16">
        <v>1614.1155999999999</v>
      </c>
      <c r="AV148" s="16">
        <f t="shared" ref="AV148:AV179" si="79">AH148</f>
        <v>1614.1155999999999</v>
      </c>
      <c r="AW148" s="16">
        <f t="shared" si="74"/>
        <v>0</v>
      </c>
      <c r="AX148" s="16" t="str">
        <f t="shared" si="77"/>
        <v>SUNU</v>
      </c>
      <c r="AY148" s="22">
        <v>45062</v>
      </c>
      <c r="AZ148" s="22"/>
      <c r="BA148" s="1"/>
      <c r="BB148" s="22" t="str">
        <f t="shared" si="64"/>
        <v>AVIATION HULL ALL RISK</v>
      </c>
      <c r="BC148" s="1"/>
      <c r="BD148" s="1"/>
      <c r="BE148" s="1"/>
    </row>
    <row r="149" spans="1:57" ht="14.25" hidden="1" customHeight="1">
      <c r="A149" s="2" t="s">
        <v>165</v>
      </c>
      <c r="B149" s="1" t="s">
        <v>58</v>
      </c>
      <c r="C149" s="27">
        <v>45012</v>
      </c>
      <c r="D149" s="27">
        <v>45035</v>
      </c>
      <c r="E149" s="27">
        <v>44992</v>
      </c>
      <c r="F149" s="27">
        <v>45357</v>
      </c>
      <c r="G149" s="13" t="str">
        <f t="shared" si="66"/>
        <v>000-148/AIB RDC/2023</v>
      </c>
      <c r="H149" s="1">
        <v>2</v>
      </c>
      <c r="I149" s="1" t="s">
        <v>68</v>
      </c>
      <c r="J149" s="29" t="s">
        <v>362</v>
      </c>
      <c r="K149" s="1" t="s">
        <v>363</v>
      </c>
      <c r="L149" s="1"/>
      <c r="M149" s="2" t="s">
        <v>99</v>
      </c>
      <c r="N149" s="2" t="s">
        <v>100</v>
      </c>
      <c r="O149" s="1" t="s">
        <v>101</v>
      </c>
      <c r="P149" s="1" t="s">
        <v>81</v>
      </c>
      <c r="Q149" s="1" t="s">
        <v>135</v>
      </c>
      <c r="R149" s="1" t="s">
        <v>135</v>
      </c>
      <c r="S149" s="25">
        <v>2000000</v>
      </c>
      <c r="T149" s="25">
        <v>22530.71</v>
      </c>
      <c r="U149" s="25">
        <v>0</v>
      </c>
      <c r="V149" s="25">
        <v>0</v>
      </c>
      <c r="W149" s="25">
        <v>100</v>
      </c>
      <c r="X149" s="25">
        <v>18993.82</v>
      </c>
      <c r="Y149" s="25">
        <v>3055.01</v>
      </c>
      <c r="Z149" s="17">
        <f t="shared" si="67"/>
        <v>9.496909999999999E-3</v>
      </c>
      <c r="AA149" s="18">
        <v>0.1</v>
      </c>
      <c r="AB149" s="16">
        <f t="shared" si="78"/>
        <v>1899.3820000000001</v>
      </c>
      <c r="AC149" s="16">
        <v>0</v>
      </c>
      <c r="AD149" s="16">
        <v>0</v>
      </c>
      <c r="AE149" s="16">
        <v>0</v>
      </c>
      <c r="AF149" s="16">
        <f t="shared" si="68"/>
        <v>1899.3820000000001</v>
      </c>
      <c r="AG149" s="16">
        <f t="shared" si="75"/>
        <v>303.90111999999999</v>
      </c>
      <c r="AH149" s="16">
        <f t="shared" si="69"/>
        <v>2203.2831200000001</v>
      </c>
      <c r="AI149" s="16">
        <f t="shared" si="76"/>
        <v>37.987639999999999</v>
      </c>
      <c r="AJ149" s="16">
        <v>0</v>
      </c>
      <c r="AK149" s="16">
        <f t="shared" si="70"/>
        <v>37.987639999999999</v>
      </c>
      <c r="AL149" s="19"/>
      <c r="AM149" s="16">
        <f t="shared" si="71"/>
        <v>1861.39436</v>
      </c>
      <c r="AN149" s="16"/>
      <c r="AO149" s="20"/>
      <c r="AP149" s="16">
        <f t="shared" si="72"/>
        <v>0</v>
      </c>
      <c r="AQ149" s="16"/>
      <c r="AR149" s="15"/>
      <c r="AS149" s="16">
        <f t="shared" si="73"/>
        <v>0</v>
      </c>
      <c r="AT149" s="16"/>
      <c r="AU149" s="16">
        <v>2203.2831200000001</v>
      </c>
      <c r="AV149" s="16">
        <f t="shared" si="79"/>
        <v>2203.2831200000001</v>
      </c>
      <c r="AW149" s="16">
        <f t="shared" si="74"/>
        <v>0</v>
      </c>
      <c r="AX149" s="16" t="str">
        <f t="shared" si="77"/>
        <v>RAWSUR</v>
      </c>
      <c r="AY149" s="22">
        <v>45072</v>
      </c>
      <c r="AZ149" s="22"/>
      <c r="BA149" s="1"/>
      <c r="BB149" s="22" t="str">
        <f t="shared" si="64"/>
        <v>GPA</v>
      </c>
      <c r="BC149" s="1"/>
      <c r="BD149" s="1"/>
      <c r="BE149" s="1"/>
    </row>
    <row r="150" spans="1:57" ht="14.25" hidden="1" customHeight="1">
      <c r="A150" s="2" t="s">
        <v>165</v>
      </c>
      <c r="B150" s="1" t="s">
        <v>58</v>
      </c>
      <c r="C150" s="27">
        <v>44994</v>
      </c>
      <c r="D150" s="27">
        <v>45015</v>
      </c>
      <c r="E150" s="27">
        <v>45016</v>
      </c>
      <c r="F150" s="27">
        <v>45381</v>
      </c>
      <c r="G150" s="13" t="str">
        <f t="shared" si="66"/>
        <v>000-149/AIB RDC/2023</v>
      </c>
      <c r="H150" s="1">
        <v>0</v>
      </c>
      <c r="I150" s="1" t="s">
        <v>83</v>
      </c>
      <c r="J150" s="29">
        <v>73200026</v>
      </c>
      <c r="K150" s="1" t="s">
        <v>364</v>
      </c>
      <c r="L150" s="1"/>
      <c r="M150" s="2" t="s">
        <v>99</v>
      </c>
      <c r="N150" s="2" t="s">
        <v>100</v>
      </c>
      <c r="O150" s="1" t="s">
        <v>104</v>
      </c>
      <c r="P150" s="1" t="s">
        <v>105</v>
      </c>
      <c r="Q150" s="1" t="s">
        <v>135</v>
      </c>
      <c r="R150" s="1" t="s">
        <v>135</v>
      </c>
      <c r="S150" s="25">
        <v>2000000</v>
      </c>
      <c r="T150" s="25">
        <v>2000</v>
      </c>
      <c r="U150" s="25">
        <v>0</v>
      </c>
      <c r="V150" s="25">
        <v>0</v>
      </c>
      <c r="W150" s="25">
        <v>100</v>
      </c>
      <c r="X150" s="25">
        <v>1594.91</v>
      </c>
      <c r="Y150" s="25">
        <v>271.19</v>
      </c>
      <c r="Z150" s="17">
        <f t="shared" si="67"/>
        <v>7.9745500000000008E-4</v>
      </c>
      <c r="AA150" s="18">
        <v>0.15</v>
      </c>
      <c r="AB150" s="16">
        <f t="shared" si="78"/>
        <v>239.23650000000001</v>
      </c>
      <c r="AC150" s="16">
        <v>0</v>
      </c>
      <c r="AD150" s="16">
        <v>0</v>
      </c>
      <c r="AE150" s="16">
        <v>0</v>
      </c>
      <c r="AF150" s="16">
        <f t="shared" si="68"/>
        <v>239.23650000000001</v>
      </c>
      <c r="AG150" s="16">
        <f t="shared" si="75"/>
        <v>38.277840000000005</v>
      </c>
      <c r="AH150" s="16">
        <f t="shared" si="69"/>
        <v>277.51434</v>
      </c>
      <c r="AI150" s="16">
        <f t="shared" si="76"/>
        <v>4.7847300000000006</v>
      </c>
      <c r="AJ150" s="16">
        <v>0</v>
      </c>
      <c r="AK150" s="16">
        <f t="shared" si="70"/>
        <v>4.7847300000000006</v>
      </c>
      <c r="AL150" s="19"/>
      <c r="AM150" s="16">
        <f t="shared" si="71"/>
        <v>234.45177000000001</v>
      </c>
      <c r="AN150" s="16"/>
      <c r="AO150" s="20"/>
      <c r="AP150" s="16">
        <f t="shared" si="72"/>
        <v>0</v>
      </c>
      <c r="AQ150" s="16"/>
      <c r="AR150" s="15"/>
      <c r="AS150" s="16">
        <f t="shared" si="73"/>
        <v>0</v>
      </c>
      <c r="AT150" s="16"/>
      <c r="AU150" s="16">
        <v>277.51434</v>
      </c>
      <c r="AV150" s="16">
        <f t="shared" si="79"/>
        <v>277.51434</v>
      </c>
      <c r="AW150" s="16">
        <f t="shared" si="74"/>
        <v>0</v>
      </c>
      <c r="AX150" s="16" t="str">
        <f t="shared" si="77"/>
        <v>RAWSUR</v>
      </c>
      <c r="AY150" s="22">
        <v>45043</v>
      </c>
      <c r="AZ150" s="22"/>
      <c r="BA150" s="1"/>
      <c r="BB150" s="22" t="str">
        <f t="shared" si="64"/>
        <v>MARINE CARGO / GIT</v>
      </c>
      <c r="BC150" s="1"/>
      <c r="BD150" s="1"/>
      <c r="BE150" s="1"/>
    </row>
    <row r="151" spans="1:57" ht="14.25" hidden="1" customHeight="1">
      <c r="A151" s="2" t="s">
        <v>165</v>
      </c>
      <c r="B151" s="1" t="s">
        <v>58</v>
      </c>
      <c r="C151" s="27">
        <v>44994</v>
      </c>
      <c r="D151" s="27">
        <v>45016</v>
      </c>
      <c r="E151" s="27">
        <v>45016</v>
      </c>
      <c r="F151" s="27">
        <v>45381</v>
      </c>
      <c r="G151" s="13" t="str">
        <f t="shared" si="66"/>
        <v>000-150/AIB RDC/2023</v>
      </c>
      <c r="H151" s="1">
        <v>2</v>
      </c>
      <c r="I151" s="1" t="s">
        <v>68</v>
      </c>
      <c r="J151" s="29" t="s">
        <v>216</v>
      </c>
      <c r="K151" s="1" t="s">
        <v>217</v>
      </c>
      <c r="L151" s="1"/>
      <c r="M151" s="2" t="s">
        <v>99</v>
      </c>
      <c r="N151" s="2" t="s">
        <v>100</v>
      </c>
      <c r="O151" s="1" t="s">
        <v>104</v>
      </c>
      <c r="P151" s="1" t="s">
        <v>105</v>
      </c>
      <c r="Q151" s="1" t="s">
        <v>135</v>
      </c>
      <c r="R151" s="1" t="s">
        <v>135</v>
      </c>
      <c r="S151" s="25">
        <v>22000000</v>
      </c>
      <c r="T151" s="25">
        <v>41654</v>
      </c>
      <c r="U151" s="25">
        <v>0</v>
      </c>
      <c r="V151" s="25">
        <v>0</v>
      </c>
      <c r="W151" s="25">
        <v>100</v>
      </c>
      <c r="X151" s="25">
        <v>35200</v>
      </c>
      <c r="Y151" s="25">
        <v>5648</v>
      </c>
      <c r="Z151" s="17">
        <f t="shared" si="67"/>
        <v>1.6000000000000001E-3</v>
      </c>
      <c r="AA151" s="18">
        <v>0.15</v>
      </c>
      <c r="AB151" s="16">
        <f t="shared" si="78"/>
        <v>5280</v>
      </c>
      <c r="AC151" s="16">
        <v>0</v>
      </c>
      <c r="AD151" s="16">
        <v>0</v>
      </c>
      <c r="AE151" s="16">
        <v>0</v>
      </c>
      <c r="AF151" s="16">
        <f t="shared" si="68"/>
        <v>5280</v>
      </c>
      <c r="AG151" s="16">
        <f t="shared" si="75"/>
        <v>844.80000000000007</v>
      </c>
      <c r="AH151" s="16">
        <f t="shared" si="69"/>
        <v>6124.8</v>
      </c>
      <c r="AI151" s="16">
        <f t="shared" si="76"/>
        <v>105.60000000000001</v>
      </c>
      <c r="AJ151" s="16">
        <v>0</v>
      </c>
      <c r="AK151" s="16">
        <f t="shared" si="70"/>
        <v>105.60000000000001</v>
      </c>
      <c r="AL151" s="19"/>
      <c r="AM151" s="16">
        <f t="shared" si="71"/>
        <v>5174.3999999999996</v>
      </c>
      <c r="AN151" s="16" t="s">
        <v>147</v>
      </c>
      <c r="AO151" s="20">
        <v>0.4</v>
      </c>
      <c r="AP151" s="16">
        <f t="shared" si="72"/>
        <v>2069.7599999999998</v>
      </c>
      <c r="AQ151" s="16">
        <v>2069.7599999999998</v>
      </c>
      <c r="AR151" s="15">
        <v>45229</v>
      </c>
      <c r="AS151" s="16">
        <f t="shared" si="73"/>
        <v>0</v>
      </c>
      <c r="AT151" s="16"/>
      <c r="AU151" s="16">
        <v>6124.8</v>
      </c>
      <c r="AV151" s="16">
        <f t="shared" si="79"/>
        <v>6124.8</v>
      </c>
      <c r="AW151" s="16">
        <f t="shared" si="74"/>
        <v>0</v>
      </c>
      <c r="AX151" s="16" t="str">
        <f t="shared" si="77"/>
        <v>RAWSUR</v>
      </c>
      <c r="AY151" s="22">
        <v>45043</v>
      </c>
      <c r="AZ151" s="22"/>
      <c r="BA151" s="1" t="s">
        <v>148</v>
      </c>
      <c r="BB151" s="22" t="str">
        <f t="shared" si="64"/>
        <v>MARINE CARGO / GIT</v>
      </c>
      <c r="BC151" s="1"/>
      <c r="BD151" s="1"/>
      <c r="BE151" s="1"/>
    </row>
    <row r="152" spans="1:57" ht="14.25" hidden="1" customHeight="1">
      <c r="A152" s="2" t="s">
        <v>165</v>
      </c>
      <c r="B152" s="1" t="s">
        <v>58</v>
      </c>
      <c r="C152" s="27">
        <v>44994</v>
      </c>
      <c r="D152" s="27">
        <v>45020</v>
      </c>
      <c r="E152" s="27">
        <v>45016</v>
      </c>
      <c r="F152" s="27">
        <v>45381</v>
      </c>
      <c r="G152" s="13" t="str">
        <f t="shared" si="66"/>
        <v>000-151/AIB RDC/2023</v>
      </c>
      <c r="H152" s="1">
        <v>2</v>
      </c>
      <c r="I152" s="1" t="s">
        <v>68</v>
      </c>
      <c r="J152" s="29" t="s">
        <v>218</v>
      </c>
      <c r="K152" s="1" t="s">
        <v>219</v>
      </c>
      <c r="L152" s="1"/>
      <c r="M152" s="2" t="s">
        <v>99</v>
      </c>
      <c r="N152" s="2" t="s">
        <v>100</v>
      </c>
      <c r="O152" s="1" t="s">
        <v>104</v>
      </c>
      <c r="P152" s="1" t="s">
        <v>105</v>
      </c>
      <c r="Q152" s="1" t="s">
        <v>135</v>
      </c>
      <c r="R152" s="1" t="s">
        <v>135</v>
      </c>
      <c r="S152" s="25">
        <v>27000000</v>
      </c>
      <c r="T152" s="25">
        <v>51094</v>
      </c>
      <c r="U152" s="25">
        <v>0</v>
      </c>
      <c r="V152" s="25">
        <v>0</v>
      </c>
      <c r="W152" s="25">
        <v>100</v>
      </c>
      <c r="X152" s="25">
        <v>43200</v>
      </c>
      <c r="Y152" s="25">
        <v>6928</v>
      </c>
      <c r="Z152" s="17">
        <f t="shared" si="67"/>
        <v>1.6000000000000001E-3</v>
      </c>
      <c r="AA152" s="18">
        <v>0.15</v>
      </c>
      <c r="AB152" s="16">
        <f t="shared" si="78"/>
        <v>6480</v>
      </c>
      <c r="AC152" s="16">
        <v>0</v>
      </c>
      <c r="AD152" s="16">
        <v>0</v>
      </c>
      <c r="AE152" s="16">
        <v>0</v>
      </c>
      <c r="AF152" s="16">
        <f t="shared" si="68"/>
        <v>6480</v>
      </c>
      <c r="AG152" s="16">
        <f t="shared" si="75"/>
        <v>1036.8</v>
      </c>
      <c r="AH152" s="16">
        <f t="shared" si="69"/>
        <v>7516.8</v>
      </c>
      <c r="AI152" s="16">
        <f t="shared" si="76"/>
        <v>129.6</v>
      </c>
      <c r="AJ152" s="16">
        <v>0</v>
      </c>
      <c r="AK152" s="16">
        <f t="shared" si="70"/>
        <v>129.6</v>
      </c>
      <c r="AL152" s="19"/>
      <c r="AM152" s="16">
        <f t="shared" si="71"/>
        <v>6350.4</v>
      </c>
      <c r="AN152" s="16" t="s">
        <v>147</v>
      </c>
      <c r="AO152" s="20">
        <v>0.4</v>
      </c>
      <c r="AP152" s="16">
        <f t="shared" si="72"/>
        <v>2540.16</v>
      </c>
      <c r="AQ152" s="16">
        <v>2540.16</v>
      </c>
      <c r="AR152" s="15">
        <v>45229</v>
      </c>
      <c r="AS152" s="16">
        <f t="shared" si="73"/>
        <v>0</v>
      </c>
      <c r="AT152" s="16"/>
      <c r="AU152" s="16">
        <v>7516.8</v>
      </c>
      <c r="AV152" s="16">
        <f t="shared" si="79"/>
        <v>7516.8</v>
      </c>
      <c r="AW152" s="16">
        <f t="shared" si="74"/>
        <v>0</v>
      </c>
      <c r="AX152" s="16" t="str">
        <f t="shared" si="77"/>
        <v>RAWSUR</v>
      </c>
      <c r="AY152" s="22">
        <v>45072</v>
      </c>
      <c r="AZ152" s="22"/>
      <c r="BA152" s="1" t="s">
        <v>148</v>
      </c>
      <c r="BB152" s="22" t="str">
        <f t="shared" si="64"/>
        <v>MARINE CARGO / GIT</v>
      </c>
      <c r="BC152" s="1"/>
      <c r="BD152" s="1"/>
      <c r="BE152" s="1"/>
    </row>
    <row r="153" spans="1:57" ht="14.25" hidden="1" customHeight="1">
      <c r="A153" s="2" t="s">
        <v>165</v>
      </c>
      <c r="B153" s="1" t="s">
        <v>58</v>
      </c>
      <c r="C153" s="27">
        <v>44994</v>
      </c>
      <c r="D153" s="27">
        <v>45006</v>
      </c>
      <c r="E153" s="27">
        <v>44995</v>
      </c>
      <c r="F153" s="27">
        <v>45360</v>
      </c>
      <c r="G153" s="13" t="str">
        <f t="shared" si="66"/>
        <v>000-152/AIB RDC/2023</v>
      </c>
      <c r="H153" s="1">
        <v>0</v>
      </c>
      <c r="I153" s="1" t="s">
        <v>83</v>
      </c>
      <c r="J153" s="29" t="s">
        <v>365</v>
      </c>
      <c r="K153" s="1" t="s">
        <v>297</v>
      </c>
      <c r="L153" s="1"/>
      <c r="M153" s="2" t="s">
        <v>99</v>
      </c>
      <c r="N153" s="2" t="s">
        <v>100</v>
      </c>
      <c r="O153" s="1" t="s">
        <v>65</v>
      </c>
      <c r="P153" s="1" t="s">
        <v>65</v>
      </c>
      <c r="Q153" s="1" t="s">
        <v>127</v>
      </c>
      <c r="R153" s="1" t="s">
        <v>127</v>
      </c>
      <c r="S153" s="25">
        <v>0</v>
      </c>
      <c r="T153" s="25">
        <v>8361.48</v>
      </c>
      <c r="U153" s="25">
        <v>0</v>
      </c>
      <c r="V153" s="25">
        <v>0</v>
      </c>
      <c r="W153" s="25">
        <v>390</v>
      </c>
      <c r="X153" s="25">
        <v>6696</v>
      </c>
      <c r="Y153" s="25">
        <v>1133.76</v>
      </c>
      <c r="Z153" s="17" t="e">
        <f t="shared" si="67"/>
        <v>#DIV/0!</v>
      </c>
      <c r="AA153" s="18">
        <v>0.1</v>
      </c>
      <c r="AB153" s="16">
        <f t="shared" si="78"/>
        <v>669.6</v>
      </c>
      <c r="AC153" s="16">
        <v>0</v>
      </c>
      <c r="AD153" s="16">
        <v>0</v>
      </c>
      <c r="AE153" s="16">
        <v>0</v>
      </c>
      <c r="AF153" s="16">
        <f t="shared" si="68"/>
        <v>669.6</v>
      </c>
      <c r="AG153" s="16">
        <f t="shared" si="75"/>
        <v>107.13600000000001</v>
      </c>
      <c r="AH153" s="16">
        <f t="shared" si="69"/>
        <v>776.73599999999999</v>
      </c>
      <c r="AI153" s="16">
        <f t="shared" si="76"/>
        <v>13.392000000000001</v>
      </c>
      <c r="AJ153" s="16">
        <v>0</v>
      </c>
      <c r="AK153" s="16">
        <f t="shared" si="70"/>
        <v>13.392000000000001</v>
      </c>
      <c r="AL153" s="19"/>
      <c r="AM153" s="16">
        <f t="shared" si="71"/>
        <v>656.20799999999997</v>
      </c>
      <c r="AN153" s="16"/>
      <c r="AO153" s="20"/>
      <c r="AP153" s="16">
        <f t="shared" si="72"/>
        <v>0</v>
      </c>
      <c r="AQ153" s="16"/>
      <c r="AR153" s="15"/>
      <c r="AS153" s="16">
        <f t="shared" si="73"/>
        <v>0</v>
      </c>
      <c r="AT153" s="16"/>
      <c r="AU153" s="16">
        <v>776.73599999999999</v>
      </c>
      <c r="AV153" s="16">
        <f t="shared" si="79"/>
        <v>776.73599999999999</v>
      </c>
      <c r="AW153" s="16">
        <f t="shared" si="74"/>
        <v>0</v>
      </c>
      <c r="AX153" s="16" t="str">
        <f t="shared" si="77"/>
        <v>MAYFAIR</v>
      </c>
      <c r="AY153" s="22">
        <v>45064</v>
      </c>
      <c r="AZ153" s="22"/>
      <c r="BA153" s="1"/>
      <c r="BB153" s="22" t="str">
        <f t="shared" si="64"/>
        <v>MOTOR TPL</v>
      </c>
      <c r="BC153" s="1"/>
      <c r="BD153" s="1"/>
      <c r="BE153" s="1"/>
    </row>
    <row r="154" spans="1:57" ht="14.25" hidden="1" customHeight="1">
      <c r="A154" s="2" t="s">
        <v>165</v>
      </c>
      <c r="B154" s="1" t="s">
        <v>58</v>
      </c>
      <c r="C154" s="27">
        <v>44994</v>
      </c>
      <c r="D154" s="27">
        <v>45006</v>
      </c>
      <c r="E154" s="27">
        <v>44995</v>
      </c>
      <c r="F154" s="27">
        <v>45360</v>
      </c>
      <c r="G154" s="13" t="str">
        <f t="shared" si="66"/>
        <v>000-153/AIB RDC/2023</v>
      </c>
      <c r="H154" s="1">
        <v>0</v>
      </c>
      <c r="I154" s="1" t="s">
        <v>83</v>
      </c>
      <c r="J154" s="29" t="s">
        <v>366</v>
      </c>
      <c r="K154" s="1" t="s">
        <v>299</v>
      </c>
      <c r="L154" s="1"/>
      <c r="M154" s="2" t="s">
        <v>99</v>
      </c>
      <c r="N154" s="2" t="s">
        <v>100</v>
      </c>
      <c r="O154" s="1" t="s">
        <v>65</v>
      </c>
      <c r="P154" s="1" t="s">
        <v>65</v>
      </c>
      <c r="Q154" s="1" t="s">
        <v>127</v>
      </c>
      <c r="R154" s="1" t="s">
        <v>127</v>
      </c>
      <c r="S154" s="25">
        <v>0</v>
      </c>
      <c r="T154" s="25">
        <v>8494.11</v>
      </c>
      <c r="U154" s="25">
        <v>0</v>
      </c>
      <c r="V154" s="25">
        <v>0</v>
      </c>
      <c r="W154" s="25">
        <v>280</v>
      </c>
      <c r="X154" s="25">
        <v>6818.4</v>
      </c>
      <c r="Y154" s="25">
        <v>1151.74</v>
      </c>
      <c r="Z154" s="17" t="e">
        <f t="shared" si="67"/>
        <v>#DIV/0!</v>
      </c>
      <c r="AA154" s="18">
        <v>0.1</v>
      </c>
      <c r="AB154" s="16">
        <f t="shared" si="78"/>
        <v>681.84</v>
      </c>
      <c r="AC154" s="16">
        <v>0</v>
      </c>
      <c r="AD154" s="16">
        <v>0</v>
      </c>
      <c r="AE154" s="16">
        <v>0</v>
      </c>
      <c r="AF154" s="16">
        <f t="shared" si="68"/>
        <v>681.84</v>
      </c>
      <c r="AG154" s="16">
        <f t="shared" si="75"/>
        <v>109.09440000000001</v>
      </c>
      <c r="AH154" s="16">
        <f t="shared" si="69"/>
        <v>790.9344000000001</v>
      </c>
      <c r="AI154" s="16">
        <f t="shared" si="76"/>
        <v>13.636800000000001</v>
      </c>
      <c r="AJ154" s="16">
        <v>0</v>
      </c>
      <c r="AK154" s="16">
        <f t="shared" si="70"/>
        <v>13.636800000000001</v>
      </c>
      <c r="AL154" s="19"/>
      <c r="AM154" s="16">
        <f t="shared" si="71"/>
        <v>668.20320000000004</v>
      </c>
      <c r="AN154" s="16"/>
      <c r="AO154" s="20"/>
      <c r="AP154" s="16">
        <f t="shared" si="72"/>
        <v>0</v>
      </c>
      <c r="AQ154" s="16"/>
      <c r="AR154" s="15"/>
      <c r="AS154" s="16">
        <f t="shared" si="73"/>
        <v>0</v>
      </c>
      <c r="AT154" s="16"/>
      <c r="AU154" s="16">
        <v>790.9344000000001</v>
      </c>
      <c r="AV154" s="16">
        <f t="shared" si="79"/>
        <v>790.9344000000001</v>
      </c>
      <c r="AW154" s="16">
        <f t="shared" si="74"/>
        <v>0</v>
      </c>
      <c r="AX154" s="16" t="str">
        <f t="shared" si="77"/>
        <v>MAYFAIR</v>
      </c>
      <c r="AY154" s="22">
        <v>45064</v>
      </c>
      <c r="AZ154" s="22"/>
      <c r="BA154" s="1"/>
      <c r="BB154" s="22" t="str">
        <f t="shared" si="64"/>
        <v>MOTOR TPL</v>
      </c>
      <c r="BC154" s="1"/>
      <c r="BD154" s="1"/>
      <c r="BE154" s="1"/>
    </row>
    <row r="155" spans="1:57" ht="14.25" hidden="1" customHeight="1">
      <c r="A155" s="2" t="s">
        <v>165</v>
      </c>
      <c r="B155" s="1" t="s">
        <v>58</v>
      </c>
      <c r="C155" s="27">
        <v>44994</v>
      </c>
      <c r="D155" s="27">
        <v>45006</v>
      </c>
      <c r="E155" s="27">
        <v>44995</v>
      </c>
      <c r="F155" s="27">
        <v>45360</v>
      </c>
      <c r="G155" s="13" t="str">
        <f t="shared" si="66"/>
        <v>000-154/AIB RDC/2023</v>
      </c>
      <c r="H155" s="1">
        <v>0</v>
      </c>
      <c r="I155" s="1" t="s">
        <v>83</v>
      </c>
      <c r="J155" s="29" t="s">
        <v>367</v>
      </c>
      <c r="K155" s="1" t="s">
        <v>368</v>
      </c>
      <c r="L155" s="1"/>
      <c r="M155" s="2" t="s">
        <v>99</v>
      </c>
      <c r="N155" s="2" t="s">
        <v>100</v>
      </c>
      <c r="O155" s="1" t="s">
        <v>65</v>
      </c>
      <c r="P155" s="1" t="s">
        <v>65</v>
      </c>
      <c r="Q155" s="1" t="s">
        <v>127</v>
      </c>
      <c r="R155" s="1" t="s">
        <v>127</v>
      </c>
      <c r="S155" s="25">
        <v>0</v>
      </c>
      <c r="T155" s="25">
        <v>1339.36</v>
      </c>
      <c r="U155" s="25">
        <v>0</v>
      </c>
      <c r="V155" s="25">
        <v>0</v>
      </c>
      <c r="W155" s="25">
        <v>70</v>
      </c>
      <c r="X155" s="25">
        <v>1065.05</v>
      </c>
      <c r="Y155" s="25">
        <v>181.61</v>
      </c>
      <c r="Z155" s="17" t="e">
        <f t="shared" si="67"/>
        <v>#DIV/0!</v>
      </c>
      <c r="AA155" s="18">
        <v>0.1</v>
      </c>
      <c r="AB155" s="16">
        <f t="shared" si="78"/>
        <v>106.505</v>
      </c>
      <c r="AC155" s="16">
        <v>0</v>
      </c>
      <c r="AD155" s="16">
        <v>0</v>
      </c>
      <c r="AE155" s="16">
        <v>0</v>
      </c>
      <c r="AF155" s="16">
        <f t="shared" si="68"/>
        <v>106.505</v>
      </c>
      <c r="AG155" s="16">
        <f t="shared" si="75"/>
        <v>17.040800000000001</v>
      </c>
      <c r="AH155" s="16">
        <f t="shared" si="69"/>
        <v>123.5458</v>
      </c>
      <c r="AI155" s="16">
        <f t="shared" si="76"/>
        <v>2.1301000000000001</v>
      </c>
      <c r="AJ155" s="16">
        <v>0</v>
      </c>
      <c r="AK155" s="16">
        <f t="shared" si="70"/>
        <v>2.1301000000000001</v>
      </c>
      <c r="AL155" s="19"/>
      <c r="AM155" s="16">
        <f t="shared" si="71"/>
        <v>104.3749</v>
      </c>
      <c r="AN155" s="16"/>
      <c r="AO155" s="20"/>
      <c r="AP155" s="16">
        <f t="shared" si="72"/>
        <v>0</v>
      </c>
      <c r="AQ155" s="16"/>
      <c r="AR155" s="15"/>
      <c r="AS155" s="16">
        <f t="shared" si="73"/>
        <v>0</v>
      </c>
      <c r="AT155" s="16"/>
      <c r="AU155" s="16">
        <v>123.5458</v>
      </c>
      <c r="AV155" s="16">
        <f t="shared" si="79"/>
        <v>123.5458</v>
      </c>
      <c r="AW155" s="16">
        <f t="shared" si="74"/>
        <v>0</v>
      </c>
      <c r="AX155" s="16" t="str">
        <f t="shared" si="77"/>
        <v>MAYFAIR</v>
      </c>
      <c r="AY155" s="22">
        <v>45064</v>
      </c>
      <c r="AZ155" s="22"/>
      <c r="BA155" s="1"/>
      <c r="BB155" s="22" t="str">
        <f t="shared" si="64"/>
        <v>MOTOR TPL</v>
      </c>
      <c r="BC155" s="1"/>
      <c r="BD155" s="1"/>
      <c r="BE155" s="1"/>
    </row>
    <row r="156" spans="1:57" ht="14.25" hidden="1" customHeight="1">
      <c r="A156" s="2" t="s">
        <v>165</v>
      </c>
      <c r="B156" s="1" t="s">
        <v>58</v>
      </c>
      <c r="C156" s="27">
        <v>44998</v>
      </c>
      <c r="D156" s="27">
        <v>45006</v>
      </c>
      <c r="E156" s="27">
        <v>44998</v>
      </c>
      <c r="F156" s="27">
        <v>45360</v>
      </c>
      <c r="G156" s="13" t="str">
        <f t="shared" si="66"/>
        <v>000-155/AIB RDC/2023</v>
      </c>
      <c r="H156" s="1">
        <v>1</v>
      </c>
      <c r="I156" s="1" t="s">
        <v>59</v>
      </c>
      <c r="J156" s="29" t="s">
        <v>365</v>
      </c>
      <c r="K156" s="1" t="s">
        <v>297</v>
      </c>
      <c r="L156" s="1"/>
      <c r="M156" s="2" t="s">
        <v>99</v>
      </c>
      <c r="N156" s="2" t="s">
        <v>100</v>
      </c>
      <c r="O156" s="1" t="s">
        <v>65</v>
      </c>
      <c r="P156" s="1" t="s">
        <v>65</v>
      </c>
      <c r="Q156" s="1" t="s">
        <v>127</v>
      </c>
      <c r="R156" s="1" t="s">
        <v>127</v>
      </c>
      <c r="S156" s="25">
        <v>0</v>
      </c>
      <c r="T156" s="25">
        <v>2074.91</v>
      </c>
      <c r="U156" s="25">
        <v>0</v>
      </c>
      <c r="V156" s="25">
        <v>0</v>
      </c>
      <c r="W156" s="25">
        <v>60</v>
      </c>
      <c r="X156" s="25">
        <v>1698.4</v>
      </c>
      <c r="Y156" s="25">
        <v>281.33999999999997</v>
      </c>
      <c r="Z156" s="17" t="e">
        <f t="shared" si="67"/>
        <v>#DIV/0!</v>
      </c>
      <c r="AA156" s="18">
        <v>0.1</v>
      </c>
      <c r="AB156" s="16">
        <f t="shared" si="78"/>
        <v>169.84000000000003</v>
      </c>
      <c r="AC156" s="16">
        <v>0</v>
      </c>
      <c r="AD156" s="16">
        <v>0</v>
      </c>
      <c r="AE156" s="16">
        <v>0</v>
      </c>
      <c r="AF156" s="16">
        <f t="shared" si="68"/>
        <v>169.84000000000003</v>
      </c>
      <c r="AG156" s="16">
        <f t="shared" si="75"/>
        <v>27.174400000000006</v>
      </c>
      <c r="AH156" s="16">
        <f t="shared" si="69"/>
        <v>197.01440000000002</v>
      </c>
      <c r="AI156" s="16">
        <f t="shared" si="76"/>
        <v>3.3968000000000007</v>
      </c>
      <c r="AJ156" s="16">
        <v>0</v>
      </c>
      <c r="AK156" s="16">
        <f t="shared" si="70"/>
        <v>3.3968000000000007</v>
      </c>
      <c r="AL156" s="19"/>
      <c r="AM156" s="16">
        <f t="shared" si="71"/>
        <v>166.44320000000002</v>
      </c>
      <c r="AN156" s="16"/>
      <c r="AO156" s="20"/>
      <c r="AP156" s="16">
        <f t="shared" si="72"/>
        <v>0</v>
      </c>
      <c r="AQ156" s="16"/>
      <c r="AR156" s="15"/>
      <c r="AS156" s="16">
        <f t="shared" si="73"/>
        <v>0</v>
      </c>
      <c r="AT156" s="16"/>
      <c r="AU156" s="16">
        <v>197.01440000000002</v>
      </c>
      <c r="AV156" s="16">
        <f t="shared" si="79"/>
        <v>197.01440000000002</v>
      </c>
      <c r="AW156" s="16">
        <f t="shared" si="74"/>
        <v>0</v>
      </c>
      <c r="AX156" s="16" t="str">
        <f t="shared" si="77"/>
        <v>MAYFAIR</v>
      </c>
      <c r="AY156" s="22">
        <v>45064</v>
      </c>
      <c r="AZ156" s="22"/>
      <c r="BA156" s="1"/>
      <c r="BB156" s="22" t="str">
        <f t="shared" ref="BB156:BB178" si="80">O156</f>
        <v>MOTOR TPL</v>
      </c>
      <c r="BC156" s="1"/>
      <c r="BD156" s="1"/>
      <c r="BE156" s="1"/>
    </row>
    <row r="157" spans="1:57" ht="14.25" hidden="1" customHeight="1">
      <c r="A157" s="2" t="s">
        <v>165</v>
      </c>
      <c r="B157" s="1" t="s">
        <v>58</v>
      </c>
      <c r="C157" s="27">
        <v>45000</v>
      </c>
      <c r="D157" s="27">
        <v>45000</v>
      </c>
      <c r="E157" s="27">
        <v>44998</v>
      </c>
      <c r="F157" s="27">
        <v>45058</v>
      </c>
      <c r="G157" s="13" t="str">
        <f t="shared" si="66"/>
        <v>000-156/AIB RDC/2023</v>
      </c>
      <c r="H157" s="1">
        <v>0</v>
      </c>
      <c r="I157" s="1" t="s">
        <v>83</v>
      </c>
      <c r="J157" s="29" t="s">
        <v>369</v>
      </c>
      <c r="K157" s="1" t="s">
        <v>370</v>
      </c>
      <c r="L157" s="1"/>
      <c r="M157" s="2" t="s">
        <v>99</v>
      </c>
      <c r="N157" s="2" t="s">
        <v>100</v>
      </c>
      <c r="O157" s="1" t="s">
        <v>104</v>
      </c>
      <c r="P157" s="1" t="s">
        <v>105</v>
      </c>
      <c r="Q157" s="1" t="s">
        <v>66</v>
      </c>
      <c r="R157" s="1" t="s">
        <v>66</v>
      </c>
      <c r="S157" s="25">
        <v>3045.7</v>
      </c>
      <c r="T157" s="25">
        <v>45.33</v>
      </c>
      <c r="U157" s="25">
        <v>0</v>
      </c>
      <c r="V157" s="25">
        <v>0</v>
      </c>
      <c r="W157" s="25">
        <v>2.23</v>
      </c>
      <c r="X157" s="25">
        <v>15</v>
      </c>
      <c r="Y157" s="25">
        <v>2.76</v>
      </c>
      <c r="Z157" s="17">
        <f t="shared" si="67"/>
        <v>4.9249761959483862E-3</v>
      </c>
      <c r="AA157" s="18">
        <v>0.15</v>
      </c>
      <c r="AB157" s="16">
        <f t="shared" si="78"/>
        <v>2.25</v>
      </c>
      <c r="AC157" s="16">
        <v>0</v>
      </c>
      <c r="AD157" s="16">
        <v>0</v>
      </c>
      <c r="AE157" s="16">
        <v>0</v>
      </c>
      <c r="AF157" s="16">
        <f t="shared" si="68"/>
        <v>2.25</v>
      </c>
      <c r="AG157" s="16">
        <f t="shared" si="75"/>
        <v>0.36</v>
      </c>
      <c r="AH157" s="16">
        <f t="shared" si="69"/>
        <v>2.61</v>
      </c>
      <c r="AI157" s="16">
        <f t="shared" si="76"/>
        <v>4.4999999999999998E-2</v>
      </c>
      <c r="AJ157" s="16">
        <v>0</v>
      </c>
      <c r="AK157" s="16">
        <f t="shared" si="70"/>
        <v>4.4999999999999998E-2</v>
      </c>
      <c r="AL157" s="19"/>
      <c r="AM157" s="16">
        <f t="shared" si="71"/>
        <v>2.2050000000000001</v>
      </c>
      <c r="AN157" s="16"/>
      <c r="AO157" s="20"/>
      <c r="AP157" s="16">
        <f t="shared" si="72"/>
        <v>0</v>
      </c>
      <c r="AQ157" s="16"/>
      <c r="AR157" s="15"/>
      <c r="AS157" s="16">
        <f t="shared" si="73"/>
        <v>0</v>
      </c>
      <c r="AT157" s="16"/>
      <c r="AU157" s="16">
        <v>2.61</v>
      </c>
      <c r="AV157" s="16">
        <f t="shared" si="79"/>
        <v>2.61</v>
      </c>
      <c r="AW157" s="16">
        <f t="shared" si="74"/>
        <v>0</v>
      </c>
      <c r="AX157" s="16" t="str">
        <f t="shared" si="77"/>
        <v>SFA</v>
      </c>
      <c r="AY157" s="22">
        <v>45070</v>
      </c>
      <c r="AZ157" s="22"/>
      <c r="BA157" s="1" t="s">
        <v>148</v>
      </c>
      <c r="BB157" s="22" t="str">
        <f t="shared" si="80"/>
        <v>MARINE CARGO / GIT</v>
      </c>
      <c r="BC157" s="1"/>
      <c r="BD157" s="1"/>
      <c r="BE157" s="1"/>
    </row>
    <row r="158" spans="1:57" ht="14.25" hidden="1" customHeight="1">
      <c r="A158" s="2" t="s">
        <v>165</v>
      </c>
      <c r="B158" s="1" t="s">
        <v>58</v>
      </c>
      <c r="C158" s="27">
        <v>45000</v>
      </c>
      <c r="D158" s="27">
        <v>45002</v>
      </c>
      <c r="E158" s="27">
        <v>45001</v>
      </c>
      <c r="F158" s="27">
        <v>45366</v>
      </c>
      <c r="G158" s="13" t="str">
        <f t="shared" si="66"/>
        <v>000-157/AIB RDC/2023</v>
      </c>
      <c r="H158" s="1">
        <v>0</v>
      </c>
      <c r="I158" s="1" t="s">
        <v>83</v>
      </c>
      <c r="J158" s="29" t="s">
        <v>371</v>
      </c>
      <c r="K158" s="1" t="s">
        <v>103</v>
      </c>
      <c r="L158" s="1"/>
      <c r="M158" s="2" t="s">
        <v>99</v>
      </c>
      <c r="N158" s="2" t="s">
        <v>100</v>
      </c>
      <c r="O158" s="1" t="s">
        <v>133</v>
      </c>
      <c r="P158" s="1" t="s">
        <v>134</v>
      </c>
      <c r="Q158" s="1" t="s">
        <v>76</v>
      </c>
      <c r="R158" s="1" t="s">
        <v>76</v>
      </c>
      <c r="S158" s="25">
        <v>810800</v>
      </c>
      <c r="T158" s="25">
        <v>30902.76</v>
      </c>
      <c r="U158" s="25">
        <v>0</v>
      </c>
      <c r="V158" s="25">
        <v>0</v>
      </c>
      <c r="W158" s="25">
        <v>305.97000000000003</v>
      </c>
      <c r="X158" s="25">
        <v>30596.78</v>
      </c>
      <c r="Y158" s="25">
        <v>0</v>
      </c>
      <c r="Z158" s="17">
        <f t="shared" si="67"/>
        <v>3.7736531820424274E-2</v>
      </c>
      <c r="AA158" s="18">
        <v>0.144426076486529</v>
      </c>
      <c r="AB158" s="16">
        <f t="shared" si="78"/>
        <v>4418.9728885215009</v>
      </c>
      <c r="AC158" s="16">
        <v>0</v>
      </c>
      <c r="AD158" s="16">
        <v>0</v>
      </c>
      <c r="AE158" s="16">
        <v>0</v>
      </c>
      <c r="AF158" s="16">
        <f t="shared" si="68"/>
        <v>4418.9728885215009</v>
      </c>
      <c r="AG158" s="16">
        <f t="shared" si="75"/>
        <v>707.03566216344018</v>
      </c>
      <c r="AH158" s="16">
        <f t="shared" si="69"/>
        <v>5126.0085506849409</v>
      </c>
      <c r="AI158" s="16">
        <f t="shared" si="76"/>
        <v>88.379457770430022</v>
      </c>
      <c r="AJ158" s="16">
        <v>0</v>
      </c>
      <c r="AK158" s="16">
        <f t="shared" si="70"/>
        <v>88.379457770430022</v>
      </c>
      <c r="AL158" s="19"/>
      <c r="AM158" s="16">
        <f t="shared" si="71"/>
        <v>4330.5934307510706</v>
      </c>
      <c r="AN158" s="16"/>
      <c r="AO158" s="20"/>
      <c r="AP158" s="16">
        <f t="shared" si="72"/>
        <v>0</v>
      </c>
      <c r="AQ158" s="16"/>
      <c r="AR158" s="15"/>
      <c r="AS158" s="16">
        <f t="shared" si="73"/>
        <v>0</v>
      </c>
      <c r="AT158" s="16"/>
      <c r="AU158" s="16">
        <v>5126.0085506849409</v>
      </c>
      <c r="AV158" s="16">
        <f t="shared" si="79"/>
        <v>5126.0085506849409</v>
      </c>
      <c r="AW158" s="16">
        <f t="shared" si="74"/>
        <v>0</v>
      </c>
      <c r="AX158" s="16" t="str">
        <f t="shared" si="77"/>
        <v>ACTIVA</v>
      </c>
      <c r="AY158" s="22">
        <v>45082</v>
      </c>
      <c r="AZ158" s="22"/>
      <c r="BA158" s="1"/>
      <c r="BB158" s="22" t="str">
        <f t="shared" si="80"/>
        <v>COMP MOTOR</v>
      </c>
      <c r="BC158" s="1"/>
      <c r="BD158" s="1"/>
      <c r="BE158" s="1"/>
    </row>
    <row r="159" spans="1:57" ht="14.25" hidden="1" customHeight="1">
      <c r="A159" s="2" t="s">
        <v>165</v>
      </c>
      <c r="B159" s="1" t="s">
        <v>58</v>
      </c>
      <c r="C159" s="27">
        <v>45002</v>
      </c>
      <c r="D159" s="27">
        <v>45001</v>
      </c>
      <c r="E159" s="27">
        <v>45002</v>
      </c>
      <c r="F159" s="27">
        <v>45367</v>
      </c>
      <c r="G159" s="13" t="str">
        <f t="shared" si="66"/>
        <v>000-158/AIB RDC/2023</v>
      </c>
      <c r="H159" s="1">
        <v>1</v>
      </c>
      <c r="I159" s="1" t="s">
        <v>68</v>
      </c>
      <c r="J159" s="29" t="s">
        <v>372</v>
      </c>
      <c r="K159" s="1" t="s">
        <v>297</v>
      </c>
      <c r="L159" s="1"/>
      <c r="M159" s="2" t="s">
        <v>99</v>
      </c>
      <c r="N159" s="2" t="s">
        <v>100</v>
      </c>
      <c r="O159" s="1" t="s">
        <v>107</v>
      </c>
      <c r="P159" s="1" t="s">
        <v>108</v>
      </c>
      <c r="Q159" s="1" t="s">
        <v>66</v>
      </c>
      <c r="R159" s="1" t="s">
        <v>66</v>
      </c>
      <c r="S159" s="25">
        <v>10358000</v>
      </c>
      <c r="T159" s="25">
        <v>14486.33</v>
      </c>
      <c r="U159" s="25">
        <v>0</v>
      </c>
      <c r="V159" s="25">
        <v>0</v>
      </c>
      <c r="W159" s="25">
        <v>71.03</v>
      </c>
      <c r="X159" s="25">
        <v>12205.52</v>
      </c>
      <c r="Y159" s="25">
        <v>1964.25</v>
      </c>
      <c r="Z159" s="17">
        <f t="shared" si="67"/>
        <v>1.178366480015447E-3</v>
      </c>
      <c r="AA159" s="18">
        <v>0.1</v>
      </c>
      <c r="AB159" s="16">
        <f t="shared" si="78"/>
        <v>1220.5520000000001</v>
      </c>
      <c r="AC159" s="16">
        <v>0</v>
      </c>
      <c r="AD159" s="16">
        <v>0</v>
      </c>
      <c r="AE159" s="16">
        <v>0</v>
      </c>
      <c r="AF159" s="16">
        <f t="shared" si="68"/>
        <v>1220.5520000000001</v>
      </c>
      <c r="AG159" s="16">
        <f t="shared" si="75"/>
        <v>195.28832000000003</v>
      </c>
      <c r="AH159" s="16">
        <f t="shared" si="69"/>
        <v>1415.8403200000002</v>
      </c>
      <c r="AI159" s="16">
        <f t="shared" si="76"/>
        <v>24.411040000000003</v>
      </c>
      <c r="AJ159" s="16">
        <v>0</v>
      </c>
      <c r="AK159" s="16">
        <f t="shared" si="70"/>
        <v>24.411040000000003</v>
      </c>
      <c r="AL159" s="19"/>
      <c r="AM159" s="16">
        <f t="shared" si="71"/>
        <v>1196.1409600000002</v>
      </c>
      <c r="AN159" s="16"/>
      <c r="AO159" s="20"/>
      <c r="AP159" s="16">
        <f t="shared" si="72"/>
        <v>0</v>
      </c>
      <c r="AQ159" s="16"/>
      <c r="AR159" s="15"/>
      <c r="AS159" s="16">
        <f t="shared" si="73"/>
        <v>0</v>
      </c>
      <c r="AT159" s="16"/>
      <c r="AU159" s="16">
        <v>1415.8403200000002</v>
      </c>
      <c r="AV159" s="16">
        <f t="shared" si="79"/>
        <v>1415.8403200000002</v>
      </c>
      <c r="AW159" s="16">
        <f t="shared" si="74"/>
        <v>0</v>
      </c>
      <c r="AX159" s="16" t="str">
        <f t="shared" si="77"/>
        <v>SFA</v>
      </c>
      <c r="AY159" s="22">
        <v>45070</v>
      </c>
      <c r="AZ159" s="22"/>
      <c r="BA159" s="1"/>
      <c r="BB159" s="22" t="str">
        <f t="shared" si="80"/>
        <v>FIRE</v>
      </c>
      <c r="BC159" s="1"/>
      <c r="BD159" s="1"/>
      <c r="BE159" s="1"/>
    </row>
    <row r="160" spans="1:57" ht="14.25" hidden="1" customHeight="1">
      <c r="A160" s="2" t="s">
        <v>165</v>
      </c>
      <c r="B160" s="1" t="s">
        <v>58</v>
      </c>
      <c r="C160" s="27">
        <v>45002</v>
      </c>
      <c r="D160" s="27">
        <v>45002</v>
      </c>
      <c r="E160" s="27">
        <v>45002</v>
      </c>
      <c r="F160" s="27">
        <v>45367</v>
      </c>
      <c r="G160" s="13" t="str">
        <f t="shared" si="66"/>
        <v>000-159/AIB RDC/2023</v>
      </c>
      <c r="H160" s="1">
        <v>1</v>
      </c>
      <c r="I160" s="1" t="s">
        <v>68</v>
      </c>
      <c r="J160" s="29" t="s">
        <v>373</v>
      </c>
      <c r="K160" s="1" t="s">
        <v>299</v>
      </c>
      <c r="L160" s="1"/>
      <c r="M160" s="2" t="s">
        <v>99</v>
      </c>
      <c r="N160" s="2" t="s">
        <v>100</v>
      </c>
      <c r="O160" s="1" t="s">
        <v>107</v>
      </c>
      <c r="P160" s="1" t="s">
        <v>108</v>
      </c>
      <c r="Q160" s="1" t="s">
        <v>66</v>
      </c>
      <c r="R160" s="1" t="s">
        <v>66</v>
      </c>
      <c r="S160" s="25">
        <v>3055800</v>
      </c>
      <c r="T160" s="25">
        <v>4464.88</v>
      </c>
      <c r="U160" s="25">
        <v>0</v>
      </c>
      <c r="V160" s="25">
        <v>0</v>
      </c>
      <c r="W160" s="25">
        <v>41.8</v>
      </c>
      <c r="X160" s="25">
        <v>3741.99</v>
      </c>
      <c r="Y160" s="25">
        <v>605.41</v>
      </c>
      <c r="Z160" s="17">
        <f t="shared" si="67"/>
        <v>1.2245533084625957E-3</v>
      </c>
      <c r="AA160" s="18">
        <v>0.1</v>
      </c>
      <c r="AB160" s="16">
        <f t="shared" si="78"/>
        <v>374.19900000000001</v>
      </c>
      <c r="AC160" s="16">
        <v>0</v>
      </c>
      <c r="AD160" s="16">
        <v>0</v>
      </c>
      <c r="AE160" s="16">
        <v>0</v>
      </c>
      <c r="AF160" s="16">
        <f t="shared" si="68"/>
        <v>374.19900000000001</v>
      </c>
      <c r="AG160" s="16">
        <f t="shared" si="75"/>
        <v>59.871840000000006</v>
      </c>
      <c r="AH160" s="16">
        <f t="shared" si="69"/>
        <v>434.07084000000003</v>
      </c>
      <c r="AI160" s="16">
        <f t="shared" si="76"/>
        <v>7.4839800000000007</v>
      </c>
      <c r="AJ160" s="16">
        <v>0</v>
      </c>
      <c r="AK160" s="16">
        <f t="shared" si="70"/>
        <v>7.4839800000000007</v>
      </c>
      <c r="AL160" s="19"/>
      <c r="AM160" s="16">
        <f t="shared" si="71"/>
        <v>366.71502000000004</v>
      </c>
      <c r="AN160" s="16"/>
      <c r="AO160" s="20"/>
      <c r="AP160" s="16">
        <f t="shared" si="72"/>
        <v>0</v>
      </c>
      <c r="AQ160" s="16"/>
      <c r="AR160" s="15"/>
      <c r="AS160" s="16">
        <f t="shared" si="73"/>
        <v>0</v>
      </c>
      <c r="AT160" s="16"/>
      <c r="AU160" s="16">
        <v>434.07084000000003</v>
      </c>
      <c r="AV160" s="16">
        <f t="shared" si="79"/>
        <v>434.07084000000003</v>
      </c>
      <c r="AW160" s="16">
        <f t="shared" si="74"/>
        <v>0</v>
      </c>
      <c r="AX160" s="16" t="str">
        <f t="shared" si="77"/>
        <v>SFA</v>
      </c>
      <c r="AY160" s="22">
        <v>45070</v>
      </c>
      <c r="AZ160" s="22"/>
      <c r="BA160" s="1"/>
      <c r="BB160" s="22" t="str">
        <f t="shared" si="80"/>
        <v>FIRE</v>
      </c>
      <c r="BC160" s="1"/>
      <c r="BD160" s="1"/>
      <c r="BE160" s="1"/>
    </row>
    <row r="161" spans="1:57" ht="14.25" hidden="1" customHeight="1">
      <c r="A161" s="2" t="s">
        <v>165</v>
      </c>
      <c r="B161" s="1" t="s">
        <v>58</v>
      </c>
      <c r="C161" s="27">
        <v>45002</v>
      </c>
      <c r="D161" s="27">
        <v>45002</v>
      </c>
      <c r="E161" s="27">
        <v>45002</v>
      </c>
      <c r="F161" s="27">
        <v>45367</v>
      </c>
      <c r="G161" s="13" t="str">
        <f t="shared" si="66"/>
        <v>000-160/AIB RDC/2023</v>
      </c>
      <c r="H161" s="1">
        <v>1</v>
      </c>
      <c r="I161" s="1" t="s">
        <v>68</v>
      </c>
      <c r="J161" s="29" t="s">
        <v>374</v>
      </c>
      <c r="K161" s="1" t="s">
        <v>368</v>
      </c>
      <c r="L161" s="1"/>
      <c r="M161" s="2" t="s">
        <v>99</v>
      </c>
      <c r="N161" s="2" t="s">
        <v>100</v>
      </c>
      <c r="O161" s="1" t="s">
        <v>107</v>
      </c>
      <c r="P161" s="1" t="s">
        <v>108</v>
      </c>
      <c r="Q161" s="1" t="s">
        <v>66</v>
      </c>
      <c r="R161" s="1" t="s">
        <v>66</v>
      </c>
      <c r="S161" s="25">
        <v>1100000</v>
      </c>
      <c r="T161" s="25">
        <v>2333.52</v>
      </c>
      <c r="U161" s="25">
        <v>0</v>
      </c>
      <c r="V161" s="25">
        <v>0</v>
      </c>
      <c r="W161" s="25">
        <v>20</v>
      </c>
      <c r="X161" s="25">
        <v>1957.56</v>
      </c>
      <c r="Y161" s="25">
        <v>316.41000000000003</v>
      </c>
      <c r="Z161" s="17">
        <f t="shared" si="67"/>
        <v>1.7795999999999999E-3</v>
      </c>
      <c r="AA161" s="18">
        <v>0.1</v>
      </c>
      <c r="AB161" s="16">
        <f t="shared" si="78"/>
        <v>195.756</v>
      </c>
      <c r="AC161" s="16">
        <v>0</v>
      </c>
      <c r="AD161" s="16">
        <v>0</v>
      </c>
      <c r="AE161" s="16">
        <v>0</v>
      </c>
      <c r="AF161" s="16">
        <f t="shared" si="68"/>
        <v>195.756</v>
      </c>
      <c r="AG161" s="16">
        <f t="shared" si="75"/>
        <v>31.320959999999999</v>
      </c>
      <c r="AH161" s="16">
        <f t="shared" si="69"/>
        <v>227.07695999999999</v>
      </c>
      <c r="AI161" s="16">
        <f t="shared" si="76"/>
        <v>3.9151199999999999</v>
      </c>
      <c r="AJ161" s="16">
        <v>0</v>
      </c>
      <c r="AK161" s="16">
        <f t="shared" si="70"/>
        <v>3.9151199999999999</v>
      </c>
      <c r="AL161" s="19"/>
      <c r="AM161" s="16">
        <f t="shared" si="71"/>
        <v>191.84088</v>
      </c>
      <c r="AN161" s="16"/>
      <c r="AO161" s="20"/>
      <c r="AP161" s="16">
        <f t="shared" si="72"/>
        <v>0</v>
      </c>
      <c r="AQ161" s="16"/>
      <c r="AR161" s="15"/>
      <c r="AS161" s="16">
        <f t="shared" si="73"/>
        <v>0</v>
      </c>
      <c r="AT161" s="16"/>
      <c r="AU161" s="16">
        <v>227.07695999999999</v>
      </c>
      <c r="AV161" s="16">
        <f t="shared" si="79"/>
        <v>227.07695999999999</v>
      </c>
      <c r="AW161" s="16">
        <f t="shared" si="74"/>
        <v>0</v>
      </c>
      <c r="AX161" s="16" t="str">
        <f t="shared" si="77"/>
        <v>SFA</v>
      </c>
      <c r="AY161" s="22">
        <v>45070</v>
      </c>
      <c r="AZ161" s="22"/>
      <c r="BA161" s="1"/>
      <c r="BB161" s="22" t="str">
        <f t="shared" si="80"/>
        <v>FIRE</v>
      </c>
      <c r="BC161" s="1"/>
      <c r="BD161" s="1"/>
      <c r="BE161" s="1"/>
    </row>
    <row r="162" spans="1:57" ht="14.25" hidden="1" customHeight="1">
      <c r="A162" s="2" t="s">
        <v>165</v>
      </c>
      <c r="B162" s="1" t="s">
        <v>58</v>
      </c>
      <c r="C162" s="27">
        <v>45002</v>
      </c>
      <c r="D162" s="27">
        <v>45001</v>
      </c>
      <c r="E162" s="27">
        <v>45002</v>
      </c>
      <c r="F162" s="27">
        <v>45367</v>
      </c>
      <c r="G162" s="13" t="str">
        <f t="shared" si="66"/>
        <v>000-161/AIB RDC/2023</v>
      </c>
      <c r="H162" s="1">
        <v>1</v>
      </c>
      <c r="I162" s="1" t="s">
        <v>68</v>
      </c>
      <c r="J162" s="29" t="s">
        <v>375</v>
      </c>
      <c r="K162" s="1" t="s">
        <v>297</v>
      </c>
      <c r="L162" s="1"/>
      <c r="M162" s="2" t="s">
        <v>99</v>
      </c>
      <c r="N162" s="2" t="s">
        <v>100</v>
      </c>
      <c r="O162" s="1" t="s">
        <v>104</v>
      </c>
      <c r="P162" s="1" t="s">
        <v>105</v>
      </c>
      <c r="Q162" s="1" t="s">
        <v>66</v>
      </c>
      <c r="R162" s="1" t="s">
        <v>66</v>
      </c>
      <c r="S162" s="25">
        <v>4000000</v>
      </c>
      <c r="T162" s="25">
        <v>9656.8700000000008</v>
      </c>
      <c r="U162" s="25">
        <v>0</v>
      </c>
      <c r="V162" s="25">
        <v>0</v>
      </c>
      <c r="W162" s="25">
        <v>122.6</v>
      </c>
      <c r="X162" s="25">
        <v>8040</v>
      </c>
      <c r="Y162" s="25">
        <v>1306.02</v>
      </c>
      <c r="Z162" s="17">
        <f t="shared" si="67"/>
        <v>2.0100000000000001E-3</v>
      </c>
      <c r="AA162" s="18">
        <v>0.15</v>
      </c>
      <c r="AB162" s="16">
        <f t="shared" si="78"/>
        <v>1206</v>
      </c>
      <c r="AC162" s="16">
        <v>0</v>
      </c>
      <c r="AD162" s="16">
        <v>0</v>
      </c>
      <c r="AE162" s="16">
        <v>0</v>
      </c>
      <c r="AF162" s="16">
        <f t="shared" si="68"/>
        <v>1206</v>
      </c>
      <c r="AG162" s="16">
        <f t="shared" si="75"/>
        <v>192.96</v>
      </c>
      <c r="AH162" s="16">
        <f t="shared" si="69"/>
        <v>1398.96</v>
      </c>
      <c r="AI162" s="16">
        <f t="shared" si="76"/>
        <v>24.12</v>
      </c>
      <c r="AJ162" s="16">
        <v>0</v>
      </c>
      <c r="AK162" s="16">
        <f t="shared" si="70"/>
        <v>24.12</v>
      </c>
      <c r="AL162" s="19"/>
      <c r="AM162" s="16">
        <f t="shared" si="71"/>
        <v>1181.8800000000001</v>
      </c>
      <c r="AN162" s="16"/>
      <c r="AO162" s="20"/>
      <c r="AP162" s="16">
        <f t="shared" si="72"/>
        <v>0</v>
      </c>
      <c r="AQ162" s="16"/>
      <c r="AR162" s="15"/>
      <c r="AS162" s="16">
        <f t="shared" si="73"/>
        <v>0</v>
      </c>
      <c r="AT162" s="16"/>
      <c r="AU162" s="16">
        <v>1398.96</v>
      </c>
      <c r="AV162" s="16">
        <f t="shared" si="79"/>
        <v>1398.96</v>
      </c>
      <c r="AW162" s="16">
        <f t="shared" si="74"/>
        <v>0</v>
      </c>
      <c r="AX162" s="16" t="str">
        <f t="shared" si="77"/>
        <v>SFA</v>
      </c>
      <c r="AY162" s="22">
        <v>45070</v>
      </c>
      <c r="AZ162" s="22"/>
      <c r="BA162" s="1"/>
      <c r="BB162" s="22" t="str">
        <f t="shared" si="80"/>
        <v>MARINE CARGO / GIT</v>
      </c>
      <c r="BC162" s="1"/>
      <c r="BD162" s="1"/>
      <c r="BE162" s="1"/>
    </row>
    <row r="163" spans="1:57" ht="14.25" hidden="1" customHeight="1">
      <c r="A163" s="2" t="s">
        <v>165</v>
      </c>
      <c r="B163" s="1" t="s">
        <v>58</v>
      </c>
      <c r="C163" s="27">
        <v>45002</v>
      </c>
      <c r="D163" s="27">
        <v>45002</v>
      </c>
      <c r="E163" s="27">
        <v>45002</v>
      </c>
      <c r="F163" s="27">
        <v>45367</v>
      </c>
      <c r="G163" s="13" t="str">
        <f t="shared" si="66"/>
        <v>000-162/AIB RDC/2023</v>
      </c>
      <c r="H163" s="1">
        <v>1</v>
      </c>
      <c r="I163" s="1" t="s">
        <v>68</v>
      </c>
      <c r="J163" s="29" t="s">
        <v>376</v>
      </c>
      <c r="K163" s="1" t="s">
        <v>299</v>
      </c>
      <c r="L163" s="1"/>
      <c r="M163" s="2" t="s">
        <v>99</v>
      </c>
      <c r="N163" s="2" t="s">
        <v>100</v>
      </c>
      <c r="O163" s="1" t="s">
        <v>104</v>
      </c>
      <c r="P163" s="1" t="s">
        <v>105</v>
      </c>
      <c r="Q163" s="1" t="s">
        <v>66</v>
      </c>
      <c r="R163" s="1" t="s">
        <v>66</v>
      </c>
      <c r="S163" s="25">
        <v>160000</v>
      </c>
      <c r="T163" s="25">
        <v>487.04</v>
      </c>
      <c r="U163" s="25">
        <v>0</v>
      </c>
      <c r="V163" s="25">
        <v>0</v>
      </c>
      <c r="W163" s="25">
        <v>7.76</v>
      </c>
      <c r="X163" s="25">
        <v>383.8</v>
      </c>
      <c r="Y163" s="25">
        <v>62.25</v>
      </c>
      <c r="Z163" s="17">
        <f t="shared" si="67"/>
        <v>2.3987500000000003E-3</v>
      </c>
      <c r="AA163" s="18">
        <v>0.15</v>
      </c>
      <c r="AB163" s="16">
        <f t="shared" si="78"/>
        <v>57.57</v>
      </c>
      <c r="AC163" s="16">
        <v>0</v>
      </c>
      <c r="AD163" s="16">
        <v>0</v>
      </c>
      <c r="AE163" s="16">
        <v>0</v>
      </c>
      <c r="AF163" s="16">
        <f t="shared" si="68"/>
        <v>57.57</v>
      </c>
      <c r="AG163" s="16">
        <f t="shared" si="75"/>
        <v>9.2111999999999998</v>
      </c>
      <c r="AH163" s="16">
        <f t="shared" si="69"/>
        <v>66.781199999999998</v>
      </c>
      <c r="AI163" s="16">
        <f t="shared" si="76"/>
        <v>1.1514</v>
      </c>
      <c r="AJ163" s="16">
        <v>0</v>
      </c>
      <c r="AK163" s="16">
        <f t="shared" si="70"/>
        <v>1.1514</v>
      </c>
      <c r="AL163" s="19"/>
      <c r="AM163" s="16">
        <f t="shared" si="71"/>
        <v>56.418599999999998</v>
      </c>
      <c r="AN163" s="16"/>
      <c r="AO163" s="20"/>
      <c r="AP163" s="16">
        <f t="shared" si="72"/>
        <v>0</v>
      </c>
      <c r="AQ163" s="16"/>
      <c r="AR163" s="15"/>
      <c r="AS163" s="16">
        <f t="shared" si="73"/>
        <v>0</v>
      </c>
      <c r="AT163" s="16"/>
      <c r="AU163" s="16">
        <v>66.781199999999998</v>
      </c>
      <c r="AV163" s="16">
        <f t="shared" si="79"/>
        <v>66.781199999999998</v>
      </c>
      <c r="AW163" s="16">
        <f t="shared" si="74"/>
        <v>0</v>
      </c>
      <c r="AX163" s="16" t="str">
        <f t="shared" si="77"/>
        <v>SFA</v>
      </c>
      <c r="AY163" s="22">
        <v>45070</v>
      </c>
      <c r="AZ163" s="22"/>
      <c r="BA163" s="1"/>
      <c r="BB163" s="22" t="str">
        <f t="shared" si="80"/>
        <v>MARINE CARGO / GIT</v>
      </c>
      <c r="BC163" s="1"/>
      <c r="BD163" s="1"/>
      <c r="BE163" s="1"/>
    </row>
    <row r="164" spans="1:57" ht="14.25" hidden="1" customHeight="1">
      <c r="A164" s="2" t="s">
        <v>165</v>
      </c>
      <c r="B164" s="1" t="s">
        <v>58</v>
      </c>
      <c r="C164" s="27">
        <v>45007</v>
      </c>
      <c r="D164" s="27">
        <v>45007</v>
      </c>
      <c r="E164" s="27">
        <v>45007</v>
      </c>
      <c r="F164" s="27">
        <v>45216</v>
      </c>
      <c r="G164" s="13" t="str">
        <f t="shared" si="66"/>
        <v>000-163/AIB RDC/2023</v>
      </c>
      <c r="H164" s="1">
        <v>2</v>
      </c>
      <c r="I164" s="1" t="s">
        <v>59</v>
      </c>
      <c r="J164" s="29" t="s">
        <v>294</v>
      </c>
      <c r="K164" s="2" t="s">
        <v>295</v>
      </c>
      <c r="L164" s="1"/>
      <c r="M164" s="2" t="s">
        <v>99</v>
      </c>
      <c r="N164" s="2" t="s">
        <v>100</v>
      </c>
      <c r="O164" s="1" t="s">
        <v>65</v>
      </c>
      <c r="P164" s="1" t="s">
        <v>65</v>
      </c>
      <c r="Q164" s="1" t="s">
        <v>66</v>
      </c>
      <c r="R164" s="1" t="s">
        <v>66</v>
      </c>
      <c r="S164" s="25">
        <v>0</v>
      </c>
      <c r="T164" s="25">
        <v>294.35000000000002</v>
      </c>
      <c r="U164" s="25">
        <v>0</v>
      </c>
      <c r="V164" s="25">
        <v>0</v>
      </c>
      <c r="W164" s="25">
        <v>7.6</v>
      </c>
      <c r="X164" s="25">
        <v>240.16</v>
      </c>
      <c r="Y164" s="25">
        <v>39.64</v>
      </c>
      <c r="Z164" s="17" t="e">
        <f t="shared" si="67"/>
        <v>#DIV/0!</v>
      </c>
      <c r="AA164" s="18">
        <v>0.1</v>
      </c>
      <c r="AB164" s="16">
        <f t="shared" si="78"/>
        <v>24.016000000000002</v>
      </c>
      <c r="AC164" s="16">
        <v>0</v>
      </c>
      <c r="AD164" s="16">
        <v>0</v>
      </c>
      <c r="AE164" s="16">
        <v>0</v>
      </c>
      <c r="AF164" s="16">
        <f t="shared" si="68"/>
        <v>24.016000000000002</v>
      </c>
      <c r="AG164" s="16">
        <f t="shared" si="75"/>
        <v>3.8425600000000002</v>
      </c>
      <c r="AH164" s="16">
        <f t="shared" si="69"/>
        <v>27.858560000000001</v>
      </c>
      <c r="AI164" s="16">
        <f t="shared" si="76"/>
        <v>0.48032000000000002</v>
      </c>
      <c r="AJ164" s="16">
        <v>0</v>
      </c>
      <c r="AK164" s="16">
        <f t="shared" si="70"/>
        <v>0.48032000000000002</v>
      </c>
      <c r="AL164" s="19"/>
      <c r="AM164" s="16">
        <f t="shared" si="71"/>
        <v>23.535680000000003</v>
      </c>
      <c r="AN164" s="16"/>
      <c r="AO164" s="20"/>
      <c r="AP164" s="16">
        <f t="shared" si="72"/>
        <v>0</v>
      </c>
      <c r="AQ164" s="16"/>
      <c r="AR164" s="15"/>
      <c r="AS164" s="16">
        <f t="shared" si="73"/>
        <v>0</v>
      </c>
      <c r="AT164" s="16"/>
      <c r="AU164" s="16">
        <v>27.858560000000001</v>
      </c>
      <c r="AV164" s="16">
        <f t="shared" si="79"/>
        <v>27.858560000000001</v>
      </c>
      <c r="AW164" s="16">
        <f t="shared" si="74"/>
        <v>0</v>
      </c>
      <c r="AX164" s="16" t="str">
        <f t="shared" si="77"/>
        <v>SFA</v>
      </c>
      <c r="AY164" s="22">
        <v>45070</v>
      </c>
      <c r="AZ164" s="22"/>
      <c r="BA164" s="1"/>
      <c r="BB164" s="22" t="str">
        <f t="shared" si="80"/>
        <v>MOTOR TPL</v>
      </c>
      <c r="BC164" s="1"/>
      <c r="BD164" s="1"/>
      <c r="BE164" s="1"/>
    </row>
    <row r="165" spans="1:57" ht="14.25" hidden="1" customHeight="1">
      <c r="A165" s="2" t="s">
        <v>165</v>
      </c>
      <c r="B165" s="1" t="s">
        <v>58</v>
      </c>
      <c r="C165" s="27">
        <v>45008</v>
      </c>
      <c r="D165" s="27">
        <v>45008</v>
      </c>
      <c r="E165" s="27">
        <v>45008</v>
      </c>
      <c r="F165" s="27">
        <v>45373</v>
      </c>
      <c r="G165" s="13" t="str">
        <f t="shared" si="66"/>
        <v>000-164/AIB RDC/2023</v>
      </c>
      <c r="H165" s="1">
        <v>0</v>
      </c>
      <c r="I165" s="1" t="s">
        <v>83</v>
      </c>
      <c r="J165" s="29" t="s">
        <v>377</v>
      </c>
      <c r="K165" s="1" t="s">
        <v>378</v>
      </c>
      <c r="L165" s="1"/>
      <c r="M165" s="2" t="s">
        <v>99</v>
      </c>
      <c r="N165" s="2" t="s">
        <v>100</v>
      </c>
      <c r="O165" s="1" t="s">
        <v>133</v>
      </c>
      <c r="P165" s="1" t="s">
        <v>134</v>
      </c>
      <c r="Q165" s="1" t="s">
        <v>66</v>
      </c>
      <c r="R165" s="1" t="s">
        <v>66</v>
      </c>
      <c r="S165" s="25">
        <v>57550</v>
      </c>
      <c r="T165" s="25">
        <v>3411.97</v>
      </c>
      <c r="U165" s="25">
        <v>0</v>
      </c>
      <c r="V165" s="25">
        <v>0</v>
      </c>
      <c r="W165" s="25">
        <v>42.72</v>
      </c>
      <c r="X165" s="25">
        <v>2848.77</v>
      </c>
      <c r="Y165" s="25">
        <v>462.64</v>
      </c>
      <c r="Z165" s="17">
        <f t="shared" si="67"/>
        <v>4.9500781928757599E-2</v>
      </c>
      <c r="AA165" s="18">
        <v>0.15</v>
      </c>
      <c r="AB165" s="16">
        <f t="shared" si="78"/>
        <v>427.31549999999999</v>
      </c>
      <c r="AC165" s="16">
        <v>0</v>
      </c>
      <c r="AD165" s="16">
        <v>0</v>
      </c>
      <c r="AE165" s="16">
        <v>0</v>
      </c>
      <c r="AF165" s="16">
        <f t="shared" si="68"/>
        <v>427.31549999999999</v>
      </c>
      <c r="AG165" s="16">
        <f t="shared" si="75"/>
        <v>68.370480000000001</v>
      </c>
      <c r="AH165" s="16">
        <f t="shared" si="69"/>
        <v>495.68597999999997</v>
      </c>
      <c r="AI165" s="16">
        <f t="shared" si="76"/>
        <v>8.5463100000000001</v>
      </c>
      <c r="AJ165" s="16">
        <v>0</v>
      </c>
      <c r="AK165" s="16">
        <f t="shared" si="70"/>
        <v>8.5463100000000001</v>
      </c>
      <c r="AL165" s="19"/>
      <c r="AM165" s="16">
        <f t="shared" si="71"/>
        <v>418.76918999999998</v>
      </c>
      <c r="AN165" s="16" t="s">
        <v>77</v>
      </c>
      <c r="AO165" s="20"/>
      <c r="AP165" s="16">
        <f t="shared" si="72"/>
        <v>0</v>
      </c>
      <c r="AQ165" s="16"/>
      <c r="AR165" s="15"/>
      <c r="AS165" s="16">
        <f t="shared" si="73"/>
        <v>0</v>
      </c>
      <c r="AT165" s="16"/>
      <c r="AU165" s="16">
        <v>495.68597999999997</v>
      </c>
      <c r="AV165" s="16">
        <f t="shared" si="79"/>
        <v>495.68597999999997</v>
      </c>
      <c r="AW165" s="16">
        <f t="shared" si="74"/>
        <v>0</v>
      </c>
      <c r="AX165" s="16" t="str">
        <f t="shared" si="77"/>
        <v>SFA</v>
      </c>
      <c r="AY165" s="22">
        <v>45070</v>
      </c>
      <c r="AZ165" s="22"/>
      <c r="BA165" s="1"/>
      <c r="BB165" s="22" t="str">
        <f t="shared" si="80"/>
        <v>COMP MOTOR</v>
      </c>
      <c r="BC165" s="1"/>
      <c r="BD165" s="1"/>
      <c r="BE165" s="1"/>
    </row>
    <row r="166" spans="1:57" ht="14.25" hidden="1" customHeight="1">
      <c r="A166" s="2" t="s">
        <v>165</v>
      </c>
      <c r="B166" s="1" t="s">
        <v>58</v>
      </c>
      <c r="C166" s="27">
        <v>45009</v>
      </c>
      <c r="D166" s="27">
        <v>45008</v>
      </c>
      <c r="E166" s="27">
        <v>45008</v>
      </c>
      <c r="F166" s="27">
        <v>45373</v>
      </c>
      <c r="G166" s="13" t="str">
        <f t="shared" si="66"/>
        <v>000-165/AIB RDC/2023</v>
      </c>
      <c r="H166" s="1">
        <v>5</v>
      </c>
      <c r="I166" s="1" t="s">
        <v>68</v>
      </c>
      <c r="J166" s="29" t="s">
        <v>379</v>
      </c>
      <c r="K166" s="1" t="s">
        <v>380</v>
      </c>
      <c r="L166" s="1"/>
      <c r="M166" s="2" t="s">
        <v>99</v>
      </c>
      <c r="N166" s="2" t="s">
        <v>100</v>
      </c>
      <c r="O166" s="1" t="s">
        <v>65</v>
      </c>
      <c r="P166" s="1" t="s">
        <v>65</v>
      </c>
      <c r="Q166" s="1" t="s">
        <v>66</v>
      </c>
      <c r="R166" s="1" t="s">
        <v>66</v>
      </c>
      <c r="S166" s="25">
        <v>0</v>
      </c>
      <c r="T166" s="25">
        <v>2741.26</v>
      </c>
      <c r="U166" s="16">
        <v>0</v>
      </c>
      <c r="V166" s="16">
        <v>0</v>
      </c>
      <c r="W166" s="25">
        <v>87.45</v>
      </c>
      <c r="X166" s="25">
        <v>2233.9699999999998</v>
      </c>
      <c r="Y166" s="25">
        <v>371.42</v>
      </c>
      <c r="Z166" s="17" t="e">
        <f t="shared" si="67"/>
        <v>#DIV/0!</v>
      </c>
      <c r="AA166" s="18">
        <v>0.1</v>
      </c>
      <c r="AB166" s="16">
        <f t="shared" si="78"/>
        <v>223.39699999999999</v>
      </c>
      <c r="AC166" s="16">
        <v>0</v>
      </c>
      <c r="AD166" s="16">
        <v>0</v>
      </c>
      <c r="AE166" s="16">
        <v>0</v>
      </c>
      <c r="AF166" s="16">
        <f t="shared" si="68"/>
        <v>223.39699999999999</v>
      </c>
      <c r="AG166" s="16">
        <f t="shared" si="75"/>
        <v>35.743519999999997</v>
      </c>
      <c r="AH166" s="16">
        <f t="shared" si="69"/>
        <v>259.14051999999998</v>
      </c>
      <c r="AI166" s="16">
        <f t="shared" si="76"/>
        <v>4.4679399999999996</v>
      </c>
      <c r="AJ166" s="16">
        <v>0</v>
      </c>
      <c r="AK166" s="16">
        <f t="shared" si="70"/>
        <v>4.4679399999999996</v>
      </c>
      <c r="AL166" s="19"/>
      <c r="AM166" s="16">
        <f t="shared" si="71"/>
        <v>218.92905999999999</v>
      </c>
      <c r="AN166" s="16" t="s">
        <v>381</v>
      </c>
      <c r="AO166" s="20">
        <v>0.35</v>
      </c>
      <c r="AP166" s="16">
        <f t="shared" si="72"/>
        <v>76.625170999999995</v>
      </c>
      <c r="AQ166" s="16"/>
      <c r="AR166" s="15"/>
      <c r="AS166" s="16">
        <f t="shared" si="73"/>
        <v>76.625170999999995</v>
      </c>
      <c r="AT166" s="16"/>
      <c r="AU166" s="16">
        <v>259.14051999999998</v>
      </c>
      <c r="AV166" s="16">
        <f t="shared" si="79"/>
        <v>259.14051999999998</v>
      </c>
      <c r="AW166" s="16">
        <f t="shared" si="74"/>
        <v>0</v>
      </c>
      <c r="AX166" s="16" t="str">
        <f t="shared" si="77"/>
        <v>SFA</v>
      </c>
      <c r="AY166" s="22">
        <v>45070</v>
      </c>
      <c r="AZ166" s="22"/>
      <c r="BA166" s="1"/>
      <c r="BB166" s="22" t="str">
        <f t="shared" si="80"/>
        <v>MOTOR TPL</v>
      </c>
      <c r="BC166" s="1"/>
      <c r="BD166" s="1"/>
      <c r="BE166" s="1"/>
    </row>
    <row r="167" spans="1:57" ht="14.25" hidden="1" customHeight="1">
      <c r="A167" s="2" t="s">
        <v>165</v>
      </c>
      <c r="B167" s="1" t="s">
        <v>58</v>
      </c>
      <c r="C167" s="27">
        <v>45009</v>
      </c>
      <c r="D167" s="27">
        <v>45009</v>
      </c>
      <c r="E167" s="27">
        <v>45008</v>
      </c>
      <c r="F167" s="27">
        <v>45373</v>
      </c>
      <c r="G167" s="13" t="str">
        <f t="shared" si="66"/>
        <v>000-166/AIB RDC/2023</v>
      </c>
      <c r="H167" s="1">
        <v>0</v>
      </c>
      <c r="I167" s="1" t="s">
        <v>83</v>
      </c>
      <c r="J167" s="29" t="s">
        <v>382</v>
      </c>
      <c r="K167" s="1" t="s">
        <v>274</v>
      </c>
      <c r="L167" s="1"/>
      <c r="M167" s="2" t="s">
        <v>99</v>
      </c>
      <c r="N167" s="2" t="s">
        <v>100</v>
      </c>
      <c r="O167" s="1" t="s">
        <v>65</v>
      </c>
      <c r="P167" s="1" t="s">
        <v>65</v>
      </c>
      <c r="Q167" s="1" t="s">
        <v>66</v>
      </c>
      <c r="R167" s="1" t="s">
        <v>66</v>
      </c>
      <c r="S167" s="25">
        <v>0</v>
      </c>
      <c r="T167" s="25">
        <v>19707.740000000002</v>
      </c>
      <c r="U167" s="16">
        <v>0</v>
      </c>
      <c r="V167" s="16">
        <v>0</v>
      </c>
      <c r="W167" s="25">
        <v>445.39</v>
      </c>
      <c r="X167" s="25">
        <v>16254.4</v>
      </c>
      <c r="Y167" s="25">
        <v>2671.96</v>
      </c>
      <c r="Z167" s="17" t="e">
        <f t="shared" si="67"/>
        <v>#DIV/0!</v>
      </c>
      <c r="AA167" s="18">
        <v>0.1</v>
      </c>
      <c r="AB167" s="16">
        <f t="shared" si="78"/>
        <v>1625.44</v>
      </c>
      <c r="AC167" s="16">
        <v>0</v>
      </c>
      <c r="AD167" s="16">
        <v>0</v>
      </c>
      <c r="AE167" s="16">
        <v>0</v>
      </c>
      <c r="AF167" s="16">
        <f t="shared" si="68"/>
        <v>1625.44</v>
      </c>
      <c r="AG167" s="16">
        <f t="shared" ref="AG167:AG198" si="81">16%*AF167</f>
        <v>260.07040000000001</v>
      </c>
      <c r="AH167" s="16">
        <f t="shared" si="69"/>
        <v>1885.5104000000001</v>
      </c>
      <c r="AI167" s="16">
        <f t="shared" ref="AI167:AI198" si="82">2%*(AB167+AC167+AD167)</f>
        <v>32.508800000000001</v>
      </c>
      <c r="AJ167" s="16">
        <v>0</v>
      </c>
      <c r="AK167" s="16">
        <f t="shared" si="70"/>
        <v>32.508800000000001</v>
      </c>
      <c r="AL167" s="19"/>
      <c r="AM167" s="16">
        <f t="shared" si="71"/>
        <v>1592.9312</v>
      </c>
      <c r="AN167" s="16" t="s">
        <v>381</v>
      </c>
      <c r="AO167" s="20">
        <v>0.35</v>
      </c>
      <c r="AP167" s="16">
        <f t="shared" si="72"/>
        <v>557.52591999999993</v>
      </c>
      <c r="AQ167" s="16"/>
      <c r="AR167" s="15"/>
      <c r="AS167" s="16">
        <f t="shared" si="73"/>
        <v>557.52591999999993</v>
      </c>
      <c r="AT167" s="16"/>
      <c r="AU167" s="16">
        <v>1885.5104000000001</v>
      </c>
      <c r="AV167" s="16">
        <f t="shared" si="79"/>
        <v>1885.5104000000001</v>
      </c>
      <c r="AW167" s="16">
        <f t="shared" si="74"/>
        <v>0</v>
      </c>
      <c r="AX167" s="16" t="str">
        <f t="shared" si="77"/>
        <v>SFA</v>
      </c>
      <c r="AY167" s="22">
        <v>45070</v>
      </c>
      <c r="AZ167" s="22"/>
      <c r="BA167" s="1"/>
      <c r="BB167" s="22" t="str">
        <f t="shared" si="80"/>
        <v>MOTOR TPL</v>
      </c>
      <c r="BC167" s="1"/>
      <c r="BD167" s="1"/>
      <c r="BE167" s="1"/>
    </row>
    <row r="168" spans="1:57" ht="14.25" hidden="1" customHeight="1">
      <c r="A168" s="2" t="s">
        <v>165</v>
      </c>
      <c r="B168" s="1" t="s">
        <v>58</v>
      </c>
      <c r="C168" s="27">
        <v>45017</v>
      </c>
      <c r="D168" s="27">
        <v>45017</v>
      </c>
      <c r="E168" s="27">
        <v>45015</v>
      </c>
      <c r="F168" s="27">
        <v>45379</v>
      </c>
      <c r="G168" s="13" t="str">
        <f t="shared" si="66"/>
        <v>000-167/AIB RDC/2023</v>
      </c>
      <c r="H168" s="1">
        <v>1</v>
      </c>
      <c r="I168" s="1" t="s">
        <v>68</v>
      </c>
      <c r="J168" s="29" t="s">
        <v>383</v>
      </c>
      <c r="K168" s="1" t="s">
        <v>384</v>
      </c>
      <c r="L168" s="1"/>
      <c r="M168" s="2" t="s">
        <v>99</v>
      </c>
      <c r="N168" s="2" t="s">
        <v>100</v>
      </c>
      <c r="O168" s="1" t="s">
        <v>385</v>
      </c>
      <c r="P168" s="1" t="s">
        <v>112</v>
      </c>
      <c r="Q168" s="1" t="s">
        <v>66</v>
      </c>
      <c r="R168" s="1" t="s">
        <v>66</v>
      </c>
      <c r="S168" s="25">
        <v>25000</v>
      </c>
      <c r="T168" s="25">
        <v>613.6</v>
      </c>
      <c r="U168" s="25">
        <v>0</v>
      </c>
      <c r="V168" s="25">
        <v>0</v>
      </c>
      <c r="W168" s="25">
        <v>20</v>
      </c>
      <c r="X168" s="25">
        <v>500</v>
      </c>
      <c r="Y168" s="25">
        <v>83.2</v>
      </c>
      <c r="Z168" s="17">
        <f t="shared" si="67"/>
        <v>0.02</v>
      </c>
      <c r="AA168" s="18">
        <v>0.15</v>
      </c>
      <c r="AB168" s="16">
        <f t="shared" si="78"/>
        <v>75</v>
      </c>
      <c r="AC168" s="16">
        <v>0</v>
      </c>
      <c r="AD168" s="16">
        <v>0</v>
      </c>
      <c r="AE168" s="16">
        <v>0</v>
      </c>
      <c r="AF168" s="16">
        <f t="shared" si="68"/>
        <v>75</v>
      </c>
      <c r="AG168" s="16">
        <f t="shared" si="81"/>
        <v>12</v>
      </c>
      <c r="AH168" s="16">
        <f t="shared" si="69"/>
        <v>87</v>
      </c>
      <c r="AI168" s="16">
        <f t="shared" si="82"/>
        <v>1.5</v>
      </c>
      <c r="AJ168" s="16">
        <v>0</v>
      </c>
      <c r="AK168" s="16">
        <f t="shared" si="70"/>
        <v>1.5</v>
      </c>
      <c r="AL168" s="19"/>
      <c r="AM168" s="16">
        <f t="shared" si="71"/>
        <v>73.5</v>
      </c>
      <c r="AN168" s="16"/>
      <c r="AO168" s="20"/>
      <c r="AP168" s="16">
        <f t="shared" si="72"/>
        <v>0</v>
      </c>
      <c r="AQ168" s="16"/>
      <c r="AR168" s="15"/>
      <c r="AS168" s="16">
        <f t="shared" si="73"/>
        <v>0</v>
      </c>
      <c r="AT168" s="16"/>
      <c r="AU168" s="16">
        <v>87</v>
      </c>
      <c r="AV168" s="16">
        <f t="shared" si="79"/>
        <v>87</v>
      </c>
      <c r="AW168" s="16">
        <f t="shared" si="74"/>
        <v>0</v>
      </c>
      <c r="AX168" s="16" t="str">
        <f t="shared" si="77"/>
        <v>SFA</v>
      </c>
      <c r="AY168" s="22">
        <v>45070</v>
      </c>
      <c r="AZ168" s="22"/>
      <c r="BA168" s="1"/>
      <c r="BB168" s="22" t="str">
        <f t="shared" si="80"/>
        <v>PUBLIC LIABILITY</v>
      </c>
      <c r="BC168" s="1"/>
      <c r="BD168" s="1"/>
      <c r="BE168" s="1"/>
    </row>
    <row r="169" spans="1:57" ht="14.25" hidden="1" customHeight="1">
      <c r="A169" s="2" t="s">
        <v>165</v>
      </c>
      <c r="B169" s="1" t="s">
        <v>58</v>
      </c>
      <c r="C169" s="27">
        <v>45009</v>
      </c>
      <c r="D169" s="27">
        <v>45009</v>
      </c>
      <c r="E169" s="27">
        <v>45000</v>
      </c>
      <c r="F169" s="27">
        <v>45364</v>
      </c>
      <c r="G169" s="13" t="str">
        <f t="shared" si="66"/>
        <v>000-168/AIB RDC/2023</v>
      </c>
      <c r="H169" s="1">
        <v>0</v>
      </c>
      <c r="I169" s="1" t="s">
        <v>83</v>
      </c>
      <c r="J169" s="29" t="s">
        <v>386</v>
      </c>
      <c r="K169" s="1" t="s">
        <v>274</v>
      </c>
      <c r="L169" s="1"/>
      <c r="M169" s="2" t="s">
        <v>99</v>
      </c>
      <c r="N169" s="2" t="s">
        <v>100</v>
      </c>
      <c r="O169" s="1" t="s">
        <v>104</v>
      </c>
      <c r="P169" s="1" t="s">
        <v>105</v>
      </c>
      <c r="Q169" s="1" t="s">
        <v>66</v>
      </c>
      <c r="R169" s="1" t="s">
        <v>66</v>
      </c>
      <c r="S169" s="25">
        <v>4000000</v>
      </c>
      <c r="T169" s="25">
        <v>10567.12</v>
      </c>
      <c r="U169" s="16">
        <v>0</v>
      </c>
      <c r="V169" s="16">
        <v>0</v>
      </c>
      <c r="W169" s="25">
        <v>134</v>
      </c>
      <c r="X169" s="25">
        <v>8800</v>
      </c>
      <c r="Y169" s="25">
        <v>1429.44</v>
      </c>
      <c r="Z169" s="17">
        <f t="shared" si="67"/>
        <v>2.2000000000000001E-3</v>
      </c>
      <c r="AA169" s="18">
        <v>0.15</v>
      </c>
      <c r="AB169" s="16">
        <f t="shared" si="78"/>
        <v>1320</v>
      </c>
      <c r="AC169" s="16">
        <v>0</v>
      </c>
      <c r="AD169" s="16">
        <v>0</v>
      </c>
      <c r="AE169" s="16">
        <v>0</v>
      </c>
      <c r="AF169" s="16">
        <f t="shared" si="68"/>
        <v>1320</v>
      </c>
      <c r="AG169" s="16">
        <f t="shared" si="81"/>
        <v>211.20000000000002</v>
      </c>
      <c r="AH169" s="16">
        <f t="shared" si="69"/>
        <v>1531.2</v>
      </c>
      <c r="AI169" s="16">
        <f t="shared" si="82"/>
        <v>26.400000000000002</v>
      </c>
      <c r="AJ169" s="16">
        <v>0</v>
      </c>
      <c r="AK169" s="16">
        <f t="shared" si="70"/>
        <v>26.400000000000002</v>
      </c>
      <c r="AL169" s="19"/>
      <c r="AM169" s="16">
        <f t="shared" si="71"/>
        <v>1293.5999999999999</v>
      </c>
      <c r="AN169" s="16" t="s">
        <v>381</v>
      </c>
      <c r="AO169" s="20">
        <v>0.35</v>
      </c>
      <c r="AP169" s="16">
        <f t="shared" si="72"/>
        <v>452.75999999999993</v>
      </c>
      <c r="AQ169" s="16"/>
      <c r="AR169" s="15"/>
      <c r="AS169" s="16">
        <f t="shared" si="73"/>
        <v>452.75999999999993</v>
      </c>
      <c r="AT169" s="16"/>
      <c r="AU169" s="16">
        <v>1531.2</v>
      </c>
      <c r="AV169" s="16">
        <f t="shared" si="79"/>
        <v>1531.2</v>
      </c>
      <c r="AW169" s="16">
        <f t="shared" si="74"/>
        <v>0</v>
      </c>
      <c r="AX169" s="16" t="str">
        <f t="shared" si="77"/>
        <v>SFA</v>
      </c>
      <c r="AY169" s="22">
        <v>45070</v>
      </c>
      <c r="AZ169" s="22"/>
      <c r="BA169" s="1"/>
      <c r="BB169" s="22" t="str">
        <f t="shared" si="80"/>
        <v>MARINE CARGO / GIT</v>
      </c>
      <c r="BC169" s="1"/>
      <c r="BD169" s="1"/>
      <c r="BE169" s="1"/>
    </row>
    <row r="170" spans="1:57" ht="14.25" hidden="1" customHeight="1">
      <c r="A170" s="2" t="s">
        <v>165</v>
      </c>
      <c r="B170" s="1" t="s">
        <v>58</v>
      </c>
      <c r="C170" s="27">
        <v>45009</v>
      </c>
      <c r="D170" s="27">
        <v>45009</v>
      </c>
      <c r="E170" s="27">
        <v>45008</v>
      </c>
      <c r="F170" s="27">
        <v>45373</v>
      </c>
      <c r="G170" s="13" t="str">
        <f t="shared" si="66"/>
        <v>000-169/AIB RDC/2023</v>
      </c>
      <c r="H170" s="1">
        <v>1</v>
      </c>
      <c r="I170" s="1" t="s">
        <v>68</v>
      </c>
      <c r="J170" s="29" t="s">
        <v>387</v>
      </c>
      <c r="K170" s="1" t="s">
        <v>388</v>
      </c>
      <c r="L170" s="1"/>
      <c r="M170" s="2" t="s">
        <v>99</v>
      </c>
      <c r="N170" s="2" t="s">
        <v>100</v>
      </c>
      <c r="O170" s="1" t="s">
        <v>107</v>
      </c>
      <c r="P170" s="1" t="s">
        <v>108</v>
      </c>
      <c r="Q170" s="1" t="s">
        <v>66</v>
      </c>
      <c r="R170" s="1" t="s">
        <v>66</v>
      </c>
      <c r="S170" s="25">
        <v>4064062.5</v>
      </c>
      <c r="T170" s="25">
        <v>9867.9699999999993</v>
      </c>
      <c r="U170" s="16">
        <v>0</v>
      </c>
      <c r="V170" s="16">
        <v>0</v>
      </c>
      <c r="W170" s="25">
        <v>51.56</v>
      </c>
      <c r="X170" s="25">
        <v>8311.08</v>
      </c>
      <c r="Y170" s="25">
        <v>1338.02</v>
      </c>
      <c r="Z170" s="17">
        <f t="shared" si="67"/>
        <v>2.0450177623990771E-3</v>
      </c>
      <c r="AA170" s="18">
        <v>0.1</v>
      </c>
      <c r="AB170" s="16">
        <f t="shared" si="78"/>
        <v>831.10800000000006</v>
      </c>
      <c r="AC170" s="16">
        <v>0</v>
      </c>
      <c r="AD170" s="16">
        <v>0</v>
      </c>
      <c r="AE170" s="16">
        <v>0</v>
      </c>
      <c r="AF170" s="16">
        <f t="shared" si="68"/>
        <v>831.10800000000006</v>
      </c>
      <c r="AG170" s="16">
        <f t="shared" si="81"/>
        <v>132.97728000000001</v>
      </c>
      <c r="AH170" s="16">
        <f t="shared" si="69"/>
        <v>964.08528000000001</v>
      </c>
      <c r="AI170" s="16">
        <f t="shared" si="82"/>
        <v>16.622160000000001</v>
      </c>
      <c r="AJ170" s="16">
        <v>0</v>
      </c>
      <c r="AK170" s="16">
        <f t="shared" si="70"/>
        <v>16.622160000000001</v>
      </c>
      <c r="AL170" s="19"/>
      <c r="AM170" s="16">
        <f t="shared" si="71"/>
        <v>814.48584000000005</v>
      </c>
      <c r="AN170" s="16" t="s">
        <v>381</v>
      </c>
      <c r="AO170" s="20">
        <v>0.35</v>
      </c>
      <c r="AP170" s="16">
        <f t="shared" si="72"/>
        <v>285.070044</v>
      </c>
      <c r="AQ170" s="16"/>
      <c r="AR170" s="15"/>
      <c r="AS170" s="16">
        <f t="shared" si="73"/>
        <v>285.070044</v>
      </c>
      <c r="AT170" s="16"/>
      <c r="AU170" s="16">
        <v>964.08528000000001</v>
      </c>
      <c r="AV170" s="16">
        <f t="shared" si="79"/>
        <v>964.08528000000001</v>
      </c>
      <c r="AW170" s="16">
        <f t="shared" si="74"/>
        <v>0</v>
      </c>
      <c r="AX170" s="16" t="str">
        <f t="shared" si="77"/>
        <v>SFA</v>
      </c>
      <c r="AY170" s="22">
        <v>45070</v>
      </c>
      <c r="AZ170" s="22"/>
      <c r="BA170" s="1"/>
      <c r="BB170" s="22" t="str">
        <f t="shared" si="80"/>
        <v>FIRE</v>
      </c>
      <c r="BC170" s="1"/>
      <c r="BD170" s="1"/>
      <c r="BE170" s="1"/>
    </row>
    <row r="171" spans="1:57" ht="14.25" hidden="1" customHeight="1">
      <c r="A171" s="2" t="s">
        <v>165</v>
      </c>
      <c r="B171" s="1" t="s">
        <v>58</v>
      </c>
      <c r="C171" s="27">
        <v>45009</v>
      </c>
      <c r="D171" s="27">
        <v>45009</v>
      </c>
      <c r="E171" s="27">
        <v>45013</v>
      </c>
      <c r="F171" s="27">
        <v>45378</v>
      </c>
      <c r="G171" s="13" t="str">
        <f t="shared" si="66"/>
        <v>000-170/AIB RDC/2023</v>
      </c>
      <c r="H171" s="1">
        <v>1</v>
      </c>
      <c r="I171" s="1" t="s">
        <v>68</v>
      </c>
      <c r="J171" s="29" t="s">
        <v>389</v>
      </c>
      <c r="K171" s="1" t="s">
        <v>390</v>
      </c>
      <c r="L171" s="1"/>
      <c r="M171" s="2" t="s">
        <v>99</v>
      </c>
      <c r="N171" s="2" t="s">
        <v>100</v>
      </c>
      <c r="O171" s="1" t="s">
        <v>107</v>
      </c>
      <c r="P171" s="1" t="s">
        <v>108</v>
      </c>
      <c r="Q171" s="1" t="s">
        <v>66</v>
      </c>
      <c r="R171" s="1" t="s">
        <v>66</v>
      </c>
      <c r="S171" s="25">
        <v>1333000</v>
      </c>
      <c r="T171" s="25">
        <v>3729.22</v>
      </c>
      <c r="U171" s="16">
        <v>0</v>
      </c>
      <c r="V171" s="16">
        <v>0</v>
      </c>
      <c r="W171" s="25">
        <v>25.67</v>
      </c>
      <c r="X171" s="25">
        <v>3134.68</v>
      </c>
      <c r="Y171" s="25">
        <v>505.68</v>
      </c>
      <c r="Z171" s="17">
        <f t="shared" si="67"/>
        <v>2.3515978994748687E-3</v>
      </c>
      <c r="AA171" s="18">
        <v>0.1</v>
      </c>
      <c r="AB171" s="16">
        <f t="shared" si="78"/>
        <v>313.46800000000002</v>
      </c>
      <c r="AC171" s="16">
        <v>0</v>
      </c>
      <c r="AD171" s="16">
        <v>0</v>
      </c>
      <c r="AE171" s="16">
        <v>0</v>
      </c>
      <c r="AF171" s="16">
        <f t="shared" si="68"/>
        <v>313.46800000000002</v>
      </c>
      <c r="AG171" s="16">
        <f t="shared" si="81"/>
        <v>50.154880000000006</v>
      </c>
      <c r="AH171" s="16">
        <f t="shared" si="69"/>
        <v>363.62288000000001</v>
      </c>
      <c r="AI171" s="16">
        <f t="shared" si="82"/>
        <v>6.2693600000000007</v>
      </c>
      <c r="AJ171" s="16">
        <v>0</v>
      </c>
      <c r="AK171" s="16">
        <f t="shared" si="70"/>
        <v>6.2693600000000007</v>
      </c>
      <c r="AL171" s="19"/>
      <c r="AM171" s="16">
        <f t="shared" si="71"/>
        <v>307.19864000000001</v>
      </c>
      <c r="AN171" s="16" t="s">
        <v>381</v>
      </c>
      <c r="AO171" s="20">
        <v>0.35</v>
      </c>
      <c r="AP171" s="16">
        <f t="shared" si="72"/>
        <v>107.519524</v>
      </c>
      <c r="AQ171" s="16"/>
      <c r="AR171" s="15"/>
      <c r="AS171" s="16">
        <f t="shared" si="73"/>
        <v>107.519524</v>
      </c>
      <c r="AT171" s="16"/>
      <c r="AU171" s="16">
        <v>363.62288000000001</v>
      </c>
      <c r="AV171" s="16">
        <f t="shared" si="79"/>
        <v>363.62288000000001</v>
      </c>
      <c r="AW171" s="16">
        <f t="shared" si="74"/>
        <v>0</v>
      </c>
      <c r="AX171" s="16" t="str">
        <f t="shared" si="77"/>
        <v>SFA</v>
      </c>
      <c r="AY171" s="22">
        <v>45070</v>
      </c>
      <c r="AZ171" s="22"/>
      <c r="BA171" s="1"/>
      <c r="BB171" s="22" t="str">
        <f t="shared" si="80"/>
        <v>FIRE</v>
      </c>
      <c r="BC171" s="1"/>
      <c r="BD171" s="1"/>
      <c r="BE171" s="1"/>
    </row>
    <row r="172" spans="1:57" ht="14.25" hidden="1" customHeight="1">
      <c r="A172" s="2" t="s">
        <v>165</v>
      </c>
      <c r="B172" s="1" t="s">
        <v>58</v>
      </c>
      <c r="C172" s="27">
        <v>45009</v>
      </c>
      <c r="D172" s="27">
        <v>45009</v>
      </c>
      <c r="E172" s="27">
        <v>45013</v>
      </c>
      <c r="F172" s="27">
        <v>45378</v>
      </c>
      <c r="G172" s="13" t="str">
        <f t="shared" si="66"/>
        <v>000-171/AIB RDC/2023</v>
      </c>
      <c r="H172" s="1">
        <v>1</v>
      </c>
      <c r="I172" s="1" t="s">
        <v>68</v>
      </c>
      <c r="J172" s="29" t="s">
        <v>391</v>
      </c>
      <c r="K172" s="1" t="s">
        <v>392</v>
      </c>
      <c r="L172" s="1"/>
      <c r="M172" s="2" t="s">
        <v>99</v>
      </c>
      <c r="N172" s="2" t="s">
        <v>100</v>
      </c>
      <c r="O172" s="1" t="s">
        <v>107</v>
      </c>
      <c r="P172" s="1" t="s">
        <v>108</v>
      </c>
      <c r="Q172" s="1" t="s">
        <v>66</v>
      </c>
      <c r="R172" s="1" t="s">
        <v>66</v>
      </c>
      <c r="S172" s="25">
        <v>599000</v>
      </c>
      <c r="T172" s="25">
        <v>3176.04</v>
      </c>
      <c r="U172" s="16">
        <v>0</v>
      </c>
      <c r="V172" s="16">
        <v>0</v>
      </c>
      <c r="W172" s="25">
        <v>23.34</v>
      </c>
      <c r="X172" s="25">
        <v>2668.22</v>
      </c>
      <c r="Y172" s="25">
        <v>430.65</v>
      </c>
      <c r="Z172" s="17">
        <f t="shared" si="67"/>
        <v>4.4544574290484133E-3</v>
      </c>
      <c r="AA172" s="18">
        <v>0.1</v>
      </c>
      <c r="AB172" s="16">
        <f t="shared" si="78"/>
        <v>266.822</v>
      </c>
      <c r="AC172" s="16">
        <v>0</v>
      </c>
      <c r="AD172" s="16">
        <v>0</v>
      </c>
      <c r="AE172" s="16">
        <v>0</v>
      </c>
      <c r="AF172" s="16">
        <f t="shared" si="68"/>
        <v>266.822</v>
      </c>
      <c r="AG172" s="16">
        <f t="shared" si="81"/>
        <v>42.691520000000004</v>
      </c>
      <c r="AH172" s="16">
        <f t="shared" si="69"/>
        <v>309.51352000000003</v>
      </c>
      <c r="AI172" s="16">
        <f t="shared" si="82"/>
        <v>5.3364400000000005</v>
      </c>
      <c r="AJ172" s="16">
        <v>0</v>
      </c>
      <c r="AK172" s="16">
        <f t="shared" si="70"/>
        <v>5.3364400000000005</v>
      </c>
      <c r="AL172" s="19"/>
      <c r="AM172" s="16">
        <f t="shared" si="71"/>
        <v>261.48556000000002</v>
      </c>
      <c r="AN172" s="16" t="s">
        <v>381</v>
      </c>
      <c r="AO172" s="20">
        <v>0.35</v>
      </c>
      <c r="AP172" s="16">
        <f t="shared" si="72"/>
        <v>91.519946000000004</v>
      </c>
      <c r="AQ172" s="16"/>
      <c r="AR172" s="15"/>
      <c r="AS172" s="16">
        <f t="shared" si="73"/>
        <v>91.519946000000004</v>
      </c>
      <c r="AT172" s="16"/>
      <c r="AU172" s="16">
        <v>309.51352000000003</v>
      </c>
      <c r="AV172" s="16">
        <f t="shared" si="79"/>
        <v>309.51352000000003</v>
      </c>
      <c r="AW172" s="16">
        <f t="shared" si="74"/>
        <v>0</v>
      </c>
      <c r="AX172" s="16" t="str">
        <f t="shared" si="77"/>
        <v>SFA</v>
      </c>
      <c r="AY172" s="22">
        <v>45070</v>
      </c>
      <c r="AZ172" s="22"/>
      <c r="BA172" s="1"/>
      <c r="BB172" s="22" t="str">
        <f t="shared" si="80"/>
        <v>FIRE</v>
      </c>
      <c r="BC172" s="1"/>
      <c r="BD172" s="1"/>
      <c r="BE172" s="1"/>
    </row>
    <row r="173" spans="1:57" ht="14.25" hidden="1" customHeight="1">
      <c r="A173" s="2" t="s">
        <v>165</v>
      </c>
      <c r="B173" s="1" t="s">
        <v>58</v>
      </c>
      <c r="C173" s="27">
        <v>45009</v>
      </c>
      <c r="D173" s="27">
        <v>45009</v>
      </c>
      <c r="E173" s="27">
        <v>45013</v>
      </c>
      <c r="F173" s="27">
        <v>45378</v>
      </c>
      <c r="G173" s="13" t="str">
        <f t="shared" si="66"/>
        <v>000-172/AIB RDC/2023</v>
      </c>
      <c r="H173" s="1">
        <v>1</v>
      </c>
      <c r="I173" s="1" t="s">
        <v>68</v>
      </c>
      <c r="J173" s="29" t="s">
        <v>393</v>
      </c>
      <c r="K173" s="1" t="s">
        <v>394</v>
      </c>
      <c r="L173" s="1"/>
      <c r="M173" s="2" t="s">
        <v>99</v>
      </c>
      <c r="N173" s="2" t="s">
        <v>100</v>
      </c>
      <c r="O173" s="1" t="s">
        <v>107</v>
      </c>
      <c r="P173" s="1" t="s">
        <v>108</v>
      </c>
      <c r="Q173" s="1" t="s">
        <v>66</v>
      </c>
      <c r="R173" s="1" t="s">
        <v>66</v>
      </c>
      <c r="S173" s="25">
        <v>572500</v>
      </c>
      <c r="T173" s="25">
        <v>3119.8</v>
      </c>
      <c r="U173" s="16">
        <v>0</v>
      </c>
      <c r="V173" s="16">
        <v>0</v>
      </c>
      <c r="W173" s="25">
        <v>23.1</v>
      </c>
      <c r="X173" s="25">
        <v>2620.8000000000002</v>
      </c>
      <c r="Y173" s="25">
        <v>423.02</v>
      </c>
      <c r="Z173" s="17">
        <f t="shared" si="67"/>
        <v>4.5778165938864636E-3</v>
      </c>
      <c r="AA173" s="18">
        <v>0.1</v>
      </c>
      <c r="AB173" s="16">
        <f t="shared" si="78"/>
        <v>262.08000000000004</v>
      </c>
      <c r="AC173" s="16">
        <v>0</v>
      </c>
      <c r="AD173" s="16">
        <v>0</v>
      </c>
      <c r="AE173" s="16">
        <v>0</v>
      </c>
      <c r="AF173" s="16">
        <f t="shared" si="68"/>
        <v>262.08000000000004</v>
      </c>
      <c r="AG173" s="16">
        <f t="shared" si="81"/>
        <v>41.932800000000007</v>
      </c>
      <c r="AH173" s="16">
        <f t="shared" si="69"/>
        <v>304.01280000000003</v>
      </c>
      <c r="AI173" s="16">
        <f t="shared" si="82"/>
        <v>5.2416000000000009</v>
      </c>
      <c r="AJ173" s="16">
        <v>0</v>
      </c>
      <c r="AK173" s="16">
        <f t="shared" si="70"/>
        <v>5.2416000000000009</v>
      </c>
      <c r="AL173" s="19"/>
      <c r="AM173" s="16">
        <f t="shared" si="71"/>
        <v>256.83840000000004</v>
      </c>
      <c r="AN173" s="16" t="s">
        <v>381</v>
      </c>
      <c r="AO173" s="20">
        <v>0.35</v>
      </c>
      <c r="AP173" s="16">
        <f t="shared" si="72"/>
        <v>89.893440000000012</v>
      </c>
      <c r="AQ173" s="16"/>
      <c r="AR173" s="15"/>
      <c r="AS173" s="16">
        <f t="shared" si="73"/>
        <v>89.893440000000012</v>
      </c>
      <c r="AT173" s="16"/>
      <c r="AU173" s="16">
        <v>304.01280000000003</v>
      </c>
      <c r="AV173" s="16">
        <f t="shared" si="79"/>
        <v>304.01280000000003</v>
      </c>
      <c r="AW173" s="16">
        <f t="shared" si="74"/>
        <v>0</v>
      </c>
      <c r="AX173" s="16" t="str">
        <f t="shared" si="77"/>
        <v>SFA</v>
      </c>
      <c r="AY173" s="22">
        <v>45070</v>
      </c>
      <c r="AZ173" s="22"/>
      <c r="BA173" s="1"/>
      <c r="BB173" s="22" t="str">
        <f t="shared" si="80"/>
        <v>FIRE</v>
      </c>
      <c r="BC173" s="1"/>
      <c r="BD173" s="1"/>
      <c r="BE173" s="1"/>
    </row>
    <row r="174" spans="1:57" ht="14.25" hidden="1" customHeight="1">
      <c r="A174" s="2" t="s">
        <v>165</v>
      </c>
      <c r="B174" s="1" t="s">
        <v>58</v>
      </c>
      <c r="C174" s="27">
        <v>45009</v>
      </c>
      <c r="D174" s="27">
        <v>45009</v>
      </c>
      <c r="E174" s="27">
        <v>45000</v>
      </c>
      <c r="F174" s="27">
        <v>45365</v>
      </c>
      <c r="G174" s="13" t="str">
        <f t="shared" si="66"/>
        <v>000-173/AIB RDC/2023</v>
      </c>
      <c r="H174" s="1">
        <v>1</v>
      </c>
      <c r="I174" s="1" t="s">
        <v>68</v>
      </c>
      <c r="J174" s="29" t="s">
        <v>395</v>
      </c>
      <c r="K174" s="1" t="s">
        <v>380</v>
      </c>
      <c r="L174" s="1"/>
      <c r="M174" s="2" t="s">
        <v>99</v>
      </c>
      <c r="N174" s="2" t="s">
        <v>100</v>
      </c>
      <c r="O174" s="1" t="s">
        <v>107</v>
      </c>
      <c r="P174" s="1" t="s">
        <v>108</v>
      </c>
      <c r="Q174" s="1" t="s">
        <v>66</v>
      </c>
      <c r="R174" s="1" t="s">
        <v>66</v>
      </c>
      <c r="S174" s="25">
        <v>1354687.5</v>
      </c>
      <c r="T174" s="25">
        <v>2936.66</v>
      </c>
      <c r="U174" s="16">
        <v>0</v>
      </c>
      <c r="V174" s="16">
        <v>0</v>
      </c>
      <c r="W174" s="25">
        <v>22.33</v>
      </c>
      <c r="X174" s="25">
        <v>2466.36</v>
      </c>
      <c r="Y174" s="25">
        <v>398.19</v>
      </c>
      <c r="Z174" s="17">
        <f t="shared" si="67"/>
        <v>1.8206117647058824E-3</v>
      </c>
      <c r="AA174" s="18">
        <v>0.1</v>
      </c>
      <c r="AB174" s="16">
        <f t="shared" si="78"/>
        <v>246.63600000000002</v>
      </c>
      <c r="AC174" s="16">
        <v>0</v>
      </c>
      <c r="AD174" s="16">
        <v>0</v>
      </c>
      <c r="AE174" s="16">
        <v>0</v>
      </c>
      <c r="AF174" s="16">
        <f t="shared" si="68"/>
        <v>246.63600000000002</v>
      </c>
      <c r="AG174" s="16">
        <f t="shared" si="81"/>
        <v>39.461760000000005</v>
      </c>
      <c r="AH174" s="16">
        <f t="shared" si="69"/>
        <v>286.09776000000005</v>
      </c>
      <c r="AI174" s="16">
        <f t="shared" si="82"/>
        <v>4.9327200000000007</v>
      </c>
      <c r="AJ174" s="16">
        <v>0</v>
      </c>
      <c r="AK174" s="16">
        <f t="shared" si="70"/>
        <v>4.9327200000000007</v>
      </c>
      <c r="AL174" s="19"/>
      <c r="AM174" s="16">
        <f t="shared" si="71"/>
        <v>241.70328000000003</v>
      </c>
      <c r="AN174" s="16" t="s">
        <v>381</v>
      </c>
      <c r="AO174" s="20">
        <v>0.35</v>
      </c>
      <c r="AP174" s="16">
        <f t="shared" si="72"/>
        <v>84.596148000000014</v>
      </c>
      <c r="AQ174" s="16"/>
      <c r="AR174" s="15"/>
      <c r="AS174" s="16">
        <f t="shared" si="73"/>
        <v>84.596148000000014</v>
      </c>
      <c r="AT174" s="16"/>
      <c r="AU174" s="16">
        <v>286.09776000000005</v>
      </c>
      <c r="AV174" s="16">
        <f t="shared" si="79"/>
        <v>286.09776000000005</v>
      </c>
      <c r="AW174" s="16">
        <f t="shared" si="74"/>
        <v>0</v>
      </c>
      <c r="AX174" s="16" t="str">
        <f t="shared" ref="AX174:AX205" si="83">Q174</f>
        <v>SFA</v>
      </c>
      <c r="AY174" s="22">
        <v>45070</v>
      </c>
      <c r="AZ174" s="22"/>
      <c r="BA174" s="1"/>
      <c r="BB174" s="22" t="str">
        <f t="shared" si="80"/>
        <v>FIRE</v>
      </c>
      <c r="BC174" s="1"/>
      <c r="BD174" s="1"/>
      <c r="BE174" s="1"/>
    </row>
    <row r="175" spans="1:57" ht="14.25" hidden="1" customHeight="1">
      <c r="A175" s="2" t="s">
        <v>165</v>
      </c>
      <c r="B175" s="1" t="s">
        <v>58</v>
      </c>
      <c r="C175" s="27">
        <v>45009</v>
      </c>
      <c r="D175" s="27">
        <v>45009</v>
      </c>
      <c r="E175" s="27">
        <v>45013</v>
      </c>
      <c r="F175" s="27">
        <v>45378</v>
      </c>
      <c r="G175" s="13" t="str">
        <f t="shared" si="66"/>
        <v>000-174/AIB RDC/2023</v>
      </c>
      <c r="H175" s="1">
        <v>0</v>
      </c>
      <c r="I175" s="1" t="s">
        <v>83</v>
      </c>
      <c r="J175" s="29" t="s">
        <v>396</v>
      </c>
      <c r="K175" s="1" t="s">
        <v>397</v>
      </c>
      <c r="L175" s="1"/>
      <c r="M175" s="2" t="s">
        <v>99</v>
      </c>
      <c r="N175" s="2" t="s">
        <v>100</v>
      </c>
      <c r="O175" s="1" t="s">
        <v>107</v>
      </c>
      <c r="P175" s="1" t="s">
        <v>108</v>
      </c>
      <c r="Q175" s="1" t="s">
        <v>66</v>
      </c>
      <c r="R175" s="1" t="s">
        <v>66</v>
      </c>
      <c r="S175" s="25">
        <v>900000</v>
      </c>
      <c r="T175" s="25">
        <v>2519.87</v>
      </c>
      <c r="U175" s="16">
        <v>0</v>
      </c>
      <c r="V175" s="16">
        <v>0</v>
      </c>
      <c r="W175" s="25">
        <v>20.57</v>
      </c>
      <c r="X175" s="25">
        <v>2114.91</v>
      </c>
      <c r="Y175" s="25">
        <v>341.68</v>
      </c>
      <c r="Z175" s="17">
        <f t="shared" si="67"/>
        <v>2.3498999999999998E-3</v>
      </c>
      <c r="AA175" s="18">
        <v>0.1</v>
      </c>
      <c r="AB175" s="16">
        <f t="shared" si="78"/>
        <v>211.49099999999999</v>
      </c>
      <c r="AC175" s="16">
        <v>0</v>
      </c>
      <c r="AD175" s="16">
        <v>0</v>
      </c>
      <c r="AE175" s="16">
        <v>0</v>
      </c>
      <c r="AF175" s="16">
        <f t="shared" si="68"/>
        <v>211.49099999999999</v>
      </c>
      <c r="AG175" s="16">
        <f t="shared" si="81"/>
        <v>33.838560000000001</v>
      </c>
      <c r="AH175" s="16">
        <f t="shared" si="69"/>
        <v>245.32955999999999</v>
      </c>
      <c r="AI175" s="16">
        <f t="shared" si="82"/>
        <v>4.2298200000000001</v>
      </c>
      <c r="AJ175" s="16">
        <v>0</v>
      </c>
      <c r="AK175" s="16">
        <f t="shared" si="70"/>
        <v>4.2298200000000001</v>
      </c>
      <c r="AL175" s="19"/>
      <c r="AM175" s="16">
        <f t="shared" si="71"/>
        <v>207.26118</v>
      </c>
      <c r="AN175" s="16" t="s">
        <v>381</v>
      </c>
      <c r="AO175" s="20">
        <v>0.35</v>
      </c>
      <c r="AP175" s="16">
        <f t="shared" si="72"/>
        <v>72.541412999999991</v>
      </c>
      <c r="AQ175" s="16"/>
      <c r="AR175" s="15"/>
      <c r="AS175" s="16">
        <f t="shared" si="73"/>
        <v>72.541412999999991</v>
      </c>
      <c r="AT175" s="16"/>
      <c r="AU175" s="16">
        <v>245.32955999999999</v>
      </c>
      <c r="AV175" s="16">
        <f t="shared" si="79"/>
        <v>245.32955999999999</v>
      </c>
      <c r="AW175" s="16">
        <f t="shared" si="74"/>
        <v>0</v>
      </c>
      <c r="AX175" s="16" t="str">
        <f t="shared" si="83"/>
        <v>SFA</v>
      </c>
      <c r="AY175" s="22">
        <v>45070</v>
      </c>
      <c r="AZ175" s="22"/>
      <c r="BA175" s="1"/>
      <c r="BB175" s="22" t="str">
        <f t="shared" si="80"/>
        <v>FIRE</v>
      </c>
      <c r="BC175" s="1"/>
      <c r="BD175" s="1"/>
      <c r="BE175" s="1"/>
    </row>
    <row r="176" spans="1:57" ht="14.25" hidden="1" customHeight="1">
      <c r="A176" s="2" t="s">
        <v>165</v>
      </c>
      <c r="B176" s="1" t="s">
        <v>58</v>
      </c>
      <c r="C176" s="27">
        <v>45012</v>
      </c>
      <c r="D176" s="27">
        <v>45012</v>
      </c>
      <c r="E176" s="27">
        <v>45012</v>
      </c>
      <c r="F176" s="27">
        <v>45072</v>
      </c>
      <c r="G176" s="13" t="str">
        <f t="shared" si="66"/>
        <v>000-175/AIB RDC/2023</v>
      </c>
      <c r="H176" s="1">
        <v>0</v>
      </c>
      <c r="I176" s="1" t="s">
        <v>83</v>
      </c>
      <c r="J176" s="29" t="s">
        <v>398</v>
      </c>
      <c r="K176" s="1" t="s">
        <v>370</v>
      </c>
      <c r="L176" s="1"/>
      <c r="M176" s="2" t="s">
        <v>99</v>
      </c>
      <c r="N176" s="2" t="s">
        <v>100</v>
      </c>
      <c r="O176" s="1" t="s">
        <v>104</v>
      </c>
      <c r="P176" s="1" t="s">
        <v>105</v>
      </c>
      <c r="Q176" s="1" t="s">
        <v>66</v>
      </c>
      <c r="R176" s="1" t="s">
        <v>66</v>
      </c>
      <c r="S176" s="25">
        <v>3755.16</v>
      </c>
      <c r="T176" s="25">
        <v>45.33</v>
      </c>
      <c r="U176" s="25">
        <v>0</v>
      </c>
      <c r="V176" s="25">
        <v>0</v>
      </c>
      <c r="W176" s="25">
        <v>2.23</v>
      </c>
      <c r="X176" s="25">
        <v>15</v>
      </c>
      <c r="Y176" s="25">
        <v>2.76</v>
      </c>
      <c r="Z176" s="17">
        <f t="shared" si="67"/>
        <v>3.9945035630971782E-3</v>
      </c>
      <c r="AA176" s="18">
        <v>0.15</v>
      </c>
      <c r="AB176" s="16">
        <f t="shared" si="78"/>
        <v>2.25</v>
      </c>
      <c r="AC176" s="16">
        <v>0</v>
      </c>
      <c r="AD176" s="16">
        <v>0</v>
      </c>
      <c r="AE176" s="16">
        <v>0</v>
      </c>
      <c r="AF176" s="16">
        <f t="shared" si="68"/>
        <v>2.25</v>
      </c>
      <c r="AG176" s="16">
        <f t="shared" si="81"/>
        <v>0.36</v>
      </c>
      <c r="AH176" s="16">
        <f t="shared" si="69"/>
        <v>2.61</v>
      </c>
      <c r="AI176" s="16">
        <f t="shared" si="82"/>
        <v>4.4999999999999998E-2</v>
      </c>
      <c r="AJ176" s="16">
        <v>0</v>
      </c>
      <c r="AK176" s="16">
        <f t="shared" si="70"/>
        <v>4.4999999999999998E-2</v>
      </c>
      <c r="AL176" s="19"/>
      <c r="AM176" s="16">
        <f t="shared" si="71"/>
        <v>2.2050000000000001</v>
      </c>
      <c r="AN176" s="16"/>
      <c r="AO176" s="20"/>
      <c r="AP176" s="16">
        <f t="shared" si="72"/>
        <v>0</v>
      </c>
      <c r="AQ176" s="16"/>
      <c r="AR176" s="15"/>
      <c r="AS176" s="16">
        <f t="shared" si="73"/>
        <v>0</v>
      </c>
      <c r="AT176" s="16"/>
      <c r="AU176" s="16">
        <v>2.61</v>
      </c>
      <c r="AV176" s="16">
        <f t="shared" si="79"/>
        <v>2.61</v>
      </c>
      <c r="AW176" s="16">
        <f t="shared" si="74"/>
        <v>0</v>
      </c>
      <c r="AX176" s="16" t="str">
        <f t="shared" si="83"/>
        <v>SFA</v>
      </c>
      <c r="AY176" s="22">
        <v>45076</v>
      </c>
      <c r="AZ176" s="22"/>
      <c r="BA176" s="1" t="s">
        <v>148</v>
      </c>
      <c r="BB176" s="22" t="str">
        <f t="shared" si="80"/>
        <v>MARINE CARGO / GIT</v>
      </c>
      <c r="BC176" s="1"/>
      <c r="BD176" s="1"/>
      <c r="BE176" s="1"/>
    </row>
    <row r="177" spans="1:57" ht="14.25" hidden="1" customHeight="1">
      <c r="A177" s="2" t="s">
        <v>165</v>
      </c>
      <c r="B177" s="1" t="s">
        <v>58</v>
      </c>
      <c r="C177" s="27">
        <v>45016</v>
      </c>
      <c r="D177" s="27">
        <v>45019</v>
      </c>
      <c r="E177" s="27">
        <v>45015</v>
      </c>
      <c r="F177" s="27">
        <v>45380</v>
      </c>
      <c r="G177" s="13" t="str">
        <f t="shared" si="66"/>
        <v>000-176/AIB RDC/2023</v>
      </c>
      <c r="H177" s="1">
        <v>1</v>
      </c>
      <c r="I177" s="1" t="s">
        <v>68</v>
      </c>
      <c r="J177" s="29" t="s">
        <v>399</v>
      </c>
      <c r="K177" s="1" t="s">
        <v>384</v>
      </c>
      <c r="L177" s="1"/>
      <c r="M177" s="2" t="s">
        <v>99</v>
      </c>
      <c r="N177" s="2" t="s">
        <v>100</v>
      </c>
      <c r="O177" s="1" t="s">
        <v>107</v>
      </c>
      <c r="P177" s="1" t="s">
        <v>108</v>
      </c>
      <c r="Q177" s="1" t="s">
        <v>66</v>
      </c>
      <c r="R177" s="1" t="s">
        <v>66</v>
      </c>
      <c r="S177" s="25">
        <v>75000</v>
      </c>
      <c r="T177" s="25">
        <v>403.57</v>
      </c>
      <c r="U177" s="25">
        <v>0</v>
      </c>
      <c r="V177" s="25">
        <v>0</v>
      </c>
      <c r="W177" s="25">
        <v>20</v>
      </c>
      <c r="X177" s="25">
        <v>322.01</v>
      </c>
      <c r="Y177" s="25">
        <v>54.72</v>
      </c>
      <c r="Z177" s="17">
        <f t="shared" si="67"/>
        <v>4.2934666666666664E-3</v>
      </c>
      <c r="AA177" s="18">
        <v>0.1</v>
      </c>
      <c r="AB177" s="16">
        <f t="shared" si="78"/>
        <v>32.201000000000001</v>
      </c>
      <c r="AC177" s="16">
        <v>0</v>
      </c>
      <c r="AD177" s="16">
        <v>0</v>
      </c>
      <c r="AE177" s="16">
        <v>0</v>
      </c>
      <c r="AF177" s="16">
        <f t="shared" si="68"/>
        <v>32.201000000000001</v>
      </c>
      <c r="AG177" s="16">
        <f t="shared" si="81"/>
        <v>5.1521600000000003</v>
      </c>
      <c r="AH177" s="16">
        <f t="shared" si="69"/>
        <v>37.353160000000003</v>
      </c>
      <c r="AI177" s="16">
        <f t="shared" si="82"/>
        <v>0.64402000000000004</v>
      </c>
      <c r="AJ177" s="16">
        <v>0</v>
      </c>
      <c r="AK177" s="16">
        <f t="shared" si="70"/>
        <v>0.64402000000000004</v>
      </c>
      <c r="AL177" s="19"/>
      <c r="AM177" s="16">
        <f t="shared" si="71"/>
        <v>31.556979999999999</v>
      </c>
      <c r="AN177" s="16"/>
      <c r="AO177" s="20"/>
      <c r="AP177" s="16">
        <f t="shared" si="72"/>
        <v>0</v>
      </c>
      <c r="AQ177" s="16"/>
      <c r="AR177" s="15"/>
      <c r="AS177" s="16">
        <f t="shared" si="73"/>
        <v>0</v>
      </c>
      <c r="AT177" s="16"/>
      <c r="AU177" s="16">
        <v>37.353160000000003</v>
      </c>
      <c r="AV177" s="16">
        <f t="shared" si="79"/>
        <v>37.353160000000003</v>
      </c>
      <c r="AW177" s="16">
        <f t="shared" si="74"/>
        <v>0</v>
      </c>
      <c r="AX177" s="16" t="str">
        <f t="shared" si="83"/>
        <v>SFA</v>
      </c>
      <c r="AY177" s="22">
        <v>45070</v>
      </c>
      <c r="AZ177" s="22"/>
      <c r="BA177" s="1"/>
      <c r="BB177" s="22" t="str">
        <f t="shared" si="80"/>
        <v>FIRE</v>
      </c>
      <c r="BC177" s="1"/>
      <c r="BD177" s="1"/>
      <c r="BE177" s="1"/>
    </row>
    <row r="178" spans="1:57" ht="14.25" hidden="1" customHeight="1">
      <c r="A178" s="2" t="s">
        <v>165</v>
      </c>
      <c r="B178" s="1" t="s">
        <v>58</v>
      </c>
      <c r="C178" s="27">
        <v>45016</v>
      </c>
      <c r="D178" s="27">
        <v>45020</v>
      </c>
      <c r="E178" s="27">
        <v>45016</v>
      </c>
      <c r="F178" s="27">
        <v>45138</v>
      </c>
      <c r="G178" s="13" t="str">
        <f t="shared" si="66"/>
        <v>000-177/AIB RDC/2023</v>
      </c>
      <c r="H178" s="1">
        <v>0</v>
      </c>
      <c r="I178" s="1" t="s">
        <v>83</v>
      </c>
      <c r="J178" s="29" t="s">
        <v>400</v>
      </c>
      <c r="K178" s="1" t="s">
        <v>401</v>
      </c>
      <c r="L178" s="1"/>
      <c r="M178" s="2" t="s">
        <v>99</v>
      </c>
      <c r="N178" s="2" t="s">
        <v>100</v>
      </c>
      <c r="O178" s="1" t="s">
        <v>101</v>
      </c>
      <c r="P178" s="1" t="s">
        <v>81</v>
      </c>
      <c r="Q178" s="1" t="s">
        <v>127</v>
      </c>
      <c r="R178" s="1" t="s">
        <v>127</v>
      </c>
      <c r="S178" s="25">
        <v>60000</v>
      </c>
      <c r="T178" s="25">
        <v>1038.4000000000001</v>
      </c>
      <c r="U178" s="25">
        <v>0</v>
      </c>
      <c r="V178" s="25">
        <v>0</v>
      </c>
      <c r="W178" s="25">
        <v>100</v>
      </c>
      <c r="X178" s="25">
        <v>780</v>
      </c>
      <c r="Y178" s="25">
        <v>140</v>
      </c>
      <c r="Z178" s="17">
        <f t="shared" si="67"/>
        <v>1.2999999999999999E-2</v>
      </c>
      <c r="AA178" s="18">
        <v>0.1</v>
      </c>
      <c r="AB178" s="16">
        <f t="shared" si="78"/>
        <v>78</v>
      </c>
      <c r="AC178" s="16">
        <v>0</v>
      </c>
      <c r="AD178" s="16">
        <v>0</v>
      </c>
      <c r="AE178" s="16">
        <v>0</v>
      </c>
      <c r="AF178" s="16">
        <f t="shared" si="68"/>
        <v>78</v>
      </c>
      <c r="AG178" s="16">
        <f t="shared" si="81"/>
        <v>12.48</v>
      </c>
      <c r="AH178" s="16">
        <f t="shared" si="69"/>
        <v>90.48</v>
      </c>
      <c r="AI178" s="16">
        <f t="shared" si="82"/>
        <v>1.56</v>
      </c>
      <c r="AJ178" s="16">
        <v>0</v>
      </c>
      <c r="AK178" s="16">
        <f t="shared" si="70"/>
        <v>1.56</v>
      </c>
      <c r="AL178" s="19"/>
      <c r="AM178" s="16">
        <f t="shared" si="71"/>
        <v>76.44</v>
      </c>
      <c r="AN178" s="16"/>
      <c r="AO178" s="20"/>
      <c r="AP178" s="16">
        <f t="shared" si="72"/>
        <v>0</v>
      </c>
      <c r="AQ178" s="16"/>
      <c r="AR178" s="15"/>
      <c r="AS178" s="16">
        <f t="shared" si="73"/>
        <v>0</v>
      </c>
      <c r="AT178" s="16"/>
      <c r="AU178" s="16">
        <v>90.48</v>
      </c>
      <c r="AV178" s="16">
        <f t="shared" si="79"/>
        <v>90.48</v>
      </c>
      <c r="AW178" s="16">
        <f t="shared" si="74"/>
        <v>0</v>
      </c>
      <c r="AX178" s="16" t="str">
        <f t="shared" si="83"/>
        <v>MAYFAIR</v>
      </c>
      <c r="AY178" s="22">
        <v>45078</v>
      </c>
      <c r="AZ178" s="22"/>
      <c r="BA178" s="1" t="s">
        <v>148</v>
      </c>
      <c r="BB178" s="22" t="str">
        <f t="shared" si="80"/>
        <v>GPA</v>
      </c>
      <c r="BC178" s="1"/>
      <c r="BD178" s="1"/>
      <c r="BE178" s="1"/>
    </row>
    <row r="179" spans="1:57" ht="14.25" hidden="1" customHeight="1">
      <c r="A179" s="2" t="s">
        <v>157</v>
      </c>
      <c r="B179" s="1" t="s">
        <v>58</v>
      </c>
      <c r="C179" s="27">
        <v>45051</v>
      </c>
      <c r="D179" s="27">
        <v>44992</v>
      </c>
      <c r="E179" s="27">
        <v>44970</v>
      </c>
      <c r="F179" s="27">
        <v>45334</v>
      </c>
      <c r="G179" s="13" t="str">
        <f t="shared" si="66"/>
        <v>000-178/AIB RDC/2023</v>
      </c>
      <c r="H179" s="1">
        <v>0</v>
      </c>
      <c r="I179" s="1" t="s">
        <v>83</v>
      </c>
      <c r="J179" s="35" t="s">
        <v>402</v>
      </c>
      <c r="K179" s="2" t="s">
        <v>403</v>
      </c>
      <c r="L179" s="1"/>
      <c r="M179" s="1" t="s">
        <v>95</v>
      </c>
      <c r="N179" s="1" t="s">
        <v>146</v>
      </c>
      <c r="O179" s="1" t="s">
        <v>104</v>
      </c>
      <c r="P179" s="1" t="s">
        <v>105</v>
      </c>
      <c r="Q179" s="1" t="s">
        <v>66</v>
      </c>
      <c r="R179" s="1" t="s">
        <v>66</v>
      </c>
      <c r="S179" s="25">
        <v>100222</v>
      </c>
      <c r="T179" s="25">
        <v>315.44</v>
      </c>
      <c r="U179" s="16">
        <v>0</v>
      </c>
      <c r="V179" s="16">
        <v>0</v>
      </c>
      <c r="W179" s="25">
        <v>5.61</v>
      </c>
      <c r="X179" s="25">
        <v>240.53</v>
      </c>
      <c r="Y179" s="25">
        <v>39.380000000000003</v>
      </c>
      <c r="Z179" s="17">
        <f t="shared" si="67"/>
        <v>2.3999720620223107E-3</v>
      </c>
      <c r="AA179" s="18">
        <v>0.15</v>
      </c>
      <c r="AB179" s="16">
        <f t="shared" ref="AB179:AB210" si="84">AA179*X179</f>
        <v>36.079499999999996</v>
      </c>
      <c r="AC179" s="16">
        <v>0</v>
      </c>
      <c r="AD179" s="16">
        <v>0</v>
      </c>
      <c r="AE179" s="16">
        <v>0</v>
      </c>
      <c r="AF179" s="16">
        <f t="shared" si="68"/>
        <v>36.079499999999996</v>
      </c>
      <c r="AG179" s="16">
        <f t="shared" si="81"/>
        <v>5.7727199999999996</v>
      </c>
      <c r="AH179" s="16">
        <f t="shared" si="69"/>
        <v>41.852219999999996</v>
      </c>
      <c r="AI179" s="16">
        <f t="shared" si="82"/>
        <v>0.72158999999999995</v>
      </c>
      <c r="AJ179" s="16">
        <v>0</v>
      </c>
      <c r="AK179" s="16">
        <f t="shared" si="70"/>
        <v>0.72158999999999995</v>
      </c>
      <c r="AL179" s="19"/>
      <c r="AM179" s="16">
        <f t="shared" si="71"/>
        <v>35.357909999999997</v>
      </c>
      <c r="AN179" s="16" t="s">
        <v>147</v>
      </c>
      <c r="AO179" s="20">
        <v>0.4</v>
      </c>
      <c r="AP179" s="16">
        <f t="shared" si="72"/>
        <v>14.143163999999999</v>
      </c>
      <c r="AQ179" s="16">
        <v>14.143163999999999</v>
      </c>
      <c r="AR179" s="15">
        <v>45229</v>
      </c>
      <c r="AS179" s="16">
        <f t="shared" si="73"/>
        <v>0</v>
      </c>
      <c r="AT179" s="16"/>
      <c r="AU179" s="16">
        <v>41.852219999999996</v>
      </c>
      <c r="AV179" s="16">
        <f t="shared" si="79"/>
        <v>41.852219999999996</v>
      </c>
      <c r="AW179" s="16">
        <f t="shared" si="74"/>
        <v>0</v>
      </c>
      <c r="AX179" s="16" t="str">
        <f t="shared" si="83"/>
        <v>SFA</v>
      </c>
      <c r="AY179" s="22">
        <v>45070</v>
      </c>
      <c r="AZ179" s="22"/>
      <c r="BA179" s="1" t="s">
        <v>148</v>
      </c>
      <c r="BB179" s="1" t="s">
        <v>104</v>
      </c>
      <c r="BC179" s="1"/>
      <c r="BD179" s="1"/>
      <c r="BE179" s="1"/>
    </row>
    <row r="180" spans="1:57" ht="14.25" hidden="1" customHeight="1">
      <c r="A180" s="2" t="s">
        <v>157</v>
      </c>
      <c r="B180" s="1" t="s">
        <v>58</v>
      </c>
      <c r="C180" s="27">
        <v>45051</v>
      </c>
      <c r="D180" s="27">
        <v>44992</v>
      </c>
      <c r="E180" s="27">
        <v>44970</v>
      </c>
      <c r="F180" s="27">
        <v>45334</v>
      </c>
      <c r="G180" s="13" t="str">
        <f t="shared" si="66"/>
        <v>000-179/AIB RDC/2023</v>
      </c>
      <c r="H180" s="1">
        <v>0</v>
      </c>
      <c r="I180" s="1" t="s">
        <v>83</v>
      </c>
      <c r="J180" s="35" t="s">
        <v>404</v>
      </c>
      <c r="K180" s="2" t="s">
        <v>403</v>
      </c>
      <c r="L180" s="1"/>
      <c r="M180" s="1" t="s">
        <v>95</v>
      </c>
      <c r="N180" s="1" t="s">
        <v>146</v>
      </c>
      <c r="O180" s="1" t="s">
        <v>104</v>
      </c>
      <c r="P180" s="1" t="s">
        <v>105</v>
      </c>
      <c r="Q180" s="1" t="s">
        <v>66</v>
      </c>
      <c r="R180" s="1" t="s">
        <v>66</v>
      </c>
      <c r="S180" s="25">
        <v>125007.24</v>
      </c>
      <c r="T180" s="25">
        <v>386.69</v>
      </c>
      <c r="U180" s="16">
        <v>0</v>
      </c>
      <c r="V180" s="16">
        <v>0</v>
      </c>
      <c r="W180" s="25">
        <v>6.5</v>
      </c>
      <c r="X180" s="25">
        <v>300.02</v>
      </c>
      <c r="Y180" s="25">
        <v>49.04</v>
      </c>
      <c r="Z180" s="17">
        <f t="shared" si="67"/>
        <v>2.4000209907842135E-3</v>
      </c>
      <c r="AA180" s="18">
        <v>0.15</v>
      </c>
      <c r="AB180" s="16">
        <f t="shared" si="84"/>
        <v>45.002999999999993</v>
      </c>
      <c r="AC180" s="16">
        <v>0</v>
      </c>
      <c r="AD180" s="16">
        <v>0</v>
      </c>
      <c r="AE180" s="16">
        <v>0</v>
      </c>
      <c r="AF180" s="16">
        <f t="shared" si="68"/>
        <v>45.002999999999993</v>
      </c>
      <c r="AG180" s="16">
        <f t="shared" si="81"/>
        <v>7.2004799999999989</v>
      </c>
      <c r="AH180" s="16">
        <f t="shared" si="69"/>
        <v>52.203479999999992</v>
      </c>
      <c r="AI180" s="16">
        <f t="shared" si="82"/>
        <v>0.90005999999999986</v>
      </c>
      <c r="AJ180" s="16">
        <v>0</v>
      </c>
      <c r="AK180" s="16">
        <f t="shared" si="70"/>
        <v>0.90005999999999986</v>
      </c>
      <c r="AL180" s="19"/>
      <c r="AM180" s="16">
        <f t="shared" si="71"/>
        <v>44.10293999999999</v>
      </c>
      <c r="AN180" s="16" t="s">
        <v>147</v>
      </c>
      <c r="AO180" s="20">
        <v>0.4</v>
      </c>
      <c r="AP180" s="16">
        <f t="shared" si="72"/>
        <v>17.641175999999998</v>
      </c>
      <c r="AQ180" s="16">
        <v>17.641175999999998</v>
      </c>
      <c r="AR180" s="15">
        <v>45229</v>
      </c>
      <c r="AS180" s="16">
        <f t="shared" si="73"/>
        <v>0</v>
      </c>
      <c r="AT180" s="16"/>
      <c r="AU180" s="16">
        <v>52.203479999999992</v>
      </c>
      <c r="AV180" s="16">
        <f t="shared" ref="AV180:AV192" si="85">AH180</f>
        <v>52.203479999999992</v>
      </c>
      <c r="AW180" s="16">
        <f t="shared" si="74"/>
        <v>0</v>
      </c>
      <c r="AX180" s="16" t="str">
        <f t="shared" si="83"/>
        <v>SFA</v>
      </c>
      <c r="AY180" s="22">
        <v>45070</v>
      </c>
      <c r="AZ180" s="22"/>
      <c r="BA180" s="1" t="s">
        <v>148</v>
      </c>
      <c r="BB180" s="1" t="s">
        <v>104</v>
      </c>
      <c r="BC180" s="1"/>
      <c r="BD180" s="1"/>
      <c r="BE180" s="1"/>
    </row>
    <row r="181" spans="1:57" ht="14.25" hidden="1" customHeight="1">
      <c r="A181" s="2" t="s">
        <v>157</v>
      </c>
      <c r="B181" s="1" t="s">
        <v>58</v>
      </c>
      <c r="C181" s="27">
        <v>45051</v>
      </c>
      <c r="D181" s="27">
        <v>44992</v>
      </c>
      <c r="E181" s="27">
        <v>44970</v>
      </c>
      <c r="F181" s="27">
        <v>45334</v>
      </c>
      <c r="G181" s="13" t="str">
        <f t="shared" si="66"/>
        <v>000-180/AIB RDC/2023</v>
      </c>
      <c r="H181" s="1">
        <v>0</v>
      </c>
      <c r="I181" s="1" t="s">
        <v>83</v>
      </c>
      <c r="J181" s="35" t="s">
        <v>405</v>
      </c>
      <c r="K181" s="2" t="s">
        <v>403</v>
      </c>
      <c r="L181" s="1"/>
      <c r="M181" s="1" t="s">
        <v>95</v>
      </c>
      <c r="N181" s="1" t="s">
        <v>146</v>
      </c>
      <c r="O181" s="1" t="s">
        <v>104</v>
      </c>
      <c r="P181" s="1" t="s">
        <v>105</v>
      </c>
      <c r="Q181" s="1" t="s">
        <v>66</v>
      </c>
      <c r="R181" s="1" t="s">
        <v>66</v>
      </c>
      <c r="S181" s="25">
        <v>25167.19</v>
      </c>
      <c r="T181" s="25">
        <v>142.34</v>
      </c>
      <c r="U181" s="16">
        <v>0</v>
      </c>
      <c r="V181" s="16">
        <v>0</v>
      </c>
      <c r="W181" s="25">
        <v>3.44</v>
      </c>
      <c r="X181" s="25">
        <v>96</v>
      </c>
      <c r="Y181" s="25">
        <v>15.91</v>
      </c>
      <c r="Z181" s="17">
        <f t="shared" si="67"/>
        <v>3.814490215236584E-3</v>
      </c>
      <c r="AA181" s="18">
        <v>0.15</v>
      </c>
      <c r="AB181" s="16">
        <f t="shared" si="84"/>
        <v>14.399999999999999</v>
      </c>
      <c r="AC181" s="16">
        <v>0</v>
      </c>
      <c r="AD181" s="16">
        <v>0</v>
      </c>
      <c r="AE181" s="16">
        <v>0</v>
      </c>
      <c r="AF181" s="16">
        <f t="shared" si="68"/>
        <v>14.399999999999999</v>
      </c>
      <c r="AG181" s="16">
        <f t="shared" si="81"/>
        <v>2.3039999999999998</v>
      </c>
      <c r="AH181" s="16">
        <f t="shared" si="69"/>
        <v>16.703999999999997</v>
      </c>
      <c r="AI181" s="16">
        <f t="shared" si="82"/>
        <v>0.28799999999999998</v>
      </c>
      <c r="AJ181" s="16">
        <v>0</v>
      </c>
      <c r="AK181" s="16">
        <f t="shared" si="70"/>
        <v>0.28799999999999998</v>
      </c>
      <c r="AL181" s="19"/>
      <c r="AM181" s="16">
        <f t="shared" si="71"/>
        <v>14.111999999999998</v>
      </c>
      <c r="AN181" s="16" t="s">
        <v>147</v>
      </c>
      <c r="AO181" s="20">
        <v>0.4</v>
      </c>
      <c r="AP181" s="16">
        <f t="shared" si="72"/>
        <v>5.6448</v>
      </c>
      <c r="AQ181" s="16">
        <v>5.6448</v>
      </c>
      <c r="AR181" s="15">
        <v>45229</v>
      </c>
      <c r="AS181" s="16">
        <f t="shared" si="73"/>
        <v>0</v>
      </c>
      <c r="AT181" s="16"/>
      <c r="AU181" s="16">
        <v>16.703999999999997</v>
      </c>
      <c r="AV181" s="16">
        <f t="shared" si="85"/>
        <v>16.703999999999997</v>
      </c>
      <c r="AW181" s="16">
        <f t="shared" si="74"/>
        <v>0</v>
      </c>
      <c r="AX181" s="16" t="str">
        <f t="shared" si="83"/>
        <v>SFA</v>
      </c>
      <c r="AY181" s="22">
        <v>45070</v>
      </c>
      <c r="AZ181" s="22"/>
      <c r="BA181" s="1" t="s">
        <v>148</v>
      </c>
      <c r="BB181" s="1" t="s">
        <v>104</v>
      </c>
      <c r="BC181" s="1"/>
      <c r="BD181" s="1"/>
      <c r="BE181" s="1"/>
    </row>
    <row r="182" spans="1:57" ht="14.25" hidden="1" customHeight="1">
      <c r="A182" s="2" t="s">
        <v>406</v>
      </c>
      <c r="B182" s="1" t="s">
        <v>58</v>
      </c>
      <c r="C182" s="27">
        <v>45016</v>
      </c>
      <c r="D182" s="27">
        <v>45020</v>
      </c>
      <c r="E182" s="27">
        <v>45017</v>
      </c>
      <c r="F182" s="27">
        <v>45382</v>
      </c>
      <c r="G182" s="13" t="str">
        <f t="shared" si="66"/>
        <v>000-181/AIB RDC/2023</v>
      </c>
      <c r="H182" s="1">
        <v>0</v>
      </c>
      <c r="I182" s="1" t="s">
        <v>83</v>
      </c>
      <c r="J182" s="29" t="s">
        <v>407</v>
      </c>
      <c r="K182" s="1" t="s">
        <v>401</v>
      </c>
      <c r="L182" s="1"/>
      <c r="M182" s="2" t="s">
        <v>99</v>
      </c>
      <c r="N182" s="2" t="s">
        <v>100</v>
      </c>
      <c r="O182" s="1" t="s">
        <v>309</v>
      </c>
      <c r="P182" s="1" t="s">
        <v>234</v>
      </c>
      <c r="Q182" s="1" t="s">
        <v>127</v>
      </c>
      <c r="R182" s="1" t="s">
        <v>127</v>
      </c>
      <c r="S182" s="25">
        <v>1037835.5</v>
      </c>
      <c r="T182" s="25">
        <v>2261.14</v>
      </c>
      <c r="U182" s="25">
        <v>0</v>
      </c>
      <c r="V182" s="25">
        <v>0</v>
      </c>
      <c r="W182" s="25">
        <v>100</v>
      </c>
      <c r="X182" s="25">
        <v>1816.22</v>
      </c>
      <c r="Y182" s="25">
        <v>306.60000000000002</v>
      </c>
      <c r="Z182" s="17">
        <f t="shared" si="67"/>
        <v>1.7500075879077176E-3</v>
      </c>
      <c r="AA182" s="18">
        <v>0.15</v>
      </c>
      <c r="AB182" s="16">
        <f t="shared" si="84"/>
        <v>272.43299999999999</v>
      </c>
      <c r="AC182" s="16">
        <v>0</v>
      </c>
      <c r="AD182" s="16">
        <v>0</v>
      </c>
      <c r="AE182" s="16">
        <v>0</v>
      </c>
      <c r="AF182" s="16">
        <f t="shared" si="68"/>
        <v>272.43299999999999</v>
      </c>
      <c r="AG182" s="16">
        <f t="shared" si="81"/>
        <v>43.589280000000002</v>
      </c>
      <c r="AH182" s="16">
        <f t="shared" si="69"/>
        <v>316.02228000000002</v>
      </c>
      <c r="AI182" s="16">
        <f t="shared" si="82"/>
        <v>5.4486600000000003</v>
      </c>
      <c r="AJ182" s="16">
        <v>0</v>
      </c>
      <c r="AK182" s="16">
        <f t="shared" si="70"/>
        <v>5.4486600000000003</v>
      </c>
      <c r="AL182" s="19"/>
      <c r="AM182" s="16">
        <f t="shared" si="71"/>
        <v>266.98433999999997</v>
      </c>
      <c r="AN182" s="16"/>
      <c r="AO182" s="20"/>
      <c r="AP182" s="16">
        <f t="shared" si="72"/>
        <v>0</v>
      </c>
      <c r="AQ182" s="16"/>
      <c r="AR182" s="15"/>
      <c r="AS182" s="16">
        <f t="shared" si="73"/>
        <v>0</v>
      </c>
      <c r="AT182" s="16"/>
      <c r="AU182" s="16">
        <v>316.02228000000002</v>
      </c>
      <c r="AV182" s="16">
        <f t="shared" si="85"/>
        <v>316.02228000000002</v>
      </c>
      <c r="AW182" s="16">
        <f t="shared" si="74"/>
        <v>0</v>
      </c>
      <c r="AX182" s="16" t="str">
        <f t="shared" si="83"/>
        <v>MAYFAIR</v>
      </c>
      <c r="AY182" s="22">
        <v>45078</v>
      </c>
      <c r="AZ182" s="22"/>
      <c r="BA182" s="1"/>
      <c r="BB182" s="22" t="str">
        <f t="shared" ref="BB182:BB189" si="86">O182</f>
        <v>TRC</v>
      </c>
      <c r="BC182" s="1"/>
      <c r="BD182" s="1"/>
      <c r="BE182" s="1"/>
    </row>
    <row r="183" spans="1:57" ht="14.25" hidden="1" customHeight="1">
      <c r="A183" s="2" t="s">
        <v>406</v>
      </c>
      <c r="B183" s="1" t="s">
        <v>58</v>
      </c>
      <c r="C183" s="27">
        <v>45019</v>
      </c>
      <c r="D183" s="27">
        <v>45019</v>
      </c>
      <c r="E183" s="27">
        <v>45019</v>
      </c>
      <c r="F183" s="27">
        <v>45216</v>
      </c>
      <c r="G183" s="13" t="str">
        <f t="shared" si="66"/>
        <v>000-182/AIB RDC/2023</v>
      </c>
      <c r="H183" s="1">
        <v>3</v>
      </c>
      <c r="I183" s="1" t="s">
        <v>59</v>
      </c>
      <c r="J183" s="29" t="s">
        <v>294</v>
      </c>
      <c r="K183" s="2" t="s">
        <v>295</v>
      </c>
      <c r="L183" s="1"/>
      <c r="M183" s="2" t="s">
        <v>99</v>
      </c>
      <c r="N183" s="2" t="s">
        <v>100</v>
      </c>
      <c r="O183" s="1" t="s">
        <v>65</v>
      </c>
      <c r="P183" s="1" t="s">
        <v>65</v>
      </c>
      <c r="Q183" s="1" t="s">
        <v>66</v>
      </c>
      <c r="R183" s="1" t="s">
        <v>66</v>
      </c>
      <c r="S183" s="25">
        <v>0</v>
      </c>
      <c r="T183" s="25">
        <v>645.77</v>
      </c>
      <c r="U183" s="25">
        <v>0</v>
      </c>
      <c r="V183" s="25">
        <v>0</v>
      </c>
      <c r="W183" s="25">
        <v>13.96</v>
      </c>
      <c r="X183" s="25">
        <v>531.61</v>
      </c>
      <c r="Y183" s="25">
        <v>87.29</v>
      </c>
      <c r="Z183" s="17" t="e">
        <f t="shared" si="67"/>
        <v>#DIV/0!</v>
      </c>
      <c r="AA183" s="18">
        <v>0.1</v>
      </c>
      <c r="AB183" s="16">
        <f t="shared" si="84"/>
        <v>53.161000000000001</v>
      </c>
      <c r="AC183" s="16">
        <v>0</v>
      </c>
      <c r="AD183" s="16">
        <v>0</v>
      </c>
      <c r="AE183" s="16">
        <v>0</v>
      </c>
      <c r="AF183" s="16">
        <f t="shared" si="68"/>
        <v>53.161000000000001</v>
      </c>
      <c r="AG183" s="16">
        <f t="shared" si="81"/>
        <v>8.5057600000000004</v>
      </c>
      <c r="AH183" s="16">
        <f t="shared" si="69"/>
        <v>61.666760000000004</v>
      </c>
      <c r="AI183" s="16">
        <f t="shared" si="82"/>
        <v>1.0632200000000001</v>
      </c>
      <c r="AJ183" s="16">
        <v>0</v>
      </c>
      <c r="AK183" s="16">
        <f t="shared" si="70"/>
        <v>1.0632200000000001</v>
      </c>
      <c r="AL183" s="19"/>
      <c r="AM183" s="16">
        <f t="shared" si="71"/>
        <v>52.09778</v>
      </c>
      <c r="AN183" s="16"/>
      <c r="AO183" s="20"/>
      <c r="AP183" s="16">
        <f t="shared" si="72"/>
        <v>0</v>
      </c>
      <c r="AQ183" s="16"/>
      <c r="AR183" s="15"/>
      <c r="AS183" s="16">
        <f t="shared" si="73"/>
        <v>0</v>
      </c>
      <c r="AT183" s="16"/>
      <c r="AU183" s="16">
        <v>61.666760000000004</v>
      </c>
      <c r="AV183" s="16">
        <f t="shared" si="85"/>
        <v>61.666760000000004</v>
      </c>
      <c r="AW183" s="16">
        <f t="shared" si="74"/>
        <v>0</v>
      </c>
      <c r="AX183" s="16" t="str">
        <f t="shared" si="83"/>
        <v>SFA</v>
      </c>
      <c r="AY183" s="22">
        <v>45070</v>
      </c>
      <c r="AZ183" s="22"/>
      <c r="BA183" s="1"/>
      <c r="BB183" s="22" t="str">
        <f t="shared" si="86"/>
        <v>MOTOR TPL</v>
      </c>
      <c r="BC183" s="1"/>
      <c r="BD183" s="1"/>
      <c r="BE183" s="1"/>
    </row>
    <row r="184" spans="1:57" ht="14.25" hidden="1" customHeight="1">
      <c r="A184" s="2" t="s">
        <v>406</v>
      </c>
      <c r="B184" s="1" t="s">
        <v>58</v>
      </c>
      <c r="C184" s="27">
        <v>45019</v>
      </c>
      <c r="D184" s="27">
        <v>45385</v>
      </c>
      <c r="E184" s="27">
        <v>45018</v>
      </c>
      <c r="F184" s="27">
        <v>45383</v>
      </c>
      <c r="G184" s="13" t="str">
        <f t="shared" si="66"/>
        <v>000-183/AIB RDC/2023</v>
      </c>
      <c r="H184" s="1">
        <v>0</v>
      </c>
      <c r="I184" s="1" t="s">
        <v>83</v>
      </c>
      <c r="J184" s="29" t="s">
        <v>408</v>
      </c>
      <c r="K184" s="1" t="s">
        <v>409</v>
      </c>
      <c r="L184" s="1"/>
      <c r="M184" s="2" t="s">
        <v>99</v>
      </c>
      <c r="N184" s="2" t="s">
        <v>100</v>
      </c>
      <c r="O184" s="1" t="s">
        <v>65</v>
      </c>
      <c r="P184" s="1" t="s">
        <v>65</v>
      </c>
      <c r="Q184" s="1" t="s">
        <v>66</v>
      </c>
      <c r="R184" s="1" t="s">
        <v>66</v>
      </c>
      <c r="S184" s="25">
        <v>0</v>
      </c>
      <c r="T184" s="25">
        <v>3216.8</v>
      </c>
      <c r="U184" s="25">
        <v>0</v>
      </c>
      <c r="V184" s="25">
        <v>0</v>
      </c>
      <c r="W184" s="25">
        <v>64.27</v>
      </c>
      <c r="X184" s="25">
        <v>3087.5</v>
      </c>
      <c r="Y184" s="25">
        <v>0</v>
      </c>
      <c r="Z184" s="17" t="e">
        <f t="shared" si="67"/>
        <v>#DIV/0!</v>
      </c>
      <c r="AA184" s="18">
        <v>0.1</v>
      </c>
      <c r="AB184" s="16">
        <f t="shared" si="84"/>
        <v>308.75</v>
      </c>
      <c r="AC184" s="16">
        <v>0</v>
      </c>
      <c r="AD184" s="16">
        <v>0</v>
      </c>
      <c r="AE184" s="16">
        <v>0</v>
      </c>
      <c r="AF184" s="16">
        <f t="shared" si="68"/>
        <v>308.75</v>
      </c>
      <c r="AG184" s="16">
        <f t="shared" si="81"/>
        <v>49.4</v>
      </c>
      <c r="AH184" s="16">
        <f t="shared" si="69"/>
        <v>358.15</v>
      </c>
      <c r="AI184" s="16">
        <f t="shared" si="82"/>
        <v>6.1749999999999998</v>
      </c>
      <c r="AJ184" s="16">
        <v>0</v>
      </c>
      <c r="AK184" s="16">
        <f t="shared" si="70"/>
        <v>6.1749999999999998</v>
      </c>
      <c r="AL184" s="19"/>
      <c r="AM184" s="16">
        <f t="shared" si="71"/>
        <v>302.57499999999999</v>
      </c>
      <c r="AN184" s="16"/>
      <c r="AO184" s="20"/>
      <c r="AP184" s="16">
        <f t="shared" si="72"/>
        <v>0</v>
      </c>
      <c r="AQ184" s="16"/>
      <c r="AR184" s="15"/>
      <c r="AS184" s="16">
        <f t="shared" si="73"/>
        <v>0</v>
      </c>
      <c r="AT184" s="16"/>
      <c r="AU184" s="16">
        <v>358.15</v>
      </c>
      <c r="AV184" s="16">
        <f t="shared" si="85"/>
        <v>358.15</v>
      </c>
      <c r="AW184" s="16">
        <f t="shared" si="74"/>
        <v>0</v>
      </c>
      <c r="AX184" s="16" t="str">
        <f t="shared" si="83"/>
        <v>SFA</v>
      </c>
      <c r="AY184" s="22">
        <v>45076</v>
      </c>
      <c r="AZ184" s="22"/>
      <c r="BA184" s="1"/>
      <c r="BB184" s="22" t="str">
        <f t="shared" si="86"/>
        <v>MOTOR TPL</v>
      </c>
      <c r="BC184" s="1"/>
      <c r="BD184" s="1"/>
      <c r="BE184" s="1"/>
    </row>
    <row r="185" spans="1:57" ht="14.25" hidden="1" customHeight="1">
      <c r="A185" s="2" t="s">
        <v>406</v>
      </c>
      <c r="B185" s="1" t="s">
        <v>58</v>
      </c>
      <c r="C185" s="27">
        <v>45019</v>
      </c>
      <c r="D185" s="27">
        <v>45385</v>
      </c>
      <c r="E185" s="27">
        <v>45018</v>
      </c>
      <c r="F185" s="27">
        <v>45383</v>
      </c>
      <c r="G185" s="13" t="str">
        <f t="shared" si="66"/>
        <v>000-184/AIB RDC/2023</v>
      </c>
      <c r="H185" s="1">
        <v>0</v>
      </c>
      <c r="I185" s="1" t="s">
        <v>83</v>
      </c>
      <c r="J185" s="29" t="s">
        <v>410</v>
      </c>
      <c r="K185" s="1" t="s">
        <v>409</v>
      </c>
      <c r="L185" s="1"/>
      <c r="M185" s="2" t="s">
        <v>99</v>
      </c>
      <c r="N185" s="2" t="s">
        <v>100</v>
      </c>
      <c r="O185" s="1" t="s">
        <v>65</v>
      </c>
      <c r="P185" s="1" t="s">
        <v>65</v>
      </c>
      <c r="Q185" s="1" t="s">
        <v>66</v>
      </c>
      <c r="R185" s="1" t="s">
        <v>66</v>
      </c>
      <c r="S185" s="25">
        <v>0</v>
      </c>
      <c r="T185" s="25">
        <v>331.19</v>
      </c>
      <c r="U185" s="25">
        <v>0</v>
      </c>
      <c r="V185" s="25">
        <v>0</v>
      </c>
      <c r="W185" s="25">
        <v>6.74</v>
      </c>
      <c r="X185" s="25">
        <v>316</v>
      </c>
      <c r="Y185" s="25">
        <v>0</v>
      </c>
      <c r="Z185" s="17" t="e">
        <f t="shared" si="67"/>
        <v>#DIV/0!</v>
      </c>
      <c r="AA185" s="18">
        <v>0.125</v>
      </c>
      <c r="AB185" s="16">
        <f t="shared" si="84"/>
        <v>39.5</v>
      </c>
      <c r="AC185" s="16">
        <v>0</v>
      </c>
      <c r="AD185" s="16">
        <v>0</v>
      </c>
      <c r="AE185" s="16">
        <v>0</v>
      </c>
      <c r="AF185" s="16">
        <f t="shared" si="68"/>
        <v>39.5</v>
      </c>
      <c r="AG185" s="16">
        <f t="shared" si="81"/>
        <v>6.32</v>
      </c>
      <c r="AH185" s="16">
        <f t="shared" si="69"/>
        <v>45.82</v>
      </c>
      <c r="AI185" s="16">
        <f t="shared" si="82"/>
        <v>0.79</v>
      </c>
      <c r="AJ185" s="16">
        <v>0</v>
      </c>
      <c r="AK185" s="16">
        <f t="shared" si="70"/>
        <v>0.79</v>
      </c>
      <c r="AL185" s="19"/>
      <c r="AM185" s="16">
        <f t="shared" si="71"/>
        <v>38.71</v>
      </c>
      <c r="AN185" s="16"/>
      <c r="AO185" s="20"/>
      <c r="AP185" s="16">
        <f t="shared" si="72"/>
        <v>0</v>
      </c>
      <c r="AQ185" s="16"/>
      <c r="AR185" s="15"/>
      <c r="AS185" s="16">
        <f t="shared" si="73"/>
        <v>0</v>
      </c>
      <c r="AT185" s="16"/>
      <c r="AU185" s="16">
        <v>45.82</v>
      </c>
      <c r="AV185" s="16">
        <f t="shared" si="85"/>
        <v>45.82</v>
      </c>
      <c r="AW185" s="16">
        <f t="shared" si="74"/>
        <v>0</v>
      </c>
      <c r="AX185" s="16" t="str">
        <f t="shared" si="83"/>
        <v>SFA</v>
      </c>
      <c r="AY185" s="22">
        <v>45076</v>
      </c>
      <c r="AZ185" s="22"/>
      <c r="BA185" s="1"/>
      <c r="BB185" s="22" t="str">
        <f t="shared" si="86"/>
        <v>MOTOR TPL</v>
      </c>
      <c r="BC185" s="1"/>
      <c r="BD185" s="1"/>
      <c r="BE185" s="1"/>
    </row>
    <row r="186" spans="1:57" ht="14.25" hidden="1" customHeight="1">
      <c r="A186" s="2" t="s">
        <v>406</v>
      </c>
      <c r="B186" s="1" t="s">
        <v>58</v>
      </c>
      <c r="C186" s="27">
        <v>45061</v>
      </c>
      <c r="D186" s="27">
        <v>44996</v>
      </c>
      <c r="E186" s="27">
        <v>44995</v>
      </c>
      <c r="F186" s="27">
        <v>45359</v>
      </c>
      <c r="G186" s="13" t="str">
        <f t="shared" si="66"/>
        <v>000-185/AIB RDC/2023</v>
      </c>
      <c r="H186" s="1">
        <v>0</v>
      </c>
      <c r="I186" s="1" t="s">
        <v>83</v>
      </c>
      <c r="J186" s="29" t="s">
        <v>411</v>
      </c>
      <c r="K186" s="1" t="s">
        <v>249</v>
      </c>
      <c r="L186" s="1" t="s">
        <v>116</v>
      </c>
      <c r="M186" s="2" t="s">
        <v>99</v>
      </c>
      <c r="N186" s="2" t="s">
        <v>100</v>
      </c>
      <c r="O186" s="1" t="s">
        <v>104</v>
      </c>
      <c r="P186" s="1" t="s">
        <v>105</v>
      </c>
      <c r="Q186" s="1" t="s">
        <v>66</v>
      </c>
      <c r="R186" s="1" t="s">
        <v>66</v>
      </c>
      <c r="S186" s="25">
        <v>83644.320000000007</v>
      </c>
      <c r="T186" s="25">
        <v>307.85000000000002</v>
      </c>
      <c r="U186" s="25">
        <v>0</v>
      </c>
      <c r="V186" s="25">
        <v>0</v>
      </c>
      <c r="W186" s="25">
        <v>5.51</v>
      </c>
      <c r="X186" s="25">
        <v>234.2</v>
      </c>
      <c r="Y186" s="25">
        <v>38.35</v>
      </c>
      <c r="Z186" s="17">
        <f t="shared" si="67"/>
        <v>2.7999510307454224E-3</v>
      </c>
      <c r="AA186" s="18">
        <v>0.15</v>
      </c>
      <c r="AB186" s="16">
        <f t="shared" si="84"/>
        <v>35.129999999999995</v>
      </c>
      <c r="AC186" s="16">
        <v>0</v>
      </c>
      <c r="AD186" s="16">
        <v>0</v>
      </c>
      <c r="AE186" s="16">
        <v>0</v>
      </c>
      <c r="AF186" s="16">
        <f t="shared" si="68"/>
        <v>35.129999999999995</v>
      </c>
      <c r="AG186" s="16">
        <f t="shared" si="81"/>
        <v>5.6207999999999991</v>
      </c>
      <c r="AH186" s="16">
        <f t="shared" si="69"/>
        <v>40.750799999999998</v>
      </c>
      <c r="AI186" s="16">
        <f t="shared" si="82"/>
        <v>0.70259999999999989</v>
      </c>
      <c r="AJ186" s="16">
        <v>0</v>
      </c>
      <c r="AK186" s="16">
        <f t="shared" si="70"/>
        <v>0.70259999999999989</v>
      </c>
      <c r="AL186" s="19"/>
      <c r="AM186" s="16">
        <f t="shared" si="71"/>
        <v>34.427399999999999</v>
      </c>
      <c r="AN186" s="16" t="s">
        <v>228</v>
      </c>
      <c r="AO186" s="20"/>
      <c r="AP186" s="16">
        <f t="shared" si="72"/>
        <v>0</v>
      </c>
      <c r="AQ186" s="16"/>
      <c r="AR186" s="15"/>
      <c r="AS186" s="16">
        <f t="shared" si="73"/>
        <v>0</v>
      </c>
      <c r="AT186" s="16"/>
      <c r="AU186" s="16">
        <v>40.750799999999998</v>
      </c>
      <c r="AV186" s="16">
        <f t="shared" si="85"/>
        <v>40.750799999999998</v>
      </c>
      <c r="AW186" s="16">
        <f t="shared" si="74"/>
        <v>0</v>
      </c>
      <c r="AX186" s="16" t="str">
        <f t="shared" si="83"/>
        <v>SFA</v>
      </c>
      <c r="AY186" s="22">
        <v>45070</v>
      </c>
      <c r="AZ186" s="22"/>
      <c r="BA186" s="1" t="s">
        <v>148</v>
      </c>
      <c r="BB186" s="22" t="str">
        <f t="shared" si="86"/>
        <v>MARINE CARGO / GIT</v>
      </c>
      <c r="BC186" s="1"/>
      <c r="BD186" s="1"/>
      <c r="BE186" s="1"/>
    </row>
    <row r="187" spans="1:57" ht="14.25" hidden="1" customHeight="1">
      <c r="A187" s="2" t="s">
        <v>212</v>
      </c>
      <c r="B187" s="1" t="s">
        <v>58</v>
      </c>
      <c r="C187" s="27">
        <v>44905</v>
      </c>
      <c r="D187" s="27">
        <v>45090</v>
      </c>
      <c r="E187" s="27">
        <v>45086</v>
      </c>
      <c r="F187" s="27">
        <v>45451</v>
      </c>
      <c r="G187" s="13" t="str">
        <f t="shared" si="66"/>
        <v>000-186/AIB RDC/2023</v>
      </c>
      <c r="H187" s="1">
        <v>0</v>
      </c>
      <c r="I187" s="1" t="s">
        <v>83</v>
      </c>
      <c r="J187" s="2" t="s">
        <v>412</v>
      </c>
      <c r="K187" s="1" t="s">
        <v>413</v>
      </c>
      <c r="L187" s="1"/>
      <c r="M187" s="2" t="s">
        <v>99</v>
      </c>
      <c r="N187" s="2" t="s">
        <v>100</v>
      </c>
      <c r="O187" s="1" t="s">
        <v>129</v>
      </c>
      <c r="P187" s="1" t="s">
        <v>108</v>
      </c>
      <c r="Q187" s="1" t="s">
        <v>66</v>
      </c>
      <c r="R187" s="1" t="s">
        <v>66</v>
      </c>
      <c r="S187" s="25">
        <v>1045000</v>
      </c>
      <c r="T187" s="25">
        <v>793.93</v>
      </c>
      <c r="U187" s="25">
        <v>0</v>
      </c>
      <c r="V187" s="25">
        <v>0</v>
      </c>
      <c r="W187" s="25">
        <v>33.46</v>
      </c>
      <c r="X187" s="25">
        <v>652.82000000000005</v>
      </c>
      <c r="Y187" s="25">
        <v>107.65</v>
      </c>
      <c r="Z187" s="17">
        <f t="shared" si="67"/>
        <v>6.2470813397129193E-4</v>
      </c>
      <c r="AA187" s="18">
        <v>0.2</v>
      </c>
      <c r="AB187" s="16">
        <f t="shared" si="84"/>
        <v>130.56400000000002</v>
      </c>
      <c r="AC187" s="16">
        <v>0</v>
      </c>
      <c r="AD187" s="16">
        <v>0</v>
      </c>
      <c r="AE187" s="16">
        <v>0</v>
      </c>
      <c r="AF187" s="16">
        <f t="shared" si="68"/>
        <v>130.56400000000002</v>
      </c>
      <c r="AG187" s="16">
        <f t="shared" si="81"/>
        <v>20.890240000000002</v>
      </c>
      <c r="AH187" s="16">
        <f t="shared" si="69"/>
        <v>151.45424000000003</v>
      </c>
      <c r="AI187" s="16">
        <f t="shared" si="82"/>
        <v>2.6112800000000003</v>
      </c>
      <c r="AJ187" s="16">
        <v>0</v>
      </c>
      <c r="AK187" s="16">
        <f t="shared" si="70"/>
        <v>2.6112800000000003</v>
      </c>
      <c r="AL187" s="19"/>
      <c r="AM187" s="16">
        <f t="shared" si="71"/>
        <v>127.95272000000003</v>
      </c>
      <c r="AN187" s="16"/>
      <c r="AO187" s="20"/>
      <c r="AP187" s="16">
        <f t="shared" si="72"/>
        <v>0</v>
      </c>
      <c r="AQ187" s="16"/>
      <c r="AR187" s="15"/>
      <c r="AS187" s="16">
        <f t="shared" si="73"/>
        <v>0</v>
      </c>
      <c r="AT187" s="16"/>
      <c r="AU187" s="16">
        <v>151.45424000000003</v>
      </c>
      <c r="AV187" s="16">
        <f t="shared" si="85"/>
        <v>151.45424000000003</v>
      </c>
      <c r="AW187" s="16">
        <f t="shared" si="74"/>
        <v>0</v>
      </c>
      <c r="AX187" s="16" t="str">
        <f t="shared" si="83"/>
        <v>SFA</v>
      </c>
      <c r="AY187" s="22">
        <v>45135</v>
      </c>
      <c r="AZ187" s="22"/>
      <c r="BA187" s="1"/>
      <c r="BB187" s="22" t="str">
        <f t="shared" si="86"/>
        <v>FIRE/HOME</v>
      </c>
      <c r="BC187" s="1"/>
      <c r="BD187" s="1"/>
      <c r="BE187" s="1"/>
    </row>
    <row r="188" spans="1:57" ht="14.25" hidden="1" customHeight="1">
      <c r="A188" s="2" t="s">
        <v>406</v>
      </c>
      <c r="B188" s="1" t="s">
        <v>58</v>
      </c>
      <c r="C188" s="27">
        <v>45017</v>
      </c>
      <c r="D188" s="27">
        <v>45028</v>
      </c>
      <c r="E188" s="27">
        <v>45020</v>
      </c>
      <c r="F188" s="27">
        <v>45385</v>
      </c>
      <c r="G188" s="13" t="str">
        <f t="shared" si="66"/>
        <v>000-187/AIB RDC/2023</v>
      </c>
      <c r="H188" s="1">
        <v>0</v>
      </c>
      <c r="I188" s="1" t="s">
        <v>83</v>
      </c>
      <c r="J188" s="29" t="s">
        <v>414</v>
      </c>
      <c r="K188" s="1" t="s">
        <v>297</v>
      </c>
      <c r="L188" s="1"/>
      <c r="M188" s="2" t="s">
        <v>99</v>
      </c>
      <c r="N188" s="2" t="s">
        <v>100</v>
      </c>
      <c r="O188" s="1" t="s">
        <v>284</v>
      </c>
      <c r="P188" s="1" t="s">
        <v>285</v>
      </c>
      <c r="Q188" s="1" t="s">
        <v>66</v>
      </c>
      <c r="R188" s="1" t="s">
        <v>66</v>
      </c>
      <c r="S188" s="25">
        <v>13413800</v>
      </c>
      <c r="T188" s="25">
        <v>33963.089999999997</v>
      </c>
      <c r="U188" s="25">
        <v>4297.58</v>
      </c>
      <c r="V188" s="25">
        <v>0</v>
      </c>
      <c r="W188" s="25">
        <v>131.76</v>
      </c>
      <c r="X188" s="25">
        <v>24352.94</v>
      </c>
      <c r="Y188" s="25">
        <v>4605.16</v>
      </c>
      <c r="Z188" s="17">
        <f t="shared" si="67"/>
        <v>1.8155138737717871E-3</v>
      </c>
      <c r="AA188" s="18">
        <v>0.15</v>
      </c>
      <c r="AB188" s="16">
        <f t="shared" si="84"/>
        <v>3652.9409999999998</v>
      </c>
      <c r="AC188" s="16">
        <v>0</v>
      </c>
      <c r="AD188" s="16">
        <v>0</v>
      </c>
      <c r="AE188" s="16">
        <v>0</v>
      </c>
      <c r="AF188" s="16">
        <f t="shared" si="68"/>
        <v>3652.9409999999998</v>
      </c>
      <c r="AG188" s="16">
        <f t="shared" si="81"/>
        <v>584.47055999999998</v>
      </c>
      <c r="AH188" s="16">
        <f t="shared" si="69"/>
        <v>4237.4115599999996</v>
      </c>
      <c r="AI188" s="16">
        <f t="shared" si="82"/>
        <v>73.058819999999997</v>
      </c>
      <c r="AJ188" s="16">
        <v>0</v>
      </c>
      <c r="AK188" s="16">
        <f t="shared" si="70"/>
        <v>73.058819999999997</v>
      </c>
      <c r="AL188" s="19"/>
      <c r="AM188" s="16">
        <f t="shared" si="71"/>
        <v>3579.8821799999996</v>
      </c>
      <c r="AN188" s="16"/>
      <c r="AO188" s="20"/>
      <c r="AP188" s="16">
        <f t="shared" si="72"/>
        <v>0</v>
      </c>
      <c r="AQ188" s="16"/>
      <c r="AR188" s="15"/>
      <c r="AS188" s="16">
        <f t="shared" si="73"/>
        <v>0</v>
      </c>
      <c r="AT188" s="16"/>
      <c r="AU188" s="16">
        <v>4237.4115599999996</v>
      </c>
      <c r="AV188" s="16">
        <f t="shared" si="85"/>
        <v>4237.4115599999996</v>
      </c>
      <c r="AW188" s="16">
        <f t="shared" si="74"/>
        <v>0</v>
      </c>
      <c r="AX188" s="16" t="str">
        <f t="shared" si="83"/>
        <v>SFA</v>
      </c>
      <c r="AY188" s="22">
        <v>45076</v>
      </c>
      <c r="AZ188" s="22"/>
      <c r="BA188" s="1"/>
      <c r="BB188" s="22" t="str">
        <f t="shared" si="86"/>
        <v>PVT</v>
      </c>
      <c r="BC188" s="1"/>
      <c r="BD188" s="1"/>
      <c r="BE188" s="1"/>
    </row>
    <row r="189" spans="1:57" ht="14.25" hidden="1" customHeight="1">
      <c r="A189" s="2" t="s">
        <v>165</v>
      </c>
      <c r="B189" s="1" t="s">
        <v>58</v>
      </c>
      <c r="C189" s="27">
        <v>45026</v>
      </c>
      <c r="D189" s="27">
        <v>45015</v>
      </c>
      <c r="E189" s="27">
        <v>45009</v>
      </c>
      <c r="F189" s="27">
        <v>45374</v>
      </c>
      <c r="G189" s="13" t="str">
        <f t="shared" si="66"/>
        <v>000-188/AIB RDC/2023</v>
      </c>
      <c r="H189" s="1">
        <v>0</v>
      </c>
      <c r="I189" s="1" t="s">
        <v>83</v>
      </c>
      <c r="J189" s="29" t="s">
        <v>279</v>
      </c>
      <c r="K189" s="1" t="s">
        <v>280</v>
      </c>
      <c r="L189" s="1"/>
      <c r="M189" s="1" t="s">
        <v>99</v>
      </c>
      <c r="N189" s="1" t="s">
        <v>100</v>
      </c>
      <c r="O189" s="1" t="s">
        <v>107</v>
      </c>
      <c r="P189" s="1" t="s">
        <v>108</v>
      </c>
      <c r="Q189" s="1" t="s">
        <v>127</v>
      </c>
      <c r="R189" s="1" t="s">
        <v>127</v>
      </c>
      <c r="S189" s="25">
        <v>3230000</v>
      </c>
      <c r="T189" s="25">
        <v>5478.89</v>
      </c>
      <c r="U189" s="25">
        <v>0</v>
      </c>
      <c r="V189" s="25">
        <v>0</v>
      </c>
      <c r="W189" s="25">
        <v>20</v>
      </c>
      <c r="X189" s="25">
        <v>4623.13</v>
      </c>
      <c r="Y189" s="25">
        <v>742.9</v>
      </c>
      <c r="Z189" s="17">
        <f t="shared" si="67"/>
        <v>1.4313095975232199E-3</v>
      </c>
      <c r="AA189" s="18">
        <v>0.15</v>
      </c>
      <c r="AB189" s="16">
        <f t="shared" si="84"/>
        <v>693.46950000000004</v>
      </c>
      <c r="AC189" s="16">
        <v>0</v>
      </c>
      <c r="AD189" s="16">
        <v>0</v>
      </c>
      <c r="AE189" s="16">
        <v>0</v>
      </c>
      <c r="AF189" s="16">
        <f t="shared" si="68"/>
        <v>693.46950000000004</v>
      </c>
      <c r="AG189" s="16">
        <f t="shared" si="81"/>
        <v>110.95512000000001</v>
      </c>
      <c r="AH189" s="16">
        <f t="shared" si="69"/>
        <v>804.42462</v>
      </c>
      <c r="AI189" s="16">
        <f t="shared" si="82"/>
        <v>13.869390000000001</v>
      </c>
      <c r="AJ189" s="16">
        <v>0</v>
      </c>
      <c r="AK189" s="16">
        <f t="shared" si="70"/>
        <v>13.869390000000001</v>
      </c>
      <c r="AL189" s="19"/>
      <c r="AM189" s="16">
        <f t="shared" si="71"/>
        <v>679.60011000000009</v>
      </c>
      <c r="AN189" s="16"/>
      <c r="AO189" s="20"/>
      <c r="AP189" s="16">
        <f t="shared" si="72"/>
        <v>0</v>
      </c>
      <c r="AQ189" s="16"/>
      <c r="AR189" s="15"/>
      <c r="AS189" s="16">
        <f t="shared" si="73"/>
        <v>0</v>
      </c>
      <c r="AT189" s="16"/>
      <c r="AU189" s="16">
        <v>804.42462</v>
      </c>
      <c r="AV189" s="16">
        <f t="shared" si="85"/>
        <v>804.42462</v>
      </c>
      <c r="AW189" s="16">
        <f t="shared" si="74"/>
        <v>0</v>
      </c>
      <c r="AX189" s="16" t="str">
        <f t="shared" si="83"/>
        <v>MAYFAIR</v>
      </c>
      <c r="AY189" s="22">
        <v>45064</v>
      </c>
      <c r="AZ189" s="22"/>
      <c r="BA189" s="1"/>
      <c r="BB189" s="22" t="str">
        <f t="shared" si="86"/>
        <v>FIRE</v>
      </c>
      <c r="BC189" s="1"/>
      <c r="BD189" s="1"/>
      <c r="BE189" s="1"/>
    </row>
    <row r="190" spans="1:57" ht="14.25" customHeight="1">
      <c r="A190" s="2" t="s">
        <v>406</v>
      </c>
      <c r="B190" s="1" t="s">
        <v>58</v>
      </c>
      <c r="C190" s="27">
        <v>45035</v>
      </c>
      <c r="D190" s="27">
        <v>45035</v>
      </c>
      <c r="E190" s="27">
        <v>45034</v>
      </c>
      <c r="F190" s="27">
        <v>45399</v>
      </c>
      <c r="G190" s="13" t="str">
        <f t="shared" si="66"/>
        <v>000-189/AIB RDC/2023</v>
      </c>
      <c r="H190" s="1">
        <v>1</v>
      </c>
      <c r="I190" s="1" t="s">
        <v>68</v>
      </c>
      <c r="J190" s="2" t="s">
        <v>472</v>
      </c>
      <c r="K190" s="2" t="s">
        <v>473</v>
      </c>
      <c r="L190" s="1"/>
      <c r="M190" s="1" t="s">
        <v>99</v>
      </c>
      <c r="N190" s="1" t="s">
        <v>100</v>
      </c>
      <c r="O190" s="1" t="s">
        <v>107</v>
      </c>
      <c r="P190" s="1" t="s">
        <v>108</v>
      </c>
      <c r="Q190" s="1" t="s">
        <v>127</v>
      </c>
      <c r="R190" s="1" t="s">
        <v>127</v>
      </c>
      <c r="S190" s="25">
        <v>2000000</v>
      </c>
      <c r="T190" s="25">
        <v>0</v>
      </c>
      <c r="U190" s="25">
        <v>0</v>
      </c>
      <c r="V190" s="25">
        <v>0</v>
      </c>
      <c r="W190" s="25">
        <v>0</v>
      </c>
      <c r="X190" s="25">
        <v>976</v>
      </c>
      <c r="Y190" s="25">
        <v>0</v>
      </c>
      <c r="Z190" s="17">
        <f t="shared" si="67"/>
        <v>4.8799999999999999E-4</v>
      </c>
      <c r="AA190" s="18">
        <v>0.15</v>
      </c>
      <c r="AB190" s="16">
        <f t="shared" si="84"/>
        <v>146.4</v>
      </c>
      <c r="AC190" s="16">
        <v>0</v>
      </c>
      <c r="AD190" s="16">
        <v>0</v>
      </c>
      <c r="AE190" s="16">
        <v>0</v>
      </c>
      <c r="AF190" s="16">
        <f t="shared" si="68"/>
        <v>146.4</v>
      </c>
      <c r="AG190" s="16">
        <f t="shared" si="81"/>
        <v>23.424000000000003</v>
      </c>
      <c r="AH190" s="16">
        <f t="shared" si="69"/>
        <v>169.82400000000001</v>
      </c>
      <c r="AI190" s="16">
        <f t="shared" si="82"/>
        <v>2.9280000000000004</v>
      </c>
      <c r="AJ190" s="16">
        <v>0</v>
      </c>
      <c r="AK190" s="16">
        <f t="shared" si="70"/>
        <v>2.9280000000000004</v>
      </c>
      <c r="AL190" s="19"/>
      <c r="AM190" s="16">
        <f t="shared" si="71"/>
        <v>143.47200000000001</v>
      </c>
      <c r="AN190" s="16"/>
      <c r="AO190" s="20"/>
      <c r="AP190" s="16">
        <f t="shared" si="72"/>
        <v>0</v>
      </c>
      <c r="AQ190" s="16"/>
      <c r="AR190" s="15"/>
      <c r="AS190" s="16">
        <f t="shared" si="73"/>
        <v>0</v>
      </c>
      <c r="AT190" s="16"/>
      <c r="AU190" s="16"/>
      <c r="AV190" s="16">
        <f t="shared" si="85"/>
        <v>169.82400000000001</v>
      </c>
      <c r="AW190" s="60">
        <f t="shared" si="74"/>
        <v>169.82400000000001</v>
      </c>
      <c r="AX190" s="16" t="str">
        <f t="shared" si="83"/>
        <v>MAYFAIR</v>
      </c>
      <c r="AY190" s="22"/>
      <c r="AZ190" s="22"/>
      <c r="BA190" s="1"/>
      <c r="BB190" s="22"/>
      <c r="BC190" s="1"/>
      <c r="BD190" s="1"/>
      <c r="BE190" s="1" t="s">
        <v>794</v>
      </c>
    </row>
    <row r="191" spans="1:57" ht="14.25" customHeight="1">
      <c r="A191" s="2" t="s">
        <v>784</v>
      </c>
      <c r="B191" s="1" t="s">
        <v>169</v>
      </c>
      <c r="C191" s="27">
        <v>45056</v>
      </c>
      <c r="D191" s="27">
        <v>45209</v>
      </c>
      <c r="E191" s="27">
        <v>45188</v>
      </c>
      <c r="F191" s="27">
        <v>45614</v>
      </c>
      <c r="G191" s="13" t="str">
        <f t="shared" si="66"/>
        <v>000-190/AIB RDC/2023</v>
      </c>
      <c r="H191" s="1">
        <v>0</v>
      </c>
      <c r="I191" s="1" t="s">
        <v>83</v>
      </c>
      <c r="J191" s="29" t="s">
        <v>1113</v>
      </c>
      <c r="K191" s="2" t="s">
        <v>119</v>
      </c>
      <c r="L191" s="1" t="s">
        <v>139</v>
      </c>
      <c r="M191" s="1" t="s">
        <v>63</v>
      </c>
      <c r="N191" s="1" t="s">
        <v>71</v>
      </c>
      <c r="O191" s="1" t="s">
        <v>104</v>
      </c>
      <c r="P191" s="1" t="s">
        <v>105</v>
      </c>
      <c r="Q191" s="1" t="s">
        <v>117</v>
      </c>
      <c r="R191" s="1" t="s">
        <v>117</v>
      </c>
      <c r="S191" s="25">
        <v>1088000</v>
      </c>
      <c r="T191" s="25">
        <v>2963.68</v>
      </c>
      <c r="U191" s="25">
        <v>0</v>
      </c>
      <c r="V191" s="25">
        <v>0</v>
      </c>
      <c r="W191" s="25">
        <v>25.29</v>
      </c>
      <c r="X191" s="25">
        <v>2529.6</v>
      </c>
      <c r="Y191" s="25">
        <v>408.79</v>
      </c>
      <c r="Z191" s="17">
        <f t="shared" si="67"/>
        <v>2.3249999999999998E-3</v>
      </c>
      <c r="AA191" s="18">
        <v>0.15</v>
      </c>
      <c r="AB191" s="16">
        <f t="shared" si="84"/>
        <v>379.44</v>
      </c>
      <c r="AC191" s="16">
        <f>30%*U191</f>
        <v>0</v>
      </c>
      <c r="AD191" s="16">
        <v>0</v>
      </c>
      <c r="AE191" s="16">
        <v>0</v>
      </c>
      <c r="AF191" s="16">
        <f t="shared" si="68"/>
        <v>379.44</v>
      </c>
      <c r="AG191" s="16">
        <f t="shared" si="81"/>
        <v>60.7104</v>
      </c>
      <c r="AH191" s="16">
        <f t="shared" si="69"/>
        <v>440.15039999999999</v>
      </c>
      <c r="AI191" s="16">
        <f t="shared" si="82"/>
        <v>7.5888</v>
      </c>
      <c r="AJ191" s="16">
        <v>0</v>
      </c>
      <c r="AK191" s="16">
        <f t="shared" si="70"/>
        <v>7.5888</v>
      </c>
      <c r="AL191" s="19"/>
      <c r="AM191" s="16">
        <f t="shared" si="71"/>
        <v>371.85120000000001</v>
      </c>
      <c r="AN191" s="16" t="s">
        <v>77</v>
      </c>
      <c r="AO191" s="20"/>
      <c r="AP191" s="16">
        <f t="shared" si="72"/>
        <v>0</v>
      </c>
      <c r="AQ191" s="16"/>
      <c r="AR191" s="15"/>
      <c r="AS191" s="16">
        <f t="shared" si="73"/>
        <v>0</v>
      </c>
      <c r="AT191" s="16"/>
      <c r="AU191" s="16"/>
      <c r="AV191" s="16">
        <f t="shared" si="85"/>
        <v>440.15039999999999</v>
      </c>
      <c r="AW191" s="60">
        <f t="shared" si="74"/>
        <v>440.15039999999999</v>
      </c>
      <c r="AX191" s="16" t="str">
        <f t="shared" si="83"/>
        <v>SUNU</v>
      </c>
      <c r="AY191" s="22"/>
      <c r="BA191" s="1"/>
      <c r="BB191" s="22" t="str">
        <f t="shared" ref="BB191:BB212" si="87">O191</f>
        <v>MARINE CARGO / GIT</v>
      </c>
      <c r="BC191" s="1"/>
      <c r="BD191" s="1"/>
      <c r="BE191" s="1"/>
    </row>
    <row r="192" spans="1:57" ht="14.25" hidden="1" customHeight="1">
      <c r="A192" s="2" t="s">
        <v>165</v>
      </c>
      <c r="B192" s="1" t="s">
        <v>58</v>
      </c>
      <c r="C192" s="27">
        <v>44996</v>
      </c>
      <c r="D192" s="27">
        <v>44998</v>
      </c>
      <c r="E192" s="27">
        <v>44997</v>
      </c>
      <c r="F192" s="27">
        <v>45362</v>
      </c>
      <c r="G192" s="13" t="str">
        <f t="shared" si="66"/>
        <v>000-191/AIB RDC/2023</v>
      </c>
      <c r="H192" s="1">
        <v>2</v>
      </c>
      <c r="I192" s="1" t="s">
        <v>68</v>
      </c>
      <c r="J192" s="29" t="s">
        <v>416</v>
      </c>
      <c r="K192" s="1" t="s">
        <v>334</v>
      </c>
      <c r="L192" s="1" t="s">
        <v>335</v>
      </c>
      <c r="M192" s="1" t="s">
        <v>63</v>
      </c>
      <c r="N192" s="1" t="s">
        <v>71</v>
      </c>
      <c r="O192" s="1" t="s">
        <v>65</v>
      </c>
      <c r="P192" s="1" t="s">
        <v>65</v>
      </c>
      <c r="Q192" s="1" t="s">
        <v>117</v>
      </c>
      <c r="R192" s="1" t="s">
        <v>117</v>
      </c>
      <c r="S192" s="25">
        <v>0</v>
      </c>
      <c r="T192" s="25">
        <v>7500.47</v>
      </c>
      <c r="U192" s="25">
        <v>0</v>
      </c>
      <c r="V192" s="25">
        <v>0</v>
      </c>
      <c r="W192" s="25">
        <v>64.02</v>
      </c>
      <c r="X192" s="25">
        <v>6401.91</v>
      </c>
      <c r="Y192" s="25">
        <v>1034.55</v>
      </c>
      <c r="Z192" s="17" t="e">
        <f t="shared" si="67"/>
        <v>#DIV/0!</v>
      </c>
      <c r="AA192" s="18">
        <v>0.1</v>
      </c>
      <c r="AB192" s="16">
        <f t="shared" si="84"/>
        <v>640.19100000000003</v>
      </c>
      <c r="AC192" s="16">
        <v>0</v>
      </c>
      <c r="AD192" s="16">
        <v>0</v>
      </c>
      <c r="AE192" s="16">
        <v>0</v>
      </c>
      <c r="AF192" s="16">
        <f t="shared" si="68"/>
        <v>640.19100000000003</v>
      </c>
      <c r="AG192" s="16">
        <f t="shared" si="81"/>
        <v>102.43056000000001</v>
      </c>
      <c r="AH192" s="16">
        <f t="shared" si="69"/>
        <v>742.62156000000004</v>
      </c>
      <c r="AI192" s="16">
        <f t="shared" si="82"/>
        <v>12.803820000000002</v>
      </c>
      <c r="AJ192" s="16">
        <v>0</v>
      </c>
      <c r="AK192" s="16">
        <f t="shared" si="70"/>
        <v>12.803820000000002</v>
      </c>
      <c r="AL192" s="19"/>
      <c r="AM192" s="16">
        <f t="shared" si="71"/>
        <v>627.38718000000006</v>
      </c>
      <c r="AN192" s="16" t="s">
        <v>77</v>
      </c>
      <c r="AO192" s="20">
        <v>0</v>
      </c>
      <c r="AP192" s="16">
        <f t="shared" si="72"/>
        <v>0</v>
      </c>
      <c r="AQ192" s="16"/>
      <c r="AR192" s="15"/>
      <c r="AS192" s="16">
        <f t="shared" si="73"/>
        <v>0</v>
      </c>
      <c r="AT192" s="16"/>
      <c r="AU192" s="16">
        <v>742.62156000000004</v>
      </c>
      <c r="AV192" s="16">
        <f t="shared" si="85"/>
        <v>742.62156000000004</v>
      </c>
      <c r="AW192" s="16">
        <f t="shared" si="74"/>
        <v>0</v>
      </c>
      <c r="AX192" s="16" t="str">
        <f t="shared" si="83"/>
        <v>SUNU</v>
      </c>
      <c r="AY192" s="21">
        <v>45062</v>
      </c>
      <c r="AZ192" s="22"/>
      <c r="BA192" s="1"/>
      <c r="BB192" s="22" t="str">
        <f t="shared" si="87"/>
        <v>MOTOR TPL</v>
      </c>
      <c r="BC192" s="1"/>
      <c r="BD192" s="1"/>
      <c r="BE192" s="1"/>
    </row>
    <row r="193" spans="1:57" ht="14.25" hidden="1" customHeight="1">
      <c r="A193" s="2" t="s">
        <v>165</v>
      </c>
      <c r="B193" s="1" t="s">
        <v>58</v>
      </c>
      <c r="C193" s="27">
        <v>45015</v>
      </c>
      <c r="D193" s="27">
        <v>45015</v>
      </c>
      <c r="E193" s="27">
        <v>45015</v>
      </c>
      <c r="F193" s="27">
        <v>45322</v>
      </c>
      <c r="G193" s="13" t="str">
        <f t="shared" si="66"/>
        <v>000-192/AIB RDC/2023</v>
      </c>
      <c r="H193" s="1">
        <v>29</v>
      </c>
      <c r="I193" s="1" t="s">
        <v>59</v>
      </c>
      <c r="J193" s="14" t="s">
        <v>239</v>
      </c>
      <c r="K193" s="1" t="s">
        <v>240</v>
      </c>
      <c r="L193" s="1" t="s">
        <v>139</v>
      </c>
      <c r="M193" s="1" t="s">
        <v>63</v>
      </c>
      <c r="N193" s="1" t="s">
        <v>64</v>
      </c>
      <c r="O193" s="1" t="s">
        <v>133</v>
      </c>
      <c r="P193" s="1" t="s">
        <v>134</v>
      </c>
      <c r="Q193" s="1" t="s">
        <v>76</v>
      </c>
      <c r="R193" s="1" t="s">
        <v>76</v>
      </c>
      <c r="S193" s="25">
        <v>12721</v>
      </c>
      <c r="T193" s="25">
        <v>877.28</v>
      </c>
      <c r="U193" s="25">
        <v>0</v>
      </c>
      <c r="V193" s="25">
        <v>0</v>
      </c>
      <c r="W193" s="25">
        <v>10</v>
      </c>
      <c r="X193" s="25">
        <v>746.28</v>
      </c>
      <c r="Y193" s="25">
        <v>121</v>
      </c>
      <c r="Z193" s="17">
        <f t="shared" si="67"/>
        <v>5.8665199276786414E-2</v>
      </c>
      <c r="AA193" s="18">
        <v>0.13967947687195101</v>
      </c>
      <c r="AB193" s="16">
        <f t="shared" si="84"/>
        <v>104.2399999999996</v>
      </c>
      <c r="AC193" s="16">
        <v>0</v>
      </c>
      <c r="AD193" s="16">
        <v>0</v>
      </c>
      <c r="AE193" s="16">
        <f>3%*X193</f>
        <v>22.388399999999997</v>
      </c>
      <c r="AF193" s="16">
        <f t="shared" si="68"/>
        <v>126.6283999999996</v>
      </c>
      <c r="AG193" s="16">
        <f t="shared" si="81"/>
        <v>20.260543999999935</v>
      </c>
      <c r="AH193" s="16">
        <f t="shared" si="69"/>
        <v>146.88894399999953</v>
      </c>
      <c r="AI193" s="16">
        <f t="shared" si="82"/>
        <v>2.084799999999992</v>
      </c>
      <c r="AJ193" s="16">
        <v>0</v>
      </c>
      <c r="AK193" s="16">
        <f t="shared" si="70"/>
        <v>2.084799999999992</v>
      </c>
      <c r="AL193" s="19"/>
      <c r="AM193" s="16">
        <f t="shared" si="71"/>
        <v>124.54359999999961</v>
      </c>
      <c r="AN193" s="16" t="s">
        <v>228</v>
      </c>
      <c r="AO193" s="20"/>
      <c r="AP193" s="16">
        <f t="shared" si="72"/>
        <v>0</v>
      </c>
      <c r="AQ193" s="16"/>
      <c r="AR193" s="15"/>
      <c r="AS193" s="16">
        <f t="shared" si="73"/>
        <v>0</v>
      </c>
      <c r="AT193" s="16"/>
      <c r="AU193" s="16">
        <f>25.97+120.92</f>
        <v>146.88999999999999</v>
      </c>
      <c r="AV193" s="16">
        <v>146.88999999999999</v>
      </c>
      <c r="AW193" s="16">
        <f t="shared" si="74"/>
        <v>0</v>
      </c>
      <c r="AX193" s="16" t="str">
        <f t="shared" si="83"/>
        <v>ACTIVA</v>
      </c>
      <c r="AY193" s="22">
        <v>45077</v>
      </c>
      <c r="AZ193" s="22"/>
      <c r="BA193" s="1"/>
      <c r="BB193" s="22" t="str">
        <f t="shared" si="87"/>
        <v>COMP MOTOR</v>
      </c>
      <c r="BC193" s="1"/>
      <c r="BD193" s="1"/>
      <c r="BE193" s="1"/>
    </row>
    <row r="194" spans="1:57" ht="14.25" hidden="1" customHeight="1">
      <c r="A194" s="2" t="s">
        <v>165</v>
      </c>
      <c r="B194" s="1" t="s">
        <v>58</v>
      </c>
      <c r="C194" s="27">
        <v>45015</v>
      </c>
      <c r="D194" s="27">
        <v>45015</v>
      </c>
      <c r="E194" s="27">
        <v>45015</v>
      </c>
      <c r="F194" s="27">
        <v>45322</v>
      </c>
      <c r="G194" s="13" t="str">
        <f t="shared" si="66"/>
        <v>000-193/AIB RDC/2023</v>
      </c>
      <c r="H194" s="1">
        <v>30</v>
      </c>
      <c r="I194" s="1" t="s">
        <v>59</v>
      </c>
      <c r="J194" s="14" t="s">
        <v>239</v>
      </c>
      <c r="K194" s="1" t="s">
        <v>240</v>
      </c>
      <c r="L194" s="1" t="s">
        <v>139</v>
      </c>
      <c r="M194" s="1" t="s">
        <v>63</v>
      </c>
      <c r="N194" s="1" t="s">
        <v>71</v>
      </c>
      <c r="O194" s="1" t="s">
        <v>133</v>
      </c>
      <c r="P194" s="1" t="s">
        <v>134</v>
      </c>
      <c r="Q194" s="1" t="s">
        <v>76</v>
      </c>
      <c r="R194" s="1" t="s">
        <v>76</v>
      </c>
      <c r="S194" s="25">
        <v>367028</v>
      </c>
      <c r="T194" s="25">
        <v>16310.8</v>
      </c>
      <c r="U194" s="25">
        <v>0</v>
      </c>
      <c r="V194" s="25">
        <v>0</v>
      </c>
      <c r="W194" s="25">
        <v>10</v>
      </c>
      <c r="X194" s="25">
        <v>14051.04</v>
      </c>
      <c r="Y194" s="25">
        <v>2249.77</v>
      </c>
      <c r="Z194" s="17">
        <f t="shared" si="67"/>
        <v>3.8283291737960051E-2</v>
      </c>
      <c r="AA194" s="18">
        <v>0.145929840414489</v>
      </c>
      <c r="AB194" s="16">
        <f t="shared" si="84"/>
        <v>2050.4660248576015</v>
      </c>
      <c r="AC194" s="16">
        <v>0</v>
      </c>
      <c r="AD194" s="16">
        <v>0</v>
      </c>
      <c r="AE194" s="16">
        <f>3%*X194</f>
        <v>421.53120000000001</v>
      </c>
      <c r="AF194" s="16">
        <f t="shared" si="68"/>
        <v>2471.9972248576014</v>
      </c>
      <c r="AG194" s="16">
        <f t="shared" si="81"/>
        <v>395.51955597721621</v>
      </c>
      <c r="AH194" s="16">
        <f t="shared" si="69"/>
        <v>2867.5167808348178</v>
      </c>
      <c r="AI194" s="16">
        <f t="shared" si="82"/>
        <v>41.009320497152032</v>
      </c>
      <c r="AJ194" s="16">
        <v>0</v>
      </c>
      <c r="AK194" s="16">
        <f t="shared" si="70"/>
        <v>41.009320497152032</v>
      </c>
      <c r="AL194" s="19"/>
      <c r="AM194" s="16">
        <f t="shared" si="71"/>
        <v>2430.9879043604492</v>
      </c>
      <c r="AN194" s="16" t="s">
        <v>228</v>
      </c>
      <c r="AO194" s="20"/>
      <c r="AP194" s="16">
        <f t="shared" si="72"/>
        <v>0</v>
      </c>
      <c r="AQ194" s="16"/>
      <c r="AR194" s="15"/>
      <c r="AS194" s="16">
        <f t="shared" si="73"/>
        <v>0</v>
      </c>
      <c r="AT194" s="16"/>
      <c r="AU194" s="16">
        <f>488.97+2378.55</f>
        <v>2867.5200000000004</v>
      </c>
      <c r="AV194" s="16">
        <v>2867.5200000000004</v>
      </c>
      <c r="AW194" s="16">
        <f t="shared" si="74"/>
        <v>0</v>
      </c>
      <c r="AX194" s="16" t="str">
        <f t="shared" si="83"/>
        <v>ACTIVA</v>
      </c>
      <c r="AY194" s="22">
        <v>45077</v>
      </c>
      <c r="AZ194" s="22"/>
      <c r="BA194" s="1"/>
      <c r="BB194" s="22" t="str">
        <f t="shared" si="87"/>
        <v>COMP MOTOR</v>
      </c>
      <c r="BC194" s="1"/>
      <c r="BD194" s="1"/>
      <c r="BE194" s="1"/>
    </row>
    <row r="195" spans="1:57" ht="14.25" hidden="1" customHeight="1">
      <c r="A195" s="2" t="s">
        <v>165</v>
      </c>
      <c r="B195" s="1" t="s">
        <v>58</v>
      </c>
      <c r="C195" s="27">
        <v>45062</v>
      </c>
      <c r="D195" s="27">
        <v>45006</v>
      </c>
      <c r="E195" s="27">
        <v>45006</v>
      </c>
      <c r="F195" s="27">
        <v>45371</v>
      </c>
      <c r="G195" s="13" t="str">
        <f t="shared" si="66"/>
        <v>000-194/AIB RDC/2023</v>
      </c>
      <c r="H195" s="1">
        <v>0</v>
      </c>
      <c r="I195" s="1" t="s">
        <v>83</v>
      </c>
      <c r="J195" s="29" t="s">
        <v>417</v>
      </c>
      <c r="K195" s="1" t="s">
        <v>331</v>
      </c>
      <c r="L195" s="1" t="s">
        <v>139</v>
      </c>
      <c r="M195" s="1" t="s">
        <v>63</v>
      </c>
      <c r="N195" s="1" t="s">
        <v>71</v>
      </c>
      <c r="O195" s="1" t="s">
        <v>133</v>
      </c>
      <c r="P195" s="1" t="s">
        <v>134</v>
      </c>
      <c r="Q195" s="1" t="s">
        <v>66</v>
      </c>
      <c r="R195" s="1" t="s">
        <v>66</v>
      </c>
      <c r="S195" s="25">
        <v>0</v>
      </c>
      <c r="T195" s="25">
        <v>14861.58</v>
      </c>
      <c r="U195" s="25">
        <v>0</v>
      </c>
      <c r="V195" s="25">
        <v>0</v>
      </c>
      <c r="W195" s="25">
        <v>237.29</v>
      </c>
      <c r="X195" s="25">
        <v>12357.27</v>
      </c>
      <c r="Y195" s="25">
        <v>2015</v>
      </c>
      <c r="Z195" s="17" t="e">
        <f t="shared" si="67"/>
        <v>#DIV/0!</v>
      </c>
      <c r="AA195" s="18">
        <v>0.15</v>
      </c>
      <c r="AB195" s="16">
        <f t="shared" si="84"/>
        <v>1853.5905</v>
      </c>
      <c r="AC195" s="16">
        <v>0</v>
      </c>
      <c r="AD195" s="16">
        <v>0</v>
      </c>
      <c r="AE195" s="16">
        <v>0</v>
      </c>
      <c r="AF195" s="16">
        <f t="shared" si="68"/>
        <v>1853.5905</v>
      </c>
      <c r="AG195" s="16">
        <f t="shared" si="81"/>
        <v>296.57447999999999</v>
      </c>
      <c r="AH195" s="16">
        <f t="shared" si="69"/>
        <v>2150.16498</v>
      </c>
      <c r="AI195" s="16">
        <f t="shared" si="82"/>
        <v>37.071809999999999</v>
      </c>
      <c r="AJ195" s="16">
        <v>0</v>
      </c>
      <c r="AK195" s="16">
        <f t="shared" si="70"/>
        <v>37.071809999999999</v>
      </c>
      <c r="AL195" s="19"/>
      <c r="AM195" s="16">
        <f t="shared" si="71"/>
        <v>1816.5186900000001</v>
      </c>
      <c r="AN195" s="16" t="s">
        <v>77</v>
      </c>
      <c r="AO195" s="20"/>
      <c r="AP195" s="16">
        <f t="shared" si="72"/>
        <v>0</v>
      </c>
      <c r="AQ195" s="16"/>
      <c r="AR195" s="15"/>
      <c r="AS195" s="16">
        <f t="shared" si="73"/>
        <v>0</v>
      </c>
      <c r="AT195" s="16"/>
      <c r="AU195" s="16">
        <v>2150.16498</v>
      </c>
      <c r="AV195" s="16">
        <f t="shared" ref="AV195:AV226" si="88">AH195</f>
        <v>2150.16498</v>
      </c>
      <c r="AW195" s="16">
        <f t="shared" si="74"/>
        <v>0</v>
      </c>
      <c r="AX195" s="16" t="str">
        <f t="shared" si="83"/>
        <v>SFA</v>
      </c>
      <c r="AY195" s="22">
        <v>45070</v>
      </c>
      <c r="AZ195" s="22"/>
      <c r="BA195" s="1"/>
      <c r="BB195" s="22" t="str">
        <f t="shared" si="87"/>
        <v>COMP MOTOR</v>
      </c>
      <c r="BC195" s="1"/>
      <c r="BD195" s="1"/>
      <c r="BE195" s="1"/>
    </row>
    <row r="196" spans="1:57" ht="14.25" customHeight="1">
      <c r="A196" s="2" t="s">
        <v>230</v>
      </c>
      <c r="B196" s="1" t="s">
        <v>169</v>
      </c>
      <c r="C196" s="27">
        <v>45138</v>
      </c>
      <c r="D196" s="27">
        <v>45195</v>
      </c>
      <c r="E196" s="27">
        <v>45075</v>
      </c>
      <c r="F196" s="27">
        <v>45075</v>
      </c>
      <c r="G196" s="13" t="str">
        <f t="shared" si="66"/>
        <v>000-195/AIB RDC/2023</v>
      </c>
      <c r="H196" s="1">
        <v>11</v>
      </c>
      <c r="I196" s="1" t="s">
        <v>989</v>
      </c>
      <c r="J196" s="2" t="s">
        <v>1019</v>
      </c>
      <c r="K196" s="2" t="s">
        <v>73</v>
      </c>
      <c r="L196" s="1"/>
      <c r="M196" s="1" t="s">
        <v>74</v>
      </c>
      <c r="N196" s="1" t="s">
        <v>724</v>
      </c>
      <c r="O196" s="1" t="s">
        <v>65</v>
      </c>
      <c r="P196" s="1" t="s">
        <v>65</v>
      </c>
      <c r="Q196" s="1" t="s">
        <v>76</v>
      </c>
      <c r="R196" s="1" t="s">
        <v>76</v>
      </c>
      <c r="S196" s="25">
        <v>0</v>
      </c>
      <c r="T196" s="25">
        <v>-3185.97</v>
      </c>
      <c r="U196" s="25">
        <v>0</v>
      </c>
      <c r="V196" s="25">
        <v>0</v>
      </c>
      <c r="W196" s="25">
        <v>0</v>
      </c>
      <c r="X196" s="25">
        <v>-2746.49</v>
      </c>
      <c r="Y196" s="25">
        <v>-439.48</v>
      </c>
      <c r="Z196" s="17" t="e">
        <f t="shared" si="67"/>
        <v>#DIV/0!</v>
      </c>
      <c r="AA196" s="18">
        <v>0.1</v>
      </c>
      <c r="AB196" s="16">
        <f t="shared" si="84"/>
        <v>-274.649</v>
      </c>
      <c r="AC196" s="16">
        <v>0</v>
      </c>
      <c r="AD196" s="16">
        <v>0</v>
      </c>
      <c r="AE196" s="16">
        <v>0</v>
      </c>
      <c r="AF196" s="16">
        <f t="shared" si="68"/>
        <v>-274.649</v>
      </c>
      <c r="AG196" s="16">
        <f t="shared" si="81"/>
        <v>-43.943840000000002</v>
      </c>
      <c r="AH196" s="16">
        <f t="shared" si="69"/>
        <v>-318.59284000000002</v>
      </c>
      <c r="AI196" s="16">
        <f t="shared" si="82"/>
        <v>-5.4929800000000002</v>
      </c>
      <c r="AJ196" s="16">
        <v>0</v>
      </c>
      <c r="AK196" s="16">
        <f t="shared" si="70"/>
        <v>-5.4929800000000002</v>
      </c>
      <c r="AL196" s="19"/>
      <c r="AM196" s="16">
        <f t="shared" si="71"/>
        <v>-269.15602000000001</v>
      </c>
      <c r="AN196" s="16"/>
      <c r="AO196" s="20"/>
      <c r="AP196" s="16">
        <f t="shared" si="72"/>
        <v>0</v>
      </c>
      <c r="AQ196" s="16"/>
      <c r="AR196" s="15"/>
      <c r="AS196" s="16">
        <f t="shared" si="73"/>
        <v>0</v>
      </c>
      <c r="AT196" s="16"/>
      <c r="AU196" s="16"/>
      <c r="AV196" s="16">
        <f t="shared" si="88"/>
        <v>-318.59284000000002</v>
      </c>
      <c r="AW196" s="60">
        <f t="shared" si="74"/>
        <v>-318.59284000000002</v>
      </c>
      <c r="AX196" s="16" t="str">
        <f t="shared" si="83"/>
        <v>ACTIVA</v>
      </c>
      <c r="AY196" s="22"/>
      <c r="BA196" s="1"/>
      <c r="BB196" s="22" t="str">
        <f t="shared" si="87"/>
        <v>MOTOR TPL</v>
      </c>
      <c r="BC196" s="1"/>
      <c r="BD196" s="1"/>
      <c r="BE196" s="1"/>
    </row>
    <row r="197" spans="1:57" ht="14.25" customHeight="1">
      <c r="A197" s="2" t="s">
        <v>1005</v>
      </c>
      <c r="B197" s="1" t="s">
        <v>169</v>
      </c>
      <c r="C197" s="27">
        <v>45141</v>
      </c>
      <c r="D197" s="27">
        <v>45141</v>
      </c>
      <c r="E197" s="27">
        <v>45215</v>
      </c>
      <c r="F197" s="27">
        <v>45291</v>
      </c>
      <c r="G197" s="13" t="str">
        <f t="shared" si="66"/>
        <v>000-196/AIB RDC/2023</v>
      </c>
      <c r="H197" s="1">
        <v>12</v>
      </c>
      <c r="I197" s="1" t="s">
        <v>59</v>
      </c>
      <c r="J197" s="2" t="s">
        <v>1019</v>
      </c>
      <c r="K197" s="2" t="s">
        <v>73</v>
      </c>
      <c r="L197" s="1"/>
      <c r="M197" s="1" t="s">
        <v>74</v>
      </c>
      <c r="N197" s="1" t="s">
        <v>724</v>
      </c>
      <c r="O197" s="1" t="s">
        <v>65</v>
      </c>
      <c r="P197" s="1" t="s">
        <v>65</v>
      </c>
      <c r="Q197" s="1" t="s">
        <v>76</v>
      </c>
      <c r="R197" s="1" t="s">
        <v>76</v>
      </c>
      <c r="S197" s="25">
        <v>0</v>
      </c>
      <c r="T197" s="25">
        <v>1510.91</v>
      </c>
      <c r="U197" s="25">
        <v>0</v>
      </c>
      <c r="V197" s="25">
        <v>0</v>
      </c>
      <c r="W197" s="25">
        <v>12</v>
      </c>
      <c r="X197" s="25">
        <v>1289.6099999999999</v>
      </c>
      <c r="Y197" s="25">
        <v>208.4</v>
      </c>
      <c r="Z197" s="17" t="e">
        <f t="shared" si="67"/>
        <v>#DIV/0!</v>
      </c>
      <c r="AA197" s="18">
        <v>0.10153457246764526</v>
      </c>
      <c r="AB197" s="16">
        <f t="shared" si="84"/>
        <v>130.94</v>
      </c>
      <c r="AC197" s="16">
        <v>0</v>
      </c>
      <c r="AD197" s="16">
        <v>0</v>
      </c>
      <c r="AE197" s="16">
        <v>0</v>
      </c>
      <c r="AF197" s="16">
        <f t="shared" si="68"/>
        <v>130.94</v>
      </c>
      <c r="AG197" s="16">
        <f t="shared" si="81"/>
        <v>20.950399999999998</v>
      </c>
      <c r="AH197" s="16">
        <f t="shared" si="69"/>
        <v>151.8904</v>
      </c>
      <c r="AI197" s="16">
        <f t="shared" si="82"/>
        <v>2.6187999999999998</v>
      </c>
      <c r="AJ197" s="16">
        <v>0</v>
      </c>
      <c r="AK197" s="16">
        <f t="shared" si="70"/>
        <v>2.6187999999999998</v>
      </c>
      <c r="AL197" s="19"/>
      <c r="AM197" s="16">
        <f t="shared" si="71"/>
        <v>128.3212</v>
      </c>
      <c r="AN197" s="16"/>
      <c r="AO197" s="20"/>
      <c r="AP197" s="16">
        <f t="shared" si="72"/>
        <v>0</v>
      </c>
      <c r="AQ197" s="16"/>
      <c r="AR197" s="15"/>
      <c r="AS197" s="16">
        <f t="shared" si="73"/>
        <v>0</v>
      </c>
      <c r="AT197" s="16"/>
      <c r="AU197" s="16"/>
      <c r="AV197" s="16">
        <f t="shared" si="88"/>
        <v>151.8904</v>
      </c>
      <c r="AW197" s="60">
        <f t="shared" si="74"/>
        <v>151.8904</v>
      </c>
      <c r="AX197" s="16" t="str">
        <f t="shared" si="83"/>
        <v>ACTIVA</v>
      </c>
      <c r="AY197" s="22"/>
      <c r="BA197" s="1"/>
      <c r="BB197" s="22" t="str">
        <f t="shared" si="87"/>
        <v>MOTOR TPL</v>
      </c>
      <c r="BC197" s="1"/>
      <c r="BD197" s="1"/>
      <c r="BE197" s="1"/>
    </row>
    <row r="198" spans="1:57" ht="14.25" customHeight="1">
      <c r="A198" s="2" t="s">
        <v>230</v>
      </c>
      <c r="B198" s="1" t="s">
        <v>58</v>
      </c>
      <c r="C198" s="27">
        <v>45100</v>
      </c>
      <c r="D198" s="27">
        <v>45048</v>
      </c>
      <c r="E198" s="27">
        <v>45048</v>
      </c>
      <c r="F198" s="27">
        <v>45322</v>
      </c>
      <c r="G198" s="13" t="str">
        <f t="shared" ref="G198:G261" si="89">TEXT(ROW(G198)-1,"000-000") &amp; "/AIB RDC/2023"</f>
        <v>000-197/AIB RDC/2023</v>
      </c>
      <c r="H198" s="1">
        <v>31</v>
      </c>
      <c r="I198" s="1" t="s">
        <v>59</v>
      </c>
      <c r="J198" s="14" t="s">
        <v>239</v>
      </c>
      <c r="K198" s="2" t="s">
        <v>240</v>
      </c>
      <c r="L198" s="1" t="s">
        <v>139</v>
      </c>
      <c r="M198" s="1" t="s">
        <v>63</v>
      </c>
      <c r="N198" s="1" t="s">
        <v>71</v>
      </c>
      <c r="O198" s="1" t="s">
        <v>133</v>
      </c>
      <c r="P198" s="1" t="s">
        <v>134</v>
      </c>
      <c r="Q198" s="1" t="s">
        <v>76</v>
      </c>
      <c r="R198" s="1" t="s">
        <v>76</v>
      </c>
      <c r="S198" s="25">
        <v>78108</v>
      </c>
      <c r="T198" s="25">
        <v>2931.95</v>
      </c>
      <c r="U198" s="25">
        <v>0</v>
      </c>
      <c r="V198" s="25">
        <v>0</v>
      </c>
      <c r="W198" s="25">
        <v>25.03</v>
      </c>
      <c r="X198" s="25">
        <v>2502.52</v>
      </c>
      <c r="Y198" s="25">
        <v>404.41</v>
      </c>
      <c r="Z198" s="17">
        <f t="shared" ref="Z198:Z261" si="90">X198/S198</f>
        <v>3.2039227735955342E-2</v>
      </c>
      <c r="AA198" s="18">
        <v>0.14705177181401147</v>
      </c>
      <c r="AB198" s="16">
        <f t="shared" si="84"/>
        <v>368</v>
      </c>
      <c r="AC198" s="16">
        <v>0</v>
      </c>
      <c r="AD198" s="16">
        <v>0</v>
      </c>
      <c r="AE198" s="16">
        <f>3%*X198</f>
        <v>75.075599999999994</v>
      </c>
      <c r="AF198" s="16">
        <f t="shared" ref="AF198:AF261" si="91">SUM(AB198:AE198)</f>
        <v>443.07560000000001</v>
      </c>
      <c r="AG198" s="16">
        <f t="shared" si="81"/>
        <v>70.892096000000009</v>
      </c>
      <c r="AH198" s="16">
        <f t="shared" ref="AH198:AH261" si="92">AF198+AG198</f>
        <v>513.96769600000005</v>
      </c>
      <c r="AI198" s="16">
        <f t="shared" si="82"/>
        <v>7.36</v>
      </c>
      <c r="AJ198" s="16">
        <v>0</v>
      </c>
      <c r="AK198" s="16">
        <f t="shared" ref="AK198:AK261" si="93">AI198-AJ198</f>
        <v>7.36</v>
      </c>
      <c r="AL198" s="19"/>
      <c r="AM198" s="16">
        <f t="shared" ref="AM198:AM261" si="94">AF198-AI198</f>
        <v>435.71559999999999</v>
      </c>
      <c r="AN198" s="16" t="s">
        <v>228</v>
      </c>
      <c r="AO198" s="20"/>
      <c r="AP198" s="16">
        <f t="shared" ref="AP198:AP261" si="95">AO198*AM198</f>
        <v>0</v>
      </c>
      <c r="AQ198" s="16"/>
      <c r="AR198" s="15"/>
      <c r="AS198" s="16">
        <f t="shared" ref="AS198:AS261" si="96">AP198-AQ198</f>
        <v>0</v>
      </c>
      <c r="AT198" s="16"/>
      <c r="AU198" s="16">
        <v>426.88</v>
      </c>
      <c r="AV198" s="16">
        <f t="shared" si="88"/>
        <v>513.96769600000005</v>
      </c>
      <c r="AW198" s="60">
        <f t="shared" ref="AW198:AW261" si="97">AV198-AU198</f>
        <v>87.087696000000051</v>
      </c>
      <c r="AX198" s="16" t="str">
        <f t="shared" si="83"/>
        <v>ACTIVA</v>
      </c>
      <c r="AY198" s="22">
        <v>45114</v>
      </c>
      <c r="AZ198" s="22"/>
      <c r="BA198" s="1"/>
      <c r="BB198" s="22" t="str">
        <f t="shared" si="87"/>
        <v>COMP MOTOR</v>
      </c>
      <c r="BC198" s="1"/>
      <c r="BD198" s="1"/>
      <c r="BE198" s="1"/>
    </row>
    <row r="199" spans="1:57" ht="14.25" hidden="1" customHeight="1">
      <c r="A199" s="2" t="s">
        <v>165</v>
      </c>
      <c r="B199" s="1" t="s">
        <v>58</v>
      </c>
      <c r="C199" s="27">
        <v>45000</v>
      </c>
      <c r="D199" s="27">
        <v>45008</v>
      </c>
      <c r="E199" s="27">
        <v>45007</v>
      </c>
      <c r="F199" s="27">
        <v>45372</v>
      </c>
      <c r="G199" s="13" t="str">
        <f t="shared" si="89"/>
        <v>000-198/AIB RDC/2023</v>
      </c>
      <c r="H199" s="1">
        <v>0</v>
      </c>
      <c r="I199" s="1" t="s">
        <v>83</v>
      </c>
      <c r="J199" s="29" t="s">
        <v>423</v>
      </c>
      <c r="K199" s="1" t="s">
        <v>424</v>
      </c>
      <c r="L199" s="1" t="s">
        <v>139</v>
      </c>
      <c r="M199" s="1" t="s">
        <v>63</v>
      </c>
      <c r="N199" s="1" t="s">
        <v>64</v>
      </c>
      <c r="O199" s="1" t="s">
        <v>133</v>
      </c>
      <c r="P199" s="1" t="s">
        <v>134</v>
      </c>
      <c r="Q199" s="1" t="s">
        <v>117</v>
      </c>
      <c r="R199" s="1" t="s">
        <v>117</v>
      </c>
      <c r="S199" s="25">
        <v>0</v>
      </c>
      <c r="T199" s="25">
        <v>10656.34</v>
      </c>
      <c r="U199" s="25">
        <v>0</v>
      </c>
      <c r="V199" s="25">
        <v>0</v>
      </c>
      <c r="W199" s="25">
        <v>90.96</v>
      </c>
      <c r="X199" s="25">
        <v>9095.5499999999993</v>
      </c>
      <c r="Y199" s="25">
        <v>1469.83</v>
      </c>
      <c r="Z199" s="17" t="e">
        <f t="shared" si="90"/>
        <v>#DIV/0!</v>
      </c>
      <c r="AA199" s="18">
        <v>0.15</v>
      </c>
      <c r="AB199" s="16">
        <f t="shared" si="84"/>
        <v>1364.3324999999998</v>
      </c>
      <c r="AC199" s="16">
        <v>0</v>
      </c>
      <c r="AD199" s="16">
        <v>0</v>
      </c>
      <c r="AE199" s="16">
        <v>0</v>
      </c>
      <c r="AF199" s="16">
        <f t="shared" si="91"/>
        <v>1364.3324999999998</v>
      </c>
      <c r="AG199" s="16">
        <f t="shared" ref="AG199:AG230" si="98">16%*AF199</f>
        <v>218.29319999999996</v>
      </c>
      <c r="AH199" s="16">
        <f t="shared" si="92"/>
        <v>1582.6256999999996</v>
      </c>
      <c r="AI199" s="16">
        <f t="shared" ref="AI199:AI223" si="99">2%*(AB199+AC199+AD199)</f>
        <v>27.286649999999995</v>
      </c>
      <c r="AJ199" s="16">
        <v>0</v>
      </c>
      <c r="AK199" s="16">
        <f t="shared" si="93"/>
        <v>27.286649999999995</v>
      </c>
      <c r="AL199" s="19"/>
      <c r="AM199" s="16">
        <f t="shared" si="94"/>
        <v>1337.0458499999997</v>
      </c>
      <c r="AN199" s="16" t="s">
        <v>206</v>
      </c>
      <c r="AO199" s="20">
        <v>0.5</v>
      </c>
      <c r="AP199" s="16">
        <f t="shared" si="95"/>
        <v>668.52292499999987</v>
      </c>
      <c r="AQ199" s="16">
        <v>668.52</v>
      </c>
      <c r="AR199" s="15">
        <v>45219</v>
      </c>
      <c r="AS199" s="16">
        <f t="shared" si="96"/>
        <v>2.9249999998910425E-3</v>
      </c>
      <c r="AT199" s="16"/>
      <c r="AU199" s="16">
        <v>1582.6256999999996</v>
      </c>
      <c r="AV199" s="16">
        <f t="shared" si="88"/>
        <v>1582.6256999999996</v>
      </c>
      <c r="AW199" s="16">
        <f t="shared" si="97"/>
        <v>0</v>
      </c>
      <c r="AX199" s="16" t="str">
        <f t="shared" si="83"/>
        <v>SUNU</v>
      </c>
      <c r="AY199" s="22">
        <v>45062</v>
      </c>
      <c r="AZ199" s="22"/>
      <c r="BA199" s="1"/>
      <c r="BB199" s="22" t="str">
        <f t="shared" si="87"/>
        <v>COMP MOTOR</v>
      </c>
      <c r="BC199" s="1"/>
      <c r="BD199" s="1"/>
      <c r="BE199" s="1"/>
    </row>
    <row r="200" spans="1:57" ht="14.25" hidden="1" customHeight="1">
      <c r="A200" s="2" t="s">
        <v>165</v>
      </c>
      <c r="B200" s="1" t="s">
        <v>58</v>
      </c>
      <c r="C200" s="27">
        <v>45014</v>
      </c>
      <c r="D200" s="27"/>
      <c r="E200" s="27">
        <v>45016</v>
      </c>
      <c r="F200" s="27">
        <v>45381</v>
      </c>
      <c r="G200" s="13" t="str">
        <f t="shared" si="89"/>
        <v>000-199/AIB RDC/2023</v>
      </c>
      <c r="H200" s="1">
        <v>1</v>
      </c>
      <c r="I200" s="1" t="s">
        <v>68</v>
      </c>
      <c r="J200" s="2" t="s">
        <v>425</v>
      </c>
      <c r="K200" s="1" t="s">
        <v>426</v>
      </c>
      <c r="L200" s="1" t="s">
        <v>62</v>
      </c>
      <c r="M200" s="1" t="s">
        <v>63</v>
      </c>
      <c r="N200" s="1" t="s">
        <v>71</v>
      </c>
      <c r="O200" s="1" t="s">
        <v>65</v>
      </c>
      <c r="P200" s="1" t="s">
        <v>65</v>
      </c>
      <c r="Q200" s="1" t="s">
        <v>135</v>
      </c>
      <c r="R200" s="1" t="s">
        <v>135</v>
      </c>
      <c r="S200" s="25">
        <v>0</v>
      </c>
      <c r="T200" s="25">
        <v>1912.96</v>
      </c>
      <c r="U200" s="25">
        <v>0</v>
      </c>
      <c r="V200" s="25">
        <v>0</v>
      </c>
      <c r="W200" s="25">
        <v>60</v>
      </c>
      <c r="X200" s="25">
        <v>1561.15</v>
      </c>
      <c r="Y200" s="25">
        <v>254.38</v>
      </c>
      <c r="Z200" s="17" t="e">
        <f t="shared" si="90"/>
        <v>#DIV/0!</v>
      </c>
      <c r="AA200" s="18">
        <v>0.1</v>
      </c>
      <c r="AB200" s="16">
        <f t="shared" si="84"/>
        <v>156.11500000000001</v>
      </c>
      <c r="AC200" s="16">
        <v>0</v>
      </c>
      <c r="AD200" s="16">
        <v>0</v>
      </c>
      <c r="AE200" s="16">
        <v>0</v>
      </c>
      <c r="AF200" s="16">
        <f t="shared" si="91"/>
        <v>156.11500000000001</v>
      </c>
      <c r="AG200" s="16">
        <f t="shared" si="98"/>
        <v>24.978400000000001</v>
      </c>
      <c r="AH200" s="16">
        <f t="shared" si="92"/>
        <v>181.0934</v>
      </c>
      <c r="AI200" s="16">
        <f t="shared" si="99"/>
        <v>3.1223000000000001</v>
      </c>
      <c r="AJ200" s="16">
        <v>0</v>
      </c>
      <c r="AK200" s="16">
        <f t="shared" si="93"/>
        <v>3.1223000000000001</v>
      </c>
      <c r="AL200" s="19"/>
      <c r="AM200" s="16">
        <f t="shared" si="94"/>
        <v>152.99270000000001</v>
      </c>
      <c r="AN200" s="16" t="s">
        <v>228</v>
      </c>
      <c r="AO200" s="20"/>
      <c r="AP200" s="16">
        <f t="shared" si="95"/>
        <v>0</v>
      </c>
      <c r="AQ200" s="16"/>
      <c r="AR200" s="15"/>
      <c r="AS200" s="16">
        <f t="shared" si="96"/>
        <v>0</v>
      </c>
      <c r="AT200" s="16"/>
      <c r="AU200" s="16">
        <v>181.0934</v>
      </c>
      <c r="AV200" s="16">
        <f t="shared" si="88"/>
        <v>181.0934</v>
      </c>
      <c r="AW200" s="16">
        <f t="shared" si="97"/>
        <v>0</v>
      </c>
      <c r="AX200" s="16" t="str">
        <f t="shared" si="83"/>
        <v>RAWSUR</v>
      </c>
      <c r="AY200" s="22">
        <v>45244</v>
      </c>
      <c r="AZ200" s="22"/>
      <c r="BA200" s="1"/>
      <c r="BB200" s="22" t="str">
        <f t="shared" si="87"/>
        <v>MOTOR TPL</v>
      </c>
      <c r="BC200" s="1"/>
      <c r="BD200" s="1"/>
      <c r="BE200" s="1"/>
    </row>
    <row r="201" spans="1:57" ht="14.25" hidden="1" customHeight="1">
      <c r="A201" s="2" t="s">
        <v>165</v>
      </c>
      <c r="B201" s="1" t="s">
        <v>58</v>
      </c>
      <c r="C201" s="27">
        <v>45015</v>
      </c>
      <c r="D201" s="27">
        <v>45015</v>
      </c>
      <c r="E201" s="27">
        <v>45016</v>
      </c>
      <c r="F201" s="27">
        <v>45381</v>
      </c>
      <c r="G201" s="13" t="str">
        <f t="shared" si="89"/>
        <v>000-200/AIB RDC/2023</v>
      </c>
      <c r="H201" s="1">
        <v>0</v>
      </c>
      <c r="I201" s="1" t="s">
        <v>83</v>
      </c>
      <c r="J201" s="29" t="s">
        <v>427</v>
      </c>
      <c r="K201" s="1" t="s">
        <v>428</v>
      </c>
      <c r="L201" s="1"/>
      <c r="M201" s="1" t="s">
        <v>63</v>
      </c>
      <c r="N201" s="1" t="s">
        <v>100</v>
      </c>
      <c r="O201" s="1" t="s">
        <v>107</v>
      </c>
      <c r="P201" s="1" t="s">
        <v>108</v>
      </c>
      <c r="Q201" s="1" t="s">
        <v>127</v>
      </c>
      <c r="R201" s="1" t="s">
        <v>127</v>
      </c>
      <c r="S201" s="25">
        <v>0</v>
      </c>
      <c r="T201" s="25">
        <v>759.92</v>
      </c>
      <c r="U201" s="25">
        <v>0</v>
      </c>
      <c r="V201" s="25">
        <v>0</v>
      </c>
      <c r="W201" s="25">
        <v>20</v>
      </c>
      <c r="X201" s="25">
        <v>624</v>
      </c>
      <c r="Y201" s="25">
        <v>103.04</v>
      </c>
      <c r="Z201" s="17" t="e">
        <f t="shared" si="90"/>
        <v>#DIV/0!</v>
      </c>
      <c r="AA201" s="18">
        <v>0.15</v>
      </c>
      <c r="AB201" s="16">
        <f t="shared" si="84"/>
        <v>93.6</v>
      </c>
      <c r="AC201" s="16">
        <v>0</v>
      </c>
      <c r="AD201" s="16">
        <v>0</v>
      </c>
      <c r="AE201" s="16">
        <v>0</v>
      </c>
      <c r="AF201" s="16">
        <f t="shared" si="91"/>
        <v>93.6</v>
      </c>
      <c r="AG201" s="16">
        <f t="shared" si="98"/>
        <v>14.975999999999999</v>
      </c>
      <c r="AH201" s="16">
        <f t="shared" si="92"/>
        <v>108.57599999999999</v>
      </c>
      <c r="AI201" s="16">
        <f t="shared" si="99"/>
        <v>1.8719999999999999</v>
      </c>
      <c r="AJ201" s="16">
        <v>0</v>
      </c>
      <c r="AK201" s="16">
        <f t="shared" si="93"/>
        <v>1.8719999999999999</v>
      </c>
      <c r="AL201" s="19"/>
      <c r="AM201" s="16">
        <f t="shared" si="94"/>
        <v>91.727999999999994</v>
      </c>
      <c r="AN201" s="16" t="s">
        <v>228</v>
      </c>
      <c r="AO201" s="20"/>
      <c r="AP201" s="16">
        <f t="shared" si="95"/>
        <v>0</v>
      </c>
      <c r="AQ201" s="16"/>
      <c r="AR201" s="15"/>
      <c r="AS201" s="16">
        <f t="shared" si="96"/>
        <v>0</v>
      </c>
      <c r="AT201" s="16"/>
      <c r="AU201" s="16">
        <v>108.57599999999999</v>
      </c>
      <c r="AV201" s="16">
        <f t="shared" si="88"/>
        <v>108.57599999999999</v>
      </c>
      <c r="AW201" s="16">
        <f t="shared" si="97"/>
        <v>0</v>
      </c>
      <c r="AX201" s="16" t="str">
        <f t="shared" si="83"/>
        <v>MAYFAIR</v>
      </c>
      <c r="AY201" s="22">
        <v>45064</v>
      </c>
      <c r="AZ201" s="22"/>
      <c r="BA201" s="1"/>
      <c r="BB201" s="22" t="str">
        <f t="shared" si="87"/>
        <v>FIRE</v>
      </c>
      <c r="BC201" s="1"/>
      <c r="BD201" s="1"/>
      <c r="BE201" s="1"/>
    </row>
    <row r="202" spans="1:57" ht="14.25" hidden="1" customHeight="1">
      <c r="A202" s="2" t="s">
        <v>406</v>
      </c>
      <c r="B202" s="1" t="s">
        <v>58</v>
      </c>
      <c r="C202" s="27">
        <v>45021</v>
      </c>
      <c r="D202" s="27">
        <v>45021</v>
      </c>
      <c r="E202" s="27">
        <v>45021</v>
      </c>
      <c r="F202" s="27">
        <v>45175</v>
      </c>
      <c r="G202" s="13" t="str">
        <f t="shared" si="89"/>
        <v>000-201/AIB RDC/2023</v>
      </c>
      <c r="H202" s="1">
        <v>1</v>
      </c>
      <c r="I202" s="1" t="s">
        <v>59</v>
      </c>
      <c r="J202" s="35" t="s">
        <v>213</v>
      </c>
      <c r="K202" s="1" t="s">
        <v>214</v>
      </c>
      <c r="L202" s="1" t="s">
        <v>62</v>
      </c>
      <c r="M202" s="1" t="s">
        <v>63</v>
      </c>
      <c r="N202" s="1" t="s">
        <v>64</v>
      </c>
      <c r="O202" s="1" t="s">
        <v>133</v>
      </c>
      <c r="P202" s="1" t="s">
        <v>134</v>
      </c>
      <c r="Q202" s="1" t="s">
        <v>66</v>
      </c>
      <c r="R202" s="1" t="s">
        <v>66</v>
      </c>
      <c r="S202" s="25">
        <v>0</v>
      </c>
      <c r="T202" s="25">
        <v>6230.74</v>
      </c>
      <c r="U202" s="25">
        <v>0</v>
      </c>
      <c r="V202" s="25">
        <v>0</v>
      </c>
      <c r="W202" s="25">
        <v>85.86</v>
      </c>
      <c r="X202" s="25">
        <v>5192.74</v>
      </c>
      <c r="Y202" s="25">
        <v>844.57</v>
      </c>
      <c r="Z202" s="17" t="e">
        <f t="shared" si="90"/>
        <v>#DIV/0!</v>
      </c>
      <c r="AA202" s="18">
        <v>0.15</v>
      </c>
      <c r="AB202" s="16">
        <f t="shared" si="84"/>
        <v>778.91099999999994</v>
      </c>
      <c r="AC202" s="16">
        <v>0</v>
      </c>
      <c r="AD202" s="16">
        <v>0</v>
      </c>
      <c r="AE202" s="16">
        <v>0</v>
      </c>
      <c r="AF202" s="16">
        <f t="shared" si="91"/>
        <v>778.91099999999994</v>
      </c>
      <c r="AG202" s="16">
        <f t="shared" si="98"/>
        <v>124.62576</v>
      </c>
      <c r="AH202" s="16">
        <f t="shared" si="92"/>
        <v>903.53675999999996</v>
      </c>
      <c r="AI202" s="16">
        <f t="shared" si="99"/>
        <v>15.57822</v>
      </c>
      <c r="AJ202" s="16">
        <v>0</v>
      </c>
      <c r="AK202" s="16">
        <f t="shared" si="93"/>
        <v>15.57822</v>
      </c>
      <c r="AL202" s="19"/>
      <c r="AM202" s="16">
        <f t="shared" si="94"/>
        <v>763.33277999999996</v>
      </c>
      <c r="AN202" s="16" t="s">
        <v>215</v>
      </c>
      <c r="AO202" s="20">
        <v>0.5</v>
      </c>
      <c r="AP202" s="16">
        <f t="shared" si="95"/>
        <v>381.66638999999998</v>
      </c>
      <c r="AQ202" s="16">
        <v>381.67</v>
      </c>
      <c r="AR202" s="15">
        <v>45222</v>
      </c>
      <c r="AS202" s="16">
        <f t="shared" si="96"/>
        <v>-3.6100000000374166E-3</v>
      </c>
      <c r="AT202" s="16"/>
      <c r="AU202" s="16">
        <v>903.53675999999996</v>
      </c>
      <c r="AV202" s="16">
        <f t="shared" si="88"/>
        <v>903.53675999999996</v>
      </c>
      <c r="AW202" s="16">
        <f t="shared" si="97"/>
        <v>0</v>
      </c>
      <c r="AX202" s="16" t="str">
        <f t="shared" si="83"/>
        <v>SFA</v>
      </c>
      <c r="AY202" s="22">
        <v>45076</v>
      </c>
      <c r="AZ202" s="22"/>
      <c r="BA202" s="1"/>
      <c r="BB202" s="22" t="str">
        <f t="shared" si="87"/>
        <v>COMP MOTOR</v>
      </c>
      <c r="BC202" s="1"/>
      <c r="BD202" s="1"/>
      <c r="BE202" s="1"/>
    </row>
    <row r="203" spans="1:57" ht="14.25" hidden="1" customHeight="1">
      <c r="A203" s="2" t="s">
        <v>406</v>
      </c>
      <c r="B203" s="1" t="s">
        <v>58</v>
      </c>
      <c r="C203" s="27">
        <v>45006</v>
      </c>
      <c r="D203" s="27">
        <v>45154</v>
      </c>
      <c r="E203" s="27">
        <v>45017</v>
      </c>
      <c r="F203" s="27">
        <v>45382</v>
      </c>
      <c r="G203" s="13" t="str">
        <f t="shared" si="89"/>
        <v>000-202/AIB RDC/2023</v>
      </c>
      <c r="H203" s="1">
        <v>3</v>
      </c>
      <c r="I203" s="1" t="s">
        <v>68</v>
      </c>
      <c r="J203" s="2" t="s">
        <v>429</v>
      </c>
      <c r="K203" s="1" t="s">
        <v>430</v>
      </c>
      <c r="L203" s="1" t="s">
        <v>139</v>
      </c>
      <c r="M203" s="1" t="s">
        <v>63</v>
      </c>
      <c r="N203" s="1" t="s">
        <v>64</v>
      </c>
      <c r="O203" s="1" t="s">
        <v>107</v>
      </c>
      <c r="P203" s="1" t="s">
        <v>108</v>
      </c>
      <c r="Q203" s="1" t="s">
        <v>76</v>
      </c>
      <c r="R203" s="1" t="s">
        <v>76</v>
      </c>
      <c r="S203" s="25">
        <v>0</v>
      </c>
      <c r="T203" s="25">
        <v>761.42</v>
      </c>
      <c r="U203" s="25">
        <v>0</v>
      </c>
      <c r="V203" s="25">
        <v>0</v>
      </c>
      <c r="W203" s="25">
        <v>10</v>
      </c>
      <c r="X203" s="25">
        <v>646.39</v>
      </c>
      <c r="Y203" s="25">
        <v>105.02</v>
      </c>
      <c r="Z203" s="17" t="e">
        <f t="shared" si="90"/>
        <v>#DIV/0!</v>
      </c>
      <c r="AA203" s="18">
        <v>0.1</v>
      </c>
      <c r="AB203" s="16">
        <f t="shared" si="84"/>
        <v>64.638999999999996</v>
      </c>
      <c r="AC203" s="16">
        <v>0</v>
      </c>
      <c r="AD203" s="16">
        <v>0</v>
      </c>
      <c r="AE203" s="16">
        <v>0</v>
      </c>
      <c r="AF203" s="16">
        <f t="shared" si="91"/>
        <v>64.638999999999996</v>
      </c>
      <c r="AG203" s="16">
        <f t="shared" si="98"/>
        <v>10.34224</v>
      </c>
      <c r="AH203" s="16">
        <f t="shared" si="92"/>
        <v>74.98124</v>
      </c>
      <c r="AI203" s="16">
        <f t="shared" si="99"/>
        <v>1.29278</v>
      </c>
      <c r="AJ203" s="16">
        <v>0</v>
      </c>
      <c r="AK203" s="16">
        <f t="shared" si="93"/>
        <v>1.29278</v>
      </c>
      <c r="AL203" s="19"/>
      <c r="AM203" s="16">
        <f t="shared" si="94"/>
        <v>63.346219999999995</v>
      </c>
      <c r="AN203" s="16" t="s">
        <v>228</v>
      </c>
      <c r="AO203" s="20"/>
      <c r="AP203" s="16">
        <f t="shared" si="95"/>
        <v>0</v>
      </c>
      <c r="AQ203" s="16"/>
      <c r="AR203" s="15"/>
      <c r="AS203" s="16">
        <f t="shared" si="96"/>
        <v>0</v>
      </c>
      <c r="AT203" s="16"/>
      <c r="AU203" s="16">
        <v>74.98124</v>
      </c>
      <c r="AV203" s="16">
        <f t="shared" si="88"/>
        <v>74.98124</v>
      </c>
      <c r="AW203" s="16">
        <f t="shared" si="97"/>
        <v>0</v>
      </c>
      <c r="AX203" s="16" t="str">
        <f t="shared" si="83"/>
        <v>ACTIVA</v>
      </c>
      <c r="AY203" s="22">
        <v>45170</v>
      </c>
      <c r="AZ203" s="22"/>
      <c r="BA203" s="1"/>
      <c r="BB203" s="22" t="str">
        <f t="shared" si="87"/>
        <v>FIRE</v>
      </c>
      <c r="BC203" s="1"/>
      <c r="BD203" s="1"/>
      <c r="BE203" s="1"/>
    </row>
    <row r="204" spans="1:57" ht="14.25" hidden="1" customHeight="1">
      <c r="A204" s="2" t="s">
        <v>406</v>
      </c>
      <c r="B204" s="1" t="s">
        <v>58</v>
      </c>
      <c r="C204" s="27">
        <v>45013</v>
      </c>
      <c r="D204" s="27">
        <v>45154</v>
      </c>
      <c r="E204" s="27">
        <v>45017</v>
      </c>
      <c r="F204" s="27">
        <v>45382</v>
      </c>
      <c r="G204" s="13" t="str">
        <f t="shared" si="89"/>
        <v>000-203/AIB RDC/2023</v>
      </c>
      <c r="H204" s="1">
        <v>2</v>
      </c>
      <c r="I204" s="1" t="s">
        <v>68</v>
      </c>
      <c r="J204" s="2" t="s">
        <v>431</v>
      </c>
      <c r="K204" s="1" t="s">
        <v>430</v>
      </c>
      <c r="L204" s="1" t="s">
        <v>139</v>
      </c>
      <c r="M204" s="1" t="s">
        <v>63</v>
      </c>
      <c r="N204" s="1" t="s">
        <v>64</v>
      </c>
      <c r="O204" s="1" t="s">
        <v>111</v>
      </c>
      <c r="P204" s="1" t="s">
        <v>112</v>
      </c>
      <c r="Q204" s="1" t="s">
        <v>76</v>
      </c>
      <c r="R204" s="1" t="s">
        <v>76</v>
      </c>
      <c r="S204" s="25">
        <v>5232000</v>
      </c>
      <c r="T204" s="25">
        <v>2870.42</v>
      </c>
      <c r="U204" s="25">
        <v>0</v>
      </c>
      <c r="V204" s="25">
        <v>0</v>
      </c>
      <c r="W204" s="25">
        <v>25.5</v>
      </c>
      <c r="X204" s="25">
        <v>2450</v>
      </c>
      <c r="Y204" s="25">
        <v>395.92</v>
      </c>
      <c r="Z204" s="17">
        <f t="shared" si="90"/>
        <v>4.6827217125382264E-4</v>
      </c>
      <c r="AA204" s="18">
        <v>0.15</v>
      </c>
      <c r="AB204" s="16">
        <f t="shared" si="84"/>
        <v>367.5</v>
      </c>
      <c r="AC204" s="16">
        <v>0</v>
      </c>
      <c r="AD204" s="16">
        <v>0</v>
      </c>
      <c r="AE204" s="16">
        <v>0</v>
      </c>
      <c r="AF204" s="16">
        <f t="shared" si="91"/>
        <v>367.5</v>
      </c>
      <c r="AG204" s="16">
        <f t="shared" si="98"/>
        <v>58.800000000000004</v>
      </c>
      <c r="AH204" s="16">
        <f t="shared" si="92"/>
        <v>426.3</v>
      </c>
      <c r="AI204" s="16">
        <f t="shared" si="99"/>
        <v>7.3500000000000005</v>
      </c>
      <c r="AJ204" s="16">
        <v>0</v>
      </c>
      <c r="AK204" s="16">
        <f t="shared" si="93"/>
        <v>7.3500000000000005</v>
      </c>
      <c r="AL204" s="19"/>
      <c r="AM204" s="16">
        <f t="shared" si="94"/>
        <v>360.15</v>
      </c>
      <c r="AN204" s="16" t="s">
        <v>228</v>
      </c>
      <c r="AO204" s="20"/>
      <c r="AP204" s="16">
        <f t="shared" si="95"/>
        <v>0</v>
      </c>
      <c r="AQ204" s="16"/>
      <c r="AR204" s="15"/>
      <c r="AS204" s="16">
        <f t="shared" si="96"/>
        <v>0</v>
      </c>
      <c r="AT204" s="16"/>
      <c r="AU204" s="16">
        <v>426.3</v>
      </c>
      <c r="AV204" s="16">
        <f t="shared" si="88"/>
        <v>426.3</v>
      </c>
      <c r="AW204" s="16">
        <f t="shared" si="97"/>
        <v>0</v>
      </c>
      <c r="AX204" s="16" t="str">
        <f t="shared" si="83"/>
        <v>ACTIVA</v>
      </c>
      <c r="AY204" s="22">
        <v>45222</v>
      </c>
      <c r="AZ204" s="22"/>
      <c r="BA204" s="1"/>
      <c r="BB204" s="22" t="str">
        <f t="shared" si="87"/>
        <v>GENERAL LIABILITY</v>
      </c>
      <c r="BC204" s="1"/>
      <c r="BD204" s="1"/>
      <c r="BE204" s="1"/>
    </row>
    <row r="205" spans="1:57" ht="14.25" hidden="1" customHeight="1">
      <c r="A205" s="2" t="s">
        <v>165</v>
      </c>
      <c r="B205" s="1" t="s">
        <v>58</v>
      </c>
      <c r="C205" s="27">
        <v>44984</v>
      </c>
      <c r="D205" s="27">
        <v>45134</v>
      </c>
      <c r="E205" s="27">
        <v>44986</v>
      </c>
      <c r="F205" s="27">
        <v>45350</v>
      </c>
      <c r="G205" s="13" t="str">
        <f t="shared" si="89"/>
        <v>000-204/AIB RDC/2023</v>
      </c>
      <c r="H205" s="1">
        <v>0</v>
      </c>
      <c r="I205" s="1" t="s">
        <v>83</v>
      </c>
      <c r="J205" s="2" t="s">
        <v>432</v>
      </c>
      <c r="K205" s="1" t="s">
        <v>245</v>
      </c>
      <c r="L205" s="1" t="s">
        <v>62</v>
      </c>
      <c r="M205" s="1" t="s">
        <v>63</v>
      </c>
      <c r="N205" s="1" t="s">
        <v>64</v>
      </c>
      <c r="O205" s="1" t="s">
        <v>104</v>
      </c>
      <c r="P205" s="1" t="s">
        <v>105</v>
      </c>
      <c r="Q205" s="1" t="s">
        <v>66</v>
      </c>
      <c r="R205" s="1" t="s">
        <v>247</v>
      </c>
      <c r="S205" s="25">
        <v>0</v>
      </c>
      <c r="T205" s="25">
        <v>39800.339999999997</v>
      </c>
      <c r="U205" s="25">
        <v>4984.6000000000004</v>
      </c>
      <c r="V205" s="25">
        <v>0</v>
      </c>
      <c r="W205" s="25">
        <v>498.46</v>
      </c>
      <c r="X205" s="25">
        <v>28246.04</v>
      </c>
      <c r="Y205" s="25">
        <v>5396.66</v>
      </c>
      <c r="Z205" s="17" t="e">
        <f t="shared" si="90"/>
        <v>#DIV/0!</v>
      </c>
      <c r="AA205" s="18">
        <v>0</v>
      </c>
      <c r="AB205" s="16">
        <f t="shared" si="84"/>
        <v>0</v>
      </c>
      <c r="AC205" s="16">
        <f>30%*U205</f>
        <v>1495.38</v>
      </c>
      <c r="AD205" s="16">
        <v>0</v>
      </c>
      <c r="AE205" s="16">
        <v>0</v>
      </c>
      <c r="AF205" s="16">
        <f t="shared" si="91"/>
        <v>1495.38</v>
      </c>
      <c r="AG205" s="16">
        <f t="shared" si="98"/>
        <v>239.26080000000002</v>
      </c>
      <c r="AH205" s="16">
        <f t="shared" si="92"/>
        <v>1734.6408000000001</v>
      </c>
      <c r="AI205" s="16">
        <f t="shared" si="99"/>
        <v>29.907600000000002</v>
      </c>
      <c r="AJ205" s="16">
        <v>0</v>
      </c>
      <c r="AK205" s="16">
        <f t="shared" si="93"/>
        <v>29.907600000000002</v>
      </c>
      <c r="AL205" s="19"/>
      <c r="AM205" s="16">
        <f t="shared" si="94"/>
        <v>1465.4724000000001</v>
      </c>
      <c r="AN205" s="16" t="s">
        <v>228</v>
      </c>
      <c r="AO205" s="20"/>
      <c r="AP205" s="16">
        <f t="shared" si="95"/>
        <v>0</v>
      </c>
      <c r="AQ205" s="16"/>
      <c r="AR205" s="15"/>
      <c r="AS205" s="16">
        <f t="shared" si="96"/>
        <v>0</v>
      </c>
      <c r="AT205" s="16"/>
      <c r="AU205" s="16">
        <v>1734.6408000000001</v>
      </c>
      <c r="AV205" s="16">
        <f t="shared" si="88"/>
        <v>1734.6408000000001</v>
      </c>
      <c r="AW205" s="16">
        <f t="shared" si="97"/>
        <v>0</v>
      </c>
      <c r="AX205" s="16" t="str">
        <f t="shared" si="83"/>
        <v>SFA</v>
      </c>
      <c r="AY205" s="22">
        <v>45163</v>
      </c>
      <c r="AZ205" s="22"/>
      <c r="BA205" s="1"/>
      <c r="BB205" s="22" t="str">
        <f t="shared" si="87"/>
        <v>MARINE CARGO / GIT</v>
      </c>
      <c r="BC205" s="1"/>
      <c r="BD205" s="1"/>
      <c r="BE205" s="1"/>
    </row>
    <row r="206" spans="1:57" ht="14.25" hidden="1" customHeight="1">
      <c r="A206" s="2" t="s">
        <v>165</v>
      </c>
      <c r="B206" s="1" t="s">
        <v>58</v>
      </c>
      <c r="C206" s="27">
        <v>44987</v>
      </c>
      <c r="D206" s="27">
        <v>45044</v>
      </c>
      <c r="E206" s="27">
        <v>44987</v>
      </c>
      <c r="F206" s="27">
        <v>45351</v>
      </c>
      <c r="G206" s="13" t="str">
        <f t="shared" si="89"/>
        <v>000-205/AIB RDC/2023</v>
      </c>
      <c r="H206" s="1">
        <v>0</v>
      </c>
      <c r="I206" s="1" t="s">
        <v>83</v>
      </c>
      <c r="J206" s="29" t="s">
        <v>433</v>
      </c>
      <c r="K206" s="1" t="s">
        <v>245</v>
      </c>
      <c r="L206" s="1" t="s">
        <v>62</v>
      </c>
      <c r="M206" s="1" t="s">
        <v>63</v>
      </c>
      <c r="N206" s="1" t="s">
        <v>64</v>
      </c>
      <c r="O206" s="1" t="s">
        <v>104</v>
      </c>
      <c r="P206" s="1" t="s">
        <v>105</v>
      </c>
      <c r="Q206" s="1" t="s">
        <v>66</v>
      </c>
      <c r="R206" s="1" t="s">
        <v>247</v>
      </c>
      <c r="S206" s="25">
        <v>0</v>
      </c>
      <c r="T206" s="25">
        <v>103700.62</v>
      </c>
      <c r="U206" s="25">
        <v>13125</v>
      </c>
      <c r="V206" s="25">
        <v>-5687.5</v>
      </c>
      <c r="W206" s="25">
        <v>381.88</v>
      </c>
      <c r="X206" s="25">
        <v>74375</v>
      </c>
      <c r="Y206" s="25">
        <v>14061.1</v>
      </c>
      <c r="Z206" s="17" t="e">
        <f t="shared" si="90"/>
        <v>#DIV/0!</v>
      </c>
      <c r="AA206" s="18">
        <v>0</v>
      </c>
      <c r="AB206" s="16">
        <f t="shared" si="84"/>
        <v>0</v>
      </c>
      <c r="AC206" s="16">
        <f>30%*(U206+V206)</f>
        <v>2231.25</v>
      </c>
      <c r="AD206" s="16">
        <v>0</v>
      </c>
      <c r="AE206" s="16">
        <v>0</v>
      </c>
      <c r="AF206" s="16">
        <f t="shared" si="91"/>
        <v>2231.25</v>
      </c>
      <c r="AG206" s="16">
        <f t="shared" si="98"/>
        <v>357</v>
      </c>
      <c r="AH206" s="16">
        <f t="shared" si="92"/>
        <v>2588.25</v>
      </c>
      <c r="AI206" s="16">
        <f t="shared" si="99"/>
        <v>44.625</v>
      </c>
      <c r="AJ206" s="16">
        <v>0</v>
      </c>
      <c r="AK206" s="16">
        <f t="shared" si="93"/>
        <v>44.625</v>
      </c>
      <c r="AL206" s="19"/>
      <c r="AM206" s="16">
        <f t="shared" si="94"/>
        <v>2186.625</v>
      </c>
      <c r="AN206" s="16" t="s">
        <v>228</v>
      </c>
      <c r="AO206" s="20"/>
      <c r="AP206" s="16">
        <f t="shared" si="95"/>
        <v>0</v>
      </c>
      <c r="AQ206" s="16"/>
      <c r="AR206" s="15"/>
      <c r="AS206" s="16">
        <f t="shared" si="96"/>
        <v>0</v>
      </c>
      <c r="AT206" s="16"/>
      <c r="AU206" s="16">
        <v>2588.25</v>
      </c>
      <c r="AV206" s="16">
        <f t="shared" si="88"/>
        <v>2588.25</v>
      </c>
      <c r="AW206" s="16">
        <f t="shared" si="97"/>
        <v>0</v>
      </c>
      <c r="AX206" s="16" t="str">
        <f t="shared" ref="AX206:AX237" si="100">Q206</f>
        <v>SFA</v>
      </c>
      <c r="AY206" s="22">
        <v>45076</v>
      </c>
      <c r="AZ206" s="22"/>
      <c r="BA206" s="1"/>
      <c r="BB206" s="22" t="str">
        <f t="shared" si="87"/>
        <v>MARINE CARGO / GIT</v>
      </c>
      <c r="BC206" s="1"/>
      <c r="BD206" s="1"/>
      <c r="BE206" s="1"/>
    </row>
    <row r="207" spans="1:57" ht="14.25" hidden="1" customHeight="1">
      <c r="A207" s="2" t="s">
        <v>165</v>
      </c>
      <c r="B207" s="1" t="s">
        <v>58</v>
      </c>
      <c r="C207" s="27">
        <v>45026</v>
      </c>
      <c r="D207" s="27">
        <v>45015</v>
      </c>
      <c r="E207" s="27">
        <v>45015</v>
      </c>
      <c r="F207" s="27">
        <v>45341</v>
      </c>
      <c r="G207" s="13" t="str">
        <f t="shared" si="89"/>
        <v>000-206/AIB RDC/2023</v>
      </c>
      <c r="H207" s="1">
        <v>1</v>
      </c>
      <c r="I207" s="1" t="s">
        <v>59</v>
      </c>
      <c r="J207" s="2" t="s">
        <v>359</v>
      </c>
      <c r="K207" s="1" t="s">
        <v>93</v>
      </c>
      <c r="L207" s="1" t="s">
        <v>94</v>
      </c>
      <c r="M207" s="2" t="s">
        <v>95</v>
      </c>
      <c r="N207" s="1" t="s">
        <v>434</v>
      </c>
      <c r="O207" s="1" t="s">
        <v>133</v>
      </c>
      <c r="P207" s="1" t="s">
        <v>134</v>
      </c>
      <c r="Q207" s="1" t="s">
        <v>117</v>
      </c>
      <c r="R207" s="1" t="s">
        <v>117</v>
      </c>
      <c r="S207" s="25">
        <v>0</v>
      </c>
      <c r="T207" s="25">
        <v>21617.3</v>
      </c>
      <c r="U207" s="25">
        <v>0</v>
      </c>
      <c r="V207" s="25">
        <v>0</v>
      </c>
      <c r="W207" s="25">
        <v>184.51</v>
      </c>
      <c r="X207" s="25">
        <v>18451.09</v>
      </c>
      <c r="Y207" s="25">
        <v>2981.7</v>
      </c>
      <c r="Z207" s="17" t="e">
        <f t="shared" si="90"/>
        <v>#DIV/0!</v>
      </c>
      <c r="AA207" s="18">
        <v>0.15</v>
      </c>
      <c r="AB207" s="16">
        <f t="shared" si="84"/>
        <v>2767.6635000000001</v>
      </c>
      <c r="AC207" s="16">
        <v>0</v>
      </c>
      <c r="AD207" s="16">
        <v>0</v>
      </c>
      <c r="AE207" s="16">
        <v>0</v>
      </c>
      <c r="AF207" s="16">
        <f t="shared" si="91"/>
        <v>2767.6635000000001</v>
      </c>
      <c r="AG207" s="16">
        <f t="shared" si="98"/>
        <v>442.82616000000002</v>
      </c>
      <c r="AH207" s="16">
        <f t="shared" si="92"/>
        <v>3210.4896600000002</v>
      </c>
      <c r="AI207" s="16">
        <f t="shared" si="99"/>
        <v>55.353270000000002</v>
      </c>
      <c r="AJ207" s="16">
        <v>0</v>
      </c>
      <c r="AK207" s="16">
        <f t="shared" si="93"/>
        <v>55.353270000000002</v>
      </c>
      <c r="AL207" s="19"/>
      <c r="AM207" s="16">
        <f t="shared" si="94"/>
        <v>2712.31023</v>
      </c>
      <c r="AN207" s="16" t="s">
        <v>77</v>
      </c>
      <c r="AO207" s="20"/>
      <c r="AP207" s="16">
        <f t="shared" si="95"/>
        <v>0</v>
      </c>
      <c r="AQ207" s="16"/>
      <c r="AR207" s="15"/>
      <c r="AS207" s="16">
        <f t="shared" si="96"/>
        <v>0</v>
      </c>
      <c r="AT207" s="16"/>
      <c r="AU207" s="16">
        <v>3210.4896600000002</v>
      </c>
      <c r="AV207" s="16">
        <f t="shared" si="88"/>
        <v>3210.4896600000002</v>
      </c>
      <c r="AW207" s="16">
        <f t="shared" si="97"/>
        <v>0</v>
      </c>
      <c r="AX207" s="16" t="str">
        <f t="shared" si="100"/>
        <v>SUNU</v>
      </c>
      <c r="AY207" s="22">
        <v>45117</v>
      </c>
      <c r="AZ207" s="22"/>
      <c r="BA207" s="1"/>
      <c r="BB207" s="22" t="str">
        <f t="shared" si="87"/>
        <v>COMP MOTOR</v>
      </c>
      <c r="BC207" s="1"/>
      <c r="BD207" s="1"/>
      <c r="BE207" s="1"/>
    </row>
    <row r="208" spans="1:57" ht="14.25" hidden="1" customHeight="1">
      <c r="A208" s="2" t="s">
        <v>165</v>
      </c>
      <c r="B208" s="1" t="s">
        <v>58</v>
      </c>
      <c r="C208" s="27">
        <v>45019</v>
      </c>
      <c r="D208" s="27">
        <v>45019</v>
      </c>
      <c r="E208" s="27">
        <v>45013</v>
      </c>
      <c r="F208" s="27">
        <v>45291</v>
      </c>
      <c r="G208" s="13" t="str">
        <f t="shared" si="89"/>
        <v>000-207/AIB RDC/2023</v>
      </c>
      <c r="H208" s="1">
        <v>1</v>
      </c>
      <c r="I208" s="1" t="s">
        <v>59</v>
      </c>
      <c r="J208" s="2" t="s">
        <v>92</v>
      </c>
      <c r="K208" s="1" t="s">
        <v>93</v>
      </c>
      <c r="L208" s="1" t="s">
        <v>94</v>
      </c>
      <c r="M208" s="2" t="s">
        <v>95</v>
      </c>
      <c r="N208" s="1" t="s">
        <v>96</v>
      </c>
      <c r="O208" s="1" t="s">
        <v>65</v>
      </c>
      <c r="P208" s="1" t="s">
        <v>65</v>
      </c>
      <c r="Q208" s="1" t="s">
        <v>76</v>
      </c>
      <c r="R208" s="1" t="s">
        <v>76</v>
      </c>
      <c r="S208" s="25">
        <v>0</v>
      </c>
      <c r="T208" s="25">
        <v>1311.53</v>
      </c>
      <c r="U208" s="25">
        <v>0</v>
      </c>
      <c r="V208" s="25">
        <v>0</v>
      </c>
      <c r="W208" s="25">
        <v>11.19</v>
      </c>
      <c r="X208" s="25">
        <v>1119.47</v>
      </c>
      <c r="Y208" s="25">
        <v>180.87</v>
      </c>
      <c r="Z208" s="17" t="e">
        <f t="shared" si="90"/>
        <v>#DIV/0!</v>
      </c>
      <c r="AA208" s="18">
        <v>0.1</v>
      </c>
      <c r="AB208" s="16">
        <f t="shared" si="84"/>
        <v>111.947</v>
      </c>
      <c r="AC208" s="16">
        <v>0</v>
      </c>
      <c r="AD208" s="16">
        <v>0</v>
      </c>
      <c r="AE208" s="16">
        <v>0</v>
      </c>
      <c r="AF208" s="16">
        <f t="shared" si="91"/>
        <v>111.947</v>
      </c>
      <c r="AG208" s="16">
        <f t="shared" si="98"/>
        <v>17.911519999999999</v>
      </c>
      <c r="AH208" s="16">
        <f t="shared" si="92"/>
        <v>129.85852</v>
      </c>
      <c r="AI208" s="16">
        <f t="shared" si="99"/>
        <v>2.2389399999999999</v>
      </c>
      <c r="AJ208" s="16">
        <v>0</v>
      </c>
      <c r="AK208" s="16">
        <f t="shared" si="93"/>
        <v>2.2389399999999999</v>
      </c>
      <c r="AL208" s="19"/>
      <c r="AM208" s="16">
        <f t="shared" si="94"/>
        <v>109.70806</v>
      </c>
      <c r="AN208" s="16" t="s">
        <v>77</v>
      </c>
      <c r="AO208" s="20"/>
      <c r="AP208" s="16">
        <f t="shared" si="95"/>
        <v>0</v>
      </c>
      <c r="AQ208" s="16"/>
      <c r="AR208" s="15"/>
      <c r="AS208" s="16">
        <f t="shared" si="96"/>
        <v>0</v>
      </c>
      <c r="AT208" s="16"/>
      <c r="AU208" s="16">
        <v>129.85852</v>
      </c>
      <c r="AV208" s="16">
        <f t="shared" si="88"/>
        <v>129.85852</v>
      </c>
      <c r="AW208" s="16">
        <f t="shared" si="97"/>
        <v>0</v>
      </c>
      <c r="AX208" s="16" t="str">
        <f t="shared" si="100"/>
        <v>ACTIVA</v>
      </c>
      <c r="AY208" s="22">
        <v>45114</v>
      </c>
      <c r="AZ208" s="22"/>
      <c r="BA208" s="1"/>
      <c r="BB208" s="22" t="str">
        <f t="shared" si="87"/>
        <v>MOTOR TPL</v>
      </c>
      <c r="BC208" s="1"/>
      <c r="BD208" s="1"/>
      <c r="BE208" s="1"/>
    </row>
    <row r="209" spans="1:57" ht="14.25" hidden="1" customHeight="1">
      <c r="A209" s="2" t="s">
        <v>165</v>
      </c>
      <c r="B209" s="1" t="s">
        <v>58</v>
      </c>
      <c r="C209" s="27">
        <v>45007</v>
      </c>
      <c r="D209" s="27">
        <v>45007</v>
      </c>
      <c r="E209" s="27">
        <v>45005</v>
      </c>
      <c r="F209" s="27">
        <v>45373</v>
      </c>
      <c r="G209" s="13" t="str">
        <f t="shared" si="89"/>
        <v>000-208/AIB RDC/2023</v>
      </c>
      <c r="H209" s="1">
        <v>0</v>
      </c>
      <c r="I209" s="1" t="s">
        <v>83</v>
      </c>
      <c r="J209" s="29" t="s">
        <v>435</v>
      </c>
      <c r="K209" s="1" t="s">
        <v>93</v>
      </c>
      <c r="L209" s="1" t="s">
        <v>94</v>
      </c>
      <c r="M209" s="2" t="s">
        <v>95</v>
      </c>
      <c r="N209" s="1" t="s">
        <v>100</v>
      </c>
      <c r="O209" s="1" t="s">
        <v>101</v>
      </c>
      <c r="P209" s="1" t="s">
        <v>81</v>
      </c>
      <c r="Q209" s="1" t="s">
        <v>66</v>
      </c>
      <c r="R209" s="1" t="s">
        <v>66</v>
      </c>
      <c r="S209" s="25">
        <v>0</v>
      </c>
      <c r="T209" s="25">
        <v>1534</v>
      </c>
      <c r="U209" s="25">
        <v>0</v>
      </c>
      <c r="V209" s="25">
        <v>0</v>
      </c>
      <c r="W209" s="25">
        <v>20</v>
      </c>
      <c r="X209" s="25">
        <v>1280</v>
      </c>
      <c r="Y209" s="25">
        <v>208</v>
      </c>
      <c r="Z209" s="17" t="e">
        <f t="shared" si="90"/>
        <v>#DIV/0!</v>
      </c>
      <c r="AA209" s="18">
        <v>0.1</v>
      </c>
      <c r="AB209" s="16">
        <f t="shared" si="84"/>
        <v>128</v>
      </c>
      <c r="AC209" s="16">
        <v>0</v>
      </c>
      <c r="AD209" s="16">
        <v>0</v>
      </c>
      <c r="AE209" s="16">
        <v>0</v>
      </c>
      <c r="AF209" s="16">
        <f t="shared" si="91"/>
        <v>128</v>
      </c>
      <c r="AG209" s="16">
        <f t="shared" si="98"/>
        <v>20.48</v>
      </c>
      <c r="AH209" s="16">
        <f t="shared" si="92"/>
        <v>148.47999999999999</v>
      </c>
      <c r="AI209" s="16">
        <f t="shared" si="99"/>
        <v>2.56</v>
      </c>
      <c r="AJ209" s="16">
        <v>0</v>
      </c>
      <c r="AK209" s="16">
        <f t="shared" si="93"/>
        <v>2.56</v>
      </c>
      <c r="AL209" s="19"/>
      <c r="AM209" s="16">
        <f t="shared" si="94"/>
        <v>125.44</v>
      </c>
      <c r="AN209" s="16" t="s">
        <v>77</v>
      </c>
      <c r="AO209" s="20"/>
      <c r="AP209" s="16">
        <f t="shared" si="95"/>
        <v>0</v>
      </c>
      <c r="AQ209" s="16"/>
      <c r="AR209" s="15"/>
      <c r="AS209" s="16">
        <f t="shared" si="96"/>
        <v>0</v>
      </c>
      <c r="AT209" s="16"/>
      <c r="AU209" s="16">
        <v>148.47999999999999</v>
      </c>
      <c r="AV209" s="16">
        <f t="shared" si="88"/>
        <v>148.47999999999999</v>
      </c>
      <c r="AW209" s="16">
        <f t="shared" si="97"/>
        <v>0</v>
      </c>
      <c r="AX209" s="16" t="str">
        <f t="shared" si="100"/>
        <v>SFA</v>
      </c>
      <c r="AY209" s="22">
        <v>45070</v>
      </c>
      <c r="AZ209" s="22"/>
      <c r="BA209" s="1"/>
      <c r="BB209" s="22" t="str">
        <f t="shared" si="87"/>
        <v>GPA</v>
      </c>
      <c r="BC209" s="1"/>
      <c r="BD209" s="1"/>
      <c r="BE209" s="1"/>
    </row>
    <row r="210" spans="1:57" ht="14.25" hidden="1" customHeight="1">
      <c r="A210" s="2" t="s">
        <v>165</v>
      </c>
      <c r="B210" s="1" t="s">
        <v>58</v>
      </c>
      <c r="C210" s="27">
        <v>45027</v>
      </c>
      <c r="D210" s="27">
        <v>44998</v>
      </c>
      <c r="E210" s="27">
        <v>44998</v>
      </c>
      <c r="F210" s="27">
        <v>45089</v>
      </c>
      <c r="G210" s="13" t="str">
        <f t="shared" si="89"/>
        <v>000-209/AIB RDC/2023</v>
      </c>
      <c r="H210" s="1">
        <v>0</v>
      </c>
      <c r="I210" s="1" t="s">
        <v>83</v>
      </c>
      <c r="J210" s="29">
        <v>73200023</v>
      </c>
      <c r="K210" s="2" t="s">
        <v>163</v>
      </c>
      <c r="L210" s="1"/>
      <c r="M210" s="1" t="s">
        <v>95</v>
      </c>
      <c r="N210" s="1" t="s">
        <v>146</v>
      </c>
      <c r="O210" s="1" t="s">
        <v>104</v>
      </c>
      <c r="P210" s="1" t="s">
        <v>105</v>
      </c>
      <c r="Q210" s="1" t="s">
        <v>135</v>
      </c>
      <c r="R210" s="1" t="s">
        <v>135</v>
      </c>
      <c r="S210" s="25">
        <v>2322502.15</v>
      </c>
      <c r="T210" s="25">
        <v>11801.76</v>
      </c>
      <c r="U210" s="25">
        <v>0</v>
      </c>
      <c r="V210" s="25">
        <v>0</v>
      </c>
      <c r="W210" s="25">
        <v>666</v>
      </c>
      <c r="X210" s="25">
        <v>9335.49</v>
      </c>
      <c r="Y210" s="25">
        <v>1600.24</v>
      </c>
      <c r="Z210" s="17">
        <f t="shared" si="90"/>
        <v>4.0195829312795256E-3</v>
      </c>
      <c r="AA210" s="18">
        <v>0.15</v>
      </c>
      <c r="AB210" s="16">
        <f t="shared" si="84"/>
        <v>1400.3235</v>
      </c>
      <c r="AC210" s="16">
        <v>0</v>
      </c>
      <c r="AD210" s="16">
        <v>0</v>
      </c>
      <c r="AE210" s="16">
        <v>0</v>
      </c>
      <c r="AF210" s="16">
        <f t="shared" si="91"/>
        <v>1400.3235</v>
      </c>
      <c r="AG210" s="16">
        <f t="shared" si="98"/>
        <v>224.05176</v>
      </c>
      <c r="AH210" s="16">
        <f t="shared" si="92"/>
        <v>1624.37526</v>
      </c>
      <c r="AI210" s="16">
        <f t="shared" si="99"/>
        <v>28.00647</v>
      </c>
      <c r="AJ210" s="16">
        <v>0</v>
      </c>
      <c r="AK210" s="16">
        <f t="shared" si="93"/>
        <v>28.00647</v>
      </c>
      <c r="AL210" s="19"/>
      <c r="AM210" s="16">
        <f t="shared" si="94"/>
        <v>1372.3170299999999</v>
      </c>
      <c r="AN210" s="16" t="s">
        <v>147</v>
      </c>
      <c r="AO210" s="20">
        <v>0.4</v>
      </c>
      <c r="AP210" s="16">
        <f t="shared" si="95"/>
        <v>548.92681200000004</v>
      </c>
      <c r="AQ210" s="16">
        <v>548.92681200000004</v>
      </c>
      <c r="AR210" s="15">
        <v>45229</v>
      </c>
      <c r="AS210" s="16">
        <f t="shared" si="96"/>
        <v>0</v>
      </c>
      <c r="AT210" s="16"/>
      <c r="AU210" s="16">
        <v>1624.37526</v>
      </c>
      <c r="AV210" s="16">
        <f t="shared" si="88"/>
        <v>1624.37526</v>
      </c>
      <c r="AW210" s="16">
        <f t="shared" si="97"/>
        <v>0</v>
      </c>
      <c r="AX210" s="16" t="str">
        <f t="shared" si="100"/>
        <v>RAWSUR</v>
      </c>
      <c r="AY210" s="22">
        <v>45043</v>
      </c>
      <c r="AZ210" s="22"/>
      <c r="BA210" s="1" t="s">
        <v>148</v>
      </c>
      <c r="BB210" s="22" t="str">
        <f t="shared" si="87"/>
        <v>MARINE CARGO / GIT</v>
      </c>
      <c r="BC210" s="1"/>
      <c r="BD210" s="1"/>
      <c r="BE210" s="1"/>
    </row>
    <row r="211" spans="1:57" ht="14.25" hidden="1" customHeight="1">
      <c r="A211" s="2" t="s">
        <v>165</v>
      </c>
      <c r="B211" s="1" t="s">
        <v>58</v>
      </c>
      <c r="C211" s="27">
        <v>45027</v>
      </c>
      <c r="D211" s="27">
        <v>44997</v>
      </c>
      <c r="E211" s="27">
        <v>44998</v>
      </c>
      <c r="F211" s="27">
        <v>45028</v>
      </c>
      <c r="G211" s="13" t="str">
        <f t="shared" si="89"/>
        <v>000-210/AIB RDC/2023</v>
      </c>
      <c r="H211" s="1">
        <v>0</v>
      </c>
      <c r="I211" s="1" t="s">
        <v>83</v>
      </c>
      <c r="J211" s="29">
        <v>73200024</v>
      </c>
      <c r="K211" s="2" t="s">
        <v>436</v>
      </c>
      <c r="L211" s="1"/>
      <c r="M211" s="1" t="s">
        <v>95</v>
      </c>
      <c r="N211" s="1" t="s">
        <v>146</v>
      </c>
      <c r="O211" s="1" t="s">
        <v>104</v>
      </c>
      <c r="P211" s="1" t="s">
        <v>105</v>
      </c>
      <c r="Q211" s="1" t="s">
        <v>135</v>
      </c>
      <c r="R211" s="1" t="s">
        <v>135</v>
      </c>
      <c r="S211" s="25">
        <v>452890.72</v>
      </c>
      <c r="T211" s="25">
        <v>1952.48</v>
      </c>
      <c r="U211" s="25">
        <v>0</v>
      </c>
      <c r="V211" s="25">
        <v>0</v>
      </c>
      <c r="W211" s="25">
        <v>296</v>
      </c>
      <c r="X211" s="25">
        <v>1358.64</v>
      </c>
      <c r="Y211" s="25">
        <v>264.72000000000003</v>
      </c>
      <c r="Z211" s="17">
        <f t="shared" si="90"/>
        <v>2.9999289894922115E-3</v>
      </c>
      <c r="AA211" s="18">
        <v>0.15</v>
      </c>
      <c r="AB211" s="16">
        <f t="shared" ref="AB211:AB242" si="101">AA211*X211</f>
        <v>203.79600000000002</v>
      </c>
      <c r="AC211" s="16">
        <v>0</v>
      </c>
      <c r="AD211" s="16">
        <v>0</v>
      </c>
      <c r="AE211" s="16">
        <v>0</v>
      </c>
      <c r="AF211" s="16">
        <f t="shared" si="91"/>
        <v>203.79600000000002</v>
      </c>
      <c r="AG211" s="16">
        <f t="shared" si="98"/>
        <v>32.607360000000007</v>
      </c>
      <c r="AH211" s="16">
        <f t="shared" si="92"/>
        <v>236.40336000000002</v>
      </c>
      <c r="AI211" s="16">
        <f t="shared" si="99"/>
        <v>4.0759200000000009</v>
      </c>
      <c r="AJ211" s="16">
        <v>0</v>
      </c>
      <c r="AK211" s="16">
        <f t="shared" si="93"/>
        <v>4.0759200000000009</v>
      </c>
      <c r="AL211" s="19"/>
      <c r="AM211" s="16">
        <f t="shared" si="94"/>
        <v>199.72008000000002</v>
      </c>
      <c r="AN211" s="16" t="s">
        <v>147</v>
      </c>
      <c r="AO211" s="20">
        <v>0.4</v>
      </c>
      <c r="AP211" s="16">
        <f t="shared" si="95"/>
        <v>79.88803200000001</v>
      </c>
      <c r="AQ211" s="16">
        <v>79.88803200000001</v>
      </c>
      <c r="AR211" s="15">
        <v>45229</v>
      </c>
      <c r="AS211" s="16">
        <f t="shared" si="96"/>
        <v>0</v>
      </c>
      <c r="AT211" s="16"/>
      <c r="AU211" s="16">
        <v>236.40336000000002</v>
      </c>
      <c r="AV211" s="16">
        <f t="shared" si="88"/>
        <v>236.40336000000002</v>
      </c>
      <c r="AW211" s="16">
        <f t="shared" si="97"/>
        <v>0</v>
      </c>
      <c r="AX211" s="16" t="str">
        <f t="shared" si="100"/>
        <v>RAWSUR</v>
      </c>
      <c r="AY211" s="22">
        <v>45043</v>
      </c>
      <c r="AZ211" s="22"/>
      <c r="BA211" s="1" t="s">
        <v>148</v>
      </c>
      <c r="BB211" s="22" t="str">
        <f t="shared" si="87"/>
        <v>MARINE CARGO / GIT</v>
      </c>
      <c r="BC211" s="1"/>
      <c r="BD211" s="1"/>
      <c r="BE211" s="1"/>
    </row>
    <row r="212" spans="1:57" ht="14.25" hidden="1" customHeight="1">
      <c r="A212" s="2" t="s">
        <v>57</v>
      </c>
      <c r="B212" s="1" t="s">
        <v>58</v>
      </c>
      <c r="C212" s="27">
        <v>45036</v>
      </c>
      <c r="D212" s="27">
        <v>44980</v>
      </c>
      <c r="E212" s="27">
        <v>44927</v>
      </c>
      <c r="F212" s="27">
        <v>45291</v>
      </c>
      <c r="G212" s="13" t="str">
        <f t="shared" si="89"/>
        <v>000-211/AIB RDC/2023</v>
      </c>
      <c r="H212" s="1">
        <v>0</v>
      </c>
      <c r="I212" s="1" t="s">
        <v>83</v>
      </c>
      <c r="J212" s="29" t="s">
        <v>437</v>
      </c>
      <c r="K212" s="2" t="s">
        <v>438</v>
      </c>
      <c r="L212" s="1" t="s">
        <v>139</v>
      </c>
      <c r="M212" s="1" t="s">
        <v>63</v>
      </c>
      <c r="N212" s="1" t="s">
        <v>64</v>
      </c>
      <c r="O212" s="1" t="s">
        <v>111</v>
      </c>
      <c r="P212" s="1" t="s">
        <v>112</v>
      </c>
      <c r="Q212" s="1" t="s">
        <v>76</v>
      </c>
      <c r="R212" s="1" t="s">
        <v>76</v>
      </c>
      <c r="S212" s="25">
        <v>0</v>
      </c>
      <c r="T212" s="25">
        <v>4985.95</v>
      </c>
      <c r="U212" s="25">
        <v>0</v>
      </c>
      <c r="V212" s="25">
        <v>0</v>
      </c>
      <c r="W212" s="25">
        <v>42.56</v>
      </c>
      <c r="X212" s="25">
        <v>4255.67</v>
      </c>
      <c r="Y212" s="25">
        <v>687.72</v>
      </c>
      <c r="Z212" s="17" t="e">
        <f t="shared" si="90"/>
        <v>#DIV/0!</v>
      </c>
      <c r="AA212" s="18">
        <v>0.15</v>
      </c>
      <c r="AB212" s="16">
        <f t="shared" si="101"/>
        <v>638.35050000000001</v>
      </c>
      <c r="AC212" s="16">
        <v>0</v>
      </c>
      <c r="AD212" s="16">
        <v>0</v>
      </c>
      <c r="AE212" s="16">
        <v>0</v>
      </c>
      <c r="AF212" s="16">
        <f t="shared" si="91"/>
        <v>638.35050000000001</v>
      </c>
      <c r="AG212" s="16">
        <f t="shared" si="98"/>
        <v>102.13608000000001</v>
      </c>
      <c r="AH212" s="16">
        <f t="shared" si="92"/>
        <v>740.48658</v>
      </c>
      <c r="AI212" s="16">
        <f t="shared" si="99"/>
        <v>12.767010000000001</v>
      </c>
      <c r="AJ212" s="16">
        <v>0</v>
      </c>
      <c r="AK212" s="16">
        <f t="shared" si="93"/>
        <v>12.767010000000001</v>
      </c>
      <c r="AL212" s="19"/>
      <c r="AM212" s="16">
        <f t="shared" si="94"/>
        <v>625.58348999999998</v>
      </c>
      <c r="AN212" s="16" t="s">
        <v>77</v>
      </c>
      <c r="AO212" s="20">
        <v>0.35</v>
      </c>
      <c r="AP212" s="16">
        <f t="shared" si="95"/>
        <v>218.95422149999999</v>
      </c>
      <c r="AQ212" s="16"/>
      <c r="AR212" s="15"/>
      <c r="AS212" s="16">
        <f t="shared" si="96"/>
        <v>218.95422149999999</v>
      </c>
      <c r="AT212" s="16"/>
      <c r="AU212" s="16">
        <v>740.48658</v>
      </c>
      <c r="AV212" s="16">
        <f t="shared" si="88"/>
        <v>740.48658</v>
      </c>
      <c r="AW212" s="16">
        <f t="shared" si="97"/>
        <v>0</v>
      </c>
      <c r="AX212" s="16" t="str">
        <f t="shared" si="100"/>
        <v>ACTIVA</v>
      </c>
      <c r="AY212" s="22">
        <v>45035</v>
      </c>
      <c r="AZ212" s="22"/>
      <c r="BA212" s="1"/>
      <c r="BB212" s="22" t="str">
        <f t="shared" si="87"/>
        <v>GENERAL LIABILITY</v>
      </c>
      <c r="BC212" s="1"/>
      <c r="BD212" s="1"/>
      <c r="BE212" s="1"/>
    </row>
    <row r="213" spans="1:57" ht="14.25" hidden="1" customHeight="1">
      <c r="A213" s="2" t="s">
        <v>165</v>
      </c>
      <c r="B213" s="1" t="s">
        <v>58</v>
      </c>
      <c r="C213" s="27">
        <v>45037</v>
      </c>
      <c r="D213" s="27">
        <v>45006</v>
      </c>
      <c r="E213" s="27">
        <v>45006</v>
      </c>
      <c r="F213" s="27">
        <v>45097</v>
      </c>
      <c r="G213" s="13" t="str">
        <f t="shared" si="89"/>
        <v>000-212/AIB RDC/2023</v>
      </c>
      <c r="H213" s="1">
        <v>0</v>
      </c>
      <c r="I213" s="1" t="s">
        <v>83</v>
      </c>
      <c r="J213" s="29">
        <v>70100015</v>
      </c>
      <c r="K213" s="2" t="s">
        <v>403</v>
      </c>
      <c r="L213" s="1"/>
      <c r="M213" s="1" t="s">
        <v>95</v>
      </c>
      <c r="N213" s="1" t="s">
        <v>146</v>
      </c>
      <c r="O213" s="1" t="s">
        <v>104</v>
      </c>
      <c r="P213" s="1" t="s">
        <v>105</v>
      </c>
      <c r="Q213" s="1" t="s">
        <v>135</v>
      </c>
      <c r="R213" s="1" t="s">
        <v>135</v>
      </c>
      <c r="S213" s="25">
        <v>671056</v>
      </c>
      <c r="T213" s="25">
        <v>4171.5600000000004</v>
      </c>
      <c r="U213" s="25">
        <v>0</v>
      </c>
      <c r="V213" s="25">
        <v>0</v>
      </c>
      <c r="W213" s="25">
        <v>777</v>
      </c>
      <c r="X213" s="25">
        <v>2713.22</v>
      </c>
      <c r="Y213" s="25">
        <v>558.44000000000005</v>
      </c>
      <c r="Z213" s="17">
        <f t="shared" si="90"/>
        <v>4.0432095085954078E-3</v>
      </c>
      <c r="AA213" s="18">
        <v>0.15</v>
      </c>
      <c r="AB213" s="16">
        <f t="shared" si="101"/>
        <v>406.98299999999995</v>
      </c>
      <c r="AC213" s="16">
        <v>0</v>
      </c>
      <c r="AD213" s="16">
        <v>0</v>
      </c>
      <c r="AE213" s="16">
        <v>0</v>
      </c>
      <c r="AF213" s="16">
        <f t="shared" si="91"/>
        <v>406.98299999999995</v>
      </c>
      <c r="AG213" s="16">
        <f t="shared" si="98"/>
        <v>65.117279999999994</v>
      </c>
      <c r="AH213" s="16">
        <f t="shared" si="92"/>
        <v>472.10027999999994</v>
      </c>
      <c r="AI213" s="16">
        <f t="shared" si="99"/>
        <v>8.1396599999999992</v>
      </c>
      <c r="AJ213" s="16">
        <v>0</v>
      </c>
      <c r="AK213" s="16">
        <f t="shared" si="93"/>
        <v>8.1396599999999992</v>
      </c>
      <c r="AL213" s="19"/>
      <c r="AM213" s="16">
        <f t="shared" si="94"/>
        <v>398.84333999999996</v>
      </c>
      <c r="AN213" s="16" t="s">
        <v>147</v>
      </c>
      <c r="AO213" s="20">
        <v>0.4</v>
      </c>
      <c r="AP213" s="16">
        <f t="shared" si="95"/>
        <v>159.53733599999998</v>
      </c>
      <c r="AQ213" s="16">
        <v>159.53733599999998</v>
      </c>
      <c r="AR213" s="15">
        <v>45229</v>
      </c>
      <c r="AS213" s="16">
        <f t="shared" si="96"/>
        <v>0</v>
      </c>
      <c r="AT213" s="16"/>
      <c r="AU213" s="16">
        <v>472.10027999999994</v>
      </c>
      <c r="AV213" s="16">
        <f t="shared" si="88"/>
        <v>472.10027999999994</v>
      </c>
      <c r="AW213" s="16">
        <f t="shared" si="97"/>
        <v>0</v>
      </c>
      <c r="AX213" s="16" t="str">
        <f t="shared" si="100"/>
        <v>RAWSUR</v>
      </c>
      <c r="AY213" s="22">
        <v>45043</v>
      </c>
      <c r="AZ213" s="22"/>
      <c r="BA213" s="1" t="s">
        <v>148</v>
      </c>
      <c r="BB213" s="1" t="s">
        <v>104</v>
      </c>
      <c r="BC213" s="1"/>
      <c r="BD213" s="1"/>
      <c r="BE213" s="1"/>
    </row>
    <row r="214" spans="1:57" ht="12.75" hidden="1">
      <c r="A214" s="2" t="s">
        <v>165</v>
      </c>
      <c r="B214" s="1" t="s">
        <v>58</v>
      </c>
      <c r="C214" s="27">
        <v>45037</v>
      </c>
      <c r="D214" s="27">
        <v>45012</v>
      </c>
      <c r="E214" s="27">
        <v>45012</v>
      </c>
      <c r="F214" s="27">
        <v>45100</v>
      </c>
      <c r="G214" s="13" t="str">
        <f t="shared" si="89"/>
        <v>000-213/AIB RDC/2023</v>
      </c>
      <c r="H214" s="1">
        <v>0</v>
      </c>
      <c r="I214" s="1" t="s">
        <v>83</v>
      </c>
      <c r="J214" s="29">
        <v>73200025</v>
      </c>
      <c r="K214" s="2" t="s">
        <v>403</v>
      </c>
      <c r="L214" s="1"/>
      <c r="M214" s="1" t="s">
        <v>95</v>
      </c>
      <c r="N214" s="1" t="s">
        <v>146</v>
      </c>
      <c r="O214" s="1" t="s">
        <v>104</v>
      </c>
      <c r="P214" s="1" t="s">
        <v>105</v>
      </c>
      <c r="Q214" s="1" t="s">
        <v>135</v>
      </c>
      <c r="R214" s="1" t="s">
        <v>135</v>
      </c>
      <c r="S214" s="25">
        <v>442357.36</v>
      </c>
      <c r="T214" s="25">
        <v>1599.55</v>
      </c>
      <c r="U214" s="25">
        <v>0</v>
      </c>
      <c r="V214" s="25">
        <v>0</v>
      </c>
      <c r="W214" s="25">
        <v>296</v>
      </c>
      <c r="X214" s="25">
        <v>1059.55</v>
      </c>
      <c r="Y214" s="25">
        <v>216.89</v>
      </c>
      <c r="Z214" s="17">
        <f t="shared" si="90"/>
        <v>2.3952353816380492E-3</v>
      </c>
      <c r="AA214" s="18">
        <v>0.15</v>
      </c>
      <c r="AB214" s="16">
        <f t="shared" si="101"/>
        <v>158.93249999999998</v>
      </c>
      <c r="AC214" s="16">
        <v>0</v>
      </c>
      <c r="AD214" s="16">
        <v>0</v>
      </c>
      <c r="AE214" s="16">
        <v>0</v>
      </c>
      <c r="AF214" s="16">
        <f t="shared" si="91"/>
        <v>158.93249999999998</v>
      </c>
      <c r="AG214" s="16">
        <f t="shared" si="98"/>
        <v>25.429199999999998</v>
      </c>
      <c r="AH214" s="16">
        <f t="shared" si="92"/>
        <v>184.36169999999998</v>
      </c>
      <c r="AI214" s="16">
        <f t="shared" si="99"/>
        <v>3.1786499999999998</v>
      </c>
      <c r="AJ214" s="16">
        <v>0</v>
      </c>
      <c r="AK214" s="16">
        <f t="shared" si="93"/>
        <v>3.1786499999999998</v>
      </c>
      <c r="AL214" s="19"/>
      <c r="AM214" s="16">
        <f t="shared" si="94"/>
        <v>155.75384999999997</v>
      </c>
      <c r="AN214" s="16" t="s">
        <v>147</v>
      </c>
      <c r="AO214" s="20">
        <v>0.4</v>
      </c>
      <c r="AP214" s="16">
        <f t="shared" si="95"/>
        <v>62.301539999999989</v>
      </c>
      <c r="AQ214" s="16">
        <v>62.301539999999989</v>
      </c>
      <c r="AR214" s="15">
        <v>45229</v>
      </c>
      <c r="AS214" s="16">
        <f t="shared" si="96"/>
        <v>0</v>
      </c>
      <c r="AT214" s="16"/>
      <c r="AU214" s="16">
        <v>184.36169999999998</v>
      </c>
      <c r="AV214" s="16">
        <f t="shared" si="88"/>
        <v>184.36169999999998</v>
      </c>
      <c r="AW214" s="16">
        <f t="shared" si="97"/>
        <v>0</v>
      </c>
      <c r="AX214" s="16" t="str">
        <f t="shared" si="100"/>
        <v>RAWSUR</v>
      </c>
      <c r="AY214" s="22">
        <v>45043</v>
      </c>
      <c r="AZ214" s="22"/>
      <c r="BA214" s="1" t="s">
        <v>148</v>
      </c>
      <c r="BB214" s="1" t="s">
        <v>104</v>
      </c>
      <c r="BC214" s="1"/>
      <c r="BD214" s="1"/>
      <c r="BE214" s="1"/>
    </row>
    <row r="215" spans="1:57" ht="14.25" customHeight="1">
      <c r="A215" s="2" t="s">
        <v>230</v>
      </c>
      <c r="B215" s="1" t="s">
        <v>58</v>
      </c>
      <c r="C215" s="27">
        <v>45100</v>
      </c>
      <c r="D215" s="27">
        <v>45050</v>
      </c>
      <c r="E215" s="27">
        <v>45050</v>
      </c>
      <c r="F215" s="27">
        <v>45322</v>
      </c>
      <c r="G215" s="13" t="str">
        <f t="shared" si="89"/>
        <v>000-214/AIB RDC/2023</v>
      </c>
      <c r="H215" s="1">
        <v>32</v>
      </c>
      <c r="I215" s="1" t="s">
        <v>59</v>
      </c>
      <c r="J215" s="14" t="s">
        <v>239</v>
      </c>
      <c r="K215" s="2" t="s">
        <v>240</v>
      </c>
      <c r="L215" s="1" t="s">
        <v>139</v>
      </c>
      <c r="M215" s="1" t="s">
        <v>63</v>
      </c>
      <c r="N215" s="1" t="s">
        <v>71</v>
      </c>
      <c r="O215" s="1" t="s">
        <v>133</v>
      </c>
      <c r="P215" s="1" t="s">
        <v>134</v>
      </c>
      <c r="Q215" s="1" t="s">
        <v>76</v>
      </c>
      <c r="R215" s="1" t="s">
        <v>76</v>
      </c>
      <c r="S215" s="25">
        <v>60480</v>
      </c>
      <c r="T215" s="25">
        <v>2233.62</v>
      </c>
      <c r="U215" s="25">
        <v>0</v>
      </c>
      <c r="V215" s="25">
        <v>0</v>
      </c>
      <c r="W215" s="25">
        <v>19.059999999999999</v>
      </c>
      <c r="X215" s="25">
        <v>1906.47</v>
      </c>
      <c r="Y215" s="25">
        <v>308.08480000000003</v>
      </c>
      <c r="Z215" s="17">
        <f t="shared" si="90"/>
        <v>3.1522321428571427E-2</v>
      </c>
      <c r="AA215" s="18">
        <v>0.14705712652179159</v>
      </c>
      <c r="AB215" s="16">
        <f t="shared" si="101"/>
        <v>280.36</v>
      </c>
      <c r="AC215" s="16">
        <v>0</v>
      </c>
      <c r="AD215" s="16">
        <v>0</v>
      </c>
      <c r="AE215" s="16">
        <f>3%*X215</f>
        <v>57.194099999999999</v>
      </c>
      <c r="AF215" s="16">
        <f t="shared" si="91"/>
        <v>337.55410000000001</v>
      </c>
      <c r="AG215" s="16">
        <f t="shared" si="98"/>
        <v>54.008656000000002</v>
      </c>
      <c r="AH215" s="16">
        <f t="shared" si="92"/>
        <v>391.56275600000004</v>
      </c>
      <c r="AI215" s="16">
        <f t="shared" si="99"/>
        <v>5.6072000000000006</v>
      </c>
      <c r="AJ215" s="16">
        <v>0</v>
      </c>
      <c r="AK215" s="16">
        <f t="shared" si="93"/>
        <v>5.6072000000000006</v>
      </c>
      <c r="AL215" s="19"/>
      <c r="AM215" s="16">
        <f t="shared" si="94"/>
        <v>331.94690000000003</v>
      </c>
      <c r="AN215" s="16" t="s">
        <v>228</v>
      </c>
      <c r="AO215" s="20"/>
      <c r="AP215" s="16">
        <f t="shared" si="95"/>
        <v>0</v>
      </c>
      <c r="AQ215" s="16"/>
      <c r="AR215" s="15"/>
      <c r="AS215" s="16">
        <f t="shared" si="96"/>
        <v>0</v>
      </c>
      <c r="AT215" s="16"/>
      <c r="AU215" s="16">
        <v>325.22000000000003</v>
      </c>
      <c r="AV215" s="16">
        <f t="shared" si="88"/>
        <v>391.56275600000004</v>
      </c>
      <c r="AW215" s="60">
        <f t="shared" si="97"/>
        <v>66.342756000000008</v>
      </c>
      <c r="AX215" s="16" t="str">
        <f t="shared" si="100"/>
        <v>ACTIVA</v>
      </c>
      <c r="AY215" s="22">
        <v>45114</v>
      </c>
      <c r="AZ215" s="22"/>
      <c r="BA215" s="1"/>
      <c r="BB215" s="22" t="str">
        <f t="shared" ref="BB215:BB221" si="102">O215</f>
        <v>COMP MOTOR</v>
      </c>
      <c r="BC215" s="1"/>
      <c r="BD215" s="1"/>
      <c r="BE215" s="1"/>
    </row>
    <row r="216" spans="1:57" ht="14.25" hidden="1" customHeight="1">
      <c r="A216" s="2" t="s">
        <v>165</v>
      </c>
      <c r="B216" s="1" t="s">
        <v>58</v>
      </c>
      <c r="C216" s="27">
        <v>45050</v>
      </c>
      <c r="D216" s="27">
        <v>45006</v>
      </c>
      <c r="E216" s="27">
        <v>45001</v>
      </c>
      <c r="F216" s="27">
        <v>45001</v>
      </c>
      <c r="G216" s="13" t="str">
        <f t="shared" si="89"/>
        <v>000-215/AIB RDC/2023</v>
      </c>
      <c r="H216" s="1">
        <v>1</v>
      </c>
      <c r="I216" s="1" t="s">
        <v>443</v>
      </c>
      <c r="J216" s="35" t="s">
        <v>444</v>
      </c>
      <c r="K216" s="1" t="s">
        <v>297</v>
      </c>
      <c r="L216" s="1"/>
      <c r="M216" s="2" t="s">
        <v>99</v>
      </c>
      <c r="N216" s="2" t="s">
        <v>100</v>
      </c>
      <c r="O216" s="1" t="s">
        <v>104</v>
      </c>
      <c r="P216" s="1" t="s">
        <v>105</v>
      </c>
      <c r="Q216" s="1" t="s">
        <v>66</v>
      </c>
      <c r="R216" s="1" t="s">
        <v>66</v>
      </c>
      <c r="S216" s="25">
        <v>0</v>
      </c>
      <c r="T216" s="25">
        <v>-2832.05</v>
      </c>
      <c r="U216" s="25">
        <v>0</v>
      </c>
      <c r="V216" s="25">
        <v>0</v>
      </c>
      <c r="W216" s="25">
        <v>0</v>
      </c>
      <c r="X216" s="25">
        <v>-2441.42</v>
      </c>
      <c r="Y216" s="25">
        <v>-390.63</v>
      </c>
      <c r="Z216" s="17" t="e">
        <f t="shared" si="90"/>
        <v>#DIV/0!</v>
      </c>
      <c r="AA216" s="18">
        <v>0.15</v>
      </c>
      <c r="AB216" s="16">
        <f t="shared" si="101"/>
        <v>-366.21300000000002</v>
      </c>
      <c r="AC216" s="16">
        <v>0</v>
      </c>
      <c r="AD216" s="16">
        <v>0</v>
      </c>
      <c r="AE216" s="16">
        <v>0</v>
      </c>
      <c r="AF216" s="16">
        <f t="shared" si="91"/>
        <v>-366.21300000000002</v>
      </c>
      <c r="AG216" s="16">
        <f t="shared" si="98"/>
        <v>-58.594080000000005</v>
      </c>
      <c r="AH216" s="16">
        <f t="shared" si="92"/>
        <v>-424.80708000000004</v>
      </c>
      <c r="AI216" s="16">
        <f t="shared" si="99"/>
        <v>-7.3242600000000007</v>
      </c>
      <c r="AJ216" s="16">
        <v>0</v>
      </c>
      <c r="AK216" s="16">
        <f t="shared" si="93"/>
        <v>-7.3242600000000007</v>
      </c>
      <c r="AL216" s="19"/>
      <c r="AM216" s="16">
        <f t="shared" si="94"/>
        <v>-358.88874000000004</v>
      </c>
      <c r="AN216" s="16"/>
      <c r="AO216" s="20"/>
      <c r="AP216" s="16">
        <f t="shared" si="95"/>
        <v>0</v>
      </c>
      <c r="AQ216" s="16"/>
      <c r="AR216" s="15"/>
      <c r="AS216" s="16">
        <f t="shared" si="96"/>
        <v>0</v>
      </c>
      <c r="AT216" s="16"/>
      <c r="AU216" s="16">
        <v>-424.80708000000004</v>
      </c>
      <c r="AV216" s="16">
        <f t="shared" si="88"/>
        <v>-424.80708000000004</v>
      </c>
      <c r="AW216" s="16">
        <f t="shared" si="97"/>
        <v>0</v>
      </c>
      <c r="AX216" s="16" t="str">
        <f t="shared" si="100"/>
        <v>SFA</v>
      </c>
      <c r="AY216" s="22">
        <v>45070</v>
      </c>
      <c r="AZ216" s="22"/>
      <c r="BA216" s="1" t="s">
        <v>275</v>
      </c>
      <c r="BB216" s="22" t="str">
        <f t="shared" si="102"/>
        <v>MARINE CARGO / GIT</v>
      </c>
      <c r="BC216" s="1"/>
      <c r="BD216" s="1"/>
      <c r="BE216" s="1"/>
    </row>
    <row r="217" spans="1:57" ht="14.25" hidden="1" customHeight="1">
      <c r="A217" s="2" t="s">
        <v>165</v>
      </c>
      <c r="B217" s="1" t="s">
        <v>58</v>
      </c>
      <c r="C217" s="27">
        <v>45050</v>
      </c>
      <c r="D217" s="27">
        <v>45006</v>
      </c>
      <c r="E217" s="27">
        <v>45001</v>
      </c>
      <c r="F217" s="27">
        <v>45001</v>
      </c>
      <c r="G217" s="13" t="str">
        <f t="shared" si="89"/>
        <v>000-216/AIB RDC/2023</v>
      </c>
      <c r="H217" s="1">
        <v>1</v>
      </c>
      <c r="I217" s="1" t="s">
        <v>443</v>
      </c>
      <c r="J217" s="35" t="s">
        <v>445</v>
      </c>
      <c r="K217" s="1" t="s">
        <v>299</v>
      </c>
      <c r="L217" s="1"/>
      <c r="M217" s="2" t="s">
        <v>99</v>
      </c>
      <c r="N217" s="2" t="s">
        <v>100</v>
      </c>
      <c r="O217" s="1" t="s">
        <v>104</v>
      </c>
      <c r="P217" s="1" t="s">
        <v>105</v>
      </c>
      <c r="Q217" s="1" t="s">
        <v>66</v>
      </c>
      <c r="R217" s="1" t="s">
        <v>66</v>
      </c>
      <c r="S217" s="25">
        <v>0</v>
      </c>
      <c r="T217" s="25">
        <v>-248.62</v>
      </c>
      <c r="U217" s="25">
        <v>0</v>
      </c>
      <c r="V217" s="25">
        <v>0</v>
      </c>
      <c r="W217" s="25">
        <v>0</v>
      </c>
      <c r="X217" s="25">
        <v>-214.33</v>
      </c>
      <c r="Y217" s="25">
        <v>-34.29</v>
      </c>
      <c r="Z217" s="17" t="e">
        <f t="shared" si="90"/>
        <v>#DIV/0!</v>
      </c>
      <c r="AA217" s="18">
        <v>0.15</v>
      </c>
      <c r="AB217" s="16">
        <f t="shared" si="101"/>
        <v>-32.149500000000003</v>
      </c>
      <c r="AC217" s="16">
        <v>0</v>
      </c>
      <c r="AD217" s="16">
        <v>0</v>
      </c>
      <c r="AE217" s="16">
        <v>0</v>
      </c>
      <c r="AF217" s="16">
        <f t="shared" si="91"/>
        <v>-32.149500000000003</v>
      </c>
      <c r="AG217" s="16">
        <f t="shared" si="98"/>
        <v>-5.1439200000000005</v>
      </c>
      <c r="AH217" s="16">
        <f t="shared" si="92"/>
        <v>-37.293420000000005</v>
      </c>
      <c r="AI217" s="16">
        <f t="shared" si="99"/>
        <v>-0.64299000000000006</v>
      </c>
      <c r="AJ217" s="16">
        <v>0</v>
      </c>
      <c r="AK217" s="16">
        <f t="shared" si="93"/>
        <v>-0.64299000000000006</v>
      </c>
      <c r="AL217" s="19"/>
      <c r="AM217" s="16">
        <f t="shared" si="94"/>
        <v>-31.506510000000002</v>
      </c>
      <c r="AN217" s="16"/>
      <c r="AO217" s="20"/>
      <c r="AP217" s="16">
        <f t="shared" si="95"/>
        <v>0</v>
      </c>
      <c r="AQ217" s="16"/>
      <c r="AR217" s="15"/>
      <c r="AS217" s="16">
        <f t="shared" si="96"/>
        <v>0</v>
      </c>
      <c r="AT217" s="16"/>
      <c r="AU217" s="16">
        <v>-37.293420000000005</v>
      </c>
      <c r="AV217" s="16">
        <f t="shared" si="88"/>
        <v>-37.293420000000005</v>
      </c>
      <c r="AW217" s="16">
        <f t="shared" si="97"/>
        <v>0</v>
      </c>
      <c r="AX217" s="16" t="str">
        <f t="shared" si="100"/>
        <v>SFA</v>
      </c>
      <c r="AY217" s="22">
        <v>45070</v>
      </c>
      <c r="AZ217" s="22"/>
      <c r="BA217" s="1" t="s">
        <v>275</v>
      </c>
      <c r="BB217" s="22" t="str">
        <f t="shared" si="102"/>
        <v>MARINE CARGO / GIT</v>
      </c>
      <c r="BC217" s="1"/>
      <c r="BD217" s="1"/>
      <c r="BE217" s="1"/>
    </row>
    <row r="218" spans="1:57" ht="14.25" hidden="1" customHeight="1">
      <c r="A218" s="2" t="s">
        <v>165</v>
      </c>
      <c r="B218" s="1" t="s">
        <v>58</v>
      </c>
      <c r="C218" s="27">
        <v>45050</v>
      </c>
      <c r="D218" s="27">
        <v>44991</v>
      </c>
      <c r="E218" s="27">
        <v>44991</v>
      </c>
      <c r="F218" s="27">
        <v>45093</v>
      </c>
      <c r="G218" s="13" t="str">
        <f t="shared" si="89"/>
        <v>000-217/AIB RDC/2023</v>
      </c>
      <c r="H218" s="1">
        <v>4</v>
      </c>
      <c r="I218" s="1" t="s">
        <v>59</v>
      </c>
      <c r="J218" s="29" t="s">
        <v>446</v>
      </c>
      <c r="K218" s="2" t="s">
        <v>447</v>
      </c>
      <c r="L218" s="1"/>
      <c r="M218" s="2" t="s">
        <v>95</v>
      </c>
      <c r="N218" s="2" t="s">
        <v>96</v>
      </c>
      <c r="O218" s="1" t="s">
        <v>133</v>
      </c>
      <c r="P218" s="1" t="s">
        <v>134</v>
      </c>
      <c r="Q218" s="1" t="s">
        <v>66</v>
      </c>
      <c r="R218" s="1" t="s">
        <v>66</v>
      </c>
      <c r="S218" s="25">
        <v>41379</v>
      </c>
      <c r="T218" s="25">
        <v>500.1</v>
      </c>
      <c r="U218" s="25">
        <v>0</v>
      </c>
      <c r="V218" s="25">
        <v>0</v>
      </c>
      <c r="W218" s="25">
        <v>3.8</v>
      </c>
      <c r="X218" s="25">
        <v>418.32</v>
      </c>
      <c r="Y218" s="25">
        <v>67.540000000000006</v>
      </c>
      <c r="Z218" s="17">
        <f t="shared" si="90"/>
        <v>1.0109475821068657E-2</v>
      </c>
      <c r="AA218" s="18">
        <v>0.15</v>
      </c>
      <c r="AB218" s="16">
        <f t="shared" si="101"/>
        <v>62.747999999999998</v>
      </c>
      <c r="AC218" s="16">
        <v>0</v>
      </c>
      <c r="AD218" s="16">
        <v>0</v>
      </c>
      <c r="AE218" s="16">
        <v>0</v>
      </c>
      <c r="AF218" s="16">
        <f t="shared" si="91"/>
        <v>62.747999999999998</v>
      </c>
      <c r="AG218" s="16">
        <f t="shared" si="98"/>
        <v>10.039680000000001</v>
      </c>
      <c r="AH218" s="16">
        <f t="shared" si="92"/>
        <v>72.787679999999995</v>
      </c>
      <c r="AI218" s="16">
        <f t="shared" si="99"/>
        <v>1.2549600000000001</v>
      </c>
      <c r="AJ218" s="16">
        <v>0</v>
      </c>
      <c r="AK218" s="16">
        <f t="shared" si="93"/>
        <v>1.2549600000000001</v>
      </c>
      <c r="AL218" s="19"/>
      <c r="AM218" s="16">
        <f t="shared" si="94"/>
        <v>61.493040000000001</v>
      </c>
      <c r="AN218" s="16"/>
      <c r="AO218" s="20"/>
      <c r="AP218" s="16">
        <f t="shared" si="95"/>
        <v>0</v>
      </c>
      <c r="AQ218" s="16"/>
      <c r="AR218" s="15"/>
      <c r="AS218" s="16">
        <f t="shared" si="96"/>
        <v>0</v>
      </c>
      <c r="AT218" s="16"/>
      <c r="AU218" s="16">
        <v>72.787679999999995</v>
      </c>
      <c r="AV218" s="16">
        <f t="shared" si="88"/>
        <v>72.787679999999995</v>
      </c>
      <c r="AW218" s="16">
        <f t="shared" si="97"/>
        <v>0</v>
      </c>
      <c r="AX218" s="16" t="str">
        <f t="shared" si="100"/>
        <v>SFA</v>
      </c>
      <c r="AY218" s="22">
        <v>45070</v>
      </c>
      <c r="AZ218" s="22"/>
      <c r="BA218" s="1" t="s">
        <v>275</v>
      </c>
      <c r="BB218" s="22" t="str">
        <f t="shared" si="102"/>
        <v>COMP MOTOR</v>
      </c>
      <c r="BC218" s="1"/>
      <c r="BD218" s="1"/>
      <c r="BE218" s="1" t="s">
        <v>448</v>
      </c>
    </row>
    <row r="219" spans="1:57" ht="14.25" hidden="1" customHeight="1">
      <c r="A219" s="2" t="s">
        <v>157</v>
      </c>
      <c r="B219" s="1" t="s">
        <v>58</v>
      </c>
      <c r="C219" s="27">
        <v>45050</v>
      </c>
      <c r="D219" s="27">
        <v>44991</v>
      </c>
      <c r="E219" s="27">
        <v>44980</v>
      </c>
      <c r="F219" s="27">
        <v>45175</v>
      </c>
      <c r="G219" s="13" t="str">
        <f t="shared" si="89"/>
        <v>000-218/AIB RDC/2023</v>
      </c>
      <c r="H219" s="1">
        <v>3</v>
      </c>
      <c r="I219" s="1" t="s">
        <v>59</v>
      </c>
      <c r="J219" s="29" t="s">
        <v>449</v>
      </c>
      <c r="K219" s="24" t="s">
        <v>450</v>
      </c>
      <c r="L219" s="1" t="s">
        <v>62</v>
      </c>
      <c r="M219" s="1" t="s">
        <v>63</v>
      </c>
      <c r="N219" s="1" t="s">
        <v>71</v>
      </c>
      <c r="O219" s="1" t="s">
        <v>65</v>
      </c>
      <c r="P219" s="1" t="s">
        <v>65</v>
      </c>
      <c r="Q219" s="1" t="s">
        <v>66</v>
      </c>
      <c r="R219" s="1" t="s">
        <v>66</v>
      </c>
      <c r="S219" s="25">
        <v>0</v>
      </c>
      <c r="T219" s="25">
        <v>1173.71</v>
      </c>
      <c r="U219" s="25">
        <v>0</v>
      </c>
      <c r="V219" s="25">
        <v>0</v>
      </c>
      <c r="W219" s="25">
        <v>13</v>
      </c>
      <c r="X219" s="25">
        <v>979.99</v>
      </c>
      <c r="Y219" s="25">
        <v>158.87</v>
      </c>
      <c r="Z219" s="17" t="e">
        <f t="shared" si="90"/>
        <v>#DIV/0!</v>
      </c>
      <c r="AA219" s="18">
        <v>0.1</v>
      </c>
      <c r="AB219" s="16">
        <f t="shared" si="101"/>
        <v>97.999000000000009</v>
      </c>
      <c r="AC219" s="16">
        <v>0</v>
      </c>
      <c r="AD219" s="16">
        <v>0</v>
      </c>
      <c r="AE219" s="16">
        <v>0</v>
      </c>
      <c r="AF219" s="16">
        <f t="shared" si="91"/>
        <v>97.999000000000009</v>
      </c>
      <c r="AG219" s="16">
        <f t="shared" si="98"/>
        <v>15.679840000000002</v>
      </c>
      <c r="AH219" s="16">
        <f t="shared" si="92"/>
        <v>113.67884000000001</v>
      </c>
      <c r="AI219" s="16">
        <f t="shared" si="99"/>
        <v>1.9599800000000003</v>
      </c>
      <c r="AJ219" s="16">
        <v>0</v>
      </c>
      <c r="AK219" s="16">
        <f t="shared" si="93"/>
        <v>1.9599800000000003</v>
      </c>
      <c r="AL219" s="19"/>
      <c r="AM219" s="16">
        <f t="shared" si="94"/>
        <v>96.039020000000008</v>
      </c>
      <c r="AN219" s="16" t="s">
        <v>206</v>
      </c>
      <c r="AO219" s="20">
        <v>0.5</v>
      </c>
      <c r="AP219" s="16">
        <f t="shared" si="95"/>
        <v>48.019510000000004</v>
      </c>
      <c r="AQ219" s="16">
        <v>48.02</v>
      </c>
      <c r="AR219" s="15">
        <v>45219</v>
      </c>
      <c r="AS219" s="16">
        <f t="shared" si="96"/>
        <v>-4.8999999999921329E-4</v>
      </c>
      <c r="AT219" s="16"/>
      <c r="AU219" s="16">
        <v>113.67884000000001</v>
      </c>
      <c r="AV219" s="16">
        <f t="shared" si="88"/>
        <v>113.67884000000001</v>
      </c>
      <c r="AW219" s="16">
        <f t="shared" si="97"/>
        <v>0</v>
      </c>
      <c r="AX219" s="16" t="str">
        <f t="shared" si="100"/>
        <v>SFA</v>
      </c>
      <c r="AY219" s="22">
        <v>45070</v>
      </c>
      <c r="AZ219" s="22"/>
      <c r="BA219" s="1"/>
      <c r="BB219" s="22" t="str">
        <f t="shared" si="102"/>
        <v>MOTOR TPL</v>
      </c>
      <c r="BC219" s="1"/>
      <c r="BD219" s="1"/>
      <c r="BE219" s="1"/>
    </row>
    <row r="220" spans="1:57" ht="14.25" hidden="1" customHeight="1">
      <c r="A220" s="2" t="s">
        <v>165</v>
      </c>
      <c r="B220" s="1" t="s">
        <v>58</v>
      </c>
      <c r="C220" s="27">
        <v>45050</v>
      </c>
      <c r="D220" s="27">
        <v>45013</v>
      </c>
      <c r="E220" s="27">
        <v>45009</v>
      </c>
      <c r="F220" s="27">
        <v>45208</v>
      </c>
      <c r="G220" s="13" t="str">
        <f t="shared" si="89"/>
        <v>000-219/AIB RDC/2023</v>
      </c>
      <c r="H220" s="1">
        <v>1</v>
      </c>
      <c r="I220" s="1" t="s">
        <v>59</v>
      </c>
      <c r="J220" s="29" t="s">
        <v>451</v>
      </c>
      <c r="K220" s="24" t="s">
        <v>452</v>
      </c>
      <c r="L220" s="1" t="s">
        <v>62</v>
      </c>
      <c r="M220" s="1" t="s">
        <v>63</v>
      </c>
      <c r="N220" s="1" t="s">
        <v>64</v>
      </c>
      <c r="O220" s="1" t="s">
        <v>65</v>
      </c>
      <c r="P220" s="1" t="s">
        <v>65</v>
      </c>
      <c r="Q220" s="1" t="s">
        <v>66</v>
      </c>
      <c r="R220" s="1" t="s">
        <v>66</v>
      </c>
      <c r="S220" s="25">
        <v>0</v>
      </c>
      <c r="T220" s="25">
        <v>360.15</v>
      </c>
      <c r="U220" s="25">
        <v>0</v>
      </c>
      <c r="V220" s="25">
        <v>0</v>
      </c>
      <c r="W220" s="25">
        <v>8.42</v>
      </c>
      <c r="X220" s="25">
        <v>295.10000000000002</v>
      </c>
      <c r="Y220" s="25">
        <v>48.56</v>
      </c>
      <c r="Z220" s="17" t="e">
        <f t="shared" si="90"/>
        <v>#DIV/0!</v>
      </c>
      <c r="AA220" s="18">
        <v>0.1</v>
      </c>
      <c r="AB220" s="16">
        <f t="shared" si="101"/>
        <v>29.510000000000005</v>
      </c>
      <c r="AC220" s="16">
        <v>0</v>
      </c>
      <c r="AD220" s="16">
        <v>0</v>
      </c>
      <c r="AE220" s="16">
        <v>0</v>
      </c>
      <c r="AF220" s="16">
        <f t="shared" si="91"/>
        <v>29.510000000000005</v>
      </c>
      <c r="AG220" s="16">
        <f t="shared" si="98"/>
        <v>4.7216000000000014</v>
      </c>
      <c r="AH220" s="16">
        <f t="shared" si="92"/>
        <v>34.231600000000007</v>
      </c>
      <c r="AI220" s="16">
        <f t="shared" si="99"/>
        <v>0.59020000000000017</v>
      </c>
      <c r="AJ220" s="16">
        <v>0</v>
      </c>
      <c r="AK220" s="16">
        <f t="shared" si="93"/>
        <v>0.59020000000000017</v>
      </c>
      <c r="AL220" s="19"/>
      <c r="AM220" s="16">
        <f t="shared" si="94"/>
        <v>28.919800000000006</v>
      </c>
      <c r="AN220" s="16"/>
      <c r="AO220" s="20"/>
      <c r="AP220" s="16">
        <f t="shared" si="95"/>
        <v>0</v>
      </c>
      <c r="AQ220" s="16"/>
      <c r="AR220" s="15"/>
      <c r="AS220" s="16">
        <f t="shared" si="96"/>
        <v>0</v>
      </c>
      <c r="AT220" s="16"/>
      <c r="AU220" s="16">
        <v>34.231600000000007</v>
      </c>
      <c r="AV220" s="16">
        <f t="shared" si="88"/>
        <v>34.231600000000007</v>
      </c>
      <c r="AW220" s="16">
        <f t="shared" si="97"/>
        <v>0</v>
      </c>
      <c r="AX220" s="16" t="str">
        <f t="shared" si="100"/>
        <v>SFA</v>
      </c>
      <c r="AY220" s="22">
        <v>45070</v>
      </c>
      <c r="AZ220" s="22"/>
      <c r="BA220" s="1"/>
      <c r="BB220" s="22" t="str">
        <f t="shared" si="102"/>
        <v>MOTOR TPL</v>
      </c>
      <c r="BC220" s="1"/>
      <c r="BD220" s="1"/>
      <c r="BE220" s="1"/>
    </row>
    <row r="221" spans="1:57" ht="14.25" hidden="1" customHeight="1">
      <c r="A221" s="2" t="s">
        <v>165</v>
      </c>
      <c r="B221" s="1" t="s">
        <v>58</v>
      </c>
      <c r="C221" s="27">
        <v>45015</v>
      </c>
      <c r="D221" s="27">
        <v>45008</v>
      </c>
      <c r="E221" s="27">
        <v>45008</v>
      </c>
      <c r="F221" s="27">
        <v>45373</v>
      </c>
      <c r="G221" s="13" t="str">
        <f t="shared" si="89"/>
        <v>000-220/AIB RDC/2023</v>
      </c>
      <c r="H221" s="1">
        <v>1</v>
      </c>
      <c r="I221" s="1" t="s">
        <v>68</v>
      </c>
      <c r="J221" s="1" t="s">
        <v>453</v>
      </c>
      <c r="K221" s="1" t="s">
        <v>424</v>
      </c>
      <c r="L221" s="1" t="s">
        <v>139</v>
      </c>
      <c r="M221" s="1" t="s">
        <v>63</v>
      </c>
      <c r="N221" s="1" t="s">
        <v>71</v>
      </c>
      <c r="O221" s="1" t="s">
        <v>111</v>
      </c>
      <c r="P221" s="1" t="s">
        <v>112</v>
      </c>
      <c r="Q221" s="1" t="s">
        <v>117</v>
      </c>
      <c r="R221" s="1" t="s">
        <v>117</v>
      </c>
      <c r="S221" s="25">
        <v>0</v>
      </c>
      <c r="T221" s="40">
        <v>1288.76</v>
      </c>
      <c r="U221" s="25">
        <v>0</v>
      </c>
      <c r="V221" s="25">
        <v>0</v>
      </c>
      <c r="W221" s="40">
        <v>11</v>
      </c>
      <c r="X221" s="40">
        <v>1100</v>
      </c>
      <c r="Y221" s="40">
        <v>177.76</v>
      </c>
      <c r="Z221" s="17" t="e">
        <f t="shared" si="90"/>
        <v>#DIV/0!</v>
      </c>
      <c r="AA221" s="41">
        <v>0.1</v>
      </c>
      <c r="AB221" s="16">
        <f t="shared" si="101"/>
        <v>110</v>
      </c>
      <c r="AC221" s="16">
        <v>0</v>
      </c>
      <c r="AD221" s="16">
        <v>0</v>
      </c>
      <c r="AE221" s="16">
        <v>0</v>
      </c>
      <c r="AF221" s="16">
        <f t="shared" si="91"/>
        <v>110</v>
      </c>
      <c r="AG221" s="16">
        <f t="shared" si="98"/>
        <v>17.600000000000001</v>
      </c>
      <c r="AH221" s="16">
        <f t="shared" si="92"/>
        <v>127.6</v>
      </c>
      <c r="AI221" s="16">
        <f t="shared" si="99"/>
        <v>2.2000000000000002</v>
      </c>
      <c r="AJ221" s="16">
        <v>0</v>
      </c>
      <c r="AK221" s="16">
        <f t="shared" si="93"/>
        <v>2.2000000000000002</v>
      </c>
      <c r="AL221" s="19"/>
      <c r="AM221" s="16">
        <f t="shared" si="94"/>
        <v>107.8</v>
      </c>
      <c r="AN221" s="40" t="s">
        <v>206</v>
      </c>
      <c r="AO221" s="20">
        <v>0.5</v>
      </c>
      <c r="AP221" s="16">
        <f t="shared" si="95"/>
        <v>53.9</v>
      </c>
      <c r="AQ221" s="16">
        <v>53.9</v>
      </c>
      <c r="AR221" s="15">
        <v>45219</v>
      </c>
      <c r="AS221" s="16">
        <f t="shared" si="96"/>
        <v>0</v>
      </c>
      <c r="AT221" s="16"/>
      <c r="AU221" s="16">
        <v>127.6</v>
      </c>
      <c r="AV221" s="16">
        <f t="shared" si="88"/>
        <v>127.6</v>
      </c>
      <c r="AW221" s="16">
        <f t="shared" si="97"/>
        <v>0</v>
      </c>
      <c r="AX221" s="16" t="str">
        <f t="shared" si="100"/>
        <v>SUNU</v>
      </c>
      <c r="AY221" s="22">
        <v>45117</v>
      </c>
      <c r="AZ221" s="22"/>
      <c r="BA221" s="1"/>
      <c r="BB221" s="22" t="str">
        <f t="shared" si="102"/>
        <v>GENERAL LIABILITY</v>
      </c>
      <c r="BC221" s="1"/>
      <c r="BD221" s="1"/>
      <c r="BE221" s="1"/>
    </row>
    <row r="222" spans="1:57" ht="14.25" customHeight="1">
      <c r="A222" s="2" t="s">
        <v>871</v>
      </c>
      <c r="B222" s="1" t="s">
        <v>58</v>
      </c>
      <c r="C222" s="27">
        <v>45162</v>
      </c>
      <c r="D222" s="27">
        <v>45153</v>
      </c>
      <c r="E222" s="27">
        <v>45153</v>
      </c>
      <c r="F222" s="21">
        <v>45322</v>
      </c>
      <c r="G222" s="13" t="str">
        <f t="shared" si="89"/>
        <v>000-221/AIB RDC/2023</v>
      </c>
      <c r="H222" s="1">
        <v>38</v>
      </c>
      <c r="I222" s="1" t="s">
        <v>59</v>
      </c>
      <c r="J222" s="29" t="s">
        <v>239</v>
      </c>
      <c r="K222" s="1" t="s">
        <v>240</v>
      </c>
      <c r="L222" s="1" t="s">
        <v>139</v>
      </c>
      <c r="M222" s="1" t="s">
        <v>63</v>
      </c>
      <c r="N222" s="1" t="s">
        <v>71</v>
      </c>
      <c r="O222" s="1" t="s">
        <v>133</v>
      </c>
      <c r="P222" s="1" t="s">
        <v>134</v>
      </c>
      <c r="Q222" s="1" t="s">
        <v>76</v>
      </c>
      <c r="R222" s="1" t="s">
        <v>76</v>
      </c>
      <c r="S222" s="25">
        <v>152474</v>
      </c>
      <c r="T222" s="25">
        <v>4025.2</v>
      </c>
      <c r="U222" s="25">
        <v>0</v>
      </c>
      <c r="V222" s="25">
        <v>0</v>
      </c>
      <c r="W222" s="25">
        <v>34.36</v>
      </c>
      <c r="X222" s="25">
        <v>3435.64</v>
      </c>
      <c r="Y222" s="25">
        <v>555.20000000000005</v>
      </c>
      <c r="Z222" s="17">
        <f t="shared" si="90"/>
        <v>2.2532628513713814E-2</v>
      </c>
      <c r="AA222" s="18">
        <v>0.14873998009116199</v>
      </c>
      <c r="AB222" s="16">
        <f t="shared" si="101"/>
        <v>511.01702520039976</v>
      </c>
      <c r="AC222" s="16">
        <v>0</v>
      </c>
      <c r="AD222" s="16">
        <v>0</v>
      </c>
      <c r="AE222" s="16">
        <f>3%*X222</f>
        <v>103.0692</v>
      </c>
      <c r="AF222" s="16">
        <f t="shared" si="91"/>
        <v>614.08622520039978</v>
      </c>
      <c r="AG222" s="16">
        <f t="shared" si="98"/>
        <v>98.253796032063974</v>
      </c>
      <c r="AH222" s="16">
        <f t="shared" si="92"/>
        <v>712.34002123246376</v>
      </c>
      <c r="AI222" s="16">
        <f t="shared" si="99"/>
        <v>10.220340504007995</v>
      </c>
      <c r="AJ222" s="16">
        <v>0</v>
      </c>
      <c r="AK222" s="16">
        <f t="shared" si="93"/>
        <v>10.220340504007995</v>
      </c>
      <c r="AL222" s="19"/>
      <c r="AM222" s="16">
        <f t="shared" si="94"/>
        <v>603.86588469639173</v>
      </c>
      <c r="AN222" s="16" t="s">
        <v>228</v>
      </c>
      <c r="AO222" s="20"/>
      <c r="AP222" s="16">
        <f t="shared" si="95"/>
        <v>0</v>
      </c>
      <c r="AQ222" s="16"/>
      <c r="AR222" s="15"/>
      <c r="AS222" s="16">
        <f t="shared" si="96"/>
        <v>0</v>
      </c>
      <c r="AT222" s="16"/>
      <c r="AU222" s="16">
        <f>395.19</f>
        <v>395.19</v>
      </c>
      <c r="AV222" s="16">
        <f t="shared" si="88"/>
        <v>712.34002123246376</v>
      </c>
      <c r="AW222" s="60">
        <f t="shared" si="97"/>
        <v>317.15002123246376</v>
      </c>
      <c r="AX222" s="16" t="str">
        <f t="shared" si="100"/>
        <v>ACTIVA</v>
      </c>
      <c r="AY222" s="22">
        <v>45222</v>
      </c>
      <c r="AZ222" s="22"/>
      <c r="BA222" s="1"/>
      <c r="BB222" s="22"/>
      <c r="BC222" s="1"/>
      <c r="BD222" s="1"/>
      <c r="BE222" s="1"/>
    </row>
    <row r="223" spans="1:57" ht="14.25" hidden="1" customHeight="1">
      <c r="A223" s="2" t="s">
        <v>165</v>
      </c>
      <c r="B223" s="1" t="s">
        <v>58</v>
      </c>
      <c r="C223" s="27">
        <v>44928</v>
      </c>
      <c r="D223" s="27">
        <v>44995</v>
      </c>
      <c r="E223" s="27">
        <v>44995</v>
      </c>
      <c r="F223" s="27">
        <v>45359</v>
      </c>
      <c r="G223" s="13" t="str">
        <f t="shared" si="89"/>
        <v>000-222/AIB RDC/2023</v>
      </c>
      <c r="H223" s="1">
        <v>0</v>
      </c>
      <c r="I223" s="1" t="s">
        <v>83</v>
      </c>
      <c r="J223" s="23" t="s">
        <v>455</v>
      </c>
      <c r="K223" s="1" t="s">
        <v>167</v>
      </c>
      <c r="L223" s="1"/>
      <c r="M223" s="1" t="s">
        <v>95</v>
      </c>
      <c r="N223" s="1" t="s">
        <v>146</v>
      </c>
      <c r="O223" s="1" t="s">
        <v>104</v>
      </c>
      <c r="P223" s="1" t="s">
        <v>105</v>
      </c>
      <c r="Q223" s="1" t="s">
        <v>66</v>
      </c>
      <c r="R223" s="1" t="s">
        <v>66</v>
      </c>
      <c r="S223" s="25">
        <v>189518.23</v>
      </c>
      <c r="T223" s="40">
        <v>354.09</v>
      </c>
      <c r="U223" s="25">
        <v>0</v>
      </c>
      <c r="V223" s="25">
        <v>0</v>
      </c>
      <c r="W223" s="40">
        <v>4.43</v>
      </c>
      <c r="X223" s="40">
        <v>295.64999999999998</v>
      </c>
      <c r="Y223" s="40">
        <v>48.01</v>
      </c>
      <c r="Z223" s="17">
        <f t="shared" si="90"/>
        <v>1.5600082377299532E-3</v>
      </c>
      <c r="AA223" s="41">
        <v>0.15</v>
      </c>
      <c r="AB223" s="16">
        <f t="shared" si="101"/>
        <v>44.347499999999997</v>
      </c>
      <c r="AC223" s="16">
        <v>0</v>
      </c>
      <c r="AD223" s="16">
        <v>0</v>
      </c>
      <c r="AE223" s="16">
        <v>0</v>
      </c>
      <c r="AF223" s="16">
        <f t="shared" si="91"/>
        <v>44.347499999999997</v>
      </c>
      <c r="AG223" s="16">
        <f t="shared" si="98"/>
        <v>7.0955999999999992</v>
      </c>
      <c r="AH223" s="16">
        <f t="shared" si="92"/>
        <v>51.443099999999994</v>
      </c>
      <c r="AI223" s="16">
        <f t="shared" si="99"/>
        <v>0.88694999999999991</v>
      </c>
      <c r="AJ223" s="16">
        <v>0</v>
      </c>
      <c r="AK223" s="16">
        <f t="shared" si="93"/>
        <v>0.88694999999999991</v>
      </c>
      <c r="AL223" s="19"/>
      <c r="AM223" s="16">
        <f t="shared" si="94"/>
        <v>43.460549999999998</v>
      </c>
      <c r="AN223" s="16" t="s">
        <v>147</v>
      </c>
      <c r="AO223" s="20">
        <v>0.4</v>
      </c>
      <c r="AP223" s="16">
        <f t="shared" si="95"/>
        <v>17.384219999999999</v>
      </c>
      <c r="AQ223" s="16">
        <v>17.384219999999999</v>
      </c>
      <c r="AR223" s="15">
        <v>45229</v>
      </c>
      <c r="AS223" s="16">
        <f t="shared" si="96"/>
        <v>0</v>
      </c>
      <c r="AT223" s="16"/>
      <c r="AU223" s="16">
        <v>51.443099999999994</v>
      </c>
      <c r="AV223" s="16">
        <f t="shared" si="88"/>
        <v>51.443099999999994</v>
      </c>
      <c r="AW223" s="16">
        <f t="shared" si="97"/>
        <v>0</v>
      </c>
      <c r="AX223" s="16" t="str">
        <f t="shared" si="100"/>
        <v>SFA</v>
      </c>
      <c r="AY223" s="22">
        <v>45070</v>
      </c>
      <c r="AZ223" s="22"/>
      <c r="BA223" s="1" t="s">
        <v>148</v>
      </c>
      <c r="BB223" s="22" t="str">
        <f t="shared" ref="BB223:BB231" si="103">O223</f>
        <v>MARINE CARGO / GIT</v>
      </c>
      <c r="BC223" s="1"/>
      <c r="BD223" s="1"/>
      <c r="BE223" s="1"/>
    </row>
    <row r="224" spans="1:57" ht="14.25" hidden="1" customHeight="1">
      <c r="A224" s="2" t="s">
        <v>165</v>
      </c>
      <c r="B224" s="1" t="s">
        <v>58</v>
      </c>
      <c r="C224" s="27">
        <v>45023</v>
      </c>
      <c r="D224" s="27">
        <v>45005</v>
      </c>
      <c r="E224" s="27">
        <v>45005</v>
      </c>
      <c r="F224" s="27">
        <v>45370</v>
      </c>
      <c r="G224" s="13" t="str">
        <f t="shared" si="89"/>
        <v>000-223/AIB RDC/2023</v>
      </c>
      <c r="H224" s="1">
        <v>0</v>
      </c>
      <c r="I224" s="1" t="s">
        <v>83</v>
      </c>
      <c r="J224" s="14" t="s">
        <v>456</v>
      </c>
      <c r="K224" s="1" t="s">
        <v>214</v>
      </c>
      <c r="L224" s="1" t="s">
        <v>62</v>
      </c>
      <c r="M224" s="1" t="s">
        <v>63</v>
      </c>
      <c r="N224" s="1" t="s">
        <v>71</v>
      </c>
      <c r="O224" s="1" t="s">
        <v>89</v>
      </c>
      <c r="P224" s="1" t="s">
        <v>89</v>
      </c>
      <c r="Q224" s="1" t="s">
        <v>90</v>
      </c>
      <c r="R224" s="1" t="s">
        <v>90</v>
      </c>
      <c r="S224" s="25">
        <v>0</v>
      </c>
      <c r="T224" s="40">
        <v>116000</v>
      </c>
      <c r="U224" s="16">
        <v>0</v>
      </c>
      <c r="V224" s="16">
        <v>0</v>
      </c>
      <c r="W224" s="40">
        <v>0</v>
      </c>
      <c r="X224" s="40">
        <v>114851.49</v>
      </c>
      <c r="Y224" s="40">
        <v>0</v>
      </c>
      <c r="Z224" s="17" t="e">
        <f t="shared" si="90"/>
        <v>#DIV/0!</v>
      </c>
      <c r="AA224" s="41">
        <v>0.1</v>
      </c>
      <c r="AB224" s="16">
        <f t="shared" si="101"/>
        <v>11485.149000000001</v>
      </c>
      <c r="AC224" s="16">
        <v>0</v>
      </c>
      <c r="AD224" s="16">
        <v>0</v>
      </c>
      <c r="AE224" s="16">
        <v>0</v>
      </c>
      <c r="AF224" s="16">
        <f t="shared" si="91"/>
        <v>11485.149000000001</v>
      </c>
      <c r="AG224" s="16">
        <v>0</v>
      </c>
      <c r="AH224" s="16">
        <f t="shared" si="92"/>
        <v>11485.149000000001</v>
      </c>
      <c r="AI224" s="16">
        <f>1%*(AB224+AC224+AD224)</f>
        <v>114.85149000000001</v>
      </c>
      <c r="AJ224" s="16">
        <v>0</v>
      </c>
      <c r="AK224" s="16">
        <f t="shared" si="93"/>
        <v>114.85149000000001</v>
      </c>
      <c r="AL224" s="19"/>
      <c r="AM224" s="16">
        <f t="shared" si="94"/>
        <v>11370.29751</v>
      </c>
      <c r="AN224" s="40" t="s">
        <v>228</v>
      </c>
      <c r="AO224" s="1">
        <v>0</v>
      </c>
      <c r="AP224" s="16">
        <f t="shared" si="95"/>
        <v>0</v>
      </c>
      <c r="AQ224" s="16"/>
      <c r="AR224" s="15"/>
      <c r="AS224" s="16">
        <f t="shared" si="96"/>
        <v>0</v>
      </c>
      <c r="AT224" s="16"/>
      <c r="AU224" s="16">
        <v>11485.149000000001</v>
      </c>
      <c r="AV224" s="16">
        <f t="shared" si="88"/>
        <v>11485.149000000001</v>
      </c>
      <c r="AW224" s="16">
        <f t="shared" si="97"/>
        <v>0</v>
      </c>
      <c r="AX224" s="16" t="str">
        <f t="shared" si="100"/>
        <v>RAWSUR - LIFE</v>
      </c>
      <c r="AY224" s="22">
        <v>45083</v>
      </c>
      <c r="AZ224" s="22"/>
      <c r="BA224" s="1"/>
      <c r="BB224" s="22" t="str">
        <f t="shared" si="103"/>
        <v>LIFE</v>
      </c>
      <c r="BC224" s="1"/>
      <c r="BD224" s="1"/>
      <c r="BE224" s="1"/>
    </row>
    <row r="225" spans="1:57" ht="14.25" hidden="1" customHeight="1">
      <c r="A225" s="2" t="s">
        <v>406</v>
      </c>
      <c r="B225" s="1" t="s">
        <v>58</v>
      </c>
      <c r="C225" s="27">
        <v>45044</v>
      </c>
      <c r="D225" s="27">
        <v>45044</v>
      </c>
      <c r="E225" s="27">
        <v>45037</v>
      </c>
      <c r="F225" s="27">
        <v>45401</v>
      </c>
      <c r="G225" s="13" t="str">
        <f t="shared" si="89"/>
        <v>000-224/AIB RDC/2023</v>
      </c>
      <c r="H225" s="1">
        <v>0</v>
      </c>
      <c r="I225" s="1" t="s">
        <v>83</v>
      </c>
      <c r="J225" s="14" t="s">
        <v>457</v>
      </c>
      <c r="K225" s="1" t="s">
        <v>214</v>
      </c>
      <c r="L225" s="1" t="s">
        <v>62</v>
      </c>
      <c r="M225" s="1" t="s">
        <v>63</v>
      </c>
      <c r="N225" s="1" t="s">
        <v>71</v>
      </c>
      <c r="O225" s="1" t="s">
        <v>385</v>
      </c>
      <c r="P225" s="1" t="s">
        <v>112</v>
      </c>
      <c r="Q225" s="1" t="s">
        <v>66</v>
      </c>
      <c r="R225" s="1" t="s">
        <v>66</v>
      </c>
      <c r="S225" s="25">
        <v>0</v>
      </c>
      <c r="T225" s="40">
        <v>57417.38</v>
      </c>
      <c r="U225" s="25">
        <v>7266.44</v>
      </c>
      <c r="V225" s="25">
        <v>0</v>
      </c>
      <c r="W225" s="40">
        <v>215.88</v>
      </c>
      <c r="X225" s="40">
        <v>41176.47</v>
      </c>
      <c r="Y225" s="40">
        <v>7785.41</v>
      </c>
      <c r="Z225" s="17" t="e">
        <f t="shared" si="90"/>
        <v>#DIV/0!</v>
      </c>
      <c r="AA225" s="41">
        <v>0.15</v>
      </c>
      <c r="AB225" s="16">
        <f t="shared" si="101"/>
        <v>6176.4705000000004</v>
      </c>
      <c r="AC225" s="16">
        <v>0</v>
      </c>
      <c r="AD225" s="16">
        <v>0</v>
      </c>
      <c r="AE225" s="16">
        <v>0</v>
      </c>
      <c r="AF225" s="16">
        <f t="shared" si="91"/>
        <v>6176.4705000000004</v>
      </c>
      <c r="AG225" s="16">
        <f t="shared" ref="AG225:AG243" si="104">16%*AF225</f>
        <v>988.2352800000001</v>
      </c>
      <c r="AH225" s="16">
        <f t="shared" si="92"/>
        <v>7164.7057800000002</v>
      </c>
      <c r="AI225" s="16">
        <f t="shared" ref="AI225:AI243" si="105">2%*(AB225+AC225+AD225)</f>
        <v>123.52941000000001</v>
      </c>
      <c r="AJ225" s="16">
        <v>0</v>
      </c>
      <c r="AK225" s="16">
        <f t="shared" si="93"/>
        <v>123.52941000000001</v>
      </c>
      <c r="AL225" s="19"/>
      <c r="AM225" s="16">
        <f t="shared" si="94"/>
        <v>6052.9410900000003</v>
      </c>
      <c r="AN225" s="40" t="s">
        <v>228</v>
      </c>
      <c r="AO225" s="20">
        <v>0</v>
      </c>
      <c r="AP225" s="16">
        <f t="shared" si="95"/>
        <v>0</v>
      </c>
      <c r="AQ225" s="16"/>
      <c r="AR225" s="15"/>
      <c r="AS225" s="16">
        <f t="shared" si="96"/>
        <v>0</v>
      </c>
      <c r="AT225" s="16"/>
      <c r="AU225" s="16">
        <v>7164.7057800000002</v>
      </c>
      <c r="AV225" s="16">
        <f t="shared" si="88"/>
        <v>7164.7057800000002</v>
      </c>
      <c r="AW225" s="16">
        <f t="shared" si="97"/>
        <v>0</v>
      </c>
      <c r="AX225" s="16" t="str">
        <f t="shared" si="100"/>
        <v>SFA</v>
      </c>
      <c r="AY225" s="22">
        <v>45076</v>
      </c>
      <c r="AZ225" s="22"/>
      <c r="BA225" s="1"/>
      <c r="BB225" s="22" t="str">
        <f t="shared" si="103"/>
        <v>PUBLIC LIABILITY</v>
      </c>
      <c r="BC225" s="1"/>
      <c r="BD225" s="1"/>
      <c r="BE225" s="1"/>
    </row>
    <row r="226" spans="1:57" ht="14.25" customHeight="1">
      <c r="A226" s="2" t="s">
        <v>784</v>
      </c>
      <c r="B226" s="1" t="s">
        <v>169</v>
      </c>
      <c r="C226" s="27">
        <v>45026</v>
      </c>
      <c r="D226" s="27"/>
      <c r="E226" s="27">
        <v>45170</v>
      </c>
      <c r="F226" s="27">
        <v>45322</v>
      </c>
      <c r="G226" s="13" t="str">
        <f t="shared" si="89"/>
        <v>000-225/AIB RDC/2023</v>
      </c>
      <c r="H226" s="1">
        <v>39</v>
      </c>
      <c r="I226" s="1" t="s">
        <v>59</v>
      </c>
      <c r="J226" s="29" t="s">
        <v>1107</v>
      </c>
      <c r="K226" s="2" t="s">
        <v>240</v>
      </c>
      <c r="L226" s="1" t="s">
        <v>139</v>
      </c>
      <c r="M226" s="1" t="s">
        <v>63</v>
      </c>
      <c r="N226" s="1" t="s">
        <v>71</v>
      </c>
      <c r="O226" s="1" t="s">
        <v>133</v>
      </c>
      <c r="P226" s="1" t="s">
        <v>134</v>
      </c>
      <c r="Q226" s="1" t="s">
        <v>76</v>
      </c>
      <c r="R226" s="1" t="s">
        <v>76</v>
      </c>
      <c r="S226" s="25">
        <v>37927</v>
      </c>
      <c r="T226" s="25">
        <v>928.86</v>
      </c>
      <c r="U226" s="25">
        <v>0</v>
      </c>
      <c r="V226" s="25">
        <v>0</v>
      </c>
      <c r="W226" s="25">
        <v>10</v>
      </c>
      <c r="X226" s="25">
        <v>790.74</v>
      </c>
      <c r="Y226" s="25">
        <v>128.12</v>
      </c>
      <c r="Z226" s="17">
        <f t="shared" si="90"/>
        <v>2.0848999393571863E-2</v>
      </c>
      <c r="AA226" s="18">
        <v>0.14860000000000001</v>
      </c>
      <c r="AB226" s="16">
        <f t="shared" si="101"/>
        <v>117.50396400000001</v>
      </c>
      <c r="AC226" s="16">
        <v>0</v>
      </c>
      <c r="AD226" s="16">
        <v>0</v>
      </c>
      <c r="AE226" s="16">
        <f>3%*X226</f>
        <v>23.722200000000001</v>
      </c>
      <c r="AF226" s="16">
        <f t="shared" si="91"/>
        <v>141.22616400000001</v>
      </c>
      <c r="AG226" s="16">
        <f t="shared" si="104"/>
        <v>22.596186240000002</v>
      </c>
      <c r="AH226" s="16">
        <f t="shared" si="92"/>
        <v>163.82235024000002</v>
      </c>
      <c r="AI226" s="16">
        <f t="shared" si="105"/>
        <v>2.3500792800000001</v>
      </c>
      <c r="AJ226" s="16">
        <v>0</v>
      </c>
      <c r="AK226" s="16">
        <f t="shared" si="93"/>
        <v>2.3500792800000001</v>
      </c>
      <c r="AL226" s="19"/>
      <c r="AM226" s="16">
        <f t="shared" si="94"/>
        <v>138.87608472000002</v>
      </c>
      <c r="AN226" s="16" t="s">
        <v>228</v>
      </c>
      <c r="AO226" s="20"/>
      <c r="AP226" s="16">
        <f t="shared" si="95"/>
        <v>0</v>
      </c>
      <c r="AQ226" s="16"/>
      <c r="AR226" s="15"/>
      <c r="AS226" s="16">
        <f t="shared" si="96"/>
        <v>0</v>
      </c>
      <c r="AT226" s="16"/>
      <c r="AU226" s="16"/>
      <c r="AV226" s="16">
        <f t="shared" si="88"/>
        <v>163.82235024000002</v>
      </c>
      <c r="AW226" s="60">
        <f t="shared" si="97"/>
        <v>163.82235024000002</v>
      </c>
      <c r="AX226" s="16" t="str">
        <f t="shared" si="100"/>
        <v>ACTIVA</v>
      </c>
      <c r="AY226" s="22"/>
      <c r="BA226" s="1"/>
      <c r="BB226" s="22" t="str">
        <f t="shared" si="103"/>
        <v>COMP MOTOR</v>
      </c>
      <c r="BC226" s="1"/>
      <c r="BD226" s="1"/>
      <c r="BE226" s="1"/>
    </row>
    <row r="227" spans="1:57" ht="14.25" customHeight="1">
      <c r="A227" s="2" t="s">
        <v>784</v>
      </c>
      <c r="B227" s="1" t="s">
        <v>169</v>
      </c>
      <c r="C227" s="27">
        <v>45026</v>
      </c>
      <c r="D227" s="27"/>
      <c r="E227" s="27">
        <v>45177</v>
      </c>
      <c r="F227" s="27">
        <v>45322</v>
      </c>
      <c r="G227" s="13" t="str">
        <f t="shared" si="89"/>
        <v>000-226/AIB RDC/2023</v>
      </c>
      <c r="H227" s="1">
        <v>40</v>
      </c>
      <c r="I227" s="1" t="s">
        <v>59</v>
      </c>
      <c r="J227" s="29" t="s">
        <v>1107</v>
      </c>
      <c r="K227" s="2" t="s">
        <v>240</v>
      </c>
      <c r="L227" s="1" t="s">
        <v>139</v>
      </c>
      <c r="M227" s="1" t="s">
        <v>63</v>
      </c>
      <c r="N227" s="1" t="s">
        <v>71</v>
      </c>
      <c r="O227" s="1" t="s">
        <v>133</v>
      </c>
      <c r="P227" s="1" t="s">
        <v>134</v>
      </c>
      <c r="Q227" s="1" t="s">
        <v>76</v>
      </c>
      <c r="R227" s="1" t="s">
        <v>76</v>
      </c>
      <c r="S227" s="25">
        <v>234375.8</v>
      </c>
      <c r="T227" s="25">
        <v>4508.2299999999996</v>
      </c>
      <c r="U227" s="25">
        <v>0</v>
      </c>
      <c r="V227" s="25">
        <v>0</v>
      </c>
      <c r="W227" s="25">
        <v>38.479999999999997</v>
      </c>
      <c r="X227" s="25">
        <v>3848.01</v>
      </c>
      <c r="Y227" s="25">
        <v>621.84</v>
      </c>
      <c r="Z227" s="17">
        <f t="shared" si="90"/>
        <v>1.6418119959483873E-2</v>
      </c>
      <c r="AA227" s="18">
        <v>0.14885616201621096</v>
      </c>
      <c r="AB227" s="16">
        <f t="shared" si="101"/>
        <v>572.79999999999995</v>
      </c>
      <c r="AC227" s="16">
        <v>0</v>
      </c>
      <c r="AD227" s="16">
        <v>0</v>
      </c>
      <c r="AE227" s="16">
        <f>3%*X227</f>
        <v>115.44030000000001</v>
      </c>
      <c r="AF227" s="16">
        <f t="shared" si="91"/>
        <v>688.24029999999993</v>
      </c>
      <c r="AG227" s="16">
        <f t="shared" si="104"/>
        <v>110.11844799999999</v>
      </c>
      <c r="AH227" s="16">
        <f t="shared" si="92"/>
        <v>798.35874799999988</v>
      </c>
      <c r="AI227" s="16">
        <f t="shared" si="105"/>
        <v>11.456</v>
      </c>
      <c r="AJ227" s="16">
        <v>0</v>
      </c>
      <c r="AK227" s="16">
        <f t="shared" si="93"/>
        <v>11.456</v>
      </c>
      <c r="AL227" s="19"/>
      <c r="AM227" s="16">
        <f t="shared" si="94"/>
        <v>676.78429999999992</v>
      </c>
      <c r="AN227" s="16" t="s">
        <v>228</v>
      </c>
      <c r="AO227" s="20"/>
      <c r="AP227" s="16">
        <f t="shared" si="95"/>
        <v>0</v>
      </c>
      <c r="AQ227" s="16"/>
      <c r="AR227" s="15"/>
      <c r="AS227" s="16">
        <f t="shared" si="96"/>
        <v>0</v>
      </c>
      <c r="AT227" s="16"/>
      <c r="AU227" s="16"/>
      <c r="AV227" s="16">
        <f t="shared" ref="AV227:AV258" si="106">AH227</f>
        <v>798.35874799999988</v>
      </c>
      <c r="AW227" s="60">
        <f t="shared" si="97"/>
        <v>798.35874799999988</v>
      </c>
      <c r="AX227" s="16" t="str">
        <f t="shared" si="100"/>
        <v>ACTIVA</v>
      </c>
      <c r="AY227" s="22"/>
      <c r="BA227" s="1"/>
      <c r="BB227" s="22" t="str">
        <f t="shared" si="103"/>
        <v>COMP MOTOR</v>
      </c>
      <c r="BC227" s="1"/>
      <c r="BD227" s="1"/>
      <c r="BE227" s="1"/>
    </row>
    <row r="228" spans="1:57" ht="14.25" hidden="1" customHeight="1">
      <c r="A228" s="2" t="s">
        <v>406</v>
      </c>
      <c r="B228" s="1" t="s">
        <v>58</v>
      </c>
      <c r="C228" s="27">
        <v>45040</v>
      </c>
      <c r="D228" s="27">
        <v>45036</v>
      </c>
      <c r="E228" s="27">
        <v>45035</v>
      </c>
      <c r="F228" s="27">
        <v>45034</v>
      </c>
      <c r="G228" s="13" t="str">
        <f t="shared" si="89"/>
        <v>000-227/AIB RDC/2023</v>
      </c>
      <c r="H228" s="1">
        <v>0</v>
      </c>
      <c r="I228" s="1" t="s">
        <v>83</v>
      </c>
      <c r="J228" s="14" t="s">
        <v>458</v>
      </c>
      <c r="K228" s="24" t="s">
        <v>450</v>
      </c>
      <c r="L228" s="1" t="s">
        <v>62</v>
      </c>
      <c r="M228" s="1" t="s">
        <v>63</v>
      </c>
      <c r="N228" s="1" t="s">
        <v>71</v>
      </c>
      <c r="O228" s="1" t="s">
        <v>133</v>
      </c>
      <c r="P228" s="1" t="s">
        <v>134</v>
      </c>
      <c r="Q228" s="1" t="s">
        <v>66</v>
      </c>
      <c r="R228" s="1" t="s">
        <v>66</v>
      </c>
      <c r="S228" s="25">
        <v>0</v>
      </c>
      <c r="T228" s="40">
        <v>26056.14</v>
      </c>
      <c r="U228" s="25">
        <v>0</v>
      </c>
      <c r="V228" s="25">
        <v>0</v>
      </c>
      <c r="W228" s="40">
        <v>365.65</v>
      </c>
      <c r="X228" s="40">
        <v>21715.84</v>
      </c>
      <c r="Y228" s="40">
        <v>3533.03</v>
      </c>
      <c r="Z228" s="17" t="e">
        <f t="shared" si="90"/>
        <v>#DIV/0!</v>
      </c>
      <c r="AA228" s="41">
        <v>0.15</v>
      </c>
      <c r="AB228" s="16">
        <f t="shared" si="101"/>
        <v>3257.3759999999997</v>
      </c>
      <c r="AC228" s="16">
        <v>0</v>
      </c>
      <c r="AD228" s="16">
        <v>0</v>
      </c>
      <c r="AE228" s="16">
        <v>0</v>
      </c>
      <c r="AF228" s="16">
        <f t="shared" si="91"/>
        <v>3257.3759999999997</v>
      </c>
      <c r="AG228" s="16">
        <f t="shared" si="104"/>
        <v>521.18016</v>
      </c>
      <c r="AH228" s="16">
        <f t="shared" si="92"/>
        <v>3778.5561599999996</v>
      </c>
      <c r="AI228" s="16">
        <f t="shared" si="105"/>
        <v>65.14752</v>
      </c>
      <c r="AJ228" s="16">
        <v>0</v>
      </c>
      <c r="AK228" s="16">
        <f t="shared" si="93"/>
        <v>65.14752</v>
      </c>
      <c r="AL228" s="19"/>
      <c r="AM228" s="16">
        <f t="shared" si="94"/>
        <v>3192.2284799999998</v>
      </c>
      <c r="AN228" s="16" t="s">
        <v>206</v>
      </c>
      <c r="AO228" s="20">
        <v>0.5</v>
      </c>
      <c r="AP228" s="16">
        <f t="shared" si="95"/>
        <v>1596.1142399999999</v>
      </c>
      <c r="AQ228" s="16">
        <v>1596.11</v>
      </c>
      <c r="AR228" s="15">
        <v>45219</v>
      </c>
      <c r="AS228" s="16">
        <f t="shared" si="96"/>
        <v>4.2399999999815918E-3</v>
      </c>
      <c r="AT228" s="16"/>
      <c r="AU228" s="16">
        <v>3778.5561599999996</v>
      </c>
      <c r="AV228" s="16">
        <f t="shared" si="106"/>
        <v>3778.5561599999996</v>
      </c>
      <c r="AW228" s="16">
        <f t="shared" si="97"/>
        <v>0</v>
      </c>
      <c r="AX228" s="16" t="str">
        <f t="shared" si="100"/>
        <v>SFA</v>
      </c>
      <c r="AY228" s="22">
        <v>45076</v>
      </c>
      <c r="AZ228" s="22"/>
      <c r="BA228" s="1"/>
      <c r="BB228" s="22" t="str">
        <f t="shared" si="103"/>
        <v>COMP MOTOR</v>
      </c>
      <c r="BC228" s="1"/>
      <c r="BD228" s="1"/>
      <c r="BE228" s="1"/>
    </row>
    <row r="229" spans="1:57" ht="14.25" hidden="1" customHeight="1">
      <c r="A229" s="2" t="s">
        <v>165</v>
      </c>
      <c r="B229" s="1" t="s">
        <v>58</v>
      </c>
      <c r="C229" s="27">
        <v>45050</v>
      </c>
      <c r="D229" s="27">
        <v>45007</v>
      </c>
      <c r="E229" s="27">
        <v>45000</v>
      </c>
      <c r="F229" s="27">
        <v>45310</v>
      </c>
      <c r="G229" s="13" t="str">
        <f t="shared" si="89"/>
        <v>000-228/AIB RDC/2023</v>
      </c>
      <c r="H229" s="1">
        <v>21</v>
      </c>
      <c r="I229" s="1" t="s">
        <v>59</v>
      </c>
      <c r="J229" s="14" t="s">
        <v>153</v>
      </c>
      <c r="K229" s="1" t="s">
        <v>154</v>
      </c>
      <c r="L229" s="1"/>
      <c r="M229" s="1" t="s">
        <v>95</v>
      </c>
      <c r="N229" s="1" t="s">
        <v>96</v>
      </c>
      <c r="O229" s="1" t="s">
        <v>65</v>
      </c>
      <c r="P229" s="1" t="s">
        <v>65</v>
      </c>
      <c r="Q229" s="1" t="s">
        <v>66</v>
      </c>
      <c r="R229" s="1" t="s">
        <v>66</v>
      </c>
      <c r="S229" s="25">
        <v>0</v>
      </c>
      <c r="T229" s="25">
        <v>3818.66</v>
      </c>
      <c r="U229" s="25">
        <v>0</v>
      </c>
      <c r="V229" s="25">
        <v>0</v>
      </c>
      <c r="W229" s="25">
        <v>87.22</v>
      </c>
      <c r="X229" s="25">
        <v>3147.24</v>
      </c>
      <c r="Y229" s="25">
        <v>517.51</v>
      </c>
      <c r="Z229" s="17" t="e">
        <f t="shared" si="90"/>
        <v>#DIV/0!</v>
      </c>
      <c r="AA229" s="18">
        <v>0.1</v>
      </c>
      <c r="AB229" s="16">
        <f t="shared" si="101"/>
        <v>314.72399999999999</v>
      </c>
      <c r="AC229" s="16">
        <v>0</v>
      </c>
      <c r="AD229" s="16">
        <v>0</v>
      </c>
      <c r="AE229" s="16">
        <v>0</v>
      </c>
      <c r="AF229" s="16">
        <f t="shared" si="91"/>
        <v>314.72399999999999</v>
      </c>
      <c r="AG229" s="16">
        <f t="shared" si="104"/>
        <v>50.355840000000001</v>
      </c>
      <c r="AH229" s="16">
        <f t="shared" si="92"/>
        <v>365.07983999999999</v>
      </c>
      <c r="AI229" s="16">
        <f t="shared" si="105"/>
        <v>6.2944800000000001</v>
      </c>
      <c r="AJ229" s="16">
        <v>0</v>
      </c>
      <c r="AK229" s="16">
        <f t="shared" si="93"/>
        <v>6.2944800000000001</v>
      </c>
      <c r="AL229" s="19"/>
      <c r="AM229" s="16">
        <f t="shared" si="94"/>
        <v>308.42951999999997</v>
      </c>
      <c r="AN229" s="16"/>
      <c r="AO229" s="20"/>
      <c r="AP229" s="16">
        <f t="shared" si="95"/>
        <v>0</v>
      </c>
      <c r="AQ229" s="16"/>
      <c r="AR229" s="15"/>
      <c r="AS229" s="16">
        <f t="shared" si="96"/>
        <v>0</v>
      </c>
      <c r="AT229" s="16"/>
      <c r="AU229" s="16">
        <v>365.07983999999999</v>
      </c>
      <c r="AV229" s="16">
        <f t="shared" si="106"/>
        <v>365.07983999999999</v>
      </c>
      <c r="AW229" s="16">
        <f t="shared" si="97"/>
        <v>0</v>
      </c>
      <c r="AX229" s="16" t="str">
        <f t="shared" si="100"/>
        <v>SFA</v>
      </c>
      <c r="AY229" s="22">
        <v>45070</v>
      </c>
      <c r="AZ229" s="22"/>
      <c r="BA229" s="1"/>
      <c r="BB229" s="22" t="str">
        <f t="shared" si="103"/>
        <v>MOTOR TPL</v>
      </c>
      <c r="BC229" s="1"/>
      <c r="BD229" s="1"/>
      <c r="BE229" s="1"/>
    </row>
    <row r="230" spans="1:57" ht="14.25" hidden="1" customHeight="1">
      <c r="A230" s="2" t="s">
        <v>406</v>
      </c>
      <c r="B230" s="1" t="s">
        <v>58</v>
      </c>
      <c r="C230" s="27">
        <v>45036</v>
      </c>
      <c r="D230" s="27">
        <v>45036</v>
      </c>
      <c r="E230" s="27">
        <v>45039</v>
      </c>
      <c r="F230" s="27">
        <v>45404</v>
      </c>
      <c r="G230" s="13" t="str">
        <f t="shared" si="89"/>
        <v>000-229/AIB RDC/2023</v>
      </c>
      <c r="H230" s="1">
        <v>0</v>
      </c>
      <c r="I230" s="1" t="s">
        <v>83</v>
      </c>
      <c r="J230" s="1" t="s">
        <v>459</v>
      </c>
      <c r="K230" s="1" t="s">
        <v>419</v>
      </c>
      <c r="L230" s="1" t="s">
        <v>62</v>
      </c>
      <c r="M230" s="1" t="s">
        <v>63</v>
      </c>
      <c r="N230" s="1" t="s">
        <v>71</v>
      </c>
      <c r="O230" s="1" t="s">
        <v>65</v>
      </c>
      <c r="P230" s="1" t="s">
        <v>65</v>
      </c>
      <c r="Q230" s="1" t="s">
        <v>66</v>
      </c>
      <c r="R230" s="1" t="s">
        <v>66</v>
      </c>
      <c r="S230" s="25">
        <v>0</v>
      </c>
      <c r="T230" s="40">
        <v>234535.5</v>
      </c>
      <c r="U230" s="25">
        <v>0</v>
      </c>
      <c r="V230" s="25">
        <v>0</v>
      </c>
      <c r="W230" s="40">
        <v>3871.39</v>
      </c>
      <c r="X230" s="40">
        <v>194887.52</v>
      </c>
      <c r="Y230" s="40">
        <v>31801.42</v>
      </c>
      <c r="Z230" s="17" t="e">
        <f t="shared" si="90"/>
        <v>#DIV/0!</v>
      </c>
      <c r="AA230" s="41">
        <v>0.1</v>
      </c>
      <c r="AB230" s="16">
        <f t="shared" si="101"/>
        <v>19488.752</v>
      </c>
      <c r="AC230" s="16">
        <v>0</v>
      </c>
      <c r="AD230" s="16">
        <v>0</v>
      </c>
      <c r="AE230" s="16">
        <v>0</v>
      </c>
      <c r="AF230" s="16">
        <f t="shared" si="91"/>
        <v>19488.752</v>
      </c>
      <c r="AG230" s="16">
        <f t="shared" si="104"/>
        <v>3118.2003199999999</v>
      </c>
      <c r="AH230" s="16">
        <f t="shared" si="92"/>
        <v>22606.95232</v>
      </c>
      <c r="AI230" s="16">
        <f t="shared" si="105"/>
        <v>389.77503999999999</v>
      </c>
      <c r="AJ230" s="16"/>
      <c r="AK230" s="16">
        <f t="shared" si="93"/>
        <v>389.77503999999999</v>
      </c>
      <c r="AL230" s="19"/>
      <c r="AM230" s="16">
        <f t="shared" si="94"/>
        <v>19098.97696</v>
      </c>
      <c r="AN230" s="40" t="s">
        <v>319</v>
      </c>
      <c r="AO230" s="20"/>
      <c r="AP230" s="16">
        <f t="shared" si="95"/>
        <v>0</v>
      </c>
      <c r="AQ230" s="16"/>
      <c r="AR230" s="15"/>
      <c r="AS230" s="16">
        <f t="shared" si="96"/>
        <v>0</v>
      </c>
      <c r="AT230" s="16"/>
      <c r="AU230" s="16">
        <v>22606.95232</v>
      </c>
      <c r="AV230" s="16">
        <f t="shared" si="106"/>
        <v>22606.95232</v>
      </c>
      <c r="AW230" s="16">
        <f t="shared" si="97"/>
        <v>0</v>
      </c>
      <c r="AX230" s="16" t="str">
        <f t="shared" si="100"/>
        <v>SFA</v>
      </c>
      <c r="AY230" s="22">
        <v>45100</v>
      </c>
      <c r="AZ230" s="22"/>
      <c r="BA230" s="1"/>
      <c r="BB230" s="22" t="str">
        <f t="shared" si="103"/>
        <v>MOTOR TPL</v>
      </c>
      <c r="BC230" s="1"/>
      <c r="BD230" s="1"/>
      <c r="BE230" s="1"/>
    </row>
    <row r="231" spans="1:57" ht="14.25" hidden="1" customHeight="1">
      <c r="A231" s="2" t="s">
        <v>406</v>
      </c>
      <c r="B231" s="1" t="s">
        <v>58</v>
      </c>
      <c r="C231" s="27">
        <v>45037</v>
      </c>
      <c r="D231" s="27">
        <v>45037</v>
      </c>
      <c r="E231" s="27">
        <v>45038</v>
      </c>
      <c r="F231" s="27">
        <v>45403</v>
      </c>
      <c r="G231" s="13" t="str">
        <f t="shared" si="89"/>
        <v>000-230/AIB RDC/2023</v>
      </c>
      <c r="H231" s="1">
        <v>0</v>
      </c>
      <c r="I231" s="1" t="s">
        <v>83</v>
      </c>
      <c r="J231" s="14" t="s">
        <v>460</v>
      </c>
      <c r="K231" s="1" t="s">
        <v>461</v>
      </c>
      <c r="L231" s="1"/>
      <c r="M231" s="1" t="s">
        <v>63</v>
      </c>
      <c r="N231" s="1" t="s">
        <v>71</v>
      </c>
      <c r="O231" s="1" t="s">
        <v>65</v>
      </c>
      <c r="P231" s="1" t="s">
        <v>65</v>
      </c>
      <c r="Q231" s="1" t="s">
        <v>66</v>
      </c>
      <c r="R231" s="1" t="s">
        <v>66</v>
      </c>
      <c r="S231" s="25"/>
      <c r="T231" s="40">
        <v>229.93</v>
      </c>
      <c r="U231" s="25">
        <v>0</v>
      </c>
      <c r="V231" s="25">
        <v>0</v>
      </c>
      <c r="W231" s="40">
        <v>4.8499999999999996</v>
      </c>
      <c r="X231" s="40">
        <v>190</v>
      </c>
      <c r="Y231" s="40">
        <v>31.18</v>
      </c>
      <c r="Z231" s="17" t="e">
        <f t="shared" si="90"/>
        <v>#DIV/0!</v>
      </c>
      <c r="AA231" s="41">
        <v>0.125</v>
      </c>
      <c r="AB231" s="16">
        <f t="shared" si="101"/>
        <v>23.75</v>
      </c>
      <c r="AC231" s="16"/>
      <c r="AD231" s="16"/>
      <c r="AE231" s="16">
        <v>0</v>
      </c>
      <c r="AF231" s="16">
        <f t="shared" si="91"/>
        <v>23.75</v>
      </c>
      <c r="AG231" s="16">
        <f t="shared" si="104"/>
        <v>3.8000000000000003</v>
      </c>
      <c r="AH231" s="16">
        <f t="shared" si="92"/>
        <v>27.55</v>
      </c>
      <c r="AI231" s="16">
        <f t="shared" si="105"/>
        <v>0.47500000000000003</v>
      </c>
      <c r="AJ231" s="16"/>
      <c r="AK231" s="16">
        <f t="shared" si="93"/>
        <v>0.47500000000000003</v>
      </c>
      <c r="AL231" s="19"/>
      <c r="AM231" s="16">
        <f t="shared" si="94"/>
        <v>23.274999999999999</v>
      </c>
      <c r="AN231" s="40" t="s">
        <v>319</v>
      </c>
      <c r="AO231" s="20"/>
      <c r="AP231" s="16">
        <f t="shared" si="95"/>
        <v>0</v>
      </c>
      <c r="AQ231" s="16"/>
      <c r="AR231" s="15"/>
      <c r="AS231" s="16">
        <f t="shared" si="96"/>
        <v>0</v>
      </c>
      <c r="AT231" s="16"/>
      <c r="AU231" s="16">
        <v>27.55</v>
      </c>
      <c r="AV231" s="16">
        <f t="shared" si="106"/>
        <v>27.55</v>
      </c>
      <c r="AW231" s="16">
        <f t="shared" si="97"/>
        <v>0</v>
      </c>
      <c r="AX231" s="16" t="str">
        <f t="shared" si="100"/>
        <v>SFA</v>
      </c>
      <c r="AY231" s="22">
        <v>45076</v>
      </c>
      <c r="AZ231" s="22"/>
      <c r="BA231" s="1"/>
      <c r="BB231" s="22" t="str">
        <f t="shared" si="103"/>
        <v>MOTOR TPL</v>
      </c>
      <c r="BC231" s="1"/>
      <c r="BD231" s="1"/>
      <c r="BE231" s="1"/>
    </row>
    <row r="232" spans="1:57" ht="14.25" hidden="1" customHeight="1">
      <c r="A232" s="2" t="s">
        <v>165</v>
      </c>
      <c r="B232" s="1" t="s">
        <v>58</v>
      </c>
      <c r="C232" s="27">
        <v>45037</v>
      </c>
      <c r="D232" s="27">
        <v>45017</v>
      </c>
      <c r="E232" s="27">
        <v>45012</v>
      </c>
      <c r="F232" s="27">
        <v>45103</v>
      </c>
      <c r="G232" s="13" t="str">
        <f t="shared" si="89"/>
        <v>000-231/AIB RDC/2023</v>
      </c>
      <c r="H232" s="1">
        <v>0</v>
      </c>
      <c r="I232" s="1" t="s">
        <v>83</v>
      </c>
      <c r="J232" s="29">
        <v>70100016</v>
      </c>
      <c r="K232" s="2" t="s">
        <v>403</v>
      </c>
      <c r="L232" s="1"/>
      <c r="M232" s="1" t="s">
        <v>95</v>
      </c>
      <c r="N232" s="1" t="s">
        <v>146</v>
      </c>
      <c r="O232" s="1" t="s">
        <v>104</v>
      </c>
      <c r="P232" s="1" t="s">
        <v>105</v>
      </c>
      <c r="Q232" s="1" t="s">
        <v>135</v>
      </c>
      <c r="R232" s="1" t="s">
        <v>135</v>
      </c>
      <c r="S232" s="25">
        <v>189956.96</v>
      </c>
      <c r="T232" s="25">
        <v>1239.19</v>
      </c>
      <c r="U232" s="25">
        <v>0</v>
      </c>
      <c r="V232" s="25">
        <v>0</v>
      </c>
      <c r="W232" s="25">
        <v>222</v>
      </c>
      <c r="X232" s="25">
        <v>828.16</v>
      </c>
      <c r="Y232" s="25">
        <v>168.03</v>
      </c>
      <c r="Z232" s="17">
        <f t="shared" si="90"/>
        <v>4.3597244344192494E-3</v>
      </c>
      <c r="AA232" s="18">
        <v>0.15</v>
      </c>
      <c r="AB232" s="16">
        <f t="shared" si="101"/>
        <v>124.22399999999999</v>
      </c>
      <c r="AC232" s="16">
        <v>0</v>
      </c>
      <c r="AD232" s="16">
        <v>0</v>
      </c>
      <c r="AE232" s="16">
        <v>0</v>
      </c>
      <c r="AF232" s="16">
        <f t="shared" si="91"/>
        <v>124.22399999999999</v>
      </c>
      <c r="AG232" s="16">
        <f t="shared" si="104"/>
        <v>19.87584</v>
      </c>
      <c r="AH232" s="16">
        <f t="shared" si="92"/>
        <v>144.09984</v>
      </c>
      <c r="AI232" s="16">
        <f t="shared" si="105"/>
        <v>2.48448</v>
      </c>
      <c r="AJ232" s="16">
        <v>0</v>
      </c>
      <c r="AK232" s="16">
        <f t="shared" si="93"/>
        <v>2.48448</v>
      </c>
      <c r="AL232" s="19"/>
      <c r="AM232" s="16">
        <f t="shared" si="94"/>
        <v>121.73951999999998</v>
      </c>
      <c r="AN232" s="16" t="s">
        <v>147</v>
      </c>
      <c r="AO232" s="20">
        <v>0.4</v>
      </c>
      <c r="AP232" s="16">
        <f t="shared" si="95"/>
        <v>48.695808</v>
      </c>
      <c r="AQ232" s="16">
        <v>48.695808</v>
      </c>
      <c r="AR232" s="15">
        <v>45229</v>
      </c>
      <c r="AS232" s="16">
        <f t="shared" si="96"/>
        <v>0</v>
      </c>
      <c r="AT232" s="16"/>
      <c r="AU232" s="16">
        <v>144.09984</v>
      </c>
      <c r="AV232" s="16">
        <f t="shared" si="106"/>
        <v>144.09984</v>
      </c>
      <c r="AW232" s="16">
        <f t="shared" si="97"/>
        <v>0</v>
      </c>
      <c r="AX232" s="16" t="str">
        <f t="shared" si="100"/>
        <v>RAWSUR</v>
      </c>
      <c r="AY232" s="22">
        <v>45043</v>
      </c>
      <c r="AZ232" s="22"/>
      <c r="BA232" s="1" t="s">
        <v>148</v>
      </c>
      <c r="BB232" s="1" t="s">
        <v>104</v>
      </c>
      <c r="BC232" s="1"/>
      <c r="BD232" s="1"/>
      <c r="BE232" s="1"/>
    </row>
    <row r="233" spans="1:57" ht="14.25" customHeight="1">
      <c r="A233" s="2" t="s">
        <v>871</v>
      </c>
      <c r="B233" s="1" t="s">
        <v>169</v>
      </c>
      <c r="C233" s="27">
        <v>45240</v>
      </c>
      <c r="D233" s="27">
        <v>45239</v>
      </c>
      <c r="E233" s="27">
        <v>45153</v>
      </c>
      <c r="F233" s="21">
        <v>45322</v>
      </c>
      <c r="G233" s="13" t="str">
        <f t="shared" si="89"/>
        <v>000-232/AIB RDC/2023</v>
      </c>
      <c r="H233" s="1">
        <v>41</v>
      </c>
      <c r="I233" s="1" t="s">
        <v>59</v>
      </c>
      <c r="J233" s="29" t="s">
        <v>1107</v>
      </c>
      <c r="K233" s="2" t="s">
        <v>240</v>
      </c>
      <c r="L233" s="1" t="s">
        <v>139</v>
      </c>
      <c r="M233" s="1" t="s">
        <v>63</v>
      </c>
      <c r="N233" s="1" t="s">
        <v>71</v>
      </c>
      <c r="O233" s="1" t="s">
        <v>133</v>
      </c>
      <c r="P233" s="1" t="s">
        <v>134</v>
      </c>
      <c r="Q233" s="1" t="s">
        <v>76</v>
      </c>
      <c r="R233" s="1" t="s">
        <v>76</v>
      </c>
      <c r="S233" s="25">
        <v>0</v>
      </c>
      <c r="T233" s="25">
        <v>-1341.74</v>
      </c>
      <c r="U233" s="25">
        <v>0</v>
      </c>
      <c r="V233" s="25">
        <v>0</v>
      </c>
      <c r="W233" s="25">
        <v>-11.45</v>
      </c>
      <c r="X233" s="25">
        <v>-1145.22</v>
      </c>
      <c r="Y233" s="25">
        <v>-185.07</v>
      </c>
      <c r="Z233" s="17" t="e">
        <f t="shared" si="90"/>
        <v>#DIV/0!</v>
      </c>
      <c r="AA233" s="58">
        <v>0.14873998009116199</v>
      </c>
      <c r="AB233" s="16">
        <f t="shared" si="101"/>
        <v>-170.34000000000054</v>
      </c>
      <c r="AC233" s="16">
        <v>0</v>
      </c>
      <c r="AD233" s="16">
        <v>0</v>
      </c>
      <c r="AE233" s="16">
        <f>3%*X233</f>
        <v>-34.3566</v>
      </c>
      <c r="AF233" s="16">
        <f t="shared" si="91"/>
        <v>-204.69660000000056</v>
      </c>
      <c r="AG233" s="16">
        <f t="shared" si="104"/>
        <v>-32.75145600000009</v>
      </c>
      <c r="AH233" s="16">
        <f t="shared" si="92"/>
        <v>-237.44805600000063</v>
      </c>
      <c r="AI233" s="16">
        <f t="shared" si="105"/>
        <v>-3.4068000000000112</v>
      </c>
      <c r="AJ233" s="16">
        <v>0</v>
      </c>
      <c r="AK233" s="16">
        <f t="shared" si="93"/>
        <v>-3.4068000000000112</v>
      </c>
      <c r="AL233" s="19"/>
      <c r="AM233" s="16">
        <f t="shared" si="94"/>
        <v>-201.28980000000055</v>
      </c>
      <c r="AN233" s="16" t="s">
        <v>228</v>
      </c>
      <c r="AO233" s="20"/>
      <c r="AP233" s="16">
        <f t="shared" si="95"/>
        <v>0</v>
      </c>
      <c r="AQ233" s="16"/>
      <c r="AR233" s="15"/>
      <c r="AS233" s="16">
        <f t="shared" si="96"/>
        <v>0</v>
      </c>
      <c r="AT233" s="16"/>
      <c r="AU233" s="16"/>
      <c r="AV233" s="16">
        <f t="shared" si="106"/>
        <v>-237.44805600000063</v>
      </c>
      <c r="AW233" s="60">
        <f t="shared" si="97"/>
        <v>-237.44805600000063</v>
      </c>
      <c r="AX233" s="16" t="str">
        <f t="shared" si="100"/>
        <v>ACTIVA</v>
      </c>
      <c r="AY233" s="22"/>
      <c r="BA233" s="1"/>
      <c r="BB233" s="22"/>
      <c r="BC233" s="1"/>
      <c r="BD233" s="1"/>
      <c r="BE233" s="1"/>
    </row>
    <row r="234" spans="1:57" ht="14.25" hidden="1" customHeight="1">
      <c r="A234" s="2" t="s">
        <v>406</v>
      </c>
      <c r="B234" s="1" t="s">
        <v>58</v>
      </c>
      <c r="C234" s="27">
        <v>45026</v>
      </c>
      <c r="D234" s="27">
        <v>45402</v>
      </c>
      <c r="E234" s="27">
        <v>45027</v>
      </c>
      <c r="F234" s="27">
        <v>45391</v>
      </c>
      <c r="G234" s="13" t="str">
        <f t="shared" si="89"/>
        <v>000-233/AIB RDC/2023</v>
      </c>
      <c r="H234" s="1">
        <v>0</v>
      </c>
      <c r="I234" s="1" t="s">
        <v>83</v>
      </c>
      <c r="J234" s="1" t="s">
        <v>462</v>
      </c>
      <c r="K234" s="1" t="s">
        <v>463</v>
      </c>
      <c r="L234" s="1"/>
      <c r="M234" s="1" t="s">
        <v>99</v>
      </c>
      <c r="N234" s="1" t="s">
        <v>100</v>
      </c>
      <c r="O234" s="1" t="s">
        <v>65</v>
      </c>
      <c r="P234" s="1" t="s">
        <v>65</v>
      </c>
      <c r="Q234" s="1" t="s">
        <v>127</v>
      </c>
      <c r="R234" s="1" t="s">
        <v>127</v>
      </c>
      <c r="S234" s="25">
        <v>0</v>
      </c>
      <c r="T234" s="25">
        <v>2317.88</v>
      </c>
      <c r="U234" s="25"/>
      <c r="V234" s="25"/>
      <c r="W234" s="25">
        <v>120</v>
      </c>
      <c r="X234" s="25">
        <v>1844.3</v>
      </c>
      <c r="Y234" s="25">
        <v>314.29000000000002</v>
      </c>
      <c r="Z234" s="17" t="e">
        <f t="shared" si="90"/>
        <v>#DIV/0!</v>
      </c>
      <c r="AA234" s="18">
        <v>0.1</v>
      </c>
      <c r="AB234" s="16">
        <f t="shared" si="101"/>
        <v>184.43</v>
      </c>
      <c r="AC234" s="16">
        <v>0</v>
      </c>
      <c r="AD234" s="16">
        <v>0</v>
      </c>
      <c r="AE234" s="16">
        <v>0</v>
      </c>
      <c r="AF234" s="16">
        <f t="shared" si="91"/>
        <v>184.43</v>
      </c>
      <c r="AG234" s="16">
        <f t="shared" si="104"/>
        <v>29.508800000000001</v>
      </c>
      <c r="AH234" s="16">
        <f t="shared" si="92"/>
        <v>213.93880000000001</v>
      </c>
      <c r="AI234" s="16">
        <f t="shared" si="105"/>
        <v>3.6886000000000001</v>
      </c>
      <c r="AJ234" s="16"/>
      <c r="AK234" s="16">
        <f t="shared" si="93"/>
        <v>3.6886000000000001</v>
      </c>
      <c r="AL234" s="19"/>
      <c r="AM234" s="16">
        <f t="shared" si="94"/>
        <v>180.7414</v>
      </c>
      <c r="AN234" s="40"/>
      <c r="AO234" s="20"/>
      <c r="AP234" s="16">
        <f t="shared" si="95"/>
        <v>0</v>
      </c>
      <c r="AQ234" s="16"/>
      <c r="AR234" s="15"/>
      <c r="AS234" s="16">
        <f t="shared" si="96"/>
        <v>0</v>
      </c>
      <c r="AT234" s="16"/>
      <c r="AU234" s="16">
        <v>213.93880000000001</v>
      </c>
      <c r="AV234" s="16">
        <f t="shared" si="106"/>
        <v>213.93880000000001</v>
      </c>
      <c r="AW234" s="16">
        <f t="shared" si="97"/>
        <v>0</v>
      </c>
      <c r="AX234" s="16" t="str">
        <f t="shared" si="100"/>
        <v>MAYFAIR</v>
      </c>
      <c r="AY234" s="22">
        <v>45146</v>
      </c>
      <c r="AZ234" s="22"/>
      <c r="BA234" s="1"/>
      <c r="BB234" s="22" t="str">
        <f t="shared" ref="BB234:BB254" si="107">O234</f>
        <v>MOTOR TPL</v>
      </c>
      <c r="BC234" s="1"/>
      <c r="BD234" s="1"/>
      <c r="BE234" s="1"/>
    </row>
    <row r="235" spans="1:57" ht="14.25" customHeight="1">
      <c r="A235" s="2" t="s">
        <v>165</v>
      </c>
      <c r="B235" s="1" t="s">
        <v>58</v>
      </c>
      <c r="C235" s="27">
        <v>45006</v>
      </c>
      <c r="D235" s="27">
        <v>45006</v>
      </c>
      <c r="E235" s="27">
        <v>45007</v>
      </c>
      <c r="F235" s="27">
        <v>45038</v>
      </c>
      <c r="G235" s="13" t="str">
        <f t="shared" si="89"/>
        <v>000-234/AIB RDC/2023</v>
      </c>
      <c r="H235" s="1">
        <v>17</v>
      </c>
      <c r="I235" s="1" t="s">
        <v>59</v>
      </c>
      <c r="J235" s="2" t="s">
        <v>418</v>
      </c>
      <c r="K235" s="1" t="s">
        <v>419</v>
      </c>
      <c r="L235" s="1" t="s">
        <v>62</v>
      </c>
      <c r="M235" s="1" t="s">
        <v>63</v>
      </c>
      <c r="N235" s="1" t="s">
        <v>267</v>
      </c>
      <c r="O235" s="1" t="s">
        <v>65</v>
      </c>
      <c r="P235" s="1" t="s">
        <v>65</v>
      </c>
      <c r="Q235" s="1" t="s">
        <v>135</v>
      </c>
      <c r="R235" s="1" t="s">
        <v>135</v>
      </c>
      <c r="S235" s="25">
        <v>0</v>
      </c>
      <c r="T235" s="25">
        <v>56.8</v>
      </c>
      <c r="U235" s="25">
        <v>0</v>
      </c>
      <c r="V235" s="25">
        <v>0</v>
      </c>
      <c r="W235" s="25">
        <v>20</v>
      </c>
      <c r="X235" s="25">
        <v>28.14</v>
      </c>
      <c r="Y235" s="25">
        <v>7.7</v>
      </c>
      <c r="Z235" s="17" t="e">
        <f t="shared" si="90"/>
        <v>#DIV/0!</v>
      </c>
      <c r="AA235" s="18">
        <v>0.1</v>
      </c>
      <c r="AB235" s="16">
        <f t="shared" si="101"/>
        <v>2.8140000000000001</v>
      </c>
      <c r="AC235" s="16">
        <v>0</v>
      </c>
      <c r="AD235" s="16">
        <v>0</v>
      </c>
      <c r="AE235" s="16">
        <v>0</v>
      </c>
      <c r="AF235" s="16">
        <f t="shared" si="91"/>
        <v>2.8140000000000001</v>
      </c>
      <c r="AG235" s="16">
        <f t="shared" si="104"/>
        <v>0.45024000000000003</v>
      </c>
      <c r="AH235" s="16">
        <f t="shared" si="92"/>
        <v>3.26424</v>
      </c>
      <c r="AI235" s="16">
        <f t="shared" si="105"/>
        <v>5.6280000000000004E-2</v>
      </c>
      <c r="AJ235" s="16">
        <v>0</v>
      </c>
      <c r="AK235" s="16">
        <f t="shared" si="93"/>
        <v>5.6280000000000004E-2</v>
      </c>
      <c r="AL235" s="19"/>
      <c r="AM235" s="16">
        <f t="shared" si="94"/>
        <v>2.7577199999999999</v>
      </c>
      <c r="AN235" s="16" t="s">
        <v>228</v>
      </c>
      <c r="AO235" s="20"/>
      <c r="AP235" s="16">
        <f t="shared" si="95"/>
        <v>0</v>
      </c>
      <c r="AQ235" s="16"/>
      <c r="AR235" s="15"/>
      <c r="AS235" s="16">
        <f t="shared" si="96"/>
        <v>0</v>
      </c>
      <c r="AT235" s="16"/>
      <c r="AU235" s="16"/>
      <c r="AV235" s="16">
        <f t="shared" si="106"/>
        <v>3.26424</v>
      </c>
      <c r="AW235" s="60">
        <f t="shared" si="97"/>
        <v>3.26424</v>
      </c>
      <c r="AX235" s="16" t="str">
        <f t="shared" si="100"/>
        <v>RAWSUR</v>
      </c>
      <c r="AY235" s="22"/>
      <c r="AZ235" s="22"/>
      <c r="BA235" s="1"/>
      <c r="BB235" s="22" t="str">
        <f t="shared" si="107"/>
        <v>MOTOR TPL</v>
      </c>
      <c r="BC235" s="1"/>
      <c r="BD235" s="1"/>
      <c r="BE235" s="1"/>
    </row>
    <row r="236" spans="1:57" ht="14.25" hidden="1" customHeight="1">
      <c r="A236" s="2" t="s">
        <v>230</v>
      </c>
      <c r="B236" s="1" t="s">
        <v>58</v>
      </c>
      <c r="C236" s="27">
        <v>45029</v>
      </c>
      <c r="D236" s="27">
        <v>45051</v>
      </c>
      <c r="E236" s="27">
        <v>45051</v>
      </c>
      <c r="F236" s="27">
        <v>45416</v>
      </c>
      <c r="G236" s="13" t="str">
        <f t="shared" si="89"/>
        <v>000-235/AIB RDC/2023</v>
      </c>
      <c r="H236" s="1">
        <v>0</v>
      </c>
      <c r="I236" s="1" t="s">
        <v>83</v>
      </c>
      <c r="J236" s="1" t="s">
        <v>468</v>
      </c>
      <c r="K236" s="1" t="s">
        <v>469</v>
      </c>
      <c r="L236" s="1"/>
      <c r="M236" s="1" t="s">
        <v>99</v>
      </c>
      <c r="N236" s="1" t="s">
        <v>466</v>
      </c>
      <c r="O236" s="1" t="s">
        <v>107</v>
      </c>
      <c r="P236" s="1" t="s">
        <v>108</v>
      </c>
      <c r="Q236" s="1" t="s">
        <v>76</v>
      </c>
      <c r="R236" s="1" t="s">
        <v>76</v>
      </c>
      <c r="S236" s="25">
        <v>2019599</v>
      </c>
      <c r="T236" s="25">
        <v>7364.41</v>
      </c>
      <c r="U236" s="25">
        <v>0</v>
      </c>
      <c r="V236" s="25">
        <v>0</v>
      </c>
      <c r="W236" s="25">
        <v>62.86</v>
      </c>
      <c r="X236" s="25">
        <v>6285.68</v>
      </c>
      <c r="Y236" s="25">
        <v>1015.77</v>
      </c>
      <c r="Z236" s="17">
        <f t="shared" si="90"/>
        <v>3.1123406181128039E-3</v>
      </c>
      <c r="AA236" s="18">
        <v>0.1</v>
      </c>
      <c r="AB236" s="16">
        <f t="shared" si="101"/>
        <v>628.5680000000001</v>
      </c>
      <c r="AC236" s="16"/>
      <c r="AD236" s="16"/>
      <c r="AE236" s="16">
        <v>0</v>
      </c>
      <c r="AF236" s="16">
        <f t="shared" si="91"/>
        <v>628.5680000000001</v>
      </c>
      <c r="AG236" s="16">
        <f t="shared" si="104"/>
        <v>100.57088000000002</v>
      </c>
      <c r="AH236" s="16">
        <f t="shared" si="92"/>
        <v>729.13888000000009</v>
      </c>
      <c r="AI236" s="16">
        <f t="shared" si="105"/>
        <v>12.571360000000002</v>
      </c>
      <c r="AJ236" s="16"/>
      <c r="AK236" s="16">
        <f t="shared" si="93"/>
        <v>12.571360000000002</v>
      </c>
      <c r="AL236" s="19"/>
      <c r="AM236" s="16">
        <f t="shared" si="94"/>
        <v>615.99664000000007</v>
      </c>
      <c r="AN236" s="40"/>
      <c r="AO236" s="20"/>
      <c r="AP236" s="16">
        <f t="shared" si="95"/>
        <v>0</v>
      </c>
      <c r="AQ236" s="16"/>
      <c r="AR236" s="15"/>
      <c r="AS236" s="16">
        <f t="shared" si="96"/>
        <v>0</v>
      </c>
      <c r="AT236" s="16"/>
      <c r="AU236" s="16">
        <v>729.13888000000009</v>
      </c>
      <c r="AV236" s="16">
        <f t="shared" si="106"/>
        <v>729.13888000000009</v>
      </c>
      <c r="AW236" s="16">
        <f t="shared" si="97"/>
        <v>0</v>
      </c>
      <c r="AX236" s="16" t="str">
        <f t="shared" si="100"/>
        <v>ACTIVA</v>
      </c>
      <c r="AY236" s="22">
        <v>45114</v>
      </c>
      <c r="AZ236" s="22"/>
      <c r="BA236" s="1"/>
      <c r="BB236" s="22" t="str">
        <f t="shared" si="107"/>
        <v>FIRE</v>
      </c>
      <c r="BC236" s="1"/>
      <c r="BD236" s="1"/>
      <c r="BE236" s="1"/>
    </row>
    <row r="237" spans="1:57" ht="14.25" hidden="1" customHeight="1">
      <c r="A237" s="2" t="s">
        <v>406</v>
      </c>
      <c r="B237" s="1" t="s">
        <v>58</v>
      </c>
      <c r="C237" s="27">
        <v>45035</v>
      </c>
      <c r="D237" s="27">
        <v>45036</v>
      </c>
      <c r="E237" s="27">
        <v>45034</v>
      </c>
      <c r="F237" s="27">
        <v>45124</v>
      </c>
      <c r="G237" s="13" t="str">
        <f t="shared" si="89"/>
        <v>000-236/AIB RDC/2023</v>
      </c>
      <c r="H237" s="1">
        <v>0</v>
      </c>
      <c r="I237" s="1" t="s">
        <v>83</v>
      </c>
      <c r="J237" s="14" t="s">
        <v>470</v>
      </c>
      <c r="K237" s="1" t="s">
        <v>471</v>
      </c>
      <c r="L237" s="1"/>
      <c r="M237" s="1" t="s">
        <v>99</v>
      </c>
      <c r="N237" s="1" t="s">
        <v>100</v>
      </c>
      <c r="O237" s="1" t="s">
        <v>104</v>
      </c>
      <c r="P237" s="1" t="s">
        <v>105</v>
      </c>
      <c r="Q237" s="1" t="s">
        <v>117</v>
      </c>
      <c r="R237" s="1" t="s">
        <v>117</v>
      </c>
      <c r="S237" s="25">
        <v>81401</v>
      </c>
      <c r="T237" s="25">
        <v>220.01</v>
      </c>
      <c r="U237" s="25">
        <v>0</v>
      </c>
      <c r="V237" s="25">
        <v>0</v>
      </c>
      <c r="W237" s="25">
        <v>35</v>
      </c>
      <c r="X237" s="25">
        <v>154.66</v>
      </c>
      <c r="Y237" s="25">
        <v>30.35</v>
      </c>
      <c r="Z237" s="17">
        <f t="shared" si="90"/>
        <v>1.8999766587634059E-3</v>
      </c>
      <c r="AA237" s="18">
        <v>0.15</v>
      </c>
      <c r="AB237" s="16">
        <f t="shared" si="101"/>
        <v>23.198999999999998</v>
      </c>
      <c r="AC237" s="16">
        <v>0</v>
      </c>
      <c r="AD237" s="16">
        <v>0</v>
      </c>
      <c r="AE237" s="16">
        <v>0</v>
      </c>
      <c r="AF237" s="16">
        <f t="shared" si="91"/>
        <v>23.198999999999998</v>
      </c>
      <c r="AG237" s="16">
        <f t="shared" si="104"/>
        <v>3.7118399999999996</v>
      </c>
      <c r="AH237" s="16">
        <f t="shared" si="92"/>
        <v>26.910839999999997</v>
      </c>
      <c r="AI237" s="16">
        <f t="shared" si="105"/>
        <v>0.46397999999999995</v>
      </c>
      <c r="AJ237" s="16"/>
      <c r="AK237" s="16">
        <f t="shared" si="93"/>
        <v>0.46397999999999995</v>
      </c>
      <c r="AL237" s="19"/>
      <c r="AM237" s="16">
        <f t="shared" si="94"/>
        <v>22.735019999999999</v>
      </c>
      <c r="AN237" s="40"/>
      <c r="AO237" s="20"/>
      <c r="AP237" s="16">
        <f t="shared" si="95"/>
        <v>0</v>
      </c>
      <c r="AQ237" s="16"/>
      <c r="AR237" s="15"/>
      <c r="AS237" s="16">
        <f t="shared" si="96"/>
        <v>0</v>
      </c>
      <c r="AT237" s="16"/>
      <c r="AU237" s="16">
        <v>26.910839999999997</v>
      </c>
      <c r="AV237" s="16">
        <f t="shared" si="106"/>
        <v>26.910839999999997</v>
      </c>
      <c r="AW237" s="16">
        <f t="shared" si="97"/>
        <v>0</v>
      </c>
      <c r="AX237" s="16" t="str">
        <f t="shared" si="100"/>
        <v>SUNU</v>
      </c>
      <c r="AY237" s="22">
        <v>45062</v>
      </c>
      <c r="AZ237" s="22"/>
      <c r="BA237" s="1" t="s">
        <v>148</v>
      </c>
      <c r="BB237" s="22" t="str">
        <f t="shared" si="107"/>
        <v>MARINE CARGO / GIT</v>
      </c>
      <c r="BC237" s="1"/>
      <c r="BD237" s="1"/>
      <c r="BE237" s="1"/>
    </row>
    <row r="238" spans="1:57" ht="14.25" hidden="1" customHeight="1">
      <c r="A238" s="2" t="s">
        <v>406</v>
      </c>
      <c r="B238" s="1" t="s">
        <v>58</v>
      </c>
      <c r="C238" s="27">
        <v>45035</v>
      </c>
      <c r="D238" s="27">
        <v>44945</v>
      </c>
      <c r="E238" s="27">
        <v>45034</v>
      </c>
      <c r="F238" s="27">
        <v>45399</v>
      </c>
      <c r="G238" s="13" t="str">
        <f t="shared" si="89"/>
        <v>000-237/AIB RDC/2023</v>
      </c>
      <c r="H238" s="1">
        <v>1</v>
      </c>
      <c r="I238" s="1" t="s">
        <v>68</v>
      </c>
      <c r="J238" s="14" t="s">
        <v>472</v>
      </c>
      <c r="K238" s="1" t="s">
        <v>473</v>
      </c>
      <c r="L238" s="1"/>
      <c r="M238" s="1" t="s">
        <v>74</v>
      </c>
      <c r="N238" s="1" t="s">
        <v>205</v>
      </c>
      <c r="O238" s="1" t="s">
        <v>107</v>
      </c>
      <c r="P238" s="1" t="s">
        <v>108</v>
      </c>
      <c r="Q238" s="1" t="s">
        <v>127</v>
      </c>
      <c r="R238" s="1" t="s">
        <v>127</v>
      </c>
      <c r="S238" s="25">
        <v>5467500</v>
      </c>
      <c r="T238" s="25">
        <v>3767</v>
      </c>
      <c r="U238" s="25">
        <v>0</v>
      </c>
      <c r="V238" s="25">
        <v>0</v>
      </c>
      <c r="W238" s="25">
        <v>50</v>
      </c>
      <c r="X238" s="25">
        <v>3142</v>
      </c>
      <c r="Y238" s="25">
        <v>511</v>
      </c>
      <c r="Z238" s="17">
        <f t="shared" si="90"/>
        <v>5.7466849565614999E-4</v>
      </c>
      <c r="AA238" s="18">
        <v>0.15</v>
      </c>
      <c r="AB238" s="16">
        <f t="shared" si="101"/>
        <v>471.29999999999995</v>
      </c>
      <c r="AC238" s="16"/>
      <c r="AD238" s="16"/>
      <c r="AE238" s="16">
        <v>0</v>
      </c>
      <c r="AF238" s="16">
        <f t="shared" si="91"/>
        <v>471.29999999999995</v>
      </c>
      <c r="AG238" s="16">
        <f t="shared" si="104"/>
        <v>75.408000000000001</v>
      </c>
      <c r="AH238" s="16">
        <f t="shared" si="92"/>
        <v>546.70799999999997</v>
      </c>
      <c r="AI238" s="16">
        <f t="shared" si="105"/>
        <v>9.4260000000000002</v>
      </c>
      <c r="AJ238" s="16"/>
      <c r="AK238" s="16">
        <f t="shared" si="93"/>
        <v>9.4260000000000002</v>
      </c>
      <c r="AL238" s="19"/>
      <c r="AM238" s="16">
        <f t="shared" si="94"/>
        <v>461.87399999999997</v>
      </c>
      <c r="AN238" s="40"/>
      <c r="AO238" s="20"/>
      <c r="AP238" s="16">
        <f t="shared" si="95"/>
        <v>0</v>
      </c>
      <c r="AQ238" s="16"/>
      <c r="AR238" s="15"/>
      <c r="AS238" s="16">
        <f t="shared" si="96"/>
        <v>0</v>
      </c>
      <c r="AT238" s="16"/>
      <c r="AU238" s="16">
        <v>546.70799999999997</v>
      </c>
      <c r="AV238" s="16">
        <f t="shared" si="106"/>
        <v>546.70799999999997</v>
      </c>
      <c r="AW238" s="16">
        <f t="shared" si="97"/>
        <v>0</v>
      </c>
      <c r="AX238" s="16" t="str">
        <f t="shared" ref="AX238:AX249" si="108">Q238</f>
        <v>MAYFAIR</v>
      </c>
      <c r="AY238" s="22">
        <v>45078</v>
      </c>
      <c r="AZ238" s="22"/>
      <c r="BA238" s="1"/>
      <c r="BB238" s="22" t="str">
        <f t="shared" si="107"/>
        <v>FIRE</v>
      </c>
      <c r="BC238" s="1"/>
      <c r="BD238" s="1"/>
      <c r="BE238" s="1"/>
    </row>
    <row r="239" spans="1:57" ht="14.25" hidden="1" customHeight="1">
      <c r="A239" s="2" t="s">
        <v>406</v>
      </c>
      <c r="B239" s="1" t="s">
        <v>58</v>
      </c>
      <c r="C239" s="27">
        <v>45035</v>
      </c>
      <c r="D239" s="27">
        <v>44945</v>
      </c>
      <c r="E239" s="27">
        <v>45034</v>
      </c>
      <c r="F239" s="27">
        <v>45399</v>
      </c>
      <c r="G239" s="13" t="str">
        <f t="shared" si="89"/>
        <v>000-238/AIB RDC/2023</v>
      </c>
      <c r="H239" s="1">
        <v>1</v>
      </c>
      <c r="I239" s="1" t="s">
        <v>68</v>
      </c>
      <c r="J239" s="14" t="s">
        <v>472</v>
      </c>
      <c r="K239" s="1" t="s">
        <v>474</v>
      </c>
      <c r="L239" s="1"/>
      <c r="M239" s="1" t="s">
        <v>74</v>
      </c>
      <c r="N239" s="1" t="s">
        <v>205</v>
      </c>
      <c r="O239" s="1" t="s">
        <v>107</v>
      </c>
      <c r="P239" s="1" t="s">
        <v>108</v>
      </c>
      <c r="Q239" s="1" t="s">
        <v>127</v>
      </c>
      <c r="R239" s="1" t="s">
        <v>127</v>
      </c>
      <c r="S239" s="25">
        <v>3000000</v>
      </c>
      <c r="T239" s="25">
        <v>2854</v>
      </c>
      <c r="U239" s="25">
        <v>0</v>
      </c>
      <c r="V239" s="25">
        <v>0</v>
      </c>
      <c r="W239" s="25">
        <v>50</v>
      </c>
      <c r="X239" s="25">
        <v>2369</v>
      </c>
      <c r="Y239" s="25">
        <v>387</v>
      </c>
      <c r="Z239" s="17">
        <f t="shared" si="90"/>
        <v>7.8966666666666671E-4</v>
      </c>
      <c r="AA239" s="18">
        <v>0.15</v>
      </c>
      <c r="AB239" s="16">
        <f t="shared" si="101"/>
        <v>355.34999999999997</v>
      </c>
      <c r="AC239" s="16"/>
      <c r="AD239" s="16"/>
      <c r="AE239" s="16">
        <v>0</v>
      </c>
      <c r="AF239" s="16">
        <f t="shared" si="91"/>
        <v>355.34999999999997</v>
      </c>
      <c r="AG239" s="16">
        <f t="shared" si="104"/>
        <v>56.855999999999995</v>
      </c>
      <c r="AH239" s="16">
        <f t="shared" si="92"/>
        <v>412.20599999999996</v>
      </c>
      <c r="AI239" s="16">
        <f t="shared" si="105"/>
        <v>7.1069999999999993</v>
      </c>
      <c r="AJ239" s="16"/>
      <c r="AK239" s="16">
        <f t="shared" si="93"/>
        <v>7.1069999999999993</v>
      </c>
      <c r="AL239" s="19"/>
      <c r="AM239" s="16">
        <f t="shared" si="94"/>
        <v>348.24299999999994</v>
      </c>
      <c r="AN239" s="40"/>
      <c r="AO239" s="20"/>
      <c r="AP239" s="16">
        <f t="shared" si="95"/>
        <v>0</v>
      </c>
      <c r="AQ239" s="16"/>
      <c r="AR239" s="15"/>
      <c r="AS239" s="16">
        <f t="shared" si="96"/>
        <v>0</v>
      </c>
      <c r="AT239" s="16"/>
      <c r="AU239" s="16">
        <v>412.20599999999996</v>
      </c>
      <c r="AV239" s="16">
        <f t="shared" si="106"/>
        <v>412.20599999999996</v>
      </c>
      <c r="AW239" s="16">
        <f t="shared" si="97"/>
        <v>0</v>
      </c>
      <c r="AX239" s="16" t="str">
        <f t="shared" si="108"/>
        <v>MAYFAIR</v>
      </c>
      <c r="AY239" s="22">
        <v>45078</v>
      </c>
      <c r="AZ239" s="22"/>
      <c r="BA239" s="1"/>
      <c r="BB239" s="22" t="str">
        <f t="shared" si="107"/>
        <v>FIRE</v>
      </c>
      <c r="BC239" s="1"/>
      <c r="BD239" s="1"/>
      <c r="BE239" s="1"/>
    </row>
    <row r="240" spans="1:57" ht="14.25" hidden="1" customHeight="1">
      <c r="A240" s="2" t="s">
        <v>406</v>
      </c>
      <c r="B240" s="1" t="s">
        <v>58</v>
      </c>
      <c r="C240" s="27">
        <v>45035</v>
      </c>
      <c r="D240" s="27">
        <v>44945</v>
      </c>
      <c r="E240" s="27">
        <v>45034</v>
      </c>
      <c r="F240" s="27">
        <v>45399</v>
      </c>
      <c r="G240" s="13" t="str">
        <f t="shared" si="89"/>
        <v>000-239/AIB RDC/2023</v>
      </c>
      <c r="H240" s="1">
        <v>0</v>
      </c>
      <c r="I240" s="1" t="s">
        <v>83</v>
      </c>
      <c r="J240" s="14" t="s">
        <v>472</v>
      </c>
      <c r="K240" s="1" t="s">
        <v>475</v>
      </c>
      <c r="L240" s="1"/>
      <c r="M240" s="1" t="s">
        <v>74</v>
      </c>
      <c r="N240" s="1" t="s">
        <v>205</v>
      </c>
      <c r="O240" s="1" t="s">
        <v>194</v>
      </c>
      <c r="P240" s="1" t="s">
        <v>108</v>
      </c>
      <c r="Q240" s="1" t="s">
        <v>127</v>
      </c>
      <c r="R240" s="1" t="s">
        <v>127</v>
      </c>
      <c r="S240" s="25">
        <v>5000000</v>
      </c>
      <c r="T240" s="25">
        <v>63363</v>
      </c>
      <c r="U240" s="25">
        <v>0</v>
      </c>
      <c r="V240" s="25">
        <v>0</v>
      </c>
      <c r="W240" s="25">
        <v>100</v>
      </c>
      <c r="X240" s="25">
        <v>53602</v>
      </c>
      <c r="Y240" s="25">
        <v>8592</v>
      </c>
      <c r="Z240" s="17">
        <f t="shared" si="90"/>
        <v>1.07204E-2</v>
      </c>
      <c r="AA240" s="18">
        <v>0.15</v>
      </c>
      <c r="AB240" s="16">
        <f t="shared" si="101"/>
        <v>8040.2999999999993</v>
      </c>
      <c r="AC240" s="16">
        <v>0</v>
      </c>
      <c r="AD240" s="16">
        <v>0</v>
      </c>
      <c r="AE240" s="16">
        <v>0</v>
      </c>
      <c r="AF240" s="16">
        <f t="shared" si="91"/>
        <v>8040.2999999999993</v>
      </c>
      <c r="AG240" s="16">
        <f t="shared" si="104"/>
        <v>1286.4479999999999</v>
      </c>
      <c r="AH240" s="16">
        <f t="shared" si="92"/>
        <v>9326.7479999999996</v>
      </c>
      <c r="AI240" s="16">
        <f t="shared" si="105"/>
        <v>160.80599999999998</v>
      </c>
      <c r="AJ240" s="16"/>
      <c r="AK240" s="16">
        <f t="shared" si="93"/>
        <v>160.80599999999998</v>
      </c>
      <c r="AL240" s="19"/>
      <c r="AM240" s="16">
        <f t="shared" si="94"/>
        <v>7879.4939999999997</v>
      </c>
      <c r="AN240" s="40"/>
      <c r="AO240" s="20"/>
      <c r="AP240" s="16">
        <f t="shared" si="95"/>
        <v>0</v>
      </c>
      <c r="AQ240" s="16"/>
      <c r="AR240" s="15"/>
      <c r="AS240" s="16">
        <f t="shared" si="96"/>
        <v>0</v>
      </c>
      <c r="AT240" s="16"/>
      <c r="AU240" s="16">
        <v>9326.7479999999996</v>
      </c>
      <c r="AV240" s="16">
        <f t="shared" si="106"/>
        <v>9326.7479999999996</v>
      </c>
      <c r="AW240" s="16">
        <f t="shared" si="97"/>
        <v>0</v>
      </c>
      <c r="AX240" s="16" t="str">
        <f t="shared" si="108"/>
        <v>MAYFAIR</v>
      </c>
      <c r="AY240" s="22">
        <v>45078</v>
      </c>
      <c r="AZ240" s="22"/>
      <c r="BA240" s="1"/>
      <c r="BB240" s="22" t="str">
        <f t="shared" si="107"/>
        <v>PROPERTY DAMAGE &amp; BI</v>
      </c>
      <c r="BC240" s="1"/>
      <c r="BD240" s="1"/>
      <c r="BE240" s="1"/>
    </row>
    <row r="241" spans="1:57" ht="14.25" hidden="1" customHeight="1">
      <c r="A241" s="2" t="s">
        <v>406</v>
      </c>
      <c r="B241" s="1" t="s">
        <v>58</v>
      </c>
      <c r="C241" s="27">
        <v>45035</v>
      </c>
      <c r="D241" s="27">
        <v>44945</v>
      </c>
      <c r="E241" s="27">
        <v>45034</v>
      </c>
      <c r="F241" s="27">
        <v>45399</v>
      </c>
      <c r="G241" s="13" t="str">
        <f t="shared" si="89"/>
        <v>000-240/AIB RDC/2023</v>
      </c>
      <c r="H241" s="1">
        <v>0</v>
      </c>
      <c r="I241" s="1" t="s">
        <v>83</v>
      </c>
      <c r="J241" s="14" t="s">
        <v>476</v>
      </c>
      <c r="K241" s="1" t="s">
        <v>477</v>
      </c>
      <c r="L241" s="1"/>
      <c r="M241" s="1" t="s">
        <v>74</v>
      </c>
      <c r="N241" s="1" t="s">
        <v>205</v>
      </c>
      <c r="O241" s="1" t="s">
        <v>104</v>
      </c>
      <c r="P241" s="1" t="s">
        <v>105</v>
      </c>
      <c r="Q241" s="1" t="s">
        <v>127</v>
      </c>
      <c r="R241" s="1" t="s">
        <v>127</v>
      </c>
      <c r="S241" s="25">
        <v>3000000</v>
      </c>
      <c r="T241" s="25">
        <v>70523</v>
      </c>
      <c r="U241" s="25">
        <v>0</v>
      </c>
      <c r="V241" s="25">
        <v>0</v>
      </c>
      <c r="W241" s="25">
        <v>100</v>
      </c>
      <c r="X241" s="25">
        <v>59666</v>
      </c>
      <c r="Y241" s="25">
        <v>9562</v>
      </c>
      <c r="Z241" s="17">
        <f t="shared" si="90"/>
        <v>1.9888666666666666E-2</v>
      </c>
      <c r="AA241" s="18">
        <v>0.15</v>
      </c>
      <c r="AB241" s="16">
        <f t="shared" si="101"/>
        <v>8949.9</v>
      </c>
      <c r="AC241" s="16">
        <v>0</v>
      </c>
      <c r="AD241" s="16">
        <v>0</v>
      </c>
      <c r="AE241" s="16">
        <v>0</v>
      </c>
      <c r="AF241" s="16">
        <f t="shared" si="91"/>
        <v>8949.9</v>
      </c>
      <c r="AG241" s="16">
        <f t="shared" si="104"/>
        <v>1431.9839999999999</v>
      </c>
      <c r="AH241" s="16">
        <f t="shared" si="92"/>
        <v>10381.884</v>
      </c>
      <c r="AI241" s="16">
        <f t="shared" si="105"/>
        <v>178.99799999999999</v>
      </c>
      <c r="AJ241" s="16"/>
      <c r="AK241" s="16">
        <f t="shared" si="93"/>
        <v>178.99799999999999</v>
      </c>
      <c r="AL241" s="19"/>
      <c r="AM241" s="16">
        <f t="shared" si="94"/>
        <v>8770.902</v>
      </c>
      <c r="AN241" s="40"/>
      <c r="AO241" s="20"/>
      <c r="AP241" s="16">
        <f t="shared" si="95"/>
        <v>0</v>
      </c>
      <c r="AQ241" s="16"/>
      <c r="AR241" s="15"/>
      <c r="AS241" s="16">
        <f t="shared" si="96"/>
        <v>0</v>
      </c>
      <c r="AT241" s="16"/>
      <c r="AU241" s="16">
        <v>10381.884</v>
      </c>
      <c r="AV241" s="16">
        <f t="shared" si="106"/>
        <v>10381.884</v>
      </c>
      <c r="AW241" s="16">
        <f t="shared" si="97"/>
        <v>0</v>
      </c>
      <c r="AX241" s="16" t="str">
        <f t="shared" si="108"/>
        <v>MAYFAIR</v>
      </c>
      <c r="AY241" s="22">
        <v>45078</v>
      </c>
      <c r="AZ241" s="22"/>
      <c r="BA241" s="1"/>
      <c r="BB241" s="22" t="str">
        <f t="shared" si="107"/>
        <v>MARINE CARGO / GIT</v>
      </c>
      <c r="BC241" s="1"/>
      <c r="BD241" s="1"/>
      <c r="BE241" s="1"/>
    </row>
    <row r="242" spans="1:57" ht="14.25" hidden="1" customHeight="1">
      <c r="A242" s="2" t="s">
        <v>406</v>
      </c>
      <c r="B242" s="1" t="s">
        <v>58</v>
      </c>
      <c r="C242" s="27">
        <v>45042</v>
      </c>
      <c r="D242" s="27">
        <v>45043</v>
      </c>
      <c r="E242" s="27">
        <v>45042</v>
      </c>
      <c r="F242" s="27">
        <v>45407</v>
      </c>
      <c r="G242" s="13" t="str">
        <f t="shared" si="89"/>
        <v>000-241/AIB RDC/2023</v>
      </c>
      <c r="H242" s="1">
        <v>0</v>
      </c>
      <c r="I242" s="1" t="s">
        <v>83</v>
      </c>
      <c r="J242" s="1" t="s">
        <v>478</v>
      </c>
      <c r="K242" s="15" t="s">
        <v>193</v>
      </c>
      <c r="L242" s="1"/>
      <c r="M242" s="1" t="s">
        <v>99</v>
      </c>
      <c r="N242" s="1" t="s">
        <v>466</v>
      </c>
      <c r="O242" s="1" t="s">
        <v>104</v>
      </c>
      <c r="P242" s="1" t="s">
        <v>105</v>
      </c>
      <c r="Q242" s="1" t="s">
        <v>127</v>
      </c>
      <c r="R242" s="1" t="s">
        <v>127</v>
      </c>
      <c r="S242" s="25">
        <v>7685028</v>
      </c>
      <c r="T242" s="25">
        <v>20532.37</v>
      </c>
      <c r="U242" s="16">
        <v>0</v>
      </c>
      <c r="V242" s="16">
        <v>0</v>
      </c>
      <c r="W242" s="25">
        <v>100</v>
      </c>
      <c r="X242" s="25">
        <v>17300.310000000001</v>
      </c>
      <c r="Y242" s="25">
        <v>2784.05</v>
      </c>
      <c r="Z242" s="17">
        <f t="shared" si="90"/>
        <v>2.2511707179206117E-3</v>
      </c>
      <c r="AA242" s="18">
        <v>0.15</v>
      </c>
      <c r="AB242" s="16">
        <f t="shared" si="101"/>
        <v>2595.0464999999999</v>
      </c>
      <c r="AC242" s="16">
        <v>0</v>
      </c>
      <c r="AD242" s="16">
        <v>0</v>
      </c>
      <c r="AE242" s="16">
        <v>0</v>
      </c>
      <c r="AF242" s="16">
        <f t="shared" si="91"/>
        <v>2595.0464999999999</v>
      </c>
      <c r="AG242" s="16">
        <f t="shared" si="104"/>
        <v>415.20744000000002</v>
      </c>
      <c r="AH242" s="16">
        <f t="shared" si="92"/>
        <v>3010.2539400000001</v>
      </c>
      <c r="AI242" s="16">
        <f t="shared" si="105"/>
        <v>51.900930000000002</v>
      </c>
      <c r="AJ242" s="16"/>
      <c r="AK242" s="16">
        <f t="shared" si="93"/>
        <v>51.900930000000002</v>
      </c>
      <c r="AL242" s="19"/>
      <c r="AM242" s="16">
        <f t="shared" si="94"/>
        <v>2543.1455700000001</v>
      </c>
      <c r="AN242" s="40" t="s">
        <v>195</v>
      </c>
      <c r="AO242" s="20"/>
      <c r="AP242" s="16">
        <f t="shared" si="95"/>
        <v>0</v>
      </c>
      <c r="AQ242" s="16"/>
      <c r="AR242" s="15"/>
      <c r="AS242" s="16">
        <f t="shared" si="96"/>
        <v>0</v>
      </c>
      <c r="AT242" s="16"/>
      <c r="AU242" s="16">
        <v>3010.2539400000001</v>
      </c>
      <c r="AV242" s="16">
        <f t="shared" si="106"/>
        <v>3010.2539400000001</v>
      </c>
      <c r="AW242" s="16">
        <f t="shared" si="97"/>
        <v>0</v>
      </c>
      <c r="AX242" s="16" t="str">
        <f t="shared" si="108"/>
        <v>MAYFAIR</v>
      </c>
      <c r="AY242" s="22">
        <v>45106</v>
      </c>
      <c r="AZ242" s="22"/>
      <c r="BA242" s="1"/>
      <c r="BB242" s="22" t="str">
        <f t="shared" si="107"/>
        <v>MARINE CARGO / GIT</v>
      </c>
      <c r="BC242" s="1"/>
      <c r="BD242" s="1"/>
      <c r="BE242" s="1"/>
    </row>
    <row r="243" spans="1:57" ht="14.25" hidden="1" customHeight="1">
      <c r="A243" s="2" t="s">
        <v>230</v>
      </c>
      <c r="B243" s="1" t="s">
        <v>58</v>
      </c>
      <c r="C243" s="27">
        <v>45044</v>
      </c>
      <c r="D243" s="27">
        <v>45075</v>
      </c>
      <c r="E243" s="27">
        <v>45047</v>
      </c>
      <c r="F243" s="27">
        <v>45412</v>
      </c>
      <c r="G243" s="13" t="str">
        <f t="shared" si="89"/>
        <v>000-242/AIB RDC/2023</v>
      </c>
      <c r="H243" s="1">
        <v>0</v>
      </c>
      <c r="I243" s="1" t="s">
        <v>83</v>
      </c>
      <c r="J243" s="1" t="s">
        <v>479</v>
      </c>
      <c r="K243" s="1" t="s">
        <v>480</v>
      </c>
      <c r="L243" s="1"/>
      <c r="M243" s="1" t="s">
        <v>99</v>
      </c>
      <c r="N243" s="1" t="s">
        <v>100</v>
      </c>
      <c r="O243" s="1" t="s">
        <v>133</v>
      </c>
      <c r="P243" s="1" t="s">
        <v>134</v>
      </c>
      <c r="Q243" s="1" t="s">
        <v>117</v>
      </c>
      <c r="R243" s="1" t="s">
        <v>117</v>
      </c>
      <c r="S243" s="25">
        <v>1083750</v>
      </c>
      <c r="T243" s="25">
        <v>55416.94</v>
      </c>
      <c r="U243" s="25">
        <v>0</v>
      </c>
      <c r="V243" s="25">
        <v>0</v>
      </c>
      <c r="W243" s="25">
        <v>473</v>
      </c>
      <c r="X243" s="25">
        <v>47300.23</v>
      </c>
      <c r="Y243" s="25">
        <v>7643.72</v>
      </c>
      <c r="Z243" s="17">
        <f t="shared" si="90"/>
        <v>4.3644964244521342E-2</v>
      </c>
      <c r="AA243" s="18">
        <v>0.15</v>
      </c>
      <c r="AB243" s="16">
        <f t="shared" ref="AB243:AB274" si="109">AA243*X243</f>
        <v>7095.0345000000007</v>
      </c>
      <c r="AC243" s="16">
        <v>0</v>
      </c>
      <c r="AD243" s="16">
        <v>0</v>
      </c>
      <c r="AE243" s="16">
        <v>0</v>
      </c>
      <c r="AF243" s="16">
        <f t="shared" si="91"/>
        <v>7095.0345000000007</v>
      </c>
      <c r="AG243" s="16">
        <f t="shared" si="104"/>
        <v>1135.2055200000002</v>
      </c>
      <c r="AH243" s="16">
        <f t="shared" si="92"/>
        <v>8230.2400200000011</v>
      </c>
      <c r="AI243" s="16">
        <f t="shared" si="105"/>
        <v>141.90069000000003</v>
      </c>
      <c r="AJ243" s="16">
        <v>0</v>
      </c>
      <c r="AK243" s="16">
        <f t="shared" si="93"/>
        <v>141.90069000000003</v>
      </c>
      <c r="AL243" s="19"/>
      <c r="AM243" s="16">
        <f t="shared" si="94"/>
        <v>6953.1338100000003</v>
      </c>
      <c r="AN243" s="40" t="s">
        <v>481</v>
      </c>
      <c r="AO243" s="20"/>
      <c r="AP243" s="16">
        <f t="shared" si="95"/>
        <v>0</v>
      </c>
      <c r="AQ243" s="16"/>
      <c r="AR243" s="15"/>
      <c r="AS243" s="16">
        <f t="shared" si="96"/>
        <v>0</v>
      </c>
      <c r="AT243" s="16"/>
      <c r="AU243" s="16">
        <v>8230.2400200000011</v>
      </c>
      <c r="AV243" s="16">
        <f t="shared" si="106"/>
        <v>8230.2400200000011</v>
      </c>
      <c r="AW243" s="16">
        <f t="shared" si="97"/>
        <v>0</v>
      </c>
      <c r="AX243" s="16" t="str">
        <f t="shared" si="108"/>
        <v>SUNU</v>
      </c>
      <c r="AY243" s="22">
        <v>45117</v>
      </c>
      <c r="AZ243" s="22"/>
      <c r="BA243" s="1"/>
      <c r="BB243" s="22" t="str">
        <f t="shared" si="107"/>
        <v>COMP MOTOR</v>
      </c>
      <c r="BC243" s="1"/>
      <c r="BD243" s="1"/>
      <c r="BE243" s="1"/>
    </row>
    <row r="244" spans="1:57" ht="14.25" hidden="1" customHeight="1">
      <c r="A244" s="2" t="s">
        <v>230</v>
      </c>
      <c r="B244" s="1" t="s">
        <v>58</v>
      </c>
      <c r="C244" s="27">
        <v>45044</v>
      </c>
      <c r="D244" s="27">
        <v>45047</v>
      </c>
      <c r="E244" s="27">
        <v>45047</v>
      </c>
      <c r="F244" s="27">
        <v>45412</v>
      </c>
      <c r="G244" s="13" t="str">
        <f t="shared" si="89"/>
        <v>000-243/AIB RDC/2023</v>
      </c>
      <c r="H244" s="1">
        <v>3</v>
      </c>
      <c r="I244" s="1" t="s">
        <v>68</v>
      </c>
      <c r="J244" s="1" t="s">
        <v>482</v>
      </c>
      <c r="K244" s="1" t="s">
        <v>480</v>
      </c>
      <c r="L244" s="1"/>
      <c r="M244" s="1" t="s">
        <v>99</v>
      </c>
      <c r="N244" s="1" t="s">
        <v>100</v>
      </c>
      <c r="O244" s="1" t="s">
        <v>89</v>
      </c>
      <c r="P244" s="1" t="s">
        <v>89</v>
      </c>
      <c r="Q244" s="1" t="s">
        <v>90</v>
      </c>
      <c r="R244" s="1" t="s">
        <v>90</v>
      </c>
      <c r="S244" s="25">
        <v>18686258</v>
      </c>
      <c r="T244" s="25">
        <v>100000</v>
      </c>
      <c r="U244" s="25">
        <v>0</v>
      </c>
      <c r="V244" s="25">
        <v>0</v>
      </c>
      <c r="W244" s="25">
        <v>990.1</v>
      </c>
      <c r="X244" s="25">
        <v>99009.9</v>
      </c>
      <c r="Y244" s="25">
        <v>0</v>
      </c>
      <c r="Z244" s="17">
        <f t="shared" si="90"/>
        <v>5.298540777934244E-3</v>
      </c>
      <c r="AA244" s="18">
        <v>0.1</v>
      </c>
      <c r="AB244" s="16">
        <f t="shared" si="109"/>
        <v>9900.99</v>
      </c>
      <c r="AC244" s="16">
        <v>0</v>
      </c>
      <c r="AD244" s="16">
        <v>0</v>
      </c>
      <c r="AE244" s="16">
        <v>0</v>
      </c>
      <c r="AF244" s="16">
        <f t="shared" si="91"/>
        <v>9900.99</v>
      </c>
      <c r="AG244" s="16">
        <v>0</v>
      </c>
      <c r="AH244" s="16">
        <f t="shared" si="92"/>
        <v>9900.99</v>
      </c>
      <c r="AI244" s="16">
        <f>1%*(AB244+AC244+AD244)</f>
        <v>99.009900000000002</v>
      </c>
      <c r="AJ244" s="16">
        <v>0</v>
      </c>
      <c r="AK244" s="16">
        <f t="shared" si="93"/>
        <v>99.009900000000002</v>
      </c>
      <c r="AL244" s="19"/>
      <c r="AM244" s="16">
        <f t="shared" si="94"/>
        <v>9801.9801000000007</v>
      </c>
      <c r="AN244" s="40" t="s">
        <v>481</v>
      </c>
      <c r="AO244" s="20"/>
      <c r="AP244" s="16">
        <f t="shared" si="95"/>
        <v>0</v>
      </c>
      <c r="AQ244" s="16"/>
      <c r="AR244" s="15"/>
      <c r="AS244" s="16">
        <f t="shared" si="96"/>
        <v>0</v>
      </c>
      <c r="AT244" s="16"/>
      <c r="AU244" s="16">
        <v>9900.99</v>
      </c>
      <c r="AV244" s="16">
        <f t="shared" si="106"/>
        <v>9900.99</v>
      </c>
      <c r="AW244" s="16">
        <f t="shared" si="97"/>
        <v>0</v>
      </c>
      <c r="AX244" s="16" t="str">
        <f t="shared" si="108"/>
        <v>RAWSUR - LIFE</v>
      </c>
      <c r="AY244" s="22">
        <v>45124</v>
      </c>
      <c r="AZ244" s="22"/>
      <c r="BA244" s="1"/>
      <c r="BB244" s="22" t="str">
        <f t="shared" si="107"/>
        <v>LIFE</v>
      </c>
      <c r="BC244" s="1"/>
      <c r="BD244" s="1"/>
      <c r="BE244" s="1"/>
    </row>
    <row r="245" spans="1:57" ht="14.25" hidden="1" customHeight="1">
      <c r="A245" s="2" t="s">
        <v>230</v>
      </c>
      <c r="B245" s="1" t="s">
        <v>58</v>
      </c>
      <c r="C245" s="27">
        <v>45044</v>
      </c>
      <c r="D245" s="27">
        <v>45064</v>
      </c>
      <c r="E245" s="27">
        <v>45048</v>
      </c>
      <c r="F245" s="27">
        <v>45413</v>
      </c>
      <c r="G245" s="13" t="str">
        <f t="shared" si="89"/>
        <v>000-244/AIB RDC/2023</v>
      </c>
      <c r="H245" s="1">
        <v>3</v>
      </c>
      <c r="I245" s="1" t="s">
        <v>68</v>
      </c>
      <c r="J245" s="1" t="s">
        <v>483</v>
      </c>
      <c r="K245" s="1" t="s">
        <v>480</v>
      </c>
      <c r="L245" s="1"/>
      <c r="M245" s="1" t="s">
        <v>99</v>
      </c>
      <c r="N245" s="1" t="s">
        <v>100</v>
      </c>
      <c r="O245" s="1" t="s">
        <v>107</v>
      </c>
      <c r="P245" s="1" t="s">
        <v>108</v>
      </c>
      <c r="Q245" s="1" t="s">
        <v>135</v>
      </c>
      <c r="R245" s="1" t="s">
        <v>135</v>
      </c>
      <c r="S245" s="25">
        <v>26048744.32</v>
      </c>
      <c r="T245" s="25">
        <v>40718.79</v>
      </c>
      <c r="U245" s="25">
        <v>0</v>
      </c>
      <c r="V245" s="25">
        <v>0</v>
      </c>
      <c r="W245" s="25">
        <v>100</v>
      </c>
      <c r="X245" s="25">
        <v>34407.440000000002</v>
      </c>
      <c r="Y245" s="25">
        <v>5521.19</v>
      </c>
      <c r="Z245" s="17">
        <f t="shared" si="90"/>
        <v>1.320886702918047E-3</v>
      </c>
      <c r="AA245" s="18">
        <v>0.15</v>
      </c>
      <c r="AB245" s="16">
        <f t="shared" si="109"/>
        <v>5161.116</v>
      </c>
      <c r="AC245" s="16">
        <v>0</v>
      </c>
      <c r="AD245" s="16">
        <v>0</v>
      </c>
      <c r="AE245" s="16">
        <v>0</v>
      </c>
      <c r="AF245" s="16">
        <f t="shared" si="91"/>
        <v>5161.116</v>
      </c>
      <c r="AG245" s="16">
        <f>16%*AF245</f>
        <v>825.77855999999997</v>
      </c>
      <c r="AH245" s="16">
        <f t="shared" si="92"/>
        <v>5986.8945599999997</v>
      </c>
      <c r="AI245" s="16">
        <f>2%*(AB245+AC245+AD245)</f>
        <v>103.22232</v>
      </c>
      <c r="AJ245" s="16">
        <v>0</v>
      </c>
      <c r="AK245" s="16">
        <f t="shared" si="93"/>
        <v>103.22232</v>
      </c>
      <c r="AL245" s="19"/>
      <c r="AM245" s="16">
        <f t="shared" si="94"/>
        <v>5057.8936800000001</v>
      </c>
      <c r="AN245" s="40" t="s">
        <v>481</v>
      </c>
      <c r="AO245" s="20"/>
      <c r="AP245" s="16">
        <f t="shared" si="95"/>
        <v>0</v>
      </c>
      <c r="AQ245" s="16"/>
      <c r="AR245" s="15"/>
      <c r="AS245" s="16">
        <f t="shared" si="96"/>
        <v>0</v>
      </c>
      <c r="AT245" s="16"/>
      <c r="AU245" s="16">
        <v>5986.8945599999997</v>
      </c>
      <c r="AV245" s="16">
        <f t="shared" si="106"/>
        <v>5986.8945599999997</v>
      </c>
      <c r="AW245" s="16">
        <f t="shared" si="97"/>
        <v>0</v>
      </c>
      <c r="AX245" s="16" t="str">
        <f t="shared" si="108"/>
        <v>RAWSUR</v>
      </c>
      <c r="AY245" s="22">
        <v>45099</v>
      </c>
      <c r="AZ245" s="22"/>
      <c r="BA245" s="1"/>
      <c r="BB245" s="22" t="str">
        <f t="shared" si="107"/>
        <v>FIRE</v>
      </c>
      <c r="BC245" s="1"/>
      <c r="BD245" s="1"/>
      <c r="BE245" s="1"/>
    </row>
    <row r="246" spans="1:57" ht="14.25" hidden="1" customHeight="1">
      <c r="A246" s="2" t="s">
        <v>230</v>
      </c>
      <c r="B246" s="1" t="s">
        <v>58</v>
      </c>
      <c r="C246" s="27">
        <v>45016</v>
      </c>
      <c r="D246" s="27">
        <v>45066</v>
      </c>
      <c r="E246" s="27">
        <v>45047</v>
      </c>
      <c r="F246" s="27">
        <v>45411</v>
      </c>
      <c r="G246" s="13" t="str">
        <f t="shared" si="89"/>
        <v>000-245/AIB RDC/2023</v>
      </c>
      <c r="H246" s="1">
        <v>0</v>
      </c>
      <c r="I246" s="1" t="s">
        <v>83</v>
      </c>
      <c r="J246" s="32" t="s">
        <v>484</v>
      </c>
      <c r="K246" s="1" t="s">
        <v>480</v>
      </c>
      <c r="L246" s="1"/>
      <c r="M246" s="1" t="s">
        <v>99</v>
      </c>
      <c r="N246" s="1" t="s">
        <v>100</v>
      </c>
      <c r="O246" s="1" t="s">
        <v>385</v>
      </c>
      <c r="P246" s="1" t="s">
        <v>112</v>
      </c>
      <c r="Q246" s="1" t="s">
        <v>66</v>
      </c>
      <c r="R246" s="1" t="s">
        <v>66</v>
      </c>
      <c r="S246" s="25">
        <v>5000000</v>
      </c>
      <c r="T246" s="25">
        <v>25574.97</v>
      </c>
      <c r="U246" s="25">
        <v>1937.87</v>
      </c>
      <c r="V246" s="25">
        <v>0</v>
      </c>
      <c r="W246" s="25">
        <v>116</v>
      </c>
      <c r="X246" s="25">
        <v>19262.5</v>
      </c>
      <c r="Y246" s="25">
        <v>3410.62</v>
      </c>
      <c r="Z246" s="17">
        <f t="shared" si="90"/>
        <v>3.8525E-3</v>
      </c>
      <c r="AA246" s="18">
        <v>0.15</v>
      </c>
      <c r="AB246" s="16">
        <f t="shared" si="109"/>
        <v>2889.375</v>
      </c>
      <c r="AC246" s="16">
        <v>0</v>
      </c>
      <c r="AD246" s="16">
        <v>0</v>
      </c>
      <c r="AE246" s="16">
        <v>0</v>
      </c>
      <c r="AF246" s="16">
        <f t="shared" si="91"/>
        <v>2889.375</v>
      </c>
      <c r="AG246" s="16">
        <f>16%*AF246</f>
        <v>462.3</v>
      </c>
      <c r="AH246" s="16">
        <f t="shared" si="92"/>
        <v>3351.6750000000002</v>
      </c>
      <c r="AI246" s="16">
        <f>2%*(AB246+AC246+AD246)</f>
        <v>57.787500000000001</v>
      </c>
      <c r="AJ246" s="16">
        <v>0</v>
      </c>
      <c r="AK246" s="16">
        <f t="shared" si="93"/>
        <v>57.787500000000001</v>
      </c>
      <c r="AL246" s="19"/>
      <c r="AM246" s="16">
        <f t="shared" si="94"/>
        <v>2831.5875000000001</v>
      </c>
      <c r="AN246" s="40" t="s">
        <v>481</v>
      </c>
      <c r="AO246" s="20"/>
      <c r="AP246" s="16">
        <f t="shared" si="95"/>
        <v>0</v>
      </c>
      <c r="AQ246" s="16"/>
      <c r="AR246" s="15"/>
      <c r="AS246" s="16">
        <f t="shared" si="96"/>
        <v>0</v>
      </c>
      <c r="AT246" s="16"/>
      <c r="AU246" s="16">
        <v>3351.6750000000002</v>
      </c>
      <c r="AV246" s="16">
        <f t="shared" si="106"/>
        <v>3351.6750000000002</v>
      </c>
      <c r="AW246" s="16">
        <f t="shared" si="97"/>
        <v>0</v>
      </c>
      <c r="AX246" s="16" t="str">
        <f t="shared" si="108"/>
        <v>SFA</v>
      </c>
      <c r="AY246" s="22">
        <v>45100</v>
      </c>
      <c r="AZ246" s="22"/>
      <c r="BA246" s="1"/>
      <c r="BB246" s="22" t="str">
        <f t="shared" si="107"/>
        <v>PUBLIC LIABILITY</v>
      </c>
      <c r="BC246" s="1"/>
      <c r="BD246" s="1"/>
      <c r="BE246" s="1"/>
    </row>
    <row r="247" spans="1:57" ht="14.25" hidden="1" customHeight="1">
      <c r="A247" s="2" t="s">
        <v>230</v>
      </c>
      <c r="B247" s="1" t="s">
        <v>58</v>
      </c>
      <c r="C247" s="27">
        <v>45410</v>
      </c>
      <c r="D247" s="27">
        <v>45047</v>
      </c>
      <c r="E247" s="27">
        <v>45047</v>
      </c>
      <c r="F247" s="27">
        <v>45412</v>
      </c>
      <c r="G247" s="13" t="str">
        <f t="shared" si="89"/>
        <v>000-246/AIB RDC/2023</v>
      </c>
      <c r="H247" s="1">
        <v>0</v>
      </c>
      <c r="I247" s="1" t="s">
        <v>83</v>
      </c>
      <c r="J247" s="1">
        <v>73200027</v>
      </c>
      <c r="K247" s="1" t="s">
        <v>480</v>
      </c>
      <c r="L247" s="1"/>
      <c r="M247" s="1" t="s">
        <v>99</v>
      </c>
      <c r="N247" s="1" t="s">
        <v>100</v>
      </c>
      <c r="O247" s="1" t="s">
        <v>104</v>
      </c>
      <c r="P247" s="1" t="s">
        <v>105</v>
      </c>
      <c r="Q247" s="1" t="s">
        <v>135</v>
      </c>
      <c r="R247" s="1" t="s">
        <v>135</v>
      </c>
      <c r="S247" s="25">
        <v>17284320</v>
      </c>
      <c r="T247" s="25">
        <v>38869.449999999997</v>
      </c>
      <c r="U247" s="25">
        <v>0</v>
      </c>
      <c r="V247" s="25">
        <v>0</v>
      </c>
      <c r="W247" s="25">
        <v>100</v>
      </c>
      <c r="X247" s="25">
        <v>32840.21</v>
      </c>
      <c r="Y247" s="25">
        <v>5270</v>
      </c>
      <c r="Z247" s="17">
        <f t="shared" si="90"/>
        <v>1.9000001157118127E-3</v>
      </c>
      <c r="AA247" s="18">
        <v>0.15</v>
      </c>
      <c r="AB247" s="16">
        <f t="shared" si="109"/>
        <v>4926.0315000000001</v>
      </c>
      <c r="AC247" s="16">
        <v>0</v>
      </c>
      <c r="AD247" s="16">
        <v>0</v>
      </c>
      <c r="AE247" s="16">
        <v>0</v>
      </c>
      <c r="AF247" s="16">
        <f t="shared" si="91"/>
        <v>4926.0315000000001</v>
      </c>
      <c r="AG247" s="16">
        <f>16%*AF247</f>
        <v>788.16503999999998</v>
      </c>
      <c r="AH247" s="16">
        <f t="shared" si="92"/>
        <v>5714.1965399999999</v>
      </c>
      <c r="AI247" s="16">
        <f>2%*(AB247+AC247+AD247)</f>
        <v>98.520629999999997</v>
      </c>
      <c r="AJ247" s="16">
        <v>0</v>
      </c>
      <c r="AK247" s="16">
        <f t="shared" si="93"/>
        <v>98.520629999999997</v>
      </c>
      <c r="AL247" s="19"/>
      <c r="AM247" s="16">
        <f t="shared" si="94"/>
        <v>4827.5108700000001</v>
      </c>
      <c r="AN247" s="40" t="s">
        <v>481</v>
      </c>
      <c r="AO247" s="20"/>
      <c r="AP247" s="16">
        <f t="shared" si="95"/>
        <v>0</v>
      </c>
      <c r="AQ247" s="16"/>
      <c r="AR247" s="15"/>
      <c r="AS247" s="16">
        <f t="shared" si="96"/>
        <v>0</v>
      </c>
      <c r="AT247" s="16"/>
      <c r="AU247" s="16">
        <v>5714.1965399999999</v>
      </c>
      <c r="AV247" s="16">
        <f t="shared" si="106"/>
        <v>5714.1965399999999</v>
      </c>
      <c r="AW247" s="16">
        <f t="shared" si="97"/>
        <v>0</v>
      </c>
      <c r="AX247" s="16" t="str">
        <f t="shared" si="108"/>
        <v>RAWSUR</v>
      </c>
      <c r="AY247" s="22">
        <v>45099</v>
      </c>
      <c r="AZ247" s="22"/>
      <c r="BA247" s="1"/>
      <c r="BB247" s="22" t="str">
        <f t="shared" si="107"/>
        <v>MARINE CARGO / GIT</v>
      </c>
      <c r="BC247" s="1"/>
      <c r="BD247" s="1"/>
      <c r="BE247" s="1"/>
    </row>
    <row r="248" spans="1:57" ht="14.25" hidden="1" customHeight="1">
      <c r="A248" s="2" t="s">
        <v>406</v>
      </c>
      <c r="B248" s="1" t="s">
        <v>58</v>
      </c>
      <c r="C248" s="27">
        <v>45001</v>
      </c>
      <c r="D248" s="27">
        <v>45017</v>
      </c>
      <c r="E248" s="27">
        <v>45017</v>
      </c>
      <c r="F248" s="27">
        <v>45382</v>
      </c>
      <c r="G248" s="13" t="str">
        <f t="shared" si="89"/>
        <v>000-247/AIB RDC/2023</v>
      </c>
      <c r="H248" s="1">
        <v>0</v>
      </c>
      <c r="I248" s="1" t="s">
        <v>83</v>
      </c>
      <c r="J248" s="14">
        <v>10200004</v>
      </c>
      <c r="K248" s="1" t="s">
        <v>485</v>
      </c>
      <c r="L248" s="1"/>
      <c r="M248" s="1" t="s">
        <v>74</v>
      </c>
      <c r="N248" s="1" t="s">
        <v>75</v>
      </c>
      <c r="O248" s="1" t="s">
        <v>80</v>
      </c>
      <c r="P248" s="1" t="s">
        <v>81</v>
      </c>
      <c r="Q248" s="1" t="s">
        <v>135</v>
      </c>
      <c r="R248" s="1" t="s">
        <v>135</v>
      </c>
      <c r="S248" s="25">
        <v>0</v>
      </c>
      <c r="T248" s="25">
        <v>5318</v>
      </c>
      <c r="U248" s="25">
        <v>0</v>
      </c>
      <c r="V248" s="25">
        <v>0</v>
      </c>
      <c r="W248" s="25">
        <v>0</v>
      </c>
      <c r="X248" s="25">
        <v>5213.7299999999996</v>
      </c>
      <c r="Y248" s="25">
        <v>0</v>
      </c>
      <c r="Z248" s="17" t="e">
        <f t="shared" si="90"/>
        <v>#DIV/0!</v>
      </c>
      <c r="AA248" s="18">
        <v>0.05</v>
      </c>
      <c r="AB248" s="16">
        <f t="shared" si="109"/>
        <v>260.68649999999997</v>
      </c>
      <c r="AC248" s="16"/>
      <c r="AD248" s="16"/>
      <c r="AE248" s="16">
        <v>0</v>
      </c>
      <c r="AF248" s="16">
        <f t="shared" si="91"/>
        <v>260.68649999999997</v>
      </c>
      <c r="AG248" s="16">
        <v>0</v>
      </c>
      <c r="AH248" s="16">
        <f t="shared" si="92"/>
        <v>260.68649999999997</v>
      </c>
      <c r="AI248" s="16">
        <f>2%*(AB248+AC248+AD248)</f>
        <v>5.2137299999999991</v>
      </c>
      <c r="AJ248" s="16"/>
      <c r="AK248" s="16">
        <f t="shared" si="93"/>
        <v>5.2137299999999991</v>
      </c>
      <c r="AL248" s="19"/>
      <c r="AM248" s="16">
        <f t="shared" si="94"/>
        <v>255.47276999999997</v>
      </c>
      <c r="AN248" s="40"/>
      <c r="AO248" s="20"/>
      <c r="AP248" s="16">
        <f t="shared" si="95"/>
        <v>0</v>
      </c>
      <c r="AQ248" s="16"/>
      <c r="AR248" s="15"/>
      <c r="AS248" s="16">
        <f t="shared" si="96"/>
        <v>0</v>
      </c>
      <c r="AT248" s="16"/>
      <c r="AU248" s="16">
        <v>260.68649999999997</v>
      </c>
      <c r="AV248" s="16">
        <f t="shared" si="106"/>
        <v>260.68649999999997</v>
      </c>
      <c r="AW248" s="16">
        <f t="shared" si="97"/>
        <v>0</v>
      </c>
      <c r="AX248" s="16" t="str">
        <f t="shared" si="108"/>
        <v>RAWSUR</v>
      </c>
      <c r="AY248" s="27">
        <v>45072</v>
      </c>
      <c r="AZ248" s="22"/>
      <c r="BA248" s="1"/>
      <c r="BB248" s="22" t="str">
        <f t="shared" si="107"/>
        <v>MEDICAL</v>
      </c>
      <c r="BC248" s="1"/>
      <c r="BD248" s="1"/>
      <c r="BE248" s="1"/>
    </row>
    <row r="249" spans="1:57" ht="14.25" customHeight="1">
      <c r="A249" s="2" t="s">
        <v>406</v>
      </c>
      <c r="B249" s="1" t="s">
        <v>58</v>
      </c>
      <c r="C249" s="27">
        <v>45026</v>
      </c>
      <c r="D249" s="27"/>
      <c r="E249" s="27">
        <v>45027</v>
      </c>
      <c r="F249" s="27">
        <v>45038</v>
      </c>
      <c r="G249" s="13" t="str">
        <f t="shared" si="89"/>
        <v>000-248/AIB RDC/2023</v>
      </c>
      <c r="H249" s="1">
        <v>18</v>
      </c>
      <c r="I249" s="1" t="s">
        <v>59</v>
      </c>
      <c r="J249" s="1">
        <v>30130000011</v>
      </c>
      <c r="K249" s="1" t="s">
        <v>419</v>
      </c>
      <c r="L249" s="1" t="s">
        <v>62</v>
      </c>
      <c r="M249" s="1" t="s">
        <v>63</v>
      </c>
      <c r="N249" s="1" t="s">
        <v>71</v>
      </c>
      <c r="O249" s="1" t="s">
        <v>65</v>
      </c>
      <c r="P249" s="1" t="s">
        <v>65</v>
      </c>
      <c r="Q249" s="1" t="s">
        <v>135</v>
      </c>
      <c r="R249" s="1" t="s">
        <v>135</v>
      </c>
      <c r="S249" s="25">
        <v>0</v>
      </c>
      <c r="T249" s="40">
        <v>54.09</v>
      </c>
      <c r="U249" s="25">
        <v>0</v>
      </c>
      <c r="V249" s="25">
        <v>0</v>
      </c>
      <c r="W249" s="40">
        <v>30</v>
      </c>
      <c r="X249" s="40">
        <v>15.81</v>
      </c>
      <c r="Y249" s="40">
        <v>7.32</v>
      </c>
      <c r="Z249" s="17" t="e">
        <f t="shared" si="90"/>
        <v>#DIV/0!</v>
      </c>
      <c r="AA249" s="41">
        <v>0.1</v>
      </c>
      <c r="AB249" s="16">
        <f t="shared" si="109"/>
        <v>1.5810000000000002</v>
      </c>
      <c r="AC249" s="16">
        <v>0</v>
      </c>
      <c r="AD249" s="16">
        <v>0</v>
      </c>
      <c r="AE249" s="16">
        <v>0</v>
      </c>
      <c r="AF249" s="16">
        <f t="shared" si="91"/>
        <v>1.5810000000000002</v>
      </c>
      <c r="AG249" s="16">
        <f>16%*AF249</f>
        <v>0.25296000000000002</v>
      </c>
      <c r="AH249" s="16">
        <f t="shared" si="92"/>
        <v>1.8339600000000003</v>
      </c>
      <c r="AI249" s="16">
        <f>2%*(AB249+AC249+AD249)</f>
        <v>3.1620000000000002E-2</v>
      </c>
      <c r="AJ249" s="16"/>
      <c r="AK249" s="16">
        <f t="shared" si="93"/>
        <v>3.1620000000000002E-2</v>
      </c>
      <c r="AL249" s="19"/>
      <c r="AM249" s="16">
        <f t="shared" si="94"/>
        <v>1.5493800000000002</v>
      </c>
      <c r="AN249" s="40" t="s">
        <v>319</v>
      </c>
      <c r="AO249" s="20"/>
      <c r="AP249" s="16">
        <f t="shared" si="95"/>
        <v>0</v>
      </c>
      <c r="AQ249" s="16"/>
      <c r="AR249" s="15"/>
      <c r="AS249" s="16">
        <f t="shared" si="96"/>
        <v>0</v>
      </c>
      <c r="AT249" s="16"/>
      <c r="AU249" s="16"/>
      <c r="AV249" s="16">
        <f t="shared" si="106"/>
        <v>1.8339600000000003</v>
      </c>
      <c r="AW249" s="60">
        <f t="shared" si="97"/>
        <v>1.8339600000000003</v>
      </c>
      <c r="AX249" s="16" t="str">
        <f t="shared" si="108"/>
        <v>RAWSUR</v>
      </c>
      <c r="AY249" s="22"/>
      <c r="AZ249" s="22"/>
      <c r="BA249" s="1"/>
      <c r="BB249" s="22" t="str">
        <f t="shared" si="107"/>
        <v>MOTOR TPL</v>
      </c>
      <c r="BC249" s="1"/>
      <c r="BD249" s="1"/>
      <c r="BE249" s="1"/>
    </row>
    <row r="250" spans="1:57" ht="14.25" hidden="1" customHeight="1">
      <c r="A250" s="2" t="s">
        <v>57</v>
      </c>
      <c r="B250" s="1" t="s">
        <v>58</v>
      </c>
      <c r="C250" s="27">
        <v>45276</v>
      </c>
      <c r="D250" s="27">
        <v>44927</v>
      </c>
      <c r="E250" s="27">
        <v>44927</v>
      </c>
      <c r="F250" s="27">
        <v>45291</v>
      </c>
      <c r="G250" s="13" t="str">
        <f t="shared" si="89"/>
        <v>000-249/AIB RDC/2023</v>
      </c>
      <c r="H250" s="1">
        <v>2</v>
      </c>
      <c r="I250" s="1" t="s">
        <v>68</v>
      </c>
      <c r="J250" s="1" t="s">
        <v>486</v>
      </c>
      <c r="K250" s="1" t="s">
        <v>490</v>
      </c>
      <c r="L250" s="1"/>
      <c r="M250" s="1" t="s">
        <v>74</v>
      </c>
      <c r="N250" s="1" t="s">
        <v>75</v>
      </c>
      <c r="O250" s="1" t="s">
        <v>89</v>
      </c>
      <c r="P250" s="1" t="s">
        <v>89</v>
      </c>
      <c r="Q250" s="1" t="s">
        <v>90</v>
      </c>
      <c r="R250" s="1" t="s">
        <v>488</v>
      </c>
      <c r="S250" s="25">
        <v>0</v>
      </c>
      <c r="T250" s="25">
        <v>111384.82</v>
      </c>
      <c r="U250" s="25">
        <v>9023.27</v>
      </c>
      <c r="V250" s="25">
        <v>0</v>
      </c>
      <c r="W250" s="25">
        <v>0</v>
      </c>
      <c r="X250" s="25">
        <v>101258.73</v>
      </c>
      <c r="Y250" s="25">
        <v>0</v>
      </c>
      <c r="Z250" s="17" t="e">
        <f t="shared" si="90"/>
        <v>#DIV/0!</v>
      </c>
      <c r="AA250" s="18">
        <v>0.04</v>
      </c>
      <c r="AB250" s="16">
        <v>3847.83</v>
      </c>
      <c r="AC250" s="16">
        <f>30%*U250</f>
        <v>2706.9810000000002</v>
      </c>
      <c r="AD250" s="16">
        <v>0</v>
      </c>
      <c r="AE250" s="16">
        <v>0</v>
      </c>
      <c r="AF250" s="16">
        <f t="shared" si="91"/>
        <v>6554.8109999999997</v>
      </c>
      <c r="AG250" s="16">
        <v>0</v>
      </c>
      <c r="AH250" s="16">
        <f t="shared" si="92"/>
        <v>6554.8109999999997</v>
      </c>
      <c r="AI250" s="16">
        <f>1%*(AB250+AC250+AD250)</f>
        <v>65.548109999999994</v>
      </c>
      <c r="AJ250" s="16">
        <v>0</v>
      </c>
      <c r="AK250" s="16">
        <f t="shared" si="93"/>
        <v>65.548109999999994</v>
      </c>
      <c r="AL250" s="19"/>
      <c r="AM250" s="16">
        <f t="shared" si="94"/>
        <v>6489.26289</v>
      </c>
      <c r="AN250" s="40"/>
      <c r="AO250" s="20"/>
      <c r="AP250" s="16">
        <f t="shared" si="95"/>
        <v>0</v>
      </c>
      <c r="AQ250" s="16"/>
      <c r="AR250" s="15"/>
      <c r="AS250" s="16">
        <f t="shared" si="96"/>
        <v>0</v>
      </c>
      <c r="AT250" s="16"/>
      <c r="AU250" s="16">
        <v>6554.8109999999997</v>
      </c>
      <c r="AV250" s="16">
        <f t="shared" si="106"/>
        <v>6554.8109999999997</v>
      </c>
      <c r="AW250" s="16">
        <f t="shared" si="97"/>
        <v>0</v>
      </c>
      <c r="AX250" s="16" t="s">
        <v>489</v>
      </c>
      <c r="AY250" s="22">
        <v>45219</v>
      </c>
      <c r="AZ250" s="1" t="s">
        <v>491</v>
      </c>
      <c r="BA250" s="1"/>
      <c r="BB250" s="22" t="str">
        <f t="shared" si="107"/>
        <v>LIFE</v>
      </c>
      <c r="BC250" s="1"/>
      <c r="BD250" s="1"/>
      <c r="BE250" s="1" t="s">
        <v>156</v>
      </c>
    </row>
    <row r="251" spans="1:57" ht="14.25" hidden="1" customHeight="1">
      <c r="A251" s="2" t="s">
        <v>406</v>
      </c>
      <c r="B251" s="1" t="s">
        <v>58</v>
      </c>
      <c r="C251" s="27">
        <v>45013</v>
      </c>
      <c r="D251" s="27">
        <v>45033</v>
      </c>
      <c r="E251" s="27">
        <v>45028</v>
      </c>
      <c r="F251" s="27">
        <v>45393</v>
      </c>
      <c r="G251" s="13" t="str">
        <f t="shared" si="89"/>
        <v>000-250/AIB RDC/2023</v>
      </c>
      <c r="H251" s="1">
        <v>1</v>
      </c>
      <c r="I251" s="1" t="s">
        <v>68</v>
      </c>
      <c r="J251" s="14" t="s">
        <v>492</v>
      </c>
      <c r="K251" s="1" t="s">
        <v>73</v>
      </c>
      <c r="L251" s="1"/>
      <c r="M251" s="1" t="s">
        <v>74</v>
      </c>
      <c r="N251" s="1" t="s">
        <v>75</v>
      </c>
      <c r="O251" s="1" t="s">
        <v>107</v>
      </c>
      <c r="P251" s="1" t="s">
        <v>108</v>
      </c>
      <c r="Q251" s="1" t="s">
        <v>66</v>
      </c>
      <c r="R251" s="1" t="s">
        <v>66</v>
      </c>
      <c r="S251" s="25">
        <v>0</v>
      </c>
      <c r="T251" s="25">
        <v>702.09</v>
      </c>
      <c r="U251" s="25">
        <v>0</v>
      </c>
      <c r="V251" s="25">
        <v>0</v>
      </c>
      <c r="W251" s="25">
        <v>20</v>
      </c>
      <c r="X251" s="25">
        <v>574.99</v>
      </c>
      <c r="Y251" s="25">
        <v>95.2</v>
      </c>
      <c r="Z251" s="17" t="e">
        <f t="shared" si="90"/>
        <v>#DIV/0!</v>
      </c>
      <c r="AA251" s="18">
        <v>0.1</v>
      </c>
      <c r="AB251" s="16">
        <f t="shared" ref="AB251:AB314" si="110">AA251*X251</f>
        <v>57.499000000000002</v>
      </c>
      <c r="AC251" s="16">
        <v>0</v>
      </c>
      <c r="AD251" s="16">
        <v>0</v>
      </c>
      <c r="AE251" s="16">
        <v>0</v>
      </c>
      <c r="AF251" s="16">
        <f t="shared" si="91"/>
        <v>57.499000000000002</v>
      </c>
      <c r="AG251" s="16">
        <f t="shared" ref="AG251:AG282" si="111">16%*AF251</f>
        <v>9.19984</v>
      </c>
      <c r="AH251" s="16">
        <f t="shared" si="92"/>
        <v>66.698840000000004</v>
      </c>
      <c r="AI251" s="16">
        <f t="shared" ref="AI251:AI282" si="112">2%*(AB251+AC251+AD251)</f>
        <v>1.14998</v>
      </c>
      <c r="AJ251" s="16">
        <v>0</v>
      </c>
      <c r="AK251" s="16">
        <f t="shared" si="93"/>
        <v>1.14998</v>
      </c>
      <c r="AL251" s="19"/>
      <c r="AM251" s="16">
        <f t="shared" si="94"/>
        <v>56.349020000000003</v>
      </c>
      <c r="AN251" s="40" t="s">
        <v>228</v>
      </c>
      <c r="AO251" s="20"/>
      <c r="AP251" s="16">
        <f t="shared" si="95"/>
        <v>0</v>
      </c>
      <c r="AQ251" s="16"/>
      <c r="AR251" s="15"/>
      <c r="AS251" s="16">
        <f t="shared" si="96"/>
        <v>0</v>
      </c>
      <c r="AT251" s="16"/>
      <c r="AU251" s="16">
        <v>66.698840000000004</v>
      </c>
      <c r="AV251" s="16">
        <f t="shared" si="106"/>
        <v>66.698840000000004</v>
      </c>
      <c r="AW251" s="16">
        <f t="shared" si="97"/>
        <v>0</v>
      </c>
      <c r="AX251" s="16" t="str">
        <f t="shared" ref="AX251:AX261" si="113">Q251</f>
        <v>SFA</v>
      </c>
      <c r="AY251" s="22">
        <v>45076</v>
      </c>
      <c r="AZ251" s="22"/>
      <c r="BA251" s="1"/>
      <c r="BB251" s="22" t="str">
        <f t="shared" si="107"/>
        <v>FIRE</v>
      </c>
      <c r="BC251" s="1"/>
      <c r="BD251" s="1"/>
      <c r="BE251" s="1"/>
    </row>
    <row r="252" spans="1:57" ht="14.25" hidden="1" customHeight="1">
      <c r="A252" s="2" t="s">
        <v>406</v>
      </c>
      <c r="B252" s="1" t="s">
        <v>58</v>
      </c>
      <c r="C252" s="27">
        <v>45026</v>
      </c>
      <c r="D252" s="27">
        <v>45043</v>
      </c>
      <c r="E252" s="27">
        <v>45042</v>
      </c>
      <c r="F252" s="27">
        <v>45407</v>
      </c>
      <c r="G252" s="13" t="str">
        <f t="shared" si="89"/>
        <v>000-251/AIB RDC/2023</v>
      </c>
      <c r="H252" s="1">
        <v>1</v>
      </c>
      <c r="I252" s="1" t="s">
        <v>68</v>
      </c>
      <c r="J252" s="14" t="s">
        <v>493</v>
      </c>
      <c r="K252" s="1" t="s">
        <v>494</v>
      </c>
      <c r="L252" s="1"/>
      <c r="M252" s="1" t="s">
        <v>74</v>
      </c>
      <c r="N252" s="1" t="s">
        <v>75</v>
      </c>
      <c r="O252" s="1" t="s">
        <v>107</v>
      </c>
      <c r="P252" s="1" t="s">
        <v>108</v>
      </c>
      <c r="Q252" s="1" t="s">
        <v>66</v>
      </c>
      <c r="R252" s="1" t="s">
        <v>66</v>
      </c>
      <c r="S252" s="25">
        <v>0</v>
      </c>
      <c r="T252" s="25">
        <v>195.01</v>
      </c>
      <c r="U252" s="25">
        <v>0</v>
      </c>
      <c r="V252" s="25">
        <v>0</v>
      </c>
      <c r="W252" s="25">
        <v>20</v>
      </c>
      <c r="X252" s="25">
        <v>145.26</v>
      </c>
      <c r="Y252" s="25">
        <v>26.44</v>
      </c>
      <c r="Z252" s="17" t="e">
        <f t="shared" si="90"/>
        <v>#DIV/0!</v>
      </c>
      <c r="AA252" s="18">
        <v>0.1</v>
      </c>
      <c r="AB252" s="16">
        <f t="shared" si="110"/>
        <v>14.526</v>
      </c>
      <c r="AC252" s="16"/>
      <c r="AD252" s="16"/>
      <c r="AE252" s="16">
        <v>0</v>
      </c>
      <c r="AF252" s="16">
        <f t="shared" si="91"/>
        <v>14.526</v>
      </c>
      <c r="AG252" s="16">
        <f t="shared" si="111"/>
        <v>2.32416</v>
      </c>
      <c r="AH252" s="16">
        <f t="shared" si="92"/>
        <v>16.850159999999999</v>
      </c>
      <c r="AI252" s="16">
        <f t="shared" si="112"/>
        <v>0.29052</v>
      </c>
      <c r="AJ252" s="16"/>
      <c r="AK252" s="16">
        <f t="shared" si="93"/>
        <v>0.29052</v>
      </c>
      <c r="AL252" s="19"/>
      <c r="AM252" s="16">
        <f t="shared" si="94"/>
        <v>14.235479999999999</v>
      </c>
      <c r="AN252" s="40"/>
      <c r="AO252" s="20"/>
      <c r="AP252" s="16">
        <f t="shared" si="95"/>
        <v>0</v>
      </c>
      <c r="AQ252" s="16"/>
      <c r="AR252" s="15"/>
      <c r="AS252" s="16">
        <f t="shared" si="96"/>
        <v>0</v>
      </c>
      <c r="AT252" s="16"/>
      <c r="AU252" s="16">
        <v>16.850159999999999</v>
      </c>
      <c r="AV252" s="16">
        <f t="shared" si="106"/>
        <v>16.850159999999999</v>
      </c>
      <c r="AW252" s="16">
        <f t="shared" si="97"/>
        <v>0</v>
      </c>
      <c r="AX252" s="16" t="str">
        <f t="shared" si="113"/>
        <v>SFA</v>
      </c>
      <c r="AY252" s="22">
        <v>45076</v>
      </c>
      <c r="AZ252" s="22"/>
      <c r="BA252" s="1"/>
      <c r="BB252" s="22" t="str">
        <f t="shared" si="107"/>
        <v>FIRE</v>
      </c>
      <c r="BC252" s="1"/>
      <c r="BD252" s="1"/>
      <c r="BE252" s="1"/>
    </row>
    <row r="253" spans="1:57" ht="14.25" hidden="1" customHeight="1">
      <c r="A253" s="2" t="s">
        <v>406</v>
      </c>
      <c r="B253" s="1" t="s">
        <v>58</v>
      </c>
      <c r="C253" s="27">
        <v>45049</v>
      </c>
      <c r="D253" s="27">
        <v>45035</v>
      </c>
      <c r="E253" s="27">
        <v>45023</v>
      </c>
      <c r="F253" s="27">
        <v>45388</v>
      </c>
      <c r="G253" s="13" t="str">
        <f t="shared" si="89"/>
        <v>000-252/AIB RDC/2023</v>
      </c>
      <c r="H253" s="1">
        <v>0</v>
      </c>
      <c r="I253" s="1" t="s">
        <v>83</v>
      </c>
      <c r="J253" s="14" t="s">
        <v>495</v>
      </c>
      <c r="K253" s="1" t="s">
        <v>496</v>
      </c>
      <c r="L253" s="1"/>
      <c r="M253" s="1" t="s">
        <v>95</v>
      </c>
      <c r="N253" s="1" t="s">
        <v>434</v>
      </c>
      <c r="O253" s="1" t="s">
        <v>107</v>
      </c>
      <c r="P253" s="1" t="s">
        <v>108</v>
      </c>
      <c r="Q253" s="1" t="s">
        <v>66</v>
      </c>
      <c r="R253" s="1" t="s">
        <v>66</v>
      </c>
      <c r="S253" s="25">
        <v>0</v>
      </c>
      <c r="T253" s="25">
        <v>6562.88</v>
      </c>
      <c r="U253" s="25">
        <v>0</v>
      </c>
      <c r="V253" s="25">
        <v>0</v>
      </c>
      <c r="W253" s="25">
        <v>37.619999999999997</v>
      </c>
      <c r="X253" s="25">
        <v>5524.14</v>
      </c>
      <c r="Y253" s="25">
        <v>889.88</v>
      </c>
      <c r="Z253" s="17" t="e">
        <f t="shared" si="90"/>
        <v>#DIV/0!</v>
      </c>
      <c r="AA253" s="18">
        <v>0.1</v>
      </c>
      <c r="AB253" s="16">
        <f t="shared" si="110"/>
        <v>552.4140000000001</v>
      </c>
      <c r="AC253" s="16"/>
      <c r="AD253" s="16"/>
      <c r="AE253" s="16">
        <v>0</v>
      </c>
      <c r="AF253" s="16">
        <f t="shared" si="91"/>
        <v>552.4140000000001</v>
      </c>
      <c r="AG253" s="16">
        <f t="shared" si="111"/>
        <v>88.386240000000015</v>
      </c>
      <c r="AH253" s="16">
        <f t="shared" si="92"/>
        <v>640.80024000000014</v>
      </c>
      <c r="AI253" s="16">
        <f t="shared" si="112"/>
        <v>11.048280000000002</v>
      </c>
      <c r="AJ253" s="16"/>
      <c r="AK253" s="16">
        <f t="shared" si="93"/>
        <v>11.048280000000002</v>
      </c>
      <c r="AL253" s="19"/>
      <c r="AM253" s="16">
        <f t="shared" si="94"/>
        <v>541.36572000000012</v>
      </c>
      <c r="AN253" s="40"/>
      <c r="AO253" s="20"/>
      <c r="AP253" s="16">
        <f t="shared" si="95"/>
        <v>0</v>
      </c>
      <c r="AQ253" s="16"/>
      <c r="AR253" s="15"/>
      <c r="AS253" s="16">
        <f t="shared" si="96"/>
        <v>0</v>
      </c>
      <c r="AT253" s="16"/>
      <c r="AU253" s="16">
        <v>640.80024000000014</v>
      </c>
      <c r="AV253" s="16">
        <f t="shared" si="106"/>
        <v>640.80024000000014</v>
      </c>
      <c r="AW253" s="16">
        <f t="shared" si="97"/>
        <v>0</v>
      </c>
      <c r="AX253" s="16" t="str">
        <f t="shared" si="113"/>
        <v>SFA</v>
      </c>
      <c r="AY253" s="22">
        <v>45076</v>
      </c>
      <c r="AZ253" s="22"/>
      <c r="BA253" s="1"/>
      <c r="BB253" s="22" t="str">
        <f t="shared" si="107"/>
        <v>FIRE</v>
      </c>
      <c r="BC253" s="1"/>
      <c r="BD253" s="1"/>
      <c r="BE253" s="1"/>
    </row>
    <row r="254" spans="1:57" ht="14.25" hidden="1" customHeight="1">
      <c r="A254" s="2" t="s">
        <v>406</v>
      </c>
      <c r="B254" s="1" t="s">
        <v>58</v>
      </c>
      <c r="C254" s="27">
        <v>45049</v>
      </c>
      <c r="D254" s="27">
        <v>45035</v>
      </c>
      <c r="E254" s="27">
        <v>45035</v>
      </c>
      <c r="F254" s="27">
        <v>45400</v>
      </c>
      <c r="G254" s="13" t="str">
        <f t="shared" si="89"/>
        <v>000-253/AIB RDC/2023</v>
      </c>
      <c r="H254" s="1">
        <v>0</v>
      </c>
      <c r="I254" s="1" t="s">
        <v>83</v>
      </c>
      <c r="J254" s="14" t="s">
        <v>497</v>
      </c>
      <c r="K254" s="1" t="s">
        <v>498</v>
      </c>
      <c r="L254" s="1"/>
      <c r="M254" s="1" t="s">
        <v>95</v>
      </c>
      <c r="N254" s="1" t="s">
        <v>434</v>
      </c>
      <c r="O254" s="1" t="s">
        <v>107</v>
      </c>
      <c r="P254" s="1" t="s">
        <v>108</v>
      </c>
      <c r="Q254" s="1" t="s">
        <v>66</v>
      </c>
      <c r="R254" s="1" t="s">
        <v>66</v>
      </c>
      <c r="S254" s="25">
        <v>0</v>
      </c>
      <c r="T254" s="25">
        <v>365.83</v>
      </c>
      <c r="U254" s="25">
        <v>0</v>
      </c>
      <c r="V254" s="25">
        <v>0</v>
      </c>
      <c r="W254" s="25">
        <v>20</v>
      </c>
      <c r="X254" s="25">
        <v>290.02999999999997</v>
      </c>
      <c r="Y254" s="25">
        <v>49.6</v>
      </c>
      <c r="Z254" s="17" t="e">
        <f t="shared" si="90"/>
        <v>#DIV/0!</v>
      </c>
      <c r="AA254" s="18">
        <v>0.1</v>
      </c>
      <c r="AB254" s="16">
        <f t="shared" si="110"/>
        <v>29.003</v>
      </c>
      <c r="AC254" s="16"/>
      <c r="AD254" s="16"/>
      <c r="AE254" s="16">
        <v>0</v>
      </c>
      <c r="AF254" s="16">
        <f t="shared" si="91"/>
        <v>29.003</v>
      </c>
      <c r="AG254" s="16">
        <f t="shared" si="111"/>
        <v>4.6404800000000002</v>
      </c>
      <c r="AH254" s="16">
        <f t="shared" si="92"/>
        <v>33.643479999999997</v>
      </c>
      <c r="AI254" s="16">
        <f t="shared" si="112"/>
        <v>0.58006000000000002</v>
      </c>
      <c r="AJ254" s="16"/>
      <c r="AK254" s="16">
        <f t="shared" si="93"/>
        <v>0.58006000000000002</v>
      </c>
      <c r="AL254" s="19"/>
      <c r="AM254" s="16">
        <f t="shared" si="94"/>
        <v>28.422940000000001</v>
      </c>
      <c r="AN254" s="40"/>
      <c r="AO254" s="20"/>
      <c r="AP254" s="16">
        <f t="shared" si="95"/>
        <v>0</v>
      </c>
      <c r="AQ254" s="16"/>
      <c r="AR254" s="15"/>
      <c r="AS254" s="16">
        <f t="shared" si="96"/>
        <v>0</v>
      </c>
      <c r="AT254" s="16"/>
      <c r="AU254" s="16">
        <v>33.643479999999997</v>
      </c>
      <c r="AV254" s="16">
        <f t="shared" si="106"/>
        <v>33.643479999999997</v>
      </c>
      <c r="AW254" s="16">
        <f t="shared" si="97"/>
        <v>0</v>
      </c>
      <c r="AX254" s="16" t="str">
        <f t="shared" si="113"/>
        <v>SFA</v>
      </c>
      <c r="AY254" s="22">
        <v>45076</v>
      </c>
      <c r="AZ254" s="22"/>
      <c r="BA254" s="1"/>
      <c r="BB254" s="22" t="str">
        <f t="shared" si="107"/>
        <v>FIRE</v>
      </c>
      <c r="BC254" s="1"/>
      <c r="BD254" s="1"/>
      <c r="BE254" s="1"/>
    </row>
    <row r="255" spans="1:57" ht="14.25" hidden="1" customHeight="1">
      <c r="A255" s="2" t="s">
        <v>406</v>
      </c>
      <c r="B255" s="1" t="s">
        <v>58</v>
      </c>
      <c r="C255" s="27">
        <v>45054</v>
      </c>
      <c r="D255" s="27">
        <v>45019</v>
      </c>
      <c r="E255" s="27">
        <v>45019</v>
      </c>
      <c r="F255" s="27">
        <v>45109</v>
      </c>
      <c r="G255" s="13" t="str">
        <f t="shared" si="89"/>
        <v>000-254/AIB RDC/2023</v>
      </c>
      <c r="H255" s="1">
        <v>0</v>
      </c>
      <c r="I255" s="1" t="s">
        <v>83</v>
      </c>
      <c r="J255" s="14">
        <v>70100017</v>
      </c>
      <c r="K255" s="1" t="s">
        <v>499</v>
      </c>
      <c r="L255" s="1"/>
      <c r="M255" s="1" t="s">
        <v>99</v>
      </c>
      <c r="N255" s="1" t="s">
        <v>146</v>
      </c>
      <c r="O255" s="1" t="s">
        <v>104</v>
      </c>
      <c r="P255" s="1" t="s">
        <v>105</v>
      </c>
      <c r="Q255" s="1" t="s">
        <v>135</v>
      </c>
      <c r="R255" s="1" t="s">
        <v>135</v>
      </c>
      <c r="S255" s="25"/>
      <c r="T255" s="25">
        <v>1104.54</v>
      </c>
      <c r="U255" s="25">
        <v>0</v>
      </c>
      <c r="V255" s="25">
        <v>0</v>
      </c>
      <c r="W255" s="25">
        <v>37</v>
      </c>
      <c r="X255" s="25">
        <v>899.05</v>
      </c>
      <c r="Y255" s="25">
        <v>149.77000000000001</v>
      </c>
      <c r="Z255" s="17" t="e">
        <f t="shared" si="90"/>
        <v>#DIV/0!</v>
      </c>
      <c r="AA255" s="18">
        <v>0.15</v>
      </c>
      <c r="AB255" s="16">
        <f t="shared" si="110"/>
        <v>134.85749999999999</v>
      </c>
      <c r="AC255" s="16">
        <v>0</v>
      </c>
      <c r="AD255" s="16">
        <v>0</v>
      </c>
      <c r="AE255" s="16">
        <v>0</v>
      </c>
      <c r="AF255" s="16">
        <f t="shared" si="91"/>
        <v>134.85749999999999</v>
      </c>
      <c r="AG255" s="16">
        <f t="shared" si="111"/>
        <v>21.577199999999998</v>
      </c>
      <c r="AH255" s="16">
        <f t="shared" si="92"/>
        <v>156.43469999999999</v>
      </c>
      <c r="AI255" s="16">
        <f t="shared" si="112"/>
        <v>2.6971499999999997</v>
      </c>
      <c r="AJ255" s="16">
        <v>0</v>
      </c>
      <c r="AK255" s="16">
        <f t="shared" si="93"/>
        <v>2.6971499999999997</v>
      </c>
      <c r="AL255" s="19"/>
      <c r="AM255" s="16">
        <f t="shared" si="94"/>
        <v>132.16034999999999</v>
      </c>
      <c r="AN255" s="16" t="s">
        <v>228</v>
      </c>
      <c r="AO255" s="20">
        <v>0</v>
      </c>
      <c r="AP255" s="16">
        <f t="shared" si="95"/>
        <v>0</v>
      </c>
      <c r="AQ255" s="16"/>
      <c r="AR255" s="15"/>
      <c r="AS255" s="16">
        <f t="shared" si="96"/>
        <v>0</v>
      </c>
      <c r="AT255" s="16"/>
      <c r="AU255" s="16">
        <v>156.43469999999999</v>
      </c>
      <c r="AV255" s="16">
        <f t="shared" si="106"/>
        <v>156.43469999999999</v>
      </c>
      <c r="AW255" s="16">
        <f t="shared" si="97"/>
        <v>0</v>
      </c>
      <c r="AX255" s="16" t="str">
        <f t="shared" si="113"/>
        <v>RAWSUR</v>
      </c>
      <c r="AY255" s="22">
        <v>45072</v>
      </c>
      <c r="AZ255" s="22"/>
      <c r="BA255" s="1" t="s">
        <v>148</v>
      </c>
      <c r="BB255" s="22"/>
      <c r="BC255" s="1"/>
      <c r="BD255" s="1"/>
      <c r="BE255" s="1"/>
    </row>
    <row r="256" spans="1:57" ht="14.25" hidden="1" customHeight="1">
      <c r="A256" s="2" t="s">
        <v>406</v>
      </c>
      <c r="B256" s="1" t="s">
        <v>58</v>
      </c>
      <c r="C256" s="27">
        <v>45054</v>
      </c>
      <c r="D256" s="27">
        <v>45017</v>
      </c>
      <c r="E256" s="27">
        <v>45017</v>
      </c>
      <c r="F256" s="27">
        <v>45077</v>
      </c>
      <c r="G256" s="13" t="str">
        <f t="shared" si="89"/>
        <v>000-255/AIB RDC/2023</v>
      </c>
      <c r="H256" s="1">
        <v>0</v>
      </c>
      <c r="I256" s="1" t="s">
        <v>83</v>
      </c>
      <c r="J256" s="14">
        <v>70100020</v>
      </c>
      <c r="K256" s="2" t="s">
        <v>403</v>
      </c>
      <c r="L256" s="1"/>
      <c r="M256" s="1" t="s">
        <v>95</v>
      </c>
      <c r="N256" s="1" t="s">
        <v>146</v>
      </c>
      <c r="O256" s="1" t="s">
        <v>104</v>
      </c>
      <c r="P256" s="1" t="s">
        <v>105</v>
      </c>
      <c r="Q256" s="1" t="s">
        <v>135</v>
      </c>
      <c r="R256" s="1" t="s">
        <v>135</v>
      </c>
      <c r="S256" s="25">
        <f>95223+98670.88+33280+33280+152649.69+136567.61+27872.29+109243.97+38971.44+95223+33280+98670.88+33280+34560+33773.05+51492.92+152649.69</f>
        <v>1258688.4199999997</v>
      </c>
      <c r="T256" s="25">
        <v>6335.5</v>
      </c>
      <c r="U256" s="25">
        <v>0</v>
      </c>
      <c r="V256" s="25">
        <v>0</v>
      </c>
      <c r="W256" s="25">
        <v>629</v>
      </c>
      <c r="X256" s="25">
        <v>4740.07</v>
      </c>
      <c r="Y256" s="25">
        <v>859.05</v>
      </c>
      <c r="Z256" s="17">
        <f t="shared" si="90"/>
        <v>3.765880359811367E-3</v>
      </c>
      <c r="AA256" s="18">
        <v>0.15</v>
      </c>
      <c r="AB256" s="16">
        <f t="shared" si="110"/>
        <v>711.01049999999998</v>
      </c>
      <c r="AC256" s="16">
        <v>0</v>
      </c>
      <c r="AD256" s="16">
        <v>0</v>
      </c>
      <c r="AE256" s="16">
        <v>0</v>
      </c>
      <c r="AF256" s="16">
        <f t="shared" si="91"/>
        <v>711.01049999999998</v>
      </c>
      <c r="AG256" s="16">
        <f t="shared" si="111"/>
        <v>113.76168</v>
      </c>
      <c r="AH256" s="16">
        <f t="shared" si="92"/>
        <v>824.77217999999993</v>
      </c>
      <c r="AI256" s="16">
        <f t="shared" si="112"/>
        <v>14.22021</v>
      </c>
      <c r="AJ256" s="16">
        <v>0</v>
      </c>
      <c r="AK256" s="16">
        <f t="shared" si="93"/>
        <v>14.22021</v>
      </c>
      <c r="AL256" s="19"/>
      <c r="AM256" s="16">
        <f t="shared" si="94"/>
        <v>696.79029000000003</v>
      </c>
      <c r="AN256" s="16" t="s">
        <v>147</v>
      </c>
      <c r="AO256" s="20">
        <v>0.4</v>
      </c>
      <c r="AP256" s="16">
        <f t="shared" si="95"/>
        <v>278.716116</v>
      </c>
      <c r="AQ256" s="16">
        <v>278.716116</v>
      </c>
      <c r="AR256" s="15">
        <v>45229</v>
      </c>
      <c r="AS256" s="16">
        <f t="shared" si="96"/>
        <v>0</v>
      </c>
      <c r="AT256" s="16"/>
      <c r="AU256" s="16">
        <v>824.77217999999993</v>
      </c>
      <c r="AV256" s="16">
        <f t="shared" si="106"/>
        <v>824.77217999999993</v>
      </c>
      <c r="AW256" s="16">
        <f t="shared" si="97"/>
        <v>0</v>
      </c>
      <c r="AX256" s="16" t="str">
        <f t="shared" si="113"/>
        <v>RAWSUR</v>
      </c>
      <c r="AY256" s="22">
        <v>45072</v>
      </c>
      <c r="AZ256" s="22"/>
      <c r="BA256" s="1" t="s">
        <v>148</v>
      </c>
      <c r="BB256" s="1" t="s">
        <v>104</v>
      </c>
      <c r="BC256" s="1"/>
      <c r="BD256" s="1"/>
      <c r="BE256" s="1"/>
    </row>
    <row r="257" spans="1:57" ht="14.25" hidden="1" customHeight="1">
      <c r="A257" s="2" t="s">
        <v>406</v>
      </c>
      <c r="B257" s="1" t="s">
        <v>58</v>
      </c>
      <c r="C257" s="27">
        <v>45054</v>
      </c>
      <c r="D257" s="27">
        <v>45033</v>
      </c>
      <c r="E257" s="27">
        <v>45021</v>
      </c>
      <c r="F257" s="27">
        <v>45111</v>
      </c>
      <c r="G257" s="13" t="str">
        <f t="shared" si="89"/>
        <v>000-256/AIB RDC/2023</v>
      </c>
      <c r="H257" s="1">
        <v>0</v>
      </c>
      <c r="I257" s="1" t="s">
        <v>83</v>
      </c>
      <c r="J257" s="14">
        <v>70100019</v>
      </c>
      <c r="K257" s="2" t="s">
        <v>403</v>
      </c>
      <c r="L257" s="1"/>
      <c r="M257" s="1" t="s">
        <v>95</v>
      </c>
      <c r="N257" s="1" t="s">
        <v>146</v>
      </c>
      <c r="O257" s="1" t="s">
        <v>104</v>
      </c>
      <c r="P257" s="1" t="s">
        <v>105</v>
      </c>
      <c r="Q257" s="1" t="s">
        <v>135</v>
      </c>
      <c r="R257" s="1" t="s">
        <v>135</v>
      </c>
      <c r="S257" s="25">
        <v>1066998.77</v>
      </c>
      <c r="T257" s="25">
        <v>8786.2099999999991</v>
      </c>
      <c r="U257" s="25">
        <v>0</v>
      </c>
      <c r="V257" s="25">
        <v>0</v>
      </c>
      <c r="W257" s="25">
        <v>1850</v>
      </c>
      <c r="X257" s="25">
        <v>5595.94</v>
      </c>
      <c r="Y257" s="25">
        <v>1191.3499999999999</v>
      </c>
      <c r="Z257" s="17">
        <f t="shared" si="90"/>
        <v>5.2445608723616427E-3</v>
      </c>
      <c r="AA257" s="18">
        <v>0.15</v>
      </c>
      <c r="AB257" s="16">
        <f t="shared" si="110"/>
        <v>839.39099999999996</v>
      </c>
      <c r="AC257" s="16">
        <v>0</v>
      </c>
      <c r="AD257" s="16">
        <v>0</v>
      </c>
      <c r="AE257" s="16">
        <v>0</v>
      </c>
      <c r="AF257" s="16">
        <f t="shared" si="91"/>
        <v>839.39099999999996</v>
      </c>
      <c r="AG257" s="16">
        <f t="shared" si="111"/>
        <v>134.30256</v>
      </c>
      <c r="AH257" s="16">
        <f t="shared" si="92"/>
        <v>973.69355999999993</v>
      </c>
      <c r="AI257" s="16">
        <f t="shared" si="112"/>
        <v>16.78782</v>
      </c>
      <c r="AJ257" s="16">
        <v>0</v>
      </c>
      <c r="AK257" s="16">
        <f t="shared" si="93"/>
        <v>16.78782</v>
      </c>
      <c r="AL257" s="19"/>
      <c r="AM257" s="16">
        <f t="shared" si="94"/>
        <v>822.60317999999995</v>
      </c>
      <c r="AN257" s="16" t="s">
        <v>147</v>
      </c>
      <c r="AO257" s="20">
        <v>0.4</v>
      </c>
      <c r="AP257" s="16">
        <f t="shared" si="95"/>
        <v>329.04127199999999</v>
      </c>
      <c r="AQ257" s="16">
        <v>329.04127199999999</v>
      </c>
      <c r="AR257" s="15">
        <v>45229</v>
      </c>
      <c r="AS257" s="16">
        <f t="shared" si="96"/>
        <v>0</v>
      </c>
      <c r="AT257" s="16"/>
      <c r="AU257" s="16">
        <v>973.69355999999993</v>
      </c>
      <c r="AV257" s="16">
        <f t="shared" si="106"/>
        <v>973.69355999999993</v>
      </c>
      <c r="AW257" s="16">
        <f t="shared" si="97"/>
        <v>0</v>
      </c>
      <c r="AX257" s="16" t="str">
        <f t="shared" si="113"/>
        <v>RAWSUR</v>
      </c>
      <c r="AY257" s="22">
        <v>45072</v>
      </c>
      <c r="AZ257" s="22"/>
      <c r="BA257" s="1" t="s">
        <v>148</v>
      </c>
      <c r="BB257" s="1" t="s">
        <v>104</v>
      </c>
      <c r="BC257" s="1"/>
      <c r="BD257" s="1"/>
      <c r="BE257" s="1"/>
    </row>
    <row r="258" spans="1:57" ht="14.25" customHeight="1">
      <c r="A258" s="2" t="s">
        <v>406</v>
      </c>
      <c r="B258" s="1" t="s">
        <v>58</v>
      </c>
      <c r="C258" s="27">
        <v>45030</v>
      </c>
      <c r="D258" s="27"/>
      <c r="E258" s="27">
        <v>45031</v>
      </c>
      <c r="F258" s="27">
        <v>45038</v>
      </c>
      <c r="G258" s="13" t="str">
        <f t="shared" si="89"/>
        <v>000-257/AIB RDC/2023</v>
      </c>
      <c r="H258" s="1">
        <v>19</v>
      </c>
      <c r="I258" s="1" t="s">
        <v>59</v>
      </c>
      <c r="J258" s="1">
        <v>30130000011</v>
      </c>
      <c r="K258" s="1" t="s">
        <v>419</v>
      </c>
      <c r="L258" s="1" t="s">
        <v>62</v>
      </c>
      <c r="M258" s="1" t="s">
        <v>63</v>
      </c>
      <c r="N258" s="1" t="s">
        <v>71</v>
      </c>
      <c r="O258" s="1" t="s">
        <v>65</v>
      </c>
      <c r="P258" s="1" t="s">
        <v>65</v>
      </c>
      <c r="Q258" s="1" t="s">
        <v>135</v>
      </c>
      <c r="R258" s="1" t="s">
        <v>135</v>
      </c>
      <c r="S258" s="25">
        <v>0</v>
      </c>
      <c r="T258" s="40">
        <v>62.55</v>
      </c>
      <c r="U258" s="25">
        <v>0</v>
      </c>
      <c r="V258" s="25">
        <v>0</v>
      </c>
      <c r="W258" s="40">
        <v>30</v>
      </c>
      <c r="X258" s="40">
        <v>23.01</v>
      </c>
      <c r="Y258" s="40">
        <v>8.49</v>
      </c>
      <c r="Z258" s="17" t="e">
        <f t="shared" si="90"/>
        <v>#DIV/0!</v>
      </c>
      <c r="AA258" s="41">
        <v>0.1</v>
      </c>
      <c r="AB258" s="16">
        <f t="shared" si="110"/>
        <v>2.3010000000000002</v>
      </c>
      <c r="AC258" s="16">
        <v>0</v>
      </c>
      <c r="AD258" s="16">
        <v>0</v>
      </c>
      <c r="AE258" s="16">
        <v>0</v>
      </c>
      <c r="AF258" s="16">
        <f t="shared" si="91"/>
        <v>2.3010000000000002</v>
      </c>
      <c r="AG258" s="16">
        <f t="shared" si="111"/>
        <v>0.36816000000000004</v>
      </c>
      <c r="AH258" s="16">
        <f t="shared" si="92"/>
        <v>2.6691600000000002</v>
      </c>
      <c r="AI258" s="16">
        <f t="shared" si="112"/>
        <v>4.6020000000000005E-2</v>
      </c>
      <c r="AJ258" s="16"/>
      <c r="AK258" s="16">
        <f t="shared" si="93"/>
        <v>4.6020000000000005E-2</v>
      </c>
      <c r="AL258" s="19"/>
      <c r="AM258" s="16">
        <f t="shared" si="94"/>
        <v>2.2549800000000002</v>
      </c>
      <c r="AN258" s="40" t="s">
        <v>319</v>
      </c>
      <c r="AO258" s="20"/>
      <c r="AP258" s="16">
        <f t="shared" si="95"/>
        <v>0</v>
      </c>
      <c r="AQ258" s="16"/>
      <c r="AR258" s="15"/>
      <c r="AS258" s="16">
        <f t="shared" si="96"/>
        <v>0</v>
      </c>
      <c r="AT258" s="16"/>
      <c r="AU258" s="16"/>
      <c r="AV258" s="16">
        <f t="shared" si="106"/>
        <v>2.6691600000000002</v>
      </c>
      <c r="AW258" s="60">
        <f t="shared" si="97"/>
        <v>2.6691600000000002</v>
      </c>
      <c r="AX258" s="16" t="str">
        <f t="shared" si="113"/>
        <v>RAWSUR</v>
      </c>
      <c r="AY258" s="22"/>
      <c r="AZ258" s="22"/>
      <c r="BA258" s="1"/>
      <c r="BB258" s="22" t="str">
        <f>O258</f>
        <v>MOTOR TPL</v>
      </c>
      <c r="BC258" s="1"/>
      <c r="BD258" s="1"/>
      <c r="BE258" s="1"/>
    </row>
    <row r="259" spans="1:57" ht="14.25" hidden="1" customHeight="1">
      <c r="A259" s="2" t="s">
        <v>406</v>
      </c>
      <c r="B259" s="1" t="s">
        <v>58</v>
      </c>
      <c r="C259" s="27">
        <v>45042</v>
      </c>
      <c r="D259" s="27">
        <v>45042</v>
      </c>
      <c r="E259" s="27">
        <v>45042</v>
      </c>
      <c r="F259" s="27">
        <v>45071</v>
      </c>
      <c r="G259" s="13" t="str">
        <f t="shared" si="89"/>
        <v>000-258/AIB RDC/2023</v>
      </c>
      <c r="H259" s="1">
        <v>0</v>
      </c>
      <c r="I259" s="1" t="s">
        <v>83</v>
      </c>
      <c r="J259" s="29" t="s">
        <v>500</v>
      </c>
      <c r="K259" s="2" t="s">
        <v>501</v>
      </c>
      <c r="L259" s="1" t="s">
        <v>123</v>
      </c>
      <c r="M259" s="2" t="s">
        <v>63</v>
      </c>
      <c r="N259" s="2" t="s">
        <v>71</v>
      </c>
      <c r="O259" s="1" t="s">
        <v>104</v>
      </c>
      <c r="P259" s="1" t="s">
        <v>105</v>
      </c>
      <c r="Q259" s="1" t="s">
        <v>117</v>
      </c>
      <c r="R259" s="1" t="s">
        <v>117</v>
      </c>
      <c r="S259" s="25">
        <v>57458.29</v>
      </c>
      <c r="T259" s="25">
        <v>400.51</v>
      </c>
      <c r="U259" s="25">
        <v>0</v>
      </c>
      <c r="V259" s="25">
        <v>0</v>
      </c>
      <c r="W259" s="25">
        <v>35</v>
      </c>
      <c r="X259" s="25">
        <v>310.27</v>
      </c>
      <c r="Y259" s="25">
        <v>55.24</v>
      </c>
      <c r="Z259" s="17">
        <f t="shared" si="90"/>
        <v>5.3999170528743539E-3</v>
      </c>
      <c r="AA259" s="18">
        <v>0.15</v>
      </c>
      <c r="AB259" s="16">
        <f t="shared" si="110"/>
        <v>46.540499999999994</v>
      </c>
      <c r="AC259" s="16">
        <v>0</v>
      </c>
      <c r="AD259" s="16">
        <v>0</v>
      </c>
      <c r="AE259" s="16">
        <v>0</v>
      </c>
      <c r="AF259" s="16">
        <f t="shared" si="91"/>
        <v>46.540499999999994</v>
      </c>
      <c r="AG259" s="16">
        <f t="shared" si="111"/>
        <v>7.4464799999999993</v>
      </c>
      <c r="AH259" s="16">
        <f t="shared" si="92"/>
        <v>53.986979999999996</v>
      </c>
      <c r="AI259" s="16">
        <f t="shared" si="112"/>
        <v>0.93080999999999992</v>
      </c>
      <c r="AJ259" s="16"/>
      <c r="AK259" s="16">
        <f t="shared" si="93"/>
        <v>0.93080999999999992</v>
      </c>
      <c r="AL259" s="19"/>
      <c r="AM259" s="16">
        <f t="shared" si="94"/>
        <v>45.609689999999993</v>
      </c>
      <c r="AN259" s="16"/>
      <c r="AO259" s="20"/>
      <c r="AP259" s="16">
        <f t="shared" si="95"/>
        <v>0</v>
      </c>
      <c r="AQ259" s="16"/>
      <c r="AR259" s="15"/>
      <c r="AS259" s="16">
        <f t="shared" si="96"/>
        <v>0</v>
      </c>
      <c r="AT259" s="16"/>
      <c r="AU259" s="16">
        <v>53.986979999999996</v>
      </c>
      <c r="AV259" s="16">
        <f t="shared" ref="AV259:AV290" si="114">AH259</f>
        <v>53.986979999999996</v>
      </c>
      <c r="AW259" s="16">
        <f t="shared" si="97"/>
        <v>0</v>
      </c>
      <c r="AX259" s="16" t="str">
        <f t="shared" si="113"/>
        <v>SUNU</v>
      </c>
      <c r="AY259" s="22">
        <v>45062</v>
      </c>
      <c r="AZ259" s="22"/>
      <c r="BA259" s="1"/>
      <c r="BB259" s="22"/>
      <c r="BC259" s="1"/>
      <c r="BD259" s="1"/>
      <c r="BE259" s="1"/>
    </row>
    <row r="260" spans="1:57" ht="14.25" hidden="1" customHeight="1">
      <c r="A260" s="2" t="s">
        <v>165</v>
      </c>
      <c r="B260" s="1" t="s">
        <v>58</v>
      </c>
      <c r="C260" s="27">
        <v>45057</v>
      </c>
      <c r="D260" s="27">
        <v>44986</v>
      </c>
      <c r="E260" s="27">
        <v>44986</v>
      </c>
      <c r="F260" s="27">
        <v>45350</v>
      </c>
      <c r="G260" s="13" t="str">
        <f t="shared" si="89"/>
        <v>000-259/AIB RDC/2023</v>
      </c>
      <c r="H260" s="1">
        <v>1</v>
      </c>
      <c r="I260" s="1" t="s">
        <v>68</v>
      </c>
      <c r="J260" s="29" t="s">
        <v>502</v>
      </c>
      <c r="K260" s="15" t="s">
        <v>503</v>
      </c>
      <c r="L260" s="1"/>
      <c r="M260" s="2" t="s">
        <v>63</v>
      </c>
      <c r="N260" s="2" t="s">
        <v>71</v>
      </c>
      <c r="O260" s="1" t="s">
        <v>101</v>
      </c>
      <c r="P260" s="1" t="s">
        <v>81</v>
      </c>
      <c r="Q260" s="1" t="s">
        <v>117</v>
      </c>
      <c r="R260" s="1" t="s">
        <v>117</v>
      </c>
      <c r="S260" s="25">
        <v>0</v>
      </c>
      <c r="T260" s="25">
        <v>8117.98</v>
      </c>
      <c r="U260" s="25">
        <v>0</v>
      </c>
      <c r="V260" s="25">
        <v>0</v>
      </c>
      <c r="W260" s="25">
        <v>69.28</v>
      </c>
      <c r="X260" s="25">
        <v>6928.98</v>
      </c>
      <c r="Y260" s="25">
        <v>1119.72</v>
      </c>
      <c r="Z260" s="17" t="e">
        <f t="shared" si="90"/>
        <v>#DIV/0!</v>
      </c>
      <c r="AA260" s="18">
        <v>0.1</v>
      </c>
      <c r="AB260" s="16">
        <f t="shared" si="110"/>
        <v>692.89800000000002</v>
      </c>
      <c r="AC260" s="16">
        <v>0</v>
      </c>
      <c r="AD260" s="16">
        <v>0</v>
      </c>
      <c r="AE260" s="16">
        <v>0</v>
      </c>
      <c r="AF260" s="16">
        <f t="shared" si="91"/>
        <v>692.89800000000002</v>
      </c>
      <c r="AG260" s="16">
        <f t="shared" si="111"/>
        <v>110.86368</v>
      </c>
      <c r="AH260" s="16">
        <f t="shared" si="92"/>
        <v>803.76168000000007</v>
      </c>
      <c r="AI260" s="16">
        <f t="shared" si="112"/>
        <v>13.85796</v>
      </c>
      <c r="AJ260" s="16"/>
      <c r="AK260" s="16">
        <f t="shared" si="93"/>
        <v>13.85796</v>
      </c>
      <c r="AL260" s="19"/>
      <c r="AM260" s="16">
        <f t="shared" si="94"/>
        <v>679.04003999999998</v>
      </c>
      <c r="AN260" s="16"/>
      <c r="AO260" s="20"/>
      <c r="AP260" s="16">
        <f t="shared" si="95"/>
        <v>0</v>
      </c>
      <c r="AQ260" s="16"/>
      <c r="AR260" s="15"/>
      <c r="AS260" s="16">
        <f t="shared" si="96"/>
        <v>0</v>
      </c>
      <c r="AT260" s="16"/>
      <c r="AU260" s="16">
        <v>803.76168000000007</v>
      </c>
      <c r="AV260" s="16">
        <f t="shared" si="114"/>
        <v>803.76168000000007</v>
      </c>
      <c r="AW260" s="16">
        <f t="shared" si="97"/>
        <v>0</v>
      </c>
      <c r="AX260" s="16" t="str">
        <f t="shared" si="113"/>
        <v>SUNU</v>
      </c>
      <c r="AY260" s="22">
        <v>45062</v>
      </c>
      <c r="AZ260" s="22"/>
      <c r="BA260" s="1"/>
      <c r="BB260" s="22"/>
      <c r="BC260" s="1"/>
      <c r="BD260" s="1"/>
      <c r="BE260" s="1"/>
    </row>
    <row r="261" spans="1:57" ht="14.25" hidden="1" customHeight="1">
      <c r="A261" s="2" t="s">
        <v>165</v>
      </c>
      <c r="B261" s="1" t="s">
        <v>58</v>
      </c>
      <c r="C261" s="27">
        <v>45057</v>
      </c>
      <c r="D261" s="27">
        <v>45002</v>
      </c>
      <c r="E261" s="27">
        <v>45002</v>
      </c>
      <c r="F261" s="27">
        <v>45032</v>
      </c>
      <c r="G261" s="13" t="str">
        <f t="shared" si="89"/>
        <v>000-260/AIB RDC/2023</v>
      </c>
      <c r="H261" s="1">
        <v>0</v>
      </c>
      <c r="I261" s="1" t="s">
        <v>83</v>
      </c>
      <c r="J261" s="29" t="s">
        <v>504</v>
      </c>
      <c r="K261" s="1" t="s">
        <v>505</v>
      </c>
      <c r="L261" s="1"/>
      <c r="M261" s="2" t="s">
        <v>95</v>
      </c>
      <c r="N261" s="2" t="s">
        <v>96</v>
      </c>
      <c r="O261" s="1" t="s">
        <v>104</v>
      </c>
      <c r="P261" s="1" t="s">
        <v>105</v>
      </c>
      <c r="Q261" s="1" t="s">
        <v>76</v>
      </c>
      <c r="R261" s="1" t="s">
        <v>76</v>
      </c>
      <c r="S261" s="25">
        <v>13804.38</v>
      </c>
      <c r="T261" s="25">
        <v>180.6</v>
      </c>
      <c r="U261" s="25">
        <v>0</v>
      </c>
      <c r="V261" s="25">
        <v>0</v>
      </c>
      <c r="W261" s="25">
        <v>10</v>
      </c>
      <c r="X261" s="25">
        <v>150</v>
      </c>
      <c r="Y261" s="25">
        <v>25.6</v>
      </c>
      <c r="Z261" s="17">
        <f t="shared" si="90"/>
        <v>1.086611640653184E-2</v>
      </c>
      <c r="AA261" s="18">
        <v>0.15</v>
      </c>
      <c r="AB261" s="16">
        <f t="shared" si="110"/>
        <v>22.5</v>
      </c>
      <c r="AC261" s="16">
        <v>0</v>
      </c>
      <c r="AD261" s="16">
        <v>0</v>
      </c>
      <c r="AE261" s="16">
        <v>0</v>
      </c>
      <c r="AF261" s="16">
        <f t="shared" si="91"/>
        <v>22.5</v>
      </c>
      <c r="AG261" s="16">
        <f t="shared" si="111"/>
        <v>3.6</v>
      </c>
      <c r="AH261" s="16">
        <f t="shared" si="92"/>
        <v>26.1</v>
      </c>
      <c r="AI261" s="16">
        <f t="shared" si="112"/>
        <v>0.45</v>
      </c>
      <c r="AJ261" s="16">
        <v>0</v>
      </c>
      <c r="AK261" s="16">
        <f t="shared" si="93"/>
        <v>0.45</v>
      </c>
      <c r="AL261" s="19"/>
      <c r="AM261" s="16">
        <f t="shared" si="94"/>
        <v>22.05</v>
      </c>
      <c r="AN261" s="16"/>
      <c r="AO261" s="20"/>
      <c r="AP261" s="16">
        <f t="shared" si="95"/>
        <v>0</v>
      </c>
      <c r="AQ261" s="16"/>
      <c r="AR261" s="15"/>
      <c r="AS261" s="16">
        <f t="shared" si="96"/>
        <v>0</v>
      </c>
      <c r="AT261" s="16"/>
      <c r="AU261" s="16">
        <v>26.1</v>
      </c>
      <c r="AV261" s="16">
        <f t="shared" si="114"/>
        <v>26.1</v>
      </c>
      <c r="AW261" s="16">
        <f t="shared" si="97"/>
        <v>0</v>
      </c>
      <c r="AX261" s="16" t="str">
        <f t="shared" si="113"/>
        <v>ACTIVA</v>
      </c>
      <c r="AY261" s="22">
        <v>45082</v>
      </c>
      <c r="AZ261" s="22"/>
      <c r="BA261" s="1" t="s">
        <v>148</v>
      </c>
      <c r="BB261" s="22" t="str">
        <f>O261</f>
        <v>MARINE CARGO / GIT</v>
      </c>
      <c r="BC261" s="1"/>
      <c r="BD261" s="1"/>
      <c r="BE261" s="1"/>
    </row>
    <row r="262" spans="1:57" ht="14.25" hidden="1" customHeight="1">
      <c r="A262" s="2" t="s">
        <v>165</v>
      </c>
      <c r="B262" s="1" t="s">
        <v>58</v>
      </c>
      <c r="C262" s="27">
        <v>45014</v>
      </c>
      <c r="D262" s="27">
        <v>45014</v>
      </c>
      <c r="E262" s="27">
        <v>45017</v>
      </c>
      <c r="F262" s="27">
        <v>45382</v>
      </c>
      <c r="G262" s="13" t="str">
        <f t="shared" ref="G262:G325" si="115">TEXT(ROW(G262)-1,"000-000") &amp; "/AIB RDC/2023"</f>
        <v>000-261/AIB RDC/2023</v>
      </c>
      <c r="H262" s="1">
        <v>0</v>
      </c>
      <c r="I262" s="1" t="s">
        <v>83</v>
      </c>
      <c r="J262" s="29" t="s">
        <v>506</v>
      </c>
      <c r="K262" s="1" t="s">
        <v>507</v>
      </c>
      <c r="L262" s="1"/>
      <c r="M262" s="2" t="s">
        <v>74</v>
      </c>
      <c r="N262" s="2" t="s">
        <v>75</v>
      </c>
      <c r="O262" s="1" t="s">
        <v>80</v>
      </c>
      <c r="P262" s="1" t="s">
        <v>81</v>
      </c>
      <c r="Q262" s="1" t="s">
        <v>508</v>
      </c>
      <c r="R262" s="1" t="s">
        <v>508</v>
      </c>
      <c r="S262" s="25"/>
      <c r="T262" s="25">
        <v>15145</v>
      </c>
      <c r="U262" s="25">
        <v>0</v>
      </c>
      <c r="V262" s="25">
        <v>0</v>
      </c>
      <c r="W262" s="25">
        <v>0</v>
      </c>
      <c r="X262" s="25">
        <v>12900</v>
      </c>
      <c r="Y262" s="25">
        <v>310</v>
      </c>
      <c r="Z262" s="17" t="e">
        <f t="shared" ref="Z262:Z325" si="116">X262/S262</f>
        <v>#DIV/0!</v>
      </c>
      <c r="AA262" s="18">
        <v>0.05</v>
      </c>
      <c r="AB262" s="16">
        <f t="shared" si="110"/>
        <v>645</v>
      </c>
      <c r="AC262" s="16"/>
      <c r="AD262" s="16"/>
      <c r="AE262" s="16">
        <v>0</v>
      </c>
      <c r="AF262" s="16">
        <f t="shared" ref="AF262:AF325" si="117">SUM(AB262:AE262)</f>
        <v>645</v>
      </c>
      <c r="AG262" s="16">
        <f t="shared" si="111"/>
        <v>103.2</v>
      </c>
      <c r="AH262" s="16">
        <f t="shared" ref="AH262:AH325" si="118">AF262+AG262</f>
        <v>748.2</v>
      </c>
      <c r="AI262" s="16">
        <f t="shared" si="112"/>
        <v>12.9</v>
      </c>
      <c r="AJ262" s="16"/>
      <c r="AK262" s="16">
        <f t="shared" ref="AK262:AK325" si="119">AI262-AJ262</f>
        <v>12.9</v>
      </c>
      <c r="AL262" s="19"/>
      <c r="AM262" s="16">
        <f t="shared" ref="AM262:AM325" si="120">AF262-AI262</f>
        <v>632.1</v>
      </c>
      <c r="AN262" s="16"/>
      <c r="AO262" s="20"/>
      <c r="AP262" s="16">
        <f t="shared" ref="AP262:AP325" si="121">AO262*AM262</f>
        <v>0</v>
      </c>
      <c r="AQ262" s="16"/>
      <c r="AR262" s="15"/>
      <c r="AS262" s="16">
        <f t="shared" ref="AS262:AS325" si="122">AP262-AQ262</f>
        <v>0</v>
      </c>
      <c r="AT262" s="16"/>
      <c r="AU262" s="16">
        <v>748.2</v>
      </c>
      <c r="AV262" s="16">
        <f t="shared" si="114"/>
        <v>748.2</v>
      </c>
      <c r="AW262" s="16">
        <f t="shared" ref="AW262:AW325" si="123">AV262-AU262</f>
        <v>0</v>
      </c>
      <c r="AX262" s="16" t="s">
        <v>508</v>
      </c>
      <c r="AY262" s="22">
        <v>45069</v>
      </c>
      <c r="AZ262" s="22"/>
      <c r="BA262" s="1"/>
      <c r="BB262" s="22"/>
      <c r="BC262" s="1"/>
      <c r="BD262" s="1"/>
      <c r="BE262" s="1"/>
    </row>
    <row r="263" spans="1:57" ht="14.25" hidden="1" customHeight="1">
      <c r="A263" s="2" t="s">
        <v>165</v>
      </c>
      <c r="B263" s="1" t="s">
        <v>58</v>
      </c>
      <c r="C263" s="27">
        <v>44928</v>
      </c>
      <c r="D263" s="27">
        <v>44996</v>
      </c>
      <c r="E263" s="27">
        <v>44995</v>
      </c>
      <c r="F263" s="27">
        <v>45359</v>
      </c>
      <c r="G263" s="13" t="str">
        <f t="shared" si="115"/>
        <v>000-262/AIB RDC/2023</v>
      </c>
      <c r="H263" s="1">
        <v>0</v>
      </c>
      <c r="I263" s="1" t="s">
        <v>83</v>
      </c>
      <c r="J263" s="29" t="s">
        <v>509</v>
      </c>
      <c r="K263" s="1" t="s">
        <v>167</v>
      </c>
      <c r="L263" s="1"/>
      <c r="M263" s="1" t="s">
        <v>95</v>
      </c>
      <c r="N263" s="1" t="s">
        <v>146</v>
      </c>
      <c r="O263" s="1" t="s">
        <v>104</v>
      </c>
      <c r="P263" s="1" t="s">
        <v>105</v>
      </c>
      <c r="Q263" s="1" t="s">
        <v>66</v>
      </c>
      <c r="R263" s="1" t="s">
        <v>66</v>
      </c>
      <c r="S263" s="25">
        <v>569258.97</v>
      </c>
      <c r="T263" s="25">
        <v>1063.6099999999999</v>
      </c>
      <c r="U263" s="25">
        <v>0</v>
      </c>
      <c r="V263" s="25">
        <v>0</v>
      </c>
      <c r="W263" s="25">
        <v>31.35</v>
      </c>
      <c r="X263" s="25">
        <v>888.04</v>
      </c>
      <c r="Y263" s="25">
        <v>144.22</v>
      </c>
      <c r="Z263" s="17">
        <f t="shared" si="116"/>
        <v>1.5599929852664421E-3</v>
      </c>
      <c r="AA263" s="18">
        <v>0.15</v>
      </c>
      <c r="AB263" s="16">
        <f t="shared" si="110"/>
        <v>133.20599999999999</v>
      </c>
      <c r="AC263" s="16">
        <v>0</v>
      </c>
      <c r="AD263" s="16">
        <v>0</v>
      </c>
      <c r="AE263" s="16">
        <v>0</v>
      </c>
      <c r="AF263" s="16">
        <f t="shared" si="117"/>
        <v>133.20599999999999</v>
      </c>
      <c r="AG263" s="16">
        <f t="shared" si="111"/>
        <v>21.31296</v>
      </c>
      <c r="AH263" s="16">
        <f t="shared" si="118"/>
        <v>154.51895999999999</v>
      </c>
      <c r="AI263" s="16">
        <f t="shared" si="112"/>
        <v>2.66412</v>
      </c>
      <c r="AJ263" s="16">
        <v>0</v>
      </c>
      <c r="AK263" s="16">
        <f t="shared" si="119"/>
        <v>2.66412</v>
      </c>
      <c r="AL263" s="19"/>
      <c r="AM263" s="16">
        <f t="shared" si="120"/>
        <v>130.54187999999999</v>
      </c>
      <c r="AN263" s="16" t="s">
        <v>147</v>
      </c>
      <c r="AO263" s="20">
        <v>0.4</v>
      </c>
      <c r="AP263" s="16">
        <f t="shared" si="121"/>
        <v>52.216752</v>
      </c>
      <c r="AQ263" s="16">
        <v>52.216752</v>
      </c>
      <c r="AR263" s="15">
        <v>45229</v>
      </c>
      <c r="AS263" s="16">
        <f t="shared" si="122"/>
        <v>0</v>
      </c>
      <c r="AT263" s="16"/>
      <c r="AU263" s="16">
        <v>154.51895999999999</v>
      </c>
      <c r="AV263" s="16">
        <f t="shared" si="114"/>
        <v>154.51895999999999</v>
      </c>
      <c r="AW263" s="16">
        <f t="shared" si="123"/>
        <v>0</v>
      </c>
      <c r="AX263" s="16" t="str">
        <f t="shared" ref="AX263:AX326" si="124">Q263</f>
        <v>SFA</v>
      </c>
      <c r="AY263" s="22">
        <v>45070</v>
      </c>
      <c r="AZ263" s="22"/>
      <c r="BA263" s="1" t="s">
        <v>148</v>
      </c>
      <c r="BB263" s="22" t="str">
        <f>O263</f>
        <v>MARINE CARGO / GIT</v>
      </c>
      <c r="BC263" s="1"/>
      <c r="BD263" s="1"/>
      <c r="BE263" s="1"/>
    </row>
    <row r="264" spans="1:57" ht="14.25" hidden="1" customHeight="1">
      <c r="A264" s="2" t="s">
        <v>165</v>
      </c>
      <c r="B264" s="1" t="s">
        <v>58</v>
      </c>
      <c r="C264" s="27">
        <v>44959</v>
      </c>
      <c r="D264" s="27">
        <v>45006</v>
      </c>
      <c r="E264" s="27">
        <v>44987</v>
      </c>
      <c r="F264" s="27">
        <v>45351</v>
      </c>
      <c r="G264" s="13" t="str">
        <f t="shared" si="115"/>
        <v>000-263/AIB RDC/2023</v>
      </c>
      <c r="H264" s="1">
        <v>0</v>
      </c>
      <c r="I264" s="1" t="s">
        <v>83</v>
      </c>
      <c r="J264" s="14" t="s">
        <v>510</v>
      </c>
      <c r="K264" s="1" t="s">
        <v>167</v>
      </c>
      <c r="L264" s="1"/>
      <c r="M264" s="1" t="s">
        <v>95</v>
      </c>
      <c r="N264" s="1" t="s">
        <v>146</v>
      </c>
      <c r="O264" s="1" t="s">
        <v>104</v>
      </c>
      <c r="P264" s="1" t="s">
        <v>105</v>
      </c>
      <c r="Q264" s="1" t="s">
        <v>66</v>
      </c>
      <c r="R264" s="1" t="s">
        <v>66</v>
      </c>
      <c r="S264" s="25">
        <v>401667.83</v>
      </c>
      <c r="T264" s="25">
        <v>1020.28</v>
      </c>
      <c r="U264" s="25">
        <v>0</v>
      </c>
      <c r="V264" s="25">
        <v>0</v>
      </c>
      <c r="W264" s="25">
        <v>31.31</v>
      </c>
      <c r="X264" s="25">
        <v>829.02</v>
      </c>
      <c r="Y264" s="25">
        <v>134.94999999999999</v>
      </c>
      <c r="Z264" s="17">
        <f t="shared" si="116"/>
        <v>2.063944229738289E-3</v>
      </c>
      <c r="AA264" s="18">
        <v>0.15</v>
      </c>
      <c r="AB264" s="16">
        <f t="shared" si="110"/>
        <v>124.35299999999999</v>
      </c>
      <c r="AC264" s="16">
        <v>0</v>
      </c>
      <c r="AD264" s="16">
        <v>0</v>
      </c>
      <c r="AE264" s="16">
        <v>0</v>
      </c>
      <c r="AF264" s="16">
        <f t="shared" si="117"/>
        <v>124.35299999999999</v>
      </c>
      <c r="AG264" s="16">
        <f t="shared" si="111"/>
        <v>19.89648</v>
      </c>
      <c r="AH264" s="16">
        <f t="shared" si="118"/>
        <v>144.24948000000001</v>
      </c>
      <c r="AI264" s="16">
        <f t="shared" si="112"/>
        <v>2.48706</v>
      </c>
      <c r="AJ264" s="16">
        <v>0</v>
      </c>
      <c r="AK264" s="16">
        <f t="shared" si="119"/>
        <v>2.48706</v>
      </c>
      <c r="AL264" s="19"/>
      <c r="AM264" s="16">
        <f t="shared" si="120"/>
        <v>121.86593999999999</v>
      </c>
      <c r="AN264" s="16" t="s">
        <v>147</v>
      </c>
      <c r="AO264" s="20">
        <v>0.4</v>
      </c>
      <c r="AP264" s="16">
        <f t="shared" si="121"/>
        <v>48.746375999999998</v>
      </c>
      <c r="AQ264" s="16">
        <v>48.746375999999998</v>
      </c>
      <c r="AR264" s="15">
        <v>45229</v>
      </c>
      <c r="AS264" s="16">
        <f t="shared" si="122"/>
        <v>0</v>
      </c>
      <c r="AT264" s="16"/>
      <c r="AU264" s="16">
        <v>144.24948000000001</v>
      </c>
      <c r="AV264" s="16">
        <f t="shared" si="114"/>
        <v>144.24948000000001</v>
      </c>
      <c r="AW264" s="16">
        <f t="shared" si="123"/>
        <v>0</v>
      </c>
      <c r="AX264" s="16" t="str">
        <f t="shared" si="124"/>
        <v>SFA</v>
      </c>
      <c r="AY264" s="22">
        <v>45070</v>
      </c>
      <c r="AZ264" s="22"/>
      <c r="BA264" s="1" t="s">
        <v>148</v>
      </c>
      <c r="BB264" s="22" t="str">
        <f>O264</f>
        <v>MARINE CARGO / GIT</v>
      </c>
      <c r="BC264" s="1"/>
      <c r="BD264" s="1"/>
      <c r="BE264" s="1"/>
    </row>
    <row r="265" spans="1:57" ht="14.25" hidden="1" customHeight="1">
      <c r="A265" s="2" t="s">
        <v>165</v>
      </c>
      <c r="B265" s="1" t="s">
        <v>58</v>
      </c>
      <c r="C265" s="27">
        <v>44959</v>
      </c>
      <c r="D265" s="27">
        <v>45015</v>
      </c>
      <c r="E265" s="27">
        <v>45015</v>
      </c>
      <c r="F265" s="27">
        <v>45379</v>
      </c>
      <c r="G265" s="13" t="str">
        <f t="shared" si="115"/>
        <v>000-264/AIB RDC/2023</v>
      </c>
      <c r="H265" s="1">
        <v>0</v>
      </c>
      <c r="I265" s="1" t="s">
        <v>83</v>
      </c>
      <c r="J265" s="14" t="s">
        <v>511</v>
      </c>
      <c r="K265" s="1" t="s">
        <v>167</v>
      </c>
      <c r="L265" s="1"/>
      <c r="M265" s="1" t="s">
        <v>95</v>
      </c>
      <c r="N265" s="1" t="s">
        <v>146</v>
      </c>
      <c r="O265" s="1" t="s">
        <v>104</v>
      </c>
      <c r="P265" s="1" t="s">
        <v>105</v>
      </c>
      <c r="Q265" s="1" t="s">
        <v>66</v>
      </c>
      <c r="R265" s="1" t="s">
        <v>66</v>
      </c>
      <c r="S265" s="25">
        <v>1960</v>
      </c>
      <c r="T265" s="25">
        <v>65</v>
      </c>
      <c r="U265" s="25">
        <v>0</v>
      </c>
      <c r="V265" s="25">
        <v>0</v>
      </c>
      <c r="W265" s="25">
        <v>1.91</v>
      </c>
      <c r="X265" s="25">
        <v>54.28</v>
      </c>
      <c r="Y265" s="25">
        <v>8.81</v>
      </c>
      <c r="Z265" s="17">
        <f t="shared" si="116"/>
        <v>2.7693877551020409E-2</v>
      </c>
      <c r="AA265" s="18">
        <v>0.15</v>
      </c>
      <c r="AB265" s="16">
        <f t="shared" si="110"/>
        <v>8.1419999999999995</v>
      </c>
      <c r="AC265" s="16">
        <v>0</v>
      </c>
      <c r="AD265" s="16">
        <v>0</v>
      </c>
      <c r="AE265" s="16">
        <v>0</v>
      </c>
      <c r="AF265" s="16">
        <f t="shared" si="117"/>
        <v>8.1419999999999995</v>
      </c>
      <c r="AG265" s="16">
        <f t="shared" si="111"/>
        <v>1.3027199999999999</v>
      </c>
      <c r="AH265" s="16">
        <f t="shared" si="118"/>
        <v>9.4447200000000002</v>
      </c>
      <c r="AI265" s="16">
        <f t="shared" si="112"/>
        <v>0.16283999999999998</v>
      </c>
      <c r="AJ265" s="16">
        <v>0</v>
      </c>
      <c r="AK265" s="16">
        <f t="shared" si="119"/>
        <v>0.16283999999999998</v>
      </c>
      <c r="AL265" s="19"/>
      <c r="AM265" s="16">
        <f t="shared" si="120"/>
        <v>7.9791599999999994</v>
      </c>
      <c r="AN265" s="16" t="s">
        <v>147</v>
      </c>
      <c r="AO265" s="20">
        <v>0.4</v>
      </c>
      <c r="AP265" s="16">
        <f t="shared" si="121"/>
        <v>3.1916639999999998</v>
      </c>
      <c r="AQ265" s="16">
        <v>3.1916639999999998</v>
      </c>
      <c r="AR265" s="15">
        <v>45229</v>
      </c>
      <c r="AS265" s="16">
        <f t="shared" si="122"/>
        <v>0</v>
      </c>
      <c r="AT265" s="16"/>
      <c r="AU265" s="16">
        <v>9.4447200000000002</v>
      </c>
      <c r="AV265" s="16">
        <f t="shared" si="114"/>
        <v>9.4447200000000002</v>
      </c>
      <c r="AW265" s="16">
        <f t="shared" si="123"/>
        <v>0</v>
      </c>
      <c r="AX265" s="16" t="str">
        <f t="shared" si="124"/>
        <v>SFA</v>
      </c>
      <c r="AY265" s="22">
        <v>45070</v>
      </c>
      <c r="AZ265" s="22"/>
      <c r="BA265" s="1" t="s">
        <v>148</v>
      </c>
      <c r="BB265" s="22" t="str">
        <f>O265</f>
        <v>MARINE CARGO / GIT</v>
      </c>
      <c r="BC265" s="1"/>
      <c r="BD265" s="1"/>
      <c r="BE265" s="1"/>
    </row>
    <row r="266" spans="1:57" ht="14.25" hidden="1" customHeight="1">
      <c r="A266" s="2" t="s">
        <v>165</v>
      </c>
      <c r="B266" s="1" t="s">
        <v>58</v>
      </c>
      <c r="C266" s="27">
        <v>45062</v>
      </c>
      <c r="D266" s="27">
        <v>45003</v>
      </c>
      <c r="E266" s="27">
        <v>45003</v>
      </c>
      <c r="F266" s="27">
        <v>45367</v>
      </c>
      <c r="G266" s="13" t="str">
        <f t="shared" si="115"/>
        <v>000-265/AIB RDC/2023</v>
      </c>
      <c r="H266" s="1">
        <v>0</v>
      </c>
      <c r="I266" s="1" t="s">
        <v>83</v>
      </c>
      <c r="J266" s="14" t="s">
        <v>512</v>
      </c>
      <c r="K266" s="1" t="s">
        <v>159</v>
      </c>
      <c r="L266" s="1"/>
      <c r="M266" s="1" t="s">
        <v>95</v>
      </c>
      <c r="N266" s="1" t="s">
        <v>146</v>
      </c>
      <c r="O266" s="1" t="s">
        <v>104</v>
      </c>
      <c r="P266" s="1" t="s">
        <v>105</v>
      </c>
      <c r="Q266" s="1" t="s">
        <v>66</v>
      </c>
      <c r="R266" s="1" t="s">
        <v>66</v>
      </c>
      <c r="S266" s="25">
        <v>28664.05</v>
      </c>
      <c r="T266" s="25">
        <v>65</v>
      </c>
      <c r="U266" s="25">
        <v>0</v>
      </c>
      <c r="V266" s="25">
        <v>0</v>
      </c>
      <c r="W266" s="25">
        <v>0.81</v>
      </c>
      <c r="X266" s="25">
        <v>54.28</v>
      </c>
      <c r="Y266" s="25">
        <v>8.81</v>
      </c>
      <c r="Z266" s="17">
        <f t="shared" si="116"/>
        <v>1.89366122372798E-3</v>
      </c>
      <c r="AA266" s="18">
        <v>0.15</v>
      </c>
      <c r="AB266" s="16">
        <f t="shared" si="110"/>
        <v>8.1419999999999995</v>
      </c>
      <c r="AC266" s="16">
        <v>0</v>
      </c>
      <c r="AD266" s="16">
        <v>0</v>
      </c>
      <c r="AE266" s="16">
        <v>0</v>
      </c>
      <c r="AF266" s="16">
        <f t="shared" si="117"/>
        <v>8.1419999999999995</v>
      </c>
      <c r="AG266" s="16">
        <f t="shared" si="111"/>
        <v>1.3027199999999999</v>
      </c>
      <c r="AH266" s="16">
        <f t="shared" si="118"/>
        <v>9.4447200000000002</v>
      </c>
      <c r="AI266" s="16">
        <f t="shared" si="112"/>
        <v>0.16283999999999998</v>
      </c>
      <c r="AJ266" s="16">
        <v>0</v>
      </c>
      <c r="AK266" s="16">
        <f t="shared" si="119"/>
        <v>0.16283999999999998</v>
      </c>
      <c r="AL266" s="19"/>
      <c r="AM266" s="16">
        <f t="shared" si="120"/>
        <v>7.9791599999999994</v>
      </c>
      <c r="AN266" s="16" t="s">
        <v>147</v>
      </c>
      <c r="AO266" s="20">
        <v>0.4</v>
      </c>
      <c r="AP266" s="16">
        <f t="shared" si="121"/>
        <v>3.1916639999999998</v>
      </c>
      <c r="AQ266" s="16">
        <v>3.1916639999999998</v>
      </c>
      <c r="AR266" s="15">
        <v>45229</v>
      </c>
      <c r="AS266" s="16">
        <f t="shared" si="122"/>
        <v>0</v>
      </c>
      <c r="AT266" s="16"/>
      <c r="AU266" s="16">
        <v>9.4447200000000002</v>
      </c>
      <c r="AV266" s="16">
        <f t="shared" si="114"/>
        <v>9.4447200000000002</v>
      </c>
      <c r="AW266" s="16">
        <f t="shared" si="123"/>
        <v>0</v>
      </c>
      <c r="AX266" s="16" t="str">
        <f t="shared" si="124"/>
        <v>SFA</v>
      </c>
      <c r="AY266" s="22">
        <v>45070</v>
      </c>
      <c r="AZ266" s="22"/>
      <c r="BA266" s="1" t="s">
        <v>148</v>
      </c>
      <c r="BB266" s="22" t="str">
        <f>O266</f>
        <v>MARINE CARGO / GIT</v>
      </c>
      <c r="BC266" s="1"/>
      <c r="BD266" s="1"/>
      <c r="BE266" s="1"/>
    </row>
    <row r="267" spans="1:57" ht="14.25" hidden="1" customHeight="1">
      <c r="A267" s="2" t="s">
        <v>165</v>
      </c>
      <c r="B267" s="1" t="s">
        <v>58</v>
      </c>
      <c r="C267" s="27">
        <v>45001</v>
      </c>
      <c r="D267" s="27">
        <v>45000</v>
      </c>
      <c r="E267" s="27">
        <v>44996</v>
      </c>
      <c r="F267" s="27">
        <v>45360</v>
      </c>
      <c r="G267" s="13" t="str">
        <f t="shared" si="115"/>
        <v>000-266/AIB RDC/2023</v>
      </c>
      <c r="H267" s="1">
        <v>0</v>
      </c>
      <c r="I267" s="1" t="s">
        <v>83</v>
      </c>
      <c r="J267" s="14" t="s">
        <v>513</v>
      </c>
      <c r="K267" s="1" t="s">
        <v>514</v>
      </c>
      <c r="L267" s="1"/>
      <c r="M267" s="1" t="s">
        <v>95</v>
      </c>
      <c r="N267" s="1" t="s">
        <v>146</v>
      </c>
      <c r="O267" s="1" t="s">
        <v>104</v>
      </c>
      <c r="P267" s="1" t="s">
        <v>105</v>
      </c>
      <c r="Q267" s="1" t="s">
        <v>66</v>
      </c>
      <c r="R267" s="1" t="s">
        <v>66</v>
      </c>
      <c r="S267" s="25">
        <v>9585</v>
      </c>
      <c r="T267" s="25">
        <v>90.8</v>
      </c>
      <c r="U267" s="25">
        <v>0</v>
      </c>
      <c r="V267" s="25">
        <v>0</v>
      </c>
      <c r="W267" s="25">
        <v>4.46</v>
      </c>
      <c r="X267" s="25">
        <v>51.3</v>
      </c>
      <c r="Y267" s="25">
        <v>8.92</v>
      </c>
      <c r="Z267" s="17">
        <f t="shared" si="116"/>
        <v>5.3521126760563377E-3</v>
      </c>
      <c r="AA267" s="18">
        <v>0.15</v>
      </c>
      <c r="AB267" s="16">
        <f t="shared" si="110"/>
        <v>7.6949999999999994</v>
      </c>
      <c r="AC267" s="16">
        <v>0</v>
      </c>
      <c r="AD267" s="16">
        <v>0</v>
      </c>
      <c r="AE267" s="16">
        <v>0</v>
      </c>
      <c r="AF267" s="16">
        <f t="shared" si="117"/>
        <v>7.6949999999999994</v>
      </c>
      <c r="AG267" s="16">
        <f t="shared" si="111"/>
        <v>1.2311999999999999</v>
      </c>
      <c r="AH267" s="16">
        <f t="shared" si="118"/>
        <v>8.9261999999999997</v>
      </c>
      <c r="AI267" s="16">
        <f t="shared" si="112"/>
        <v>0.15389999999999998</v>
      </c>
      <c r="AJ267" s="16">
        <v>0</v>
      </c>
      <c r="AK267" s="16">
        <f t="shared" si="119"/>
        <v>0.15389999999999998</v>
      </c>
      <c r="AL267" s="19"/>
      <c r="AM267" s="16">
        <f t="shared" si="120"/>
        <v>7.5410999999999992</v>
      </c>
      <c r="AN267" s="16" t="s">
        <v>147</v>
      </c>
      <c r="AO267" s="20">
        <v>0.4</v>
      </c>
      <c r="AP267" s="16">
        <f t="shared" si="121"/>
        <v>3.0164399999999998</v>
      </c>
      <c r="AQ267" s="16">
        <v>3.0164399999999998</v>
      </c>
      <c r="AR267" s="15">
        <v>45229</v>
      </c>
      <c r="AS267" s="16">
        <f t="shared" si="122"/>
        <v>0</v>
      </c>
      <c r="AT267" s="16"/>
      <c r="AU267" s="16">
        <v>8.9261999999999997</v>
      </c>
      <c r="AV267" s="16">
        <f t="shared" si="114"/>
        <v>8.9261999999999997</v>
      </c>
      <c r="AW267" s="16">
        <f t="shared" si="123"/>
        <v>0</v>
      </c>
      <c r="AX267" s="16" t="str">
        <f t="shared" si="124"/>
        <v>SFA</v>
      </c>
      <c r="AY267" s="22">
        <v>45070</v>
      </c>
      <c r="AZ267" s="22"/>
      <c r="BA267" s="1" t="s">
        <v>148</v>
      </c>
      <c r="BB267" s="1" t="s">
        <v>104</v>
      </c>
      <c r="BC267" s="1"/>
      <c r="BD267" s="1"/>
      <c r="BE267" s="1"/>
    </row>
    <row r="268" spans="1:57" ht="14.25" hidden="1" customHeight="1">
      <c r="A268" s="2" t="s">
        <v>165</v>
      </c>
      <c r="B268" s="1" t="s">
        <v>58</v>
      </c>
      <c r="C268" s="27">
        <v>45062</v>
      </c>
      <c r="D268" s="27">
        <v>45007</v>
      </c>
      <c r="E268" s="27">
        <v>44986</v>
      </c>
      <c r="F268" s="27">
        <v>45350</v>
      </c>
      <c r="G268" s="13" t="str">
        <f t="shared" si="115"/>
        <v>000-267/AIB RDC/2023</v>
      </c>
      <c r="H268" s="1">
        <v>0</v>
      </c>
      <c r="I268" s="1" t="s">
        <v>83</v>
      </c>
      <c r="J268" s="23" t="s">
        <v>515</v>
      </c>
      <c r="K268" s="1" t="s">
        <v>419</v>
      </c>
      <c r="L268" s="1" t="s">
        <v>62</v>
      </c>
      <c r="M268" s="1" t="s">
        <v>63</v>
      </c>
      <c r="N268" s="1" t="s">
        <v>71</v>
      </c>
      <c r="O268" s="1" t="s">
        <v>104</v>
      </c>
      <c r="P268" s="1" t="s">
        <v>105</v>
      </c>
      <c r="Q268" s="1" t="s">
        <v>66</v>
      </c>
      <c r="R268" s="1" t="s">
        <v>66</v>
      </c>
      <c r="S268" s="25">
        <v>0</v>
      </c>
      <c r="T268" s="25">
        <v>272605</v>
      </c>
      <c r="U268" s="25">
        <v>34650</v>
      </c>
      <c r="V268" s="25">
        <v>0</v>
      </c>
      <c r="W268" s="25">
        <v>0</v>
      </c>
      <c r="X268" s="25">
        <v>196350</v>
      </c>
      <c r="Y268" s="25">
        <v>36960</v>
      </c>
      <c r="Z268" s="17" t="e">
        <f t="shared" si="116"/>
        <v>#DIV/0!</v>
      </c>
      <c r="AA268" s="18">
        <v>0</v>
      </c>
      <c r="AB268" s="16">
        <f t="shared" si="110"/>
        <v>0</v>
      </c>
      <c r="AC268" s="16">
        <f>30%*U268</f>
        <v>10395</v>
      </c>
      <c r="AD268" s="16">
        <v>0</v>
      </c>
      <c r="AE268" s="16">
        <v>0</v>
      </c>
      <c r="AF268" s="16">
        <f t="shared" si="117"/>
        <v>10395</v>
      </c>
      <c r="AG268" s="16">
        <f t="shared" si="111"/>
        <v>1663.2</v>
      </c>
      <c r="AH268" s="16">
        <f t="shared" si="118"/>
        <v>12058.2</v>
      </c>
      <c r="AI268" s="16">
        <f t="shared" si="112"/>
        <v>207.9</v>
      </c>
      <c r="AJ268" s="16"/>
      <c r="AK268" s="16">
        <f t="shared" si="119"/>
        <v>207.9</v>
      </c>
      <c r="AL268" s="19"/>
      <c r="AM268" s="16">
        <f t="shared" si="120"/>
        <v>10187.1</v>
      </c>
      <c r="AN268" s="40" t="s">
        <v>319</v>
      </c>
      <c r="AO268" s="20"/>
      <c r="AP268" s="16">
        <f t="shared" si="121"/>
        <v>0</v>
      </c>
      <c r="AQ268" s="16"/>
      <c r="AR268" s="15"/>
      <c r="AS268" s="16">
        <f t="shared" si="122"/>
        <v>0</v>
      </c>
      <c r="AT268" s="16"/>
      <c r="AU268" s="16">
        <v>12058.2</v>
      </c>
      <c r="AV268" s="16">
        <f t="shared" si="114"/>
        <v>12058.2</v>
      </c>
      <c r="AW268" s="16">
        <f t="shared" si="123"/>
        <v>0</v>
      </c>
      <c r="AX268" s="16" t="str">
        <f t="shared" si="124"/>
        <v>SFA</v>
      </c>
      <c r="AY268" s="22">
        <v>45070</v>
      </c>
      <c r="AZ268" s="22"/>
      <c r="BA268" s="1"/>
      <c r="BB268" s="1"/>
      <c r="BC268" s="1"/>
      <c r="BD268" s="1"/>
      <c r="BE268" s="1"/>
    </row>
    <row r="269" spans="1:57" ht="14.25" hidden="1" customHeight="1">
      <c r="A269" s="2" t="s">
        <v>165</v>
      </c>
      <c r="B269" s="1" t="s">
        <v>58</v>
      </c>
      <c r="C269" s="27">
        <v>44928</v>
      </c>
      <c r="D269" s="27">
        <v>44995</v>
      </c>
      <c r="E269" s="27">
        <v>44995</v>
      </c>
      <c r="F269" s="27">
        <v>45359</v>
      </c>
      <c r="G269" s="13" t="str">
        <f t="shared" si="115"/>
        <v>000-268/AIB RDC/2023</v>
      </c>
      <c r="H269" s="1">
        <v>0</v>
      </c>
      <c r="I269" s="1" t="s">
        <v>83</v>
      </c>
      <c r="J269" s="29" t="s">
        <v>516</v>
      </c>
      <c r="K269" s="2" t="s">
        <v>167</v>
      </c>
      <c r="L269" s="1"/>
      <c r="M269" s="1" t="s">
        <v>95</v>
      </c>
      <c r="N269" s="1" t="s">
        <v>146</v>
      </c>
      <c r="O269" s="1" t="s">
        <v>104</v>
      </c>
      <c r="P269" s="1" t="s">
        <v>105</v>
      </c>
      <c r="Q269" s="1" t="s">
        <v>66</v>
      </c>
      <c r="R269" s="1" t="s">
        <v>66</v>
      </c>
      <c r="S269" s="16">
        <v>16858.439999999999</v>
      </c>
      <c r="T269" s="25">
        <v>65</v>
      </c>
      <c r="U269" s="25">
        <v>0</v>
      </c>
      <c r="V269" s="25">
        <v>0</v>
      </c>
      <c r="W269" s="25">
        <v>1.91</v>
      </c>
      <c r="X269" s="25">
        <v>54.28</v>
      </c>
      <c r="Y269" s="25">
        <v>8.81</v>
      </c>
      <c r="Z269" s="17">
        <f t="shared" si="116"/>
        <v>3.2197522427935207E-3</v>
      </c>
      <c r="AA269" s="18">
        <v>0.15</v>
      </c>
      <c r="AB269" s="16">
        <f t="shared" si="110"/>
        <v>8.1419999999999995</v>
      </c>
      <c r="AC269" s="16">
        <v>0</v>
      </c>
      <c r="AD269" s="16">
        <v>0</v>
      </c>
      <c r="AE269" s="16">
        <v>0</v>
      </c>
      <c r="AF269" s="16">
        <f t="shared" si="117"/>
        <v>8.1419999999999995</v>
      </c>
      <c r="AG269" s="16">
        <f t="shared" si="111"/>
        <v>1.3027199999999999</v>
      </c>
      <c r="AH269" s="16">
        <f t="shared" si="118"/>
        <v>9.4447200000000002</v>
      </c>
      <c r="AI269" s="16">
        <f t="shared" si="112"/>
        <v>0.16283999999999998</v>
      </c>
      <c r="AJ269" s="16">
        <v>0</v>
      </c>
      <c r="AK269" s="16">
        <f t="shared" si="119"/>
        <v>0.16283999999999998</v>
      </c>
      <c r="AL269" s="19"/>
      <c r="AM269" s="16">
        <f t="shared" si="120"/>
        <v>7.9791599999999994</v>
      </c>
      <c r="AN269" s="16" t="s">
        <v>147</v>
      </c>
      <c r="AO269" s="20">
        <v>0.4</v>
      </c>
      <c r="AP269" s="16">
        <f t="shared" si="121"/>
        <v>3.1916639999999998</v>
      </c>
      <c r="AQ269" s="16">
        <v>3.1916639999999998</v>
      </c>
      <c r="AR269" s="15">
        <v>45229</v>
      </c>
      <c r="AS269" s="16">
        <f t="shared" si="122"/>
        <v>0</v>
      </c>
      <c r="AT269" s="16"/>
      <c r="AU269" s="16">
        <v>9.4447200000000002</v>
      </c>
      <c r="AV269" s="16">
        <f t="shared" si="114"/>
        <v>9.4447200000000002</v>
      </c>
      <c r="AW269" s="16">
        <f t="shared" si="123"/>
        <v>0</v>
      </c>
      <c r="AX269" s="16" t="str">
        <f t="shared" si="124"/>
        <v>SFA</v>
      </c>
      <c r="AY269" s="22">
        <v>45070</v>
      </c>
      <c r="AZ269" s="22"/>
      <c r="BA269" s="1" t="s">
        <v>148</v>
      </c>
      <c r="BB269" s="1" t="s">
        <v>104</v>
      </c>
      <c r="BC269" s="1"/>
      <c r="BD269" s="1"/>
      <c r="BE269" s="1"/>
    </row>
    <row r="270" spans="1:57" ht="14.25" hidden="1" customHeight="1">
      <c r="A270" s="2" t="s">
        <v>165</v>
      </c>
      <c r="B270" s="1" t="s">
        <v>58</v>
      </c>
      <c r="C270" s="27">
        <v>44928</v>
      </c>
      <c r="D270" s="27">
        <v>44995</v>
      </c>
      <c r="E270" s="27">
        <v>44995</v>
      </c>
      <c r="F270" s="27">
        <v>45359</v>
      </c>
      <c r="G270" s="13" t="str">
        <f t="shared" si="115"/>
        <v>000-269/AIB RDC/2023</v>
      </c>
      <c r="H270" s="1">
        <v>0</v>
      </c>
      <c r="I270" s="1" t="s">
        <v>83</v>
      </c>
      <c r="J270" s="29" t="s">
        <v>517</v>
      </c>
      <c r="K270" s="2" t="s">
        <v>167</v>
      </c>
      <c r="L270" s="1"/>
      <c r="M270" s="1" t="s">
        <v>95</v>
      </c>
      <c r="N270" s="1" t="s">
        <v>146</v>
      </c>
      <c r="O270" s="1" t="s">
        <v>104</v>
      </c>
      <c r="P270" s="1" t="s">
        <v>105</v>
      </c>
      <c r="Q270" s="1" t="s">
        <v>66</v>
      </c>
      <c r="R270" s="1" t="s">
        <v>66</v>
      </c>
      <c r="S270" s="16">
        <v>16858.439999999999</v>
      </c>
      <c r="T270" s="25">
        <v>65</v>
      </c>
      <c r="U270" s="25">
        <v>0</v>
      </c>
      <c r="V270" s="25">
        <v>0</v>
      </c>
      <c r="W270" s="25">
        <v>1.91</v>
      </c>
      <c r="X270" s="25">
        <v>54.28</v>
      </c>
      <c r="Y270" s="25">
        <v>8.81</v>
      </c>
      <c r="Z270" s="17">
        <f t="shared" si="116"/>
        <v>3.2197522427935207E-3</v>
      </c>
      <c r="AA270" s="18">
        <v>0.15</v>
      </c>
      <c r="AB270" s="16">
        <f t="shared" si="110"/>
        <v>8.1419999999999995</v>
      </c>
      <c r="AC270" s="16">
        <v>0</v>
      </c>
      <c r="AD270" s="16">
        <v>0</v>
      </c>
      <c r="AE270" s="16">
        <v>0</v>
      </c>
      <c r="AF270" s="16">
        <f t="shared" si="117"/>
        <v>8.1419999999999995</v>
      </c>
      <c r="AG270" s="16">
        <f t="shared" si="111"/>
        <v>1.3027199999999999</v>
      </c>
      <c r="AH270" s="16">
        <f t="shared" si="118"/>
        <v>9.4447200000000002</v>
      </c>
      <c r="AI270" s="16">
        <f t="shared" si="112"/>
        <v>0.16283999999999998</v>
      </c>
      <c r="AJ270" s="16">
        <v>0</v>
      </c>
      <c r="AK270" s="16">
        <f t="shared" si="119"/>
        <v>0.16283999999999998</v>
      </c>
      <c r="AL270" s="19"/>
      <c r="AM270" s="16">
        <f t="shared" si="120"/>
        <v>7.9791599999999994</v>
      </c>
      <c r="AN270" s="16" t="s">
        <v>147</v>
      </c>
      <c r="AO270" s="20">
        <v>0.4</v>
      </c>
      <c r="AP270" s="16">
        <f t="shared" si="121"/>
        <v>3.1916639999999998</v>
      </c>
      <c r="AQ270" s="16">
        <v>3.1916639999999998</v>
      </c>
      <c r="AR270" s="15">
        <v>45229</v>
      </c>
      <c r="AS270" s="16">
        <f t="shared" si="122"/>
        <v>0</v>
      </c>
      <c r="AT270" s="16"/>
      <c r="AU270" s="16">
        <v>9.4447200000000002</v>
      </c>
      <c r="AV270" s="16">
        <f t="shared" si="114"/>
        <v>9.4447200000000002</v>
      </c>
      <c r="AW270" s="16">
        <f t="shared" si="123"/>
        <v>0</v>
      </c>
      <c r="AX270" s="16" t="str">
        <f t="shared" si="124"/>
        <v>SFA</v>
      </c>
      <c r="AY270" s="22">
        <v>45070</v>
      </c>
      <c r="AZ270" s="22"/>
      <c r="BA270" s="1" t="s">
        <v>148</v>
      </c>
      <c r="BB270" s="1" t="s">
        <v>104</v>
      </c>
      <c r="BC270" s="1"/>
      <c r="BD270" s="1"/>
      <c r="BE270" s="1"/>
    </row>
    <row r="271" spans="1:57" ht="14.25" hidden="1" customHeight="1">
      <c r="A271" s="2" t="s">
        <v>165</v>
      </c>
      <c r="B271" s="1" t="s">
        <v>58</v>
      </c>
      <c r="C271" s="27">
        <v>44928</v>
      </c>
      <c r="D271" s="27">
        <v>44995</v>
      </c>
      <c r="E271" s="27">
        <v>44995</v>
      </c>
      <c r="F271" s="27">
        <v>45359</v>
      </c>
      <c r="G271" s="13" t="str">
        <f t="shared" si="115"/>
        <v>000-270/AIB RDC/2023</v>
      </c>
      <c r="H271" s="1">
        <v>0</v>
      </c>
      <c r="I271" s="1" t="s">
        <v>83</v>
      </c>
      <c r="J271" s="29" t="s">
        <v>518</v>
      </c>
      <c r="K271" s="2" t="s">
        <v>167</v>
      </c>
      <c r="L271" s="1"/>
      <c r="M271" s="1" t="s">
        <v>95</v>
      </c>
      <c r="N271" s="1" t="s">
        <v>146</v>
      </c>
      <c r="O271" s="1" t="s">
        <v>104</v>
      </c>
      <c r="P271" s="1" t="s">
        <v>105</v>
      </c>
      <c r="Q271" s="1" t="s">
        <v>66</v>
      </c>
      <c r="R271" s="1" t="s">
        <v>66</v>
      </c>
      <c r="S271" s="16">
        <v>33686.44</v>
      </c>
      <c r="T271" s="25">
        <v>65</v>
      </c>
      <c r="U271" s="25">
        <v>0</v>
      </c>
      <c r="V271" s="25">
        <v>0</v>
      </c>
      <c r="W271" s="25">
        <v>1.91</v>
      </c>
      <c r="X271" s="25">
        <v>54.28</v>
      </c>
      <c r="Y271" s="25">
        <v>8.81</v>
      </c>
      <c r="Z271" s="17">
        <f t="shared" si="116"/>
        <v>1.6113308500393629E-3</v>
      </c>
      <c r="AA271" s="18">
        <v>0.15</v>
      </c>
      <c r="AB271" s="16">
        <f t="shared" si="110"/>
        <v>8.1419999999999995</v>
      </c>
      <c r="AC271" s="16">
        <v>0</v>
      </c>
      <c r="AD271" s="16">
        <v>0</v>
      </c>
      <c r="AE271" s="16">
        <v>0</v>
      </c>
      <c r="AF271" s="16">
        <f t="shared" si="117"/>
        <v>8.1419999999999995</v>
      </c>
      <c r="AG271" s="16">
        <f t="shared" si="111"/>
        <v>1.3027199999999999</v>
      </c>
      <c r="AH271" s="16">
        <f t="shared" si="118"/>
        <v>9.4447200000000002</v>
      </c>
      <c r="AI271" s="16">
        <f t="shared" si="112"/>
        <v>0.16283999999999998</v>
      </c>
      <c r="AJ271" s="16">
        <v>0</v>
      </c>
      <c r="AK271" s="16">
        <f t="shared" si="119"/>
        <v>0.16283999999999998</v>
      </c>
      <c r="AL271" s="19"/>
      <c r="AM271" s="16">
        <f t="shared" si="120"/>
        <v>7.9791599999999994</v>
      </c>
      <c r="AN271" s="16" t="s">
        <v>147</v>
      </c>
      <c r="AO271" s="20">
        <v>0.4</v>
      </c>
      <c r="AP271" s="16">
        <f t="shared" si="121"/>
        <v>3.1916639999999998</v>
      </c>
      <c r="AQ271" s="16">
        <v>3.1916639999999998</v>
      </c>
      <c r="AR271" s="15">
        <v>45229</v>
      </c>
      <c r="AS271" s="16">
        <f t="shared" si="122"/>
        <v>0</v>
      </c>
      <c r="AT271" s="16"/>
      <c r="AU271" s="16">
        <v>9.4447200000000002</v>
      </c>
      <c r="AV271" s="16">
        <f t="shared" si="114"/>
        <v>9.4447200000000002</v>
      </c>
      <c r="AW271" s="16">
        <f t="shared" si="123"/>
        <v>0</v>
      </c>
      <c r="AX271" s="16" t="str">
        <f t="shared" si="124"/>
        <v>SFA</v>
      </c>
      <c r="AY271" s="22">
        <v>45070</v>
      </c>
      <c r="AZ271" s="22"/>
      <c r="BA271" s="1" t="s">
        <v>148</v>
      </c>
      <c r="BB271" s="1" t="s">
        <v>104</v>
      </c>
      <c r="BC271" s="1"/>
      <c r="BD271" s="1"/>
      <c r="BE271" s="1"/>
    </row>
    <row r="272" spans="1:57" ht="14.25" hidden="1" customHeight="1">
      <c r="A272" s="2" t="s">
        <v>57</v>
      </c>
      <c r="B272" s="1" t="s">
        <v>58</v>
      </c>
      <c r="C272" s="27">
        <v>45064</v>
      </c>
      <c r="D272" s="27">
        <v>44996</v>
      </c>
      <c r="E272" s="27">
        <v>44946</v>
      </c>
      <c r="F272" s="27">
        <v>45310</v>
      </c>
      <c r="G272" s="13" t="str">
        <f t="shared" si="115"/>
        <v>000-271/AIB RDC/2023</v>
      </c>
      <c r="H272" s="1">
        <v>0</v>
      </c>
      <c r="I272" s="1" t="s">
        <v>83</v>
      </c>
      <c r="J272" s="29" t="s">
        <v>519</v>
      </c>
      <c r="K272" s="2" t="s">
        <v>167</v>
      </c>
      <c r="L272" s="1"/>
      <c r="M272" s="1" t="s">
        <v>95</v>
      </c>
      <c r="N272" s="1" t="s">
        <v>146</v>
      </c>
      <c r="O272" s="1" t="s">
        <v>104</v>
      </c>
      <c r="P272" s="1" t="s">
        <v>105</v>
      </c>
      <c r="Q272" s="1" t="s">
        <v>66</v>
      </c>
      <c r="R272" s="1" t="s">
        <v>66</v>
      </c>
      <c r="S272" s="16">
        <v>16858.650000000001</v>
      </c>
      <c r="T272" s="25">
        <v>65</v>
      </c>
      <c r="U272" s="25">
        <v>0</v>
      </c>
      <c r="V272" s="25">
        <v>0</v>
      </c>
      <c r="W272" s="25">
        <v>1.91</v>
      </c>
      <c r="X272" s="25">
        <v>54.28</v>
      </c>
      <c r="Y272" s="25">
        <v>8.81</v>
      </c>
      <c r="Z272" s="17">
        <f t="shared" si="116"/>
        <v>3.2197121359064931E-3</v>
      </c>
      <c r="AA272" s="18">
        <v>0.15</v>
      </c>
      <c r="AB272" s="16">
        <f t="shared" si="110"/>
        <v>8.1419999999999995</v>
      </c>
      <c r="AC272" s="16">
        <v>0</v>
      </c>
      <c r="AD272" s="16">
        <v>0</v>
      </c>
      <c r="AE272" s="16">
        <v>0</v>
      </c>
      <c r="AF272" s="16">
        <f t="shared" si="117"/>
        <v>8.1419999999999995</v>
      </c>
      <c r="AG272" s="16">
        <f t="shared" si="111"/>
        <v>1.3027199999999999</v>
      </c>
      <c r="AH272" s="16">
        <f t="shared" si="118"/>
        <v>9.4447200000000002</v>
      </c>
      <c r="AI272" s="16">
        <f t="shared" si="112"/>
        <v>0.16283999999999998</v>
      </c>
      <c r="AJ272" s="16">
        <v>0</v>
      </c>
      <c r="AK272" s="16">
        <f t="shared" si="119"/>
        <v>0.16283999999999998</v>
      </c>
      <c r="AL272" s="19"/>
      <c r="AM272" s="16">
        <f t="shared" si="120"/>
        <v>7.9791599999999994</v>
      </c>
      <c r="AN272" s="16" t="s">
        <v>147</v>
      </c>
      <c r="AO272" s="20">
        <v>0.4</v>
      </c>
      <c r="AP272" s="16">
        <f t="shared" si="121"/>
        <v>3.1916639999999998</v>
      </c>
      <c r="AQ272" s="16">
        <v>3.1916639999999998</v>
      </c>
      <c r="AR272" s="15">
        <v>45229</v>
      </c>
      <c r="AS272" s="16">
        <f t="shared" si="122"/>
        <v>0</v>
      </c>
      <c r="AT272" s="16"/>
      <c r="AU272" s="16">
        <v>9.4447200000000002</v>
      </c>
      <c r="AV272" s="16">
        <f t="shared" si="114"/>
        <v>9.4447200000000002</v>
      </c>
      <c r="AW272" s="16">
        <f t="shared" si="123"/>
        <v>0</v>
      </c>
      <c r="AX272" s="16" t="str">
        <f t="shared" si="124"/>
        <v>SFA</v>
      </c>
      <c r="AY272" s="22">
        <v>45070</v>
      </c>
      <c r="AZ272" s="22"/>
      <c r="BA272" s="1" t="s">
        <v>148</v>
      </c>
      <c r="BB272" s="1" t="s">
        <v>104</v>
      </c>
      <c r="BC272" s="1"/>
      <c r="BD272" s="1"/>
      <c r="BE272" s="1"/>
    </row>
    <row r="273" spans="1:57" ht="14.25" hidden="1" customHeight="1">
      <c r="A273" s="2" t="s">
        <v>57</v>
      </c>
      <c r="B273" s="1" t="s">
        <v>58</v>
      </c>
      <c r="C273" s="27">
        <v>45064</v>
      </c>
      <c r="D273" s="27">
        <v>44996</v>
      </c>
      <c r="E273" s="27">
        <v>44946</v>
      </c>
      <c r="F273" s="27">
        <v>45310</v>
      </c>
      <c r="G273" s="13" t="str">
        <f t="shared" si="115"/>
        <v>000-272/AIB RDC/2023</v>
      </c>
      <c r="H273" s="1">
        <v>0</v>
      </c>
      <c r="I273" s="1" t="s">
        <v>83</v>
      </c>
      <c r="J273" s="29" t="s">
        <v>520</v>
      </c>
      <c r="K273" s="2" t="s">
        <v>167</v>
      </c>
      <c r="L273" s="1"/>
      <c r="M273" s="1" t="s">
        <v>95</v>
      </c>
      <c r="N273" s="1" t="s">
        <v>146</v>
      </c>
      <c r="O273" s="1" t="s">
        <v>104</v>
      </c>
      <c r="P273" s="1" t="s">
        <v>105</v>
      </c>
      <c r="Q273" s="1" t="s">
        <v>66</v>
      </c>
      <c r="R273" s="1" t="s">
        <v>66</v>
      </c>
      <c r="S273" s="16">
        <v>14858.44</v>
      </c>
      <c r="T273" s="25">
        <v>65</v>
      </c>
      <c r="U273" s="25">
        <v>0</v>
      </c>
      <c r="V273" s="25">
        <v>0</v>
      </c>
      <c r="W273" s="25">
        <v>1.91</v>
      </c>
      <c r="X273" s="25">
        <v>54.28</v>
      </c>
      <c r="Y273" s="25">
        <v>8.81</v>
      </c>
      <c r="Z273" s="17">
        <f t="shared" si="116"/>
        <v>3.6531425910122464E-3</v>
      </c>
      <c r="AA273" s="18">
        <v>0.15</v>
      </c>
      <c r="AB273" s="16">
        <f t="shared" si="110"/>
        <v>8.1419999999999995</v>
      </c>
      <c r="AC273" s="16">
        <v>0</v>
      </c>
      <c r="AD273" s="16">
        <v>0</v>
      </c>
      <c r="AE273" s="16">
        <v>0</v>
      </c>
      <c r="AF273" s="16">
        <f t="shared" si="117"/>
        <v>8.1419999999999995</v>
      </c>
      <c r="AG273" s="16">
        <f t="shared" si="111"/>
        <v>1.3027199999999999</v>
      </c>
      <c r="AH273" s="16">
        <f t="shared" si="118"/>
        <v>9.4447200000000002</v>
      </c>
      <c r="AI273" s="16">
        <f t="shared" si="112"/>
        <v>0.16283999999999998</v>
      </c>
      <c r="AJ273" s="16">
        <v>0</v>
      </c>
      <c r="AK273" s="16">
        <f t="shared" si="119"/>
        <v>0.16283999999999998</v>
      </c>
      <c r="AL273" s="19"/>
      <c r="AM273" s="16">
        <f t="shared" si="120"/>
        <v>7.9791599999999994</v>
      </c>
      <c r="AN273" s="16" t="s">
        <v>147</v>
      </c>
      <c r="AO273" s="20">
        <v>0.4</v>
      </c>
      <c r="AP273" s="16">
        <f t="shared" si="121"/>
        <v>3.1916639999999998</v>
      </c>
      <c r="AQ273" s="16"/>
      <c r="AR273" s="15"/>
      <c r="AS273" s="16">
        <f t="shared" si="122"/>
        <v>3.1916639999999998</v>
      </c>
      <c r="AT273" s="16"/>
      <c r="AU273" s="16">
        <v>9.4447200000000002</v>
      </c>
      <c r="AV273" s="16">
        <f t="shared" si="114"/>
        <v>9.4447200000000002</v>
      </c>
      <c r="AW273" s="16">
        <f t="shared" si="123"/>
        <v>0</v>
      </c>
      <c r="AX273" s="16" t="str">
        <f t="shared" si="124"/>
        <v>SFA</v>
      </c>
      <c r="AY273" s="22">
        <v>45070</v>
      </c>
      <c r="AZ273" s="22"/>
      <c r="BA273" s="1" t="s">
        <v>148</v>
      </c>
      <c r="BB273" s="1" t="s">
        <v>104</v>
      </c>
      <c r="BC273" s="1"/>
      <c r="BD273" s="1"/>
      <c r="BE273" s="1"/>
    </row>
    <row r="274" spans="1:57" ht="14.25" hidden="1" customHeight="1">
      <c r="A274" s="2" t="s">
        <v>165</v>
      </c>
      <c r="B274" s="1" t="s">
        <v>58</v>
      </c>
      <c r="C274" s="27">
        <v>44928</v>
      </c>
      <c r="D274" s="27">
        <v>44995</v>
      </c>
      <c r="E274" s="27">
        <v>44995</v>
      </c>
      <c r="F274" s="27">
        <v>45359</v>
      </c>
      <c r="G274" s="13" t="str">
        <f t="shared" si="115"/>
        <v>000-273/AIB RDC/2023</v>
      </c>
      <c r="H274" s="1">
        <v>0</v>
      </c>
      <c r="I274" s="1" t="s">
        <v>83</v>
      </c>
      <c r="J274" s="29" t="s">
        <v>521</v>
      </c>
      <c r="K274" s="2" t="s">
        <v>167</v>
      </c>
      <c r="L274" s="1"/>
      <c r="M274" s="1" t="s">
        <v>95</v>
      </c>
      <c r="N274" s="1" t="s">
        <v>146</v>
      </c>
      <c r="O274" s="1" t="s">
        <v>104</v>
      </c>
      <c r="P274" s="1" t="s">
        <v>105</v>
      </c>
      <c r="Q274" s="1" t="s">
        <v>66</v>
      </c>
      <c r="R274" s="1" t="s">
        <v>66</v>
      </c>
      <c r="S274" s="16">
        <v>16858.439999999999</v>
      </c>
      <c r="T274" s="25">
        <v>65</v>
      </c>
      <c r="U274" s="25">
        <v>0</v>
      </c>
      <c r="V274" s="25">
        <v>0</v>
      </c>
      <c r="W274" s="25">
        <v>3.88</v>
      </c>
      <c r="X274" s="25">
        <v>52.31</v>
      </c>
      <c r="Y274" s="25">
        <v>8.81</v>
      </c>
      <c r="Z274" s="17">
        <f t="shared" si="116"/>
        <v>3.1028968279390029E-3</v>
      </c>
      <c r="AA274" s="18">
        <v>0.15</v>
      </c>
      <c r="AB274" s="16">
        <f t="shared" si="110"/>
        <v>7.8464999999999998</v>
      </c>
      <c r="AC274" s="16">
        <v>0</v>
      </c>
      <c r="AD274" s="16">
        <v>0</v>
      </c>
      <c r="AE274" s="16">
        <v>0</v>
      </c>
      <c r="AF274" s="16">
        <f t="shared" si="117"/>
        <v>7.8464999999999998</v>
      </c>
      <c r="AG274" s="16">
        <f t="shared" si="111"/>
        <v>1.2554399999999999</v>
      </c>
      <c r="AH274" s="16">
        <f t="shared" si="118"/>
        <v>9.101939999999999</v>
      </c>
      <c r="AI274" s="16">
        <f t="shared" si="112"/>
        <v>0.15692999999999999</v>
      </c>
      <c r="AJ274" s="16">
        <v>0</v>
      </c>
      <c r="AK274" s="16">
        <f t="shared" si="119"/>
        <v>0.15692999999999999</v>
      </c>
      <c r="AL274" s="19"/>
      <c r="AM274" s="16">
        <f t="shared" si="120"/>
        <v>7.6895699999999998</v>
      </c>
      <c r="AN274" s="16" t="s">
        <v>147</v>
      </c>
      <c r="AO274" s="20">
        <v>0.4</v>
      </c>
      <c r="AP274" s="16">
        <f t="shared" si="121"/>
        <v>3.075828</v>
      </c>
      <c r="AQ274" s="16">
        <v>3.075828</v>
      </c>
      <c r="AR274" s="15">
        <v>45229</v>
      </c>
      <c r="AS274" s="16">
        <f t="shared" si="122"/>
        <v>0</v>
      </c>
      <c r="AT274" s="16"/>
      <c r="AU274" s="16">
        <v>9.101939999999999</v>
      </c>
      <c r="AV274" s="16">
        <f t="shared" si="114"/>
        <v>9.101939999999999</v>
      </c>
      <c r="AW274" s="16">
        <f t="shared" si="123"/>
        <v>0</v>
      </c>
      <c r="AX274" s="16" t="str">
        <f t="shared" si="124"/>
        <v>SFA</v>
      </c>
      <c r="AY274" s="22">
        <v>45070</v>
      </c>
      <c r="AZ274" s="22"/>
      <c r="BA274" s="1" t="s">
        <v>148</v>
      </c>
      <c r="BB274" s="1" t="s">
        <v>104</v>
      </c>
      <c r="BC274" s="1"/>
      <c r="BD274" s="1"/>
      <c r="BE274" s="1"/>
    </row>
    <row r="275" spans="1:57" ht="14.25" hidden="1" customHeight="1">
      <c r="A275" s="2" t="s">
        <v>165</v>
      </c>
      <c r="B275" s="1" t="s">
        <v>58</v>
      </c>
      <c r="C275" s="27">
        <v>44928</v>
      </c>
      <c r="D275" s="27">
        <v>44996</v>
      </c>
      <c r="E275" s="27">
        <v>44995</v>
      </c>
      <c r="F275" s="27">
        <v>45359</v>
      </c>
      <c r="G275" s="13" t="str">
        <f t="shared" si="115"/>
        <v>000-274/AIB RDC/2023</v>
      </c>
      <c r="H275" s="1">
        <v>0</v>
      </c>
      <c r="I275" s="1" t="s">
        <v>83</v>
      </c>
      <c r="J275" s="29" t="s">
        <v>522</v>
      </c>
      <c r="K275" s="2" t="s">
        <v>167</v>
      </c>
      <c r="L275" s="1"/>
      <c r="M275" s="1" t="s">
        <v>95</v>
      </c>
      <c r="N275" s="1" t="s">
        <v>146</v>
      </c>
      <c r="O275" s="1" t="s">
        <v>104</v>
      </c>
      <c r="P275" s="1" t="s">
        <v>105</v>
      </c>
      <c r="Q275" s="1" t="s">
        <v>66</v>
      </c>
      <c r="R275" s="1" t="s">
        <v>66</v>
      </c>
      <c r="S275" s="16">
        <v>16858.439999999999</v>
      </c>
      <c r="T275" s="25">
        <v>65</v>
      </c>
      <c r="U275" s="25">
        <v>0</v>
      </c>
      <c r="V275" s="25">
        <v>0</v>
      </c>
      <c r="W275" s="25">
        <v>1.91</v>
      </c>
      <c r="X275" s="25">
        <v>54.28</v>
      </c>
      <c r="Y275" s="25">
        <v>8.81</v>
      </c>
      <c r="Z275" s="17">
        <f t="shared" si="116"/>
        <v>3.2197522427935207E-3</v>
      </c>
      <c r="AA275" s="18">
        <v>0.15</v>
      </c>
      <c r="AB275" s="16">
        <f t="shared" si="110"/>
        <v>8.1419999999999995</v>
      </c>
      <c r="AC275" s="16">
        <v>0</v>
      </c>
      <c r="AD275" s="16">
        <v>0</v>
      </c>
      <c r="AE275" s="16">
        <v>0</v>
      </c>
      <c r="AF275" s="16">
        <f t="shared" si="117"/>
        <v>8.1419999999999995</v>
      </c>
      <c r="AG275" s="16">
        <f t="shared" si="111"/>
        <v>1.3027199999999999</v>
      </c>
      <c r="AH275" s="16">
        <f t="shared" si="118"/>
        <v>9.4447200000000002</v>
      </c>
      <c r="AI275" s="16">
        <f t="shared" si="112"/>
        <v>0.16283999999999998</v>
      </c>
      <c r="AJ275" s="16">
        <v>0</v>
      </c>
      <c r="AK275" s="16">
        <f t="shared" si="119"/>
        <v>0.16283999999999998</v>
      </c>
      <c r="AL275" s="19"/>
      <c r="AM275" s="16">
        <f t="shared" si="120"/>
        <v>7.9791599999999994</v>
      </c>
      <c r="AN275" s="16" t="s">
        <v>147</v>
      </c>
      <c r="AO275" s="20">
        <v>0.4</v>
      </c>
      <c r="AP275" s="16">
        <f t="shared" si="121"/>
        <v>3.1916639999999998</v>
      </c>
      <c r="AQ275" s="16">
        <v>3.1916639999999998</v>
      </c>
      <c r="AR275" s="15">
        <v>45229</v>
      </c>
      <c r="AS275" s="16">
        <f t="shared" si="122"/>
        <v>0</v>
      </c>
      <c r="AT275" s="16"/>
      <c r="AU275" s="16">
        <v>9.4447200000000002</v>
      </c>
      <c r="AV275" s="16">
        <f t="shared" si="114"/>
        <v>9.4447200000000002</v>
      </c>
      <c r="AW275" s="16">
        <f t="shared" si="123"/>
        <v>0</v>
      </c>
      <c r="AX275" s="16" t="str">
        <f t="shared" si="124"/>
        <v>SFA</v>
      </c>
      <c r="AY275" s="22">
        <v>45070</v>
      </c>
      <c r="AZ275" s="22"/>
      <c r="BA275" s="1" t="s">
        <v>148</v>
      </c>
      <c r="BB275" s="1" t="s">
        <v>104</v>
      </c>
      <c r="BC275" s="1"/>
      <c r="BD275" s="1"/>
      <c r="BE275" s="1"/>
    </row>
    <row r="276" spans="1:57" ht="14.25" hidden="1" customHeight="1">
      <c r="A276" s="2" t="s">
        <v>230</v>
      </c>
      <c r="B276" s="1" t="s">
        <v>58</v>
      </c>
      <c r="C276" s="27">
        <v>45069</v>
      </c>
      <c r="D276" s="27">
        <v>45069</v>
      </c>
      <c r="E276" s="27">
        <v>45064</v>
      </c>
      <c r="F276" s="27">
        <v>45124</v>
      </c>
      <c r="G276" s="13" t="str">
        <f t="shared" si="115"/>
        <v>000-275/AIB RDC/2023</v>
      </c>
      <c r="H276" s="1">
        <v>0</v>
      </c>
      <c r="I276" s="1" t="s">
        <v>83</v>
      </c>
      <c r="J276" s="2" t="s">
        <v>523</v>
      </c>
      <c r="K276" s="2" t="s">
        <v>145</v>
      </c>
      <c r="L276" s="1"/>
      <c r="M276" s="1" t="s">
        <v>95</v>
      </c>
      <c r="N276" s="1" t="s">
        <v>146</v>
      </c>
      <c r="O276" s="1" t="s">
        <v>107</v>
      </c>
      <c r="P276" s="1" t="s">
        <v>108</v>
      </c>
      <c r="Q276" s="1" t="s">
        <v>117</v>
      </c>
      <c r="R276" s="1" t="s">
        <v>117</v>
      </c>
      <c r="S276" s="16">
        <v>3885387.84</v>
      </c>
      <c r="T276" s="25">
        <v>3200.45</v>
      </c>
      <c r="U276" s="25">
        <v>0</v>
      </c>
      <c r="V276" s="25">
        <v>0</v>
      </c>
      <c r="W276" s="25">
        <v>31.68</v>
      </c>
      <c r="X276" s="25">
        <v>3168.77</v>
      </c>
      <c r="Y276" s="25">
        <v>0</v>
      </c>
      <c r="Z276" s="17">
        <f t="shared" si="116"/>
        <v>8.1556079611347116E-4</v>
      </c>
      <c r="AA276" s="18">
        <v>0.1</v>
      </c>
      <c r="AB276" s="16">
        <f t="shared" si="110"/>
        <v>316.87700000000001</v>
      </c>
      <c r="AC276" s="16">
        <v>0</v>
      </c>
      <c r="AD276" s="16">
        <v>0</v>
      </c>
      <c r="AE276" s="16">
        <v>0</v>
      </c>
      <c r="AF276" s="16">
        <f t="shared" si="117"/>
        <v>316.87700000000001</v>
      </c>
      <c r="AG276" s="16">
        <f t="shared" si="111"/>
        <v>50.700320000000005</v>
      </c>
      <c r="AH276" s="16">
        <f t="shared" si="118"/>
        <v>367.57731999999999</v>
      </c>
      <c r="AI276" s="16">
        <f t="shared" si="112"/>
        <v>6.3375400000000006</v>
      </c>
      <c r="AJ276" s="16">
        <v>0</v>
      </c>
      <c r="AK276" s="16">
        <f t="shared" si="119"/>
        <v>6.3375400000000006</v>
      </c>
      <c r="AL276" s="19"/>
      <c r="AM276" s="16">
        <f t="shared" si="120"/>
        <v>310.53946000000002</v>
      </c>
      <c r="AN276" s="16" t="s">
        <v>147</v>
      </c>
      <c r="AO276" s="20">
        <v>0.4</v>
      </c>
      <c r="AP276" s="16">
        <f t="shared" si="121"/>
        <v>124.21578400000001</v>
      </c>
      <c r="AQ276" s="16">
        <v>124.21578400000001</v>
      </c>
      <c r="AR276" s="15">
        <v>45229</v>
      </c>
      <c r="AS276" s="16">
        <f t="shared" si="122"/>
        <v>0</v>
      </c>
      <c r="AT276" s="16"/>
      <c r="AU276" s="16">
        <v>367.57731999999999</v>
      </c>
      <c r="AV276" s="16">
        <f t="shared" si="114"/>
        <v>367.57731999999999</v>
      </c>
      <c r="AW276" s="16">
        <f t="shared" si="123"/>
        <v>0</v>
      </c>
      <c r="AX276" s="16" t="str">
        <f t="shared" si="124"/>
        <v>SUNU</v>
      </c>
      <c r="AY276" s="22">
        <v>45117</v>
      </c>
      <c r="AZ276" s="22"/>
      <c r="BA276" s="1" t="s">
        <v>148</v>
      </c>
      <c r="BB276" s="1" t="s">
        <v>107</v>
      </c>
      <c r="BC276" s="1"/>
      <c r="BD276" s="1"/>
      <c r="BE276" s="1"/>
    </row>
    <row r="277" spans="1:57" ht="14.25" hidden="1" customHeight="1">
      <c r="A277" s="2" t="s">
        <v>230</v>
      </c>
      <c r="B277" s="1" t="s">
        <v>58</v>
      </c>
      <c r="C277" s="27">
        <v>45069</v>
      </c>
      <c r="D277" s="27">
        <v>45049</v>
      </c>
      <c r="E277" s="27">
        <v>45049</v>
      </c>
      <c r="F277" s="27">
        <v>45209</v>
      </c>
      <c r="G277" s="13" t="str">
        <f t="shared" si="115"/>
        <v>000-276/AIB RDC/2023</v>
      </c>
      <c r="H277" s="1">
        <v>1</v>
      </c>
      <c r="I277" s="1" t="s">
        <v>59</v>
      </c>
      <c r="J277" s="29" t="s">
        <v>524</v>
      </c>
      <c r="K277" s="2" t="s">
        <v>525</v>
      </c>
      <c r="L277" s="1"/>
      <c r="M277" s="1" t="s">
        <v>74</v>
      </c>
      <c r="N277" s="1" t="s">
        <v>75</v>
      </c>
      <c r="O277" s="2" t="s">
        <v>104</v>
      </c>
      <c r="P277" s="2" t="s">
        <v>105</v>
      </c>
      <c r="Q277" s="2" t="s">
        <v>66</v>
      </c>
      <c r="R277" s="2" t="s">
        <v>66</v>
      </c>
      <c r="S277" s="16">
        <v>0</v>
      </c>
      <c r="T277" s="25">
        <v>40544.85</v>
      </c>
      <c r="U277" s="25">
        <v>0</v>
      </c>
      <c r="V277" s="25">
        <v>0</v>
      </c>
      <c r="W277" s="25">
        <v>509.44</v>
      </c>
      <c r="X277" s="25">
        <v>33829.410000000003</v>
      </c>
      <c r="Y277" s="25">
        <v>5494.22</v>
      </c>
      <c r="Z277" s="17" t="e">
        <f t="shared" si="116"/>
        <v>#DIV/0!</v>
      </c>
      <c r="AA277" s="18">
        <v>0.15</v>
      </c>
      <c r="AB277" s="16">
        <f t="shared" si="110"/>
        <v>5074.4115000000002</v>
      </c>
      <c r="AC277" s="16">
        <v>0</v>
      </c>
      <c r="AD277" s="16">
        <v>0</v>
      </c>
      <c r="AE277" s="16">
        <v>0</v>
      </c>
      <c r="AF277" s="16">
        <f t="shared" si="117"/>
        <v>5074.4115000000002</v>
      </c>
      <c r="AG277" s="16">
        <f t="shared" si="111"/>
        <v>811.90584000000001</v>
      </c>
      <c r="AH277" s="16">
        <f t="shared" si="118"/>
        <v>5886.3173400000005</v>
      </c>
      <c r="AI277" s="16">
        <f t="shared" si="112"/>
        <v>101.48823</v>
      </c>
      <c r="AJ277" s="16">
        <v>0</v>
      </c>
      <c r="AK277" s="16">
        <f t="shared" si="119"/>
        <v>101.48823</v>
      </c>
      <c r="AL277" s="19"/>
      <c r="AM277" s="16">
        <f t="shared" si="120"/>
        <v>4972.9232700000002</v>
      </c>
      <c r="AN277" s="16" t="s">
        <v>228</v>
      </c>
      <c r="AO277" s="20"/>
      <c r="AP277" s="16">
        <f t="shared" si="121"/>
        <v>0</v>
      </c>
      <c r="AQ277" s="16"/>
      <c r="AR277" s="15"/>
      <c r="AS277" s="16">
        <f t="shared" si="122"/>
        <v>0</v>
      </c>
      <c r="AT277" s="16"/>
      <c r="AU277" s="16">
        <v>5886.3173400000005</v>
      </c>
      <c r="AV277" s="16">
        <f t="shared" si="114"/>
        <v>5886.3173400000005</v>
      </c>
      <c r="AW277" s="16">
        <f t="shared" si="123"/>
        <v>0</v>
      </c>
      <c r="AX277" s="16" t="str">
        <f t="shared" si="124"/>
        <v>SFA</v>
      </c>
      <c r="AY277" s="22">
        <v>45076</v>
      </c>
      <c r="AZ277" s="22"/>
      <c r="BA277" s="1"/>
      <c r="BB277" s="22" t="str">
        <f>O277</f>
        <v>MARINE CARGO / GIT</v>
      </c>
      <c r="BC277" s="1"/>
      <c r="BD277" s="1"/>
      <c r="BE277" s="1"/>
    </row>
    <row r="278" spans="1:57" ht="14.25" hidden="1" customHeight="1">
      <c r="A278" s="2" t="s">
        <v>157</v>
      </c>
      <c r="B278" s="1" t="s">
        <v>58</v>
      </c>
      <c r="C278" s="27">
        <v>45069</v>
      </c>
      <c r="D278" s="27">
        <v>45014</v>
      </c>
      <c r="E278" s="27">
        <v>44985</v>
      </c>
      <c r="F278" s="27">
        <v>45349</v>
      </c>
      <c r="G278" s="13" t="str">
        <f t="shared" si="115"/>
        <v>000-277/AIB RDC/2023</v>
      </c>
      <c r="H278" s="1">
        <v>0</v>
      </c>
      <c r="I278" s="1" t="s">
        <v>83</v>
      </c>
      <c r="J278" s="29" t="s">
        <v>526</v>
      </c>
      <c r="K278" s="2" t="s">
        <v>527</v>
      </c>
      <c r="L278" s="1"/>
      <c r="M278" s="1" t="s">
        <v>95</v>
      </c>
      <c r="N278" s="1" t="s">
        <v>146</v>
      </c>
      <c r="O278" s="1" t="s">
        <v>104</v>
      </c>
      <c r="P278" s="1" t="s">
        <v>105</v>
      </c>
      <c r="Q278" s="1" t="s">
        <v>66</v>
      </c>
      <c r="R278" s="1" t="s">
        <v>66</v>
      </c>
      <c r="S278" s="16">
        <v>254231.8</v>
      </c>
      <c r="T278" s="25">
        <v>475.01</v>
      </c>
      <c r="U278" s="25">
        <v>0</v>
      </c>
      <c r="V278" s="25">
        <v>0</v>
      </c>
      <c r="W278" s="25">
        <v>5.95</v>
      </c>
      <c r="X278" s="25">
        <v>396.6</v>
      </c>
      <c r="Y278" s="25">
        <v>64.41</v>
      </c>
      <c r="Z278" s="17">
        <f t="shared" si="116"/>
        <v>1.5599936750634658E-3</v>
      </c>
      <c r="AA278" s="18">
        <v>0.15</v>
      </c>
      <c r="AB278" s="16">
        <f t="shared" si="110"/>
        <v>59.49</v>
      </c>
      <c r="AC278" s="16">
        <v>0</v>
      </c>
      <c r="AD278" s="16">
        <v>0</v>
      </c>
      <c r="AE278" s="16">
        <v>0</v>
      </c>
      <c r="AF278" s="16">
        <f t="shared" si="117"/>
        <v>59.49</v>
      </c>
      <c r="AG278" s="16">
        <f t="shared" si="111"/>
        <v>9.5183999999999997</v>
      </c>
      <c r="AH278" s="16">
        <f t="shared" si="118"/>
        <v>69.008399999999995</v>
      </c>
      <c r="AI278" s="16">
        <f t="shared" si="112"/>
        <v>1.1898</v>
      </c>
      <c r="AJ278" s="16">
        <v>0</v>
      </c>
      <c r="AK278" s="16">
        <f t="shared" si="119"/>
        <v>1.1898</v>
      </c>
      <c r="AL278" s="19"/>
      <c r="AM278" s="16">
        <f t="shared" si="120"/>
        <v>58.300200000000004</v>
      </c>
      <c r="AN278" s="16" t="s">
        <v>147</v>
      </c>
      <c r="AO278" s="20">
        <v>0.4</v>
      </c>
      <c r="AP278" s="16">
        <f t="shared" si="121"/>
        <v>23.320080000000004</v>
      </c>
      <c r="AQ278" s="16">
        <v>23.320080000000004</v>
      </c>
      <c r="AR278" s="15">
        <v>45229</v>
      </c>
      <c r="AS278" s="16">
        <f t="shared" si="122"/>
        <v>0</v>
      </c>
      <c r="AT278" s="16"/>
      <c r="AU278" s="16">
        <v>69.008399999999995</v>
      </c>
      <c r="AV278" s="16">
        <f t="shared" si="114"/>
        <v>69.008399999999995</v>
      </c>
      <c r="AW278" s="16">
        <f t="shared" si="123"/>
        <v>0</v>
      </c>
      <c r="AX278" s="16" t="str">
        <f t="shared" si="124"/>
        <v>SFA</v>
      </c>
      <c r="AY278" s="22">
        <v>45076</v>
      </c>
      <c r="AZ278" s="22"/>
      <c r="BA278" s="1" t="s">
        <v>148</v>
      </c>
      <c r="BB278" s="22" t="str">
        <f>O278</f>
        <v>MARINE CARGO / GIT</v>
      </c>
      <c r="BC278" s="1"/>
      <c r="BD278" s="1"/>
      <c r="BE278" s="1"/>
    </row>
    <row r="279" spans="1:57" ht="14.25" hidden="1" customHeight="1">
      <c r="A279" s="2" t="s">
        <v>165</v>
      </c>
      <c r="B279" s="1" t="s">
        <v>58</v>
      </c>
      <c r="C279" s="27">
        <v>45071</v>
      </c>
      <c r="D279" s="27">
        <v>45021</v>
      </c>
      <c r="E279" s="27">
        <v>44994</v>
      </c>
      <c r="F279" s="27">
        <v>45358</v>
      </c>
      <c r="G279" s="13" t="str">
        <f t="shared" si="115"/>
        <v>000-278/AIB RDC/2023</v>
      </c>
      <c r="H279" s="1">
        <v>0</v>
      </c>
      <c r="I279" s="1" t="s">
        <v>83</v>
      </c>
      <c r="J279" s="29" t="s">
        <v>528</v>
      </c>
      <c r="K279" s="2" t="s">
        <v>527</v>
      </c>
      <c r="L279" s="1"/>
      <c r="M279" s="1" t="s">
        <v>95</v>
      </c>
      <c r="N279" s="1" t="s">
        <v>146</v>
      </c>
      <c r="O279" s="1" t="s">
        <v>104</v>
      </c>
      <c r="P279" s="1" t="s">
        <v>105</v>
      </c>
      <c r="Q279" s="1" t="s">
        <v>66</v>
      </c>
      <c r="R279" s="1" t="s">
        <v>66</v>
      </c>
      <c r="S279" s="16">
        <v>137595.59</v>
      </c>
      <c r="T279" s="25">
        <v>335.86</v>
      </c>
      <c r="U279" s="25">
        <v>0</v>
      </c>
      <c r="V279" s="25">
        <v>0</v>
      </c>
      <c r="W279" s="25">
        <v>5.86</v>
      </c>
      <c r="X279" s="25">
        <v>257.58</v>
      </c>
      <c r="Y279" s="25">
        <v>42.15</v>
      </c>
      <c r="Z279" s="17">
        <f t="shared" si="116"/>
        <v>1.8720076711760893E-3</v>
      </c>
      <c r="AA279" s="18">
        <v>0.15</v>
      </c>
      <c r="AB279" s="16">
        <f t="shared" si="110"/>
        <v>38.636999999999993</v>
      </c>
      <c r="AC279" s="16">
        <v>0</v>
      </c>
      <c r="AD279" s="16">
        <v>0</v>
      </c>
      <c r="AE279" s="16">
        <v>0</v>
      </c>
      <c r="AF279" s="16">
        <f t="shared" si="117"/>
        <v>38.636999999999993</v>
      </c>
      <c r="AG279" s="16">
        <f t="shared" si="111"/>
        <v>6.181919999999999</v>
      </c>
      <c r="AH279" s="16">
        <f t="shared" si="118"/>
        <v>44.818919999999991</v>
      </c>
      <c r="AI279" s="16">
        <f t="shared" si="112"/>
        <v>0.77273999999999987</v>
      </c>
      <c r="AJ279" s="16">
        <v>0</v>
      </c>
      <c r="AK279" s="16">
        <f t="shared" si="119"/>
        <v>0.77273999999999987</v>
      </c>
      <c r="AL279" s="19"/>
      <c r="AM279" s="16">
        <f t="shared" si="120"/>
        <v>37.864259999999994</v>
      </c>
      <c r="AN279" s="16" t="s">
        <v>147</v>
      </c>
      <c r="AO279" s="20">
        <v>0.4</v>
      </c>
      <c r="AP279" s="16">
        <f t="shared" si="121"/>
        <v>15.145703999999999</v>
      </c>
      <c r="AQ279" s="16">
        <v>15.145703999999999</v>
      </c>
      <c r="AR279" s="15">
        <v>45229</v>
      </c>
      <c r="AS279" s="16">
        <f t="shared" si="122"/>
        <v>0</v>
      </c>
      <c r="AT279" s="16"/>
      <c r="AU279" s="16">
        <v>44.818919999999991</v>
      </c>
      <c r="AV279" s="16">
        <f t="shared" si="114"/>
        <v>44.818919999999991</v>
      </c>
      <c r="AW279" s="16">
        <f t="shared" si="123"/>
        <v>0</v>
      </c>
      <c r="AX279" s="16" t="str">
        <f t="shared" si="124"/>
        <v>SFA</v>
      </c>
      <c r="AY279" s="22">
        <v>45076</v>
      </c>
      <c r="AZ279" s="22"/>
      <c r="BA279" s="1" t="s">
        <v>148</v>
      </c>
      <c r="BB279" s="22" t="str">
        <f>O279</f>
        <v>MARINE CARGO / GIT</v>
      </c>
      <c r="BC279" s="1"/>
      <c r="BD279" s="1"/>
      <c r="BE279" s="1"/>
    </row>
    <row r="280" spans="1:57" ht="14.25" hidden="1" customHeight="1">
      <c r="A280" s="2" t="s">
        <v>406</v>
      </c>
      <c r="B280" s="1" t="s">
        <v>58</v>
      </c>
      <c r="C280" s="27">
        <v>45071</v>
      </c>
      <c r="D280" s="27">
        <v>45034</v>
      </c>
      <c r="E280" s="27">
        <v>45034</v>
      </c>
      <c r="F280" s="27">
        <v>45398</v>
      </c>
      <c r="G280" s="13" t="str">
        <f t="shared" si="115"/>
        <v>000-279/AIB RDC/2023</v>
      </c>
      <c r="H280" s="1">
        <v>0</v>
      </c>
      <c r="I280" s="1" t="s">
        <v>83</v>
      </c>
      <c r="J280" s="29" t="s">
        <v>529</v>
      </c>
      <c r="K280" s="2" t="s">
        <v>530</v>
      </c>
      <c r="L280" s="1"/>
      <c r="M280" s="2" t="s">
        <v>95</v>
      </c>
      <c r="N280" s="2" t="s">
        <v>146</v>
      </c>
      <c r="O280" s="2" t="s">
        <v>104</v>
      </c>
      <c r="P280" s="2" t="s">
        <v>105</v>
      </c>
      <c r="Q280" s="2" t="s">
        <v>66</v>
      </c>
      <c r="R280" s="2" t="s">
        <v>66</v>
      </c>
      <c r="S280" s="16">
        <v>0</v>
      </c>
      <c r="T280" s="25">
        <v>9608.9599999999991</v>
      </c>
      <c r="U280" s="25">
        <v>0</v>
      </c>
      <c r="V280" s="25">
        <v>0</v>
      </c>
      <c r="W280" s="25">
        <v>122</v>
      </c>
      <c r="X280" s="25">
        <v>8000</v>
      </c>
      <c r="Y280" s="25">
        <v>1299.52</v>
      </c>
      <c r="Z280" s="17" t="e">
        <f t="shared" si="116"/>
        <v>#DIV/0!</v>
      </c>
      <c r="AA280" s="18">
        <v>0.15</v>
      </c>
      <c r="AB280" s="16">
        <f t="shared" si="110"/>
        <v>1200</v>
      </c>
      <c r="AC280" s="16">
        <v>0</v>
      </c>
      <c r="AD280" s="16">
        <v>0</v>
      </c>
      <c r="AE280" s="16">
        <v>0</v>
      </c>
      <c r="AF280" s="16">
        <f t="shared" si="117"/>
        <v>1200</v>
      </c>
      <c r="AG280" s="16">
        <f t="shared" si="111"/>
        <v>192</v>
      </c>
      <c r="AH280" s="16">
        <f t="shared" si="118"/>
        <v>1392</v>
      </c>
      <c r="AI280" s="16">
        <f t="shared" si="112"/>
        <v>24</v>
      </c>
      <c r="AJ280" s="16">
        <v>0</v>
      </c>
      <c r="AK280" s="16">
        <f t="shared" si="119"/>
        <v>24</v>
      </c>
      <c r="AL280" s="19"/>
      <c r="AM280" s="16">
        <f t="shared" si="120"/>
        <v>1176</v>
      </c>
      <c r="AN280" s="16"/>
      <c r="AO280" s="20">
        <v>0</v>
      </c>
      <c r="AP280" s="16">
        <f t="shared" si="121"/>
        <v>0</v>
      </c>
      <c r="AQ280" s="16"/>
      <c r="AR280" s="15"/>
      <c r="AS280" s="16">
        <f t="shared" si="122"/>
        <v>0</v>
      </c>
      <c r="AT280" s="16"/>
      <c r="AU280" s="16">
        <v>1392</v>
      </c>
      <c r="AV280" s="16">
        <f t="shared" si="114"/>
        <v>1392</v>
      </c>
      <c r="AW280" s="16">
        <f t="shared" si="123"/>
        <v>0</v>
      </c>
      <c r="AX280" s="16" t="str">
        <f t="shared" si="124"/>
        <v>SFA</v>
      </c>
      <c r="AY280" s="22">
        <v>45076</v>
      </c>
      <c r="AZ280" s="22"/>
      <c r="BA280" s="1"/>
      <c r="BB280" s="22" t="str">
        <f>O280</f>
        <v>MARINE CARGO / GIT</v>
      </c>
      <c r="BC280" s="1"/>
      <c r="BD280" s="1"/>
      <c r="BE280" s="1"/>
    </row>
    <row r="281" spans="1:57" ht="14.25" hidden="1" customHeight="1">
      <c r="A281" s="2" t="s">
        <v>406</v>
      </c>
      <c r="B281" s="1" t="s">
        <v>58</v>
      </c>
      <c r="C281" s="27">
        <v>45071</v>
      </c>
      <c r="D281" s="27">
        <v>45042</v>
      </c>
      <c r="E281" s="27">
        <v>45020</v>
      </c>
      <c r="F281" s="27">
        <v>45384</v>
      </c>
      <c r="G281" s="13" t="str">
        <f t="shared" si="115"/>
        <v>000-280/AIB RDC/2023</v>
      </c>
      <c r="H281" s="1">
        <v>0</v>
      </c>
      <c r="I281" s="1" t="s">
        <v>83</v>
      </c>
      <c r="J281" s="29" t="s">
        <v>531</v>
      </c>
      <c r="K281" s="2" t="s">
        <v>532</v>
      </c>
      <c r="L281" s="1"/>
      <c r="M281" s="2" t="s">
        <v>95</v>
      </c>
      <c r="N281" s="2" t="s">
        <v>146</v>
      </c>
      <c r="O281" s="2" t="s">
        <v>104</v>
      </c>
      <c r="P281" s="2" t="s">
        <v>105</v>
      </c>
      <c r="Q281" s="2" t="s">
        <v>66</v>
      </c>
      <c r="R281" s="2" t="s">
        <v>66</v>
      </c>
      <c r="S281" s="16">
        <v>1630087.5</v>
      </c>
      <c r="T281" s="25">
        <v>3073.03</v>
      </c>
      <c r="U281" s="25">
        <v>0</v>
      </c>
      <c r="V281" s="25">
        <v>0</v>
      </c>
      <c r="W281" s="25">
        <v>40.14</v>
      </c>
      <c r="X281" s="25">
        <v>2542.94</v>
      </c>
      <c r="Y281" s="25">
        <v>413.29</v>
      </c>
      <c r="Z281" s="17">
        <f t="shared" si="116"/>
        <v>1.5600021471240042E-3</v>
      </c>
      <c r="AA281" s="18">
        <v>0.15</v>
      </c>
      <c r="AB281" s="16">
        <f t="shared" si="110"/>
        <v>381.44099999999997</v>
      </c>
      <c r="AC281" s="16">
        <v>0</v>
      </c>
      <c r="AD281" s="16">
        <v>0</v>
      </c>
      <c r="AE281" s="16">
        <v>0</v>
      </c>
      <c r="AF281" s="16">
        <f t="shared" si="117"/>
        <v>381.44099999999997</v>
      </c>
      <c r="AG281" s="16">
        <f t="shared" si="111"/>
        <v>61.030559999999994</v>
      </c>
      <c r="AH281" s="16">
        <f t="shared" si="118"/>
        <v>442.47155999999995</v>
      </c>
      <c r="AI281" s="16">
        <f t="shared" si="112"/>
        <v>7.6288199999999993</v>
      </c>
      <c r="AJ281" s="16"/>
      <c r="AK281" s="16">
        <f t="shared" si="119"/>
        <v>7.6288199999999993</v>
      </c>
      <c r="AL281" s="19"/>
      <c r="AM281" s="16">
        <f t="shared" si="120"/>
        <v>373.81217999999996</v>
      </c>
      <c r="AN281" s="16" t="s">
        <v>147</v>
      </c>
      <c r="AO281" s="20">
        <v>0.4</v>
      </c>
      <c r="AP281" s="16">
        <f t="shared" si="121"/>
        <v>149.52487199999999</v>
      </c>
      <c r="AQ281" s="16">
        <v>149.52487199999999</v>
      </c>
      <c r="AR281" s="15">
        <v>45229</v>
      </c>
      <c r="AS281" s="16">
        <f t="shared" si="122"/>
        <v>0</v>
      </c>
      <c r="AT281" s="16"/>
      <c r="AU281" s="16">
        <v>442.47155999999995</v>
      </c>
      <c r="AV281" s="16">
        <f t="shared" si="114"/>
        <v>442.47155999999995</v>
      </c>
      <c r="AW281" s="16">
        <f t="shared" si="123"/>
        <v>0</v>
      </c>
      <c r="AX281" s="16" t="str">
        <f t="shared" si="124"/>
        <v>SFA</v>
      </c>
      <c r="AY281" s="22">
        <v>45076</v>
      </c>
      <c r="AZ281" s="22"/>
      <c r="BA281" s="1" t="s">
        <v>148</v>
      </c>
      <c r="BB281" s="1" t="s">
        <v>104</v>
      </c>
      <c r="BC281" s="1"/>
      <c r="BD281" s="1"/>
      <c r="BE281" s="1"/>
    </row>
    <row r="282" spans="1:57" ht="14.25" hidden="1" customHeight="1">
      <c r="A282" s="2" t="s">
        <v>406</v>
      </c>
      <c r="B282" s="1" t="s">
        <v>58</v>
      </c>
      <c r="C282" s="27">
        <v>45071</v>
      </c>
      <c r="D282" s="27">
        <v>45044</v>
      </c>
      <c r="E282" s="27">
        <v>45044</v>
      </c>
      <c r="F282" s="27">
        <v>45408</v>
      </c>
      <c r="G282" s="13" t="str">
        <f t="shared" si="115"/>
        <v>000-281/AIB RDC/2023</v>
      </c>
      <c r="H282" s="1">
        <v>0</v>
      </c>
      <c r="I282" s="1" t="s">
        <v>83</v>
      </c>
      <c r="J282" s="29" t="s">
        <v>533</v>
      </c>
      <c r="K282" s="1" t="s">
        <v>159</v>
      </c>
      <c r="L282" s="1"/>
      <c r="M282" s="1" t="s">
        <v>95</v>
      </c>
      <c r="N282" s="1" t="s">
        <v>146</v>
      </c>
      <c r="O282" s="1" t="s">
        <v>104</v>
      </c>
      <c r="P282" s="1" t="s">
        <v>105</v>
      </c>
      <c r="Q282" s="1" t="s">
        <v>66</v>
      </c>
      <c r="R282" s="1" t="s">
        <v>66</v>
      </c>
      <c r="S282" s="16">
        <v>3837.48</v>
      </c>
      <c r="T282" s="25">
        <v>45.33</v>
      </c>
      <c r="U282" s="25">
        <v>0</v>
      </c>
      <c r="V282" s="25">
        <v>0</v>
      </c>
      <c r="W282" s="25">
        <v>2.23</v>
      </c>
      <c r="X282" s="25">
        <v>15</v>
      </c>
      <c r="Y282" s="25">
        <v>2.76</v>
      </c>
      <c r="Z282" s="17">
        <f t="shared" si="116"/>
        <v>3.9088151599487161E-3</v>
      </c>
      <c r="AA282" s="18">
        <v>0.15</v>
      </c>
      <c r="AB282" s="16">
        <f t="shared" si="110"/>
        <v>2.25</v>
      </c>
      <c r="AC282" s="16">
        <v>0</v>
      </c>
      <c r="AD282" s="16">
        <v>0</v>
      </c>
      <c r="AE282" s="16">
        <v>0</v>
      </c>
      <c r="AF282" s="16">
        <f t="shared" si="117"/>
        <v>2.25</v>
      </c>
      <c r="AG282" s="16">
        <f t="shared" si="111"/>
        <v>0.36</v>
      </c>
      <c r="AH282" s="16">
        <f t="shared" si="118"/>
        <v>2.61</v>
      </c>
      <c r="AI282" s="16">
        <f t="shared" si="112"/>
        <v>4.4999999999999998E-2</v>
      </c>
      <c r="AJ282" s="16">
        <v>0</v>
      </c>
      <c r="AK282" s="16">
        <f t="shared" si="119"/>
        <v>4.4999999999999998E-2</v>
      </c>
      <c r="AL282" s="19"/>
      <c r="AM282" s="16">
        <f t="shared" si="120"/>
        <v>2.2050000000000001</v>
      </c>
      <c r="AN282" s="16" t="s">
        <v>147</v>
      </c>
      <c r="AO282" s="20">
        <v>0.4</v>
      </c>
      <c r="AP282" s="16">
        <f t="shared" si="121"/>
        <v>0.88200000000000012</v>
      </c>
      <c r="AQ282" s="16">
        <v>0.88200000000000012</v>
      </c>
      <c r="AR282" s="15">
        <v>45229</v>
      </c>
      <c r="AS282" s="16">
        <f t="shared" si="122"/>
        <v>0</v>
      </c>
      <c r="AT282" s="16"/>
      <c r="AU282" s="16">
        <v>2.61</v>
      </c>
      <c r="AV282" s="16">
        <f t="shared" si="114"/>
        <v>2.61</v>
      </c>
      <c r="AW282" s="16">
        <f t="shared" si="123"/>
        <v>0</v>
      </c>
      <c r="AX282" s="16" t="str">
        <f t="shared" si="124"/>
        <v>SFA</v>
      </c>
      <c r="AY282" s="22">
        <v>45076</v>
      </c>
      <c r="AZ282" s="22"/>
      <c r="BA282" s="1" t="s">
        <v>148</v>
      </c>
      <c r="BB282" s="22" t="str">
        <f t="shared" ref="BB282:BB295" si="125">O282</f>
        <v>MARINE CARGO / GIT</v>
      </c>
      <c r="BC282" s="1"/>
      <c r="BD282" s="1"/>
      <c r="BE282" s="1"/>
    </row>
    <row r="283" spans="1:57" ht="14.25" hidden="1" customHeight="1">
      <c r="A283" s="2" t="s">
        <v>165</v>
      </c>
      <c r="B283" s="1" t="s">
        <v>58</v>
      </c>
      <c r="C283" s="27">
        <v>45071</v>
      </c>
      <c r="D283" s="27">
        <v>45019</v>
      </c>
      <c r="E283" s="27">
        <v>45014</v>
      </c>
      <c r="F283" s="27">
        <v>45378</v>
      </c>
      <c r="G283" s="13" t="str">
        <f t="shared" si="115"/>
        <v>000-282/AIB RDC/2023</v>
      </c>
      <c r="H283" s="1">
        <v>0</v>
      </c>
      <c r="I283" s="1" t="s">
        <v>83</v>
      </c>
      <c r="J283" s="29" t="s">
        <v>534</v>
      </c>
      <c r="K283" s="2" t="s">
        <v>163</v>
      </c>
      <c r="L283" s="1"/>
      <c r="M283" s="1" t="s">
        <v>95</v>
      </c>
      <c r="N283" s="1" t="s">
        <v>146</v>
      </c>
      <c r="O283" s="1" t="s">
        <v>104</v>
      </c>
      <c r="P283" s="1" t="s">
        <v>105</v>
      </c>
      <c r="Q283" s="1" t="s">
        <v>66</v>
      </c>
      <c r="R283" s="1" t="s">
        <v>66</v>
      </c>
      <c r="S283" s="16">
        <v>2096577</v>
      </c>
      <c r="T283" s="25">
        <v>4966.41</v>
      </c>
      <c r="U283" s="25">
        <v>0</v>
      </c>
      <c r="V283" s="25">
        <v>0</v>
      </c>
      <c r="W283" s="25">
        <v>99.32</v>
      </c>
      <c r="X283" s="25">
        <v>4088.32</v>
      </c>
      <c r="Y283" s="25">
        <v>670.02</v>
      </c>
      <c r="Z283" s="17">
        <f t="shared" si="116"/>
        <v>1.9499975436151403E-3</v>
      </c>
      <c r="AA283" s="18">
        <v>0.15</v>
      </c>
      <c r="AB283" s="16">
        <f t="shared" si="110"/>
        <v>613.24800000000005</v>
      </c>
      <c r="AC283" s="16">
        <v>0</v>
      </c>
      <c r="AD283" s="16">
        <v>0</v>
      </c>
      <c r="AE283" s="16">
        <v>0</v>
      </c>
      <c r="AF283" s="16">
        <f t="shared" si="117"/>
        <v>613.24800000000005</v>
      </c>
      <c r="AG283" s="16">
        <f t="shared" ref="AG283:AG314" si="126">16%*AF283</f>
        <v>98.119680000000017</v>
      </c>
      <c r="AH283" s="16">
        <f t="shared" si="118"/>
        <v>711.36768000000006</v>
      </c>
      <c r="AI283" s="16">
        <f t="shared" ref="AI283:AI314" si="127">2%*(AB283+AC283+AD283)</f>
        <v>12.264960000000002</v>
      </c>
      <c r="AJ283" s="16">
        <v>0</v>
      </c>
      <c r="AK283" s="16">
        <f t="shared" si="119"/>
        <v>12.264960000000002</v>
      </c>
      <c r="AL283" s="19"/>
      <c r="AM283" s="16">
        <f t="shared" si="120"/>
        <v>600.98304000000007</v>
      </c>
      <c r="AN283" s="16" t="s">
        <v>147</v>
      </c>
      <c r="AO283" s="20">
        <v>0.4</v>
      </c>
      <c r="AP283" s="16">
        <f t="shared" si="121"/>
        <v>240.39321600000005</v>
      </c>
      <c r="AQ283" s="16">
        <v>240.39321600000005</v>
      </c>
      <c r="AR283" s="15">
        <v>45229</v>
      </c>
      <c r="AS283" s="16">
        <f t="shared" si="122"/>
        <v>0</v>
      </c>
      <c r="AT283" s="16"/>
      <c r="AU283" s="16">
        <v>711.36768000000006</v>
      </c>
      <c r="AV283" s="16">
        <f t="shared" si="114"/>
        <v>711.36768000000006</v>
      </c>
      <c r="AW283" s="16">
        <f t="shared" si="123"/>
        <v>0</v>
      </c>
      <c r="AX283" s="16" t="str">
        <f t="shared" si="124"/>
        <v>SFA</v>
      </c>
      <c r="AY283" s="22">
        <v>45076</v>
      </c>
      <c r="AZ283" s="22"/>
      <c r="BA283" s="1" t="s">
        <v>148</v>
      </c>
      <c r="BB283" s="22" t="str">
        <f t="shared" si="125"/>
        <v>MARINE CARGO / GIT</v>
      </c>
      <c r="BC283" s="1"/>
      <c r="BD283" s="1"/>
      <c r="BE283" s="1"/>
    </row>
    <row r="284" spans="1:57" ht="14.25" hidden="1" customHeight="1">
      <c r="A284" s="2" t="s">
        <v>406</v>
      </c>
      <c r="B284" s="1" t="s">
        <v>58</v>
      </c>
      <c r="C284" s="27">
        <v>45071</v>
      </c>
      <c r="D284" s="27">
        <v>45044</v>
      </c>
      <c r="E284" s="27">
        <v>45044</v>
      </c>
      <c r="F284" s="27">
        <v>45408</v>
      </c>
      <c r="G284" s="13" t="str">
        <f t="shared" si="115"/>
        <v>000-283/AIB RDC/2023</v>
      </c>
      <c r="H284" s="1">
        <v>0</v>
      </c>
      <c r="I284" s="1" t="s">
        <v>83</v>
      </c>
      <c r="J284" s="29" t="s">
        <v>535</v>
      </c>
      <c r="K284" s="2" t="s">
        <v>163</v>
      </c>
      <c r="L284" s="1"/>
      <c r="M284" s="1" t="s">
        <v>95</v>
      </c>
      <c r="N284" s="1" t="s">
        <v>146</v>
      </c>
      <c r="O284" s="1" t="s">
        <v>104</v>
      </c>
      <c r="P284" s="1" t="s">
        <v>105</v>
      </c>
      <c r="Q284" s="1" t="s">
        <v>66</v>
      </c>
      <c r="R284" s="1" t="s">
        <v>66</v>
      </c>
      <c r="S284" s="16">
        <v>112740</v>
      </c>
      <c r="T284" s="25">
        <v>238</v>
      </c>
      <c r="U284" s="25">
        <v>0</v>
      </c>
      <c r="V284" s="25">
        <v>0</v>
      </c>
      <c r="W284" s="25">
        <v>4.6399999999999997</v>
      </c>
      <c r="X284" s="25">
        <v>175.87</v>
      </c>
      <c r="Y284" s="25">
        <v>28.88</v>
      </c>
      <c r="Z284" s="17">
        <f t="shared" si="116"/>
        <v>1.5599609721483059E-3</v>
      </c>
      <c r="AA284" s="18">
        <v>0.15</v>
      </c>
      <c r="AB284" s="16">
        <f t="shared" si="110"/>
        <v>26.380500000000001</v>
      </c>
      <c r="AC284" s="16">
        <v>0</v>
      </c>
      <c r="AD284" s="16">
        <v>0</v>
      </c>
      <c r="AE284" s="16">
        <v>0</v>
      </c>
      <c r="AF284" s="16">
        <f t="shared" si="117"/>
        <v>26.380500000000001</v>
      </c>
      <c r="AG284" s="16">
        <f t="shared" si="126"/>
        <v>4.2208800000000002</v>
      </c>
      <c r="AH284" s="16">
        <f t="shared" si="118"/>
        <v>30.601380000000002</v>
      </c>
      <c r="AI284" s="16">
        <f t="shared" si="127"/>
        <v>0.52761000000000002</v>
      </c>
      <c r="AJ284" s="16">
        <v>0</v>
      </c>
      <c r="AK284" s="16">
        <f t="shared" si="119"/>
        <v>0.52761000000000002</v>
      </c>
      <c r="AL284" s="19"/>
      <c r="AM284" s="16">
        <f t="shared" si="120"/>
        <v>25.852890000000002</v>
      </c>
      <c r="AN284" s="16" t="s">
        <v>147</v>
      </c>
      <c r="AO284" s="20">
        <v>0.4</v>
      </c>
      <c r="AP284" s="16">
        <f t="shared" si="121"/>
        <v>10.341156000000002</v>
      </c>
      <c r="AQ284" s="16">
        <v>10.341156000000002</v>
      </c>
      <c r="AR284" s="15">
        <v>45229</v>
      </c>
      <c r="AS284" s="16">
        <f t="shared" si="122"/>
        <v>0</v>
      </c>
      <c r="AT284" s="16"/>
      <c r="AU284" s="16">
        <v>30.601380000000002</v>
      </c>
      <c r="AV284" s="16">
        <f t="shared" si="114"/>
        <v>30.601380000000002</v>
      </c>
      <c r="AW284" s="16">
        <f t="shared" si="123"/>
        <v>0</v>
      </c>
      <c r="AX284" s="16" t="str">
        <f t="shared" si="124"/>
        <v>SFA</v>
      </c>
      <c r="AY284" s="22">
        <v>45076</v>
      </c>
      <c r="AZ284" s="22"/>
      <c r="BA284" s="1" t="s">
        <v>148</v>
      </c>
      <c r="BB284" s="22" t="str">
        <f t="shared" si="125"/>
        <v>MARINE CARGO / GIT</v>
      </c>
      <c r="BC284" s="1"/>
      <c r="BD284" s="1"/>
      <c r="BE284" s="1"/>
    </row>
    <row r="285" spans="1:57" ht="14.25" hidden="1" customHeight="1">
      <c r="A285" s="2" t="s">
        <v>406</v>
      </c>
      <c r="B285" s="1" t="s">
        <v>58</v>
      </c>
      <c r="C285" s="27">
        <v>45071</v>
      </c>
      <c r="D285" s="27">
        <v>45056</v>
      </c>
      <c r="E285" s="27">
        <v>45023</v>
      </c>
      <c r="F285" s="27">
        <v>45387</v>
      </c>
      <c r="G285" s="13" t="str">
        <f t="shared" si="115"/>
        <v>000-284/AIB RDC/2023</v>
      </c>
      <c r="H285" s="1">
        <v>0</v>
      </c>
      <c r="I285" s="1" t="s">
        <v>83</v>
      </c>
      <c r="J285" s="2" t="s">
        <v>536</v>
      </c>
      <c r="K285" s="2" t="s">
        <v>163</v>
      </c>
      <c r="L285" s="1"/>
      <c r="M285" s="1" t="s">
        <v>95</v>
      </c>
      <c r="N285" s="1" t="s">
        <v>146</v>
      </c>
      <c r="O285" s="1" t="s">
        <v>104</v>
      </c>
      <c r="P285" s="1" t="s">
        <v>105</v>
      </c>
      <c r="Q285" s="1" t="s">
        <v>66</v>
      </c>
      <c r="R285" s="1" t="s">
        <v>66</v>
      </c>
      <c r="S285" s="16">
        <v>184013.47</v>
      </c>
      <c r="T285" s="25">
        <v>371.18</v>
      </c>
      <c r="U285" s="25">
        <v>0</v>
      </c>
      <c r="V285" s="25">
        <v>0</v>
      </c>
      <c r="W285" s="25">
        <v>11.37</v>
      </c>
      <c r="X285" s="25">
        <v>287.06</v>
      </c>
      <c r="Y285" s="25">
        <v>47.75</v>
      </c>
      <c r="Z285" s="17">
        <f t="shared" si="116"/>
        <v>1.5599944938813448E-3</v>
      </c>
      <c r="AA285" s="18">
        <v>0.15</v>
      </c>
      <c r="AB285" s="16">
        <f t="shared" si="110"/>
        <v>43.058999999999997</v>
      </c>
      <c r="AC285" s="16">
        <v>0</v>
      </c>
      <c r="AD285" s="16">
        <v>0</v>
      </c>
      <c r="AE285" s="16">
        <v>0</v>
      </c>
      <c r="AF285" s="16">
        <f t="shared" si="117"/>
        <v>43.058999999999997</v>
      </c>
      <c r="AG285" s="16">
        <f t="shared" si="126"/>
        <v>6.8894399999999996</v>
      </c>
      <c r="AH285" s="16">
        <f t="shared" si="118"/>
        <v>49.948439999999998</v>
      </c>
      <c r="AI285" s="16">
        <f t="shared" si="127"/>
        <v>0.86117999999999995</v>
      </c>
      <c r="AJ285" s="16">
        <v>0</v>
      </c>
      <c r="AK285" s="16">
        <f t="shared" si="119"/>
        <v>0.86117999999999995</v>
      </c>
      <c r="AL285" s="19"/>
      <c r="AM285" s="16">
        <f t="shared" si="120"/>
        <v>42.19782</v>
      </c>
      <c r="AN285" s="16" t="s">
        <v>147</v>
      </c>
      <c r="AO285" s="20">
        <v>0.4</v>
      </c>
      <c r="AP285" s="16">
        <f t="shared" si="121"/>
        <v>16.879128000000001</v>
      </c>
      <c r="AQ285" s="16">
        <v>16.879128000000001</v>
      </c>
      <c r="AR285" s="15">
        <v>45229</v>
      </c>
      <c r="AS285" s="16">
        <f t="shared" si="122"/>
        <v>0</v>
      </c>
      <c r="AT285" s="16"/>
      <c r="AU285" s="16">
        <v>49.948439999999998</v>
      </c>
      <c r="AV285" s="16">
        <f t="shared" si="114"/>
        <v>49.948439999999998</v>
      </c>
      <c r="AW285" s="16">
        <f t="shared" si="123"/>
        <v>0</v>
      </c>
      <c r="AX285" s="16" t="str">
        <f t="shared" si="124"/>
        <v>SFA</v>
      </c>
      <c r="AY285" s="22">
        <v>45100</v>
      </c>
      <c r="AZ285" s="22"/>
      <c r="BA285" s="1" t="s">
        <v>148</v>
      </c>
      <c r="BB285" s="22" t="str">
        <f t="shared" si="125"/>
        <v>MARINE CARGO / GIT</v>
      </c>
      <c r="BC285" s="1"/>
      <c r="BD285" s="1"/>
      <c r="BE285" s="1"/>
    </row>
    <row r="286" spans="1:57" ht="14.25" hidden="1" customHeight="1">
      <c r="A286" s="2" t="s">
        <v>165</v>
      </c>
      <c r="B286" s="1" t="s">
        <v>58</v>
      </c>
      <c r="C286" s="27">
        <v>45071</v>
      </c>
      <c r="D286" s="27">
        <v>45023</v>
      </c>
      <c r="E286" s="27">
        <v>44992</v>
      </c>
      <c r="F286" s="27">
        <v>45356</v>
      </c>
      <c r="G286" s="13" t="str">
        <f t="shared" si="115"/>
        <v>000-285/AIB RDC/2023</v>
      </c>
      <c r="H286" s="1">
        <v>0</v>
      </c>
      <c r="I286" s="1" t="s">
        <v>83</v>
      </c>
      <c r="J286" s="29" t="s">
        <v>537</v>
      </c>
      <c r="K286" s="2" t="s">
        <v>163</v>
      </c>
      <c r="L286" s="1"/>
      <c r="M286" s="1" t="s">
        <v>95</v>
      </c>
      <c r="N286" s="1" t="s">
        <v>146</v>
      </c>
      <c r="O286" s="1" t="s">
        <v>104</v>
      </c>
      <c r="P286" s="1" t="s">
        <v>105</v>
      </c>
      <c r="Q286" s="1" t="s">
        <v>66</v>
      </c>
      <c r="R286" s="1" t="s">
        <v>66</v>
      </c>
      <c r="S286" s="16">
        <v>307455.15999999997</v>
      </c>
      <c r="T286" s="25">
        <v>380.87</v>
      </c>
      <c r="U286" s="25">
        <v>0</v>
      </c>
      <c r="V286" s="25">
        <v>0</v>
      </c>
      <c r="W286" s="25">
        <v>6.43</v>
      </c>
      <c r="X286" s="25">
        <v>295.16000000000003</v>
      </c>
      <c r="Y286" s="25">
        <v>48.25</v>
      </c>
      <c r="Z286" s="17">
        <f t="shared" si="116"/>
        <v>9.6000990843672965E-4</v>
      </c>
      <c r="AA286" s="18">
        <v>0.15</v>
      </c>
      <c r="AB286" s="16">
        <f t="shared" si="110"/>
        <v>44.274000000000001</v>
      </c>
      <c r="AC286" s="16">
        <v>0</v>
      </c>
      <c r="AD286" s="16">
        <v>0</v>
      </c>
      <c r="AE286" s="16">
        <v>0</v>
      </c>
      <c r="AF286" s="16">
        <f t="shared" si="117"/>
        <v>44.274000000000001</v>
      </c>
      <c r="AG286" s="16">
        <f t="shared" si="126"/>
        <v>7.0838400000000004</v>
      </c>
      <c r="AH286" s="16">
        <f t="shared" si="118"/>
        <v>51.357840000000003</v>
      </c>
      <c r="AI286" s="16">
        <f t="shared" si="127"/>
        <v>0.88548000000000004</v>
      </c>
      <c r="AJ286" s="16">
        <v>0</v>
      </c>
      <c r="AK286" s="16">
        <f t="shared" si="119"/>
        <v>0.88548000000000004</v>
      </c>
      <c r="AL286" s="19"/>
      <c r="AM286" s="16">
        <f t="shared" si="120"/>
        <v>43.38852</v>
      </c>
      <c r="AN286" s="16" t="s">
        <v>147</v>
      </c>
      <c r="AO286" s="20">
        <v>0.4</v>
      </c>
      <c r="AP286" s="16">
        <f t="shared" si="121"/>
        <v>17.355408000000001</v>
      </c>
      <c r="AQ286" s="16">
        <v>17.355408000000001</v>
      </c>
      <c r="AR286" s="15">
        <v>45229</v>
      </c>
      <c r="AS286" s="16">
        <f t="shared" si="122"/>
        <v>0</v>
      </c>
      <c r="AT286" s="16"/>
      <c r="AU286" s="16">
        <v>51.357840000000003</v>
      </c>
      <c r="AV286" s="16">
        <f t="shared" si="114"/>
        <v>51.357840000000003</v>
      </c>
      <c r="AW286" s="16">
        <f t="shared" si="123"/>
        <v>0</v>
      </c>
      <c r="AX286" s="16" t="str">
        <f t="shared" si="124"/>
        <v>SFA</v>
      </c>
      <c r="AY286" s="22">
        <v>45076</v>
      </c>
      <c r="AZ286" s="22"/>
      <c r="BA286" s="1" t="s">
        <v>148</v>
      </c>
      <c r="BB286" s="22" t="str">
        <f t="shared" si="125"/>
        <v>MARINE CARGO / GIT</v>
      </c>
      <c r="BC286" s="1"/>
      <c r="BD286" s="1"/>
      <c r="BE286" s="1"/>
    </row>
    <row r="287" spans="1:57" ht="14.25" hidden="1" customHeight="1">
      <c r="A287" s="2" t="s">
        <v>157</v>
      </c>
      <c r="B287" s="1" t="s">
        <v>58</v>
      </c>
      <c r="C287" s="27">
        <v>45071</v>
      </c>
      <c r="D287" s="27">
        <v>45021</v>
      </c>
      <c r="E287" s="27">
        <v>44973</v>
      </c>
      <c r="F287" s="27">
        <v>45337</v>
      </c>
      <c r="G287" s="13" t="str">
        <f t="shared" si="115"/>
        <v>000-286/AIB RDC/2023</v>
      </c>
      <c r="H287" s="1">
        <v>0</v>
      </c>
      <c r="I287" s="1" t="s">
        <v>83</v>
      </c>
      <c r="J287" s="29" t="s">
        <v>538</v>
      </c>
      <c r="K287" s="2" t="s">
        <v>163</v>
      </c>
      <c r="L287" s="1"/>
      <c r="M287" s="1" t="s">
        <v>95</v>
      </c>
      <c r="N287" s="1" t="s">
        <v>146</v>
      </c>
      <c r="O287" s="1" t="s">
        <v>104</v>
      </c>
      <c r="P287" s="1" t="s">
        <v>105</v>
      </c>
      <c r="Q287" s="1" t="s">
        <v>66</v>
      </c>
      <c r="R287" s="1" t="s">
        <v>66</v>
      </c>
      <c r="S287" s="16">
        <v>53387.62</v>
      </c>
      <c r="T287" s="25">
        <v>65</v>
      </c>
      <c r="U287" s="25">
        <v>0</v>
      </c>
      <c r="V287" s="25">
        <v>0</v>
      </c>
      <c r="W287" s="25">
        <v>0.81</v>
      </c>
      <c r="X287" s="25">
        <v>54.28</v>
      </c>
      <c r="Y287" s="25">
        <v>8.81</v>
      </c>
      <c r="Z287" s="17">
        <f t="shared" si="116"/>
        <v>1.0167151111062827E-3</v>
      </c>
      <c r="AA287" s="18">
        <v>0.15</v>
      </c>
      <c r="AB287" s="16">
        <f t="shared" si="110"/>
        <v>8.1419999999999995</v>
      </c>
      <c r="AC287" s="16">
        <v>0</v>
      </c>
      <c r="AD287" s="16">
        <v>0</v>
      </c>
      <c r="AE287" s="16">
        <v>0</v>
      </c>
      <c r="AF287" s="16">
        <f t="shared" si="117"/>
        <v>8.1419999999999995</v>
      </c>
      <c r="AG287" s="16">
        <f t="shared" si="126"/>
        <v>1.3027199999999999</v>
      </c>
      <c r="AH287" s="16">
        <f t="shared" si="118"/>
        <v>9.4447200000000002</v>
      </c>
      <c r="AI287" s="16">
        <f t="shared" si="127"/>
        <v>0.16283999999999998</v>
      </c>
      <c r="AJ287" s="16">
        <v>0</v>
      </c>
      <c r="AK287" s="16">
        <f t="shared" si="119"/>
        <v>0.16283999999999998</v>
      </c>
      <c r="AL287" s="19"/>
      <c r="AM287" s="16">
        <f t="shared" si="120"/>
        <v>7.9791599999999994</v>
      </c>
      <c r="AN287" s="16" t="s">
        <v>147</v>
      </c>
      <c r="AO287" s="20">
        <v>0.4</v>
      </c>
      <c r="AP287" s="16">
        <f t="shared" si="121"/>
        <v>3.1916639999999998</v>
      </c>
      <c r="AQ287" s="16">
        <v>3.1916639999999998</v>
      </c>
      <c r="AR287" s="15">
        <v>45229</v>
      </c>
      <c r="AS287" s="16">
        <f t="shared" si="122"/>
        <v>0</v>
      </c>
      <c r="AT287" s="16"/>
      <c r="AU287" s="16">
        <v>9.4447200000000002</v>
      </c>
      <c r="AV287" s="16">
        <f t="shared" si="114"/>
        <v>9.4447200000000002</v>
      </c>
      <c r="AW287" s="16">
        <f t="shared" si="123"/>
        <v>0</v>
      </c>
      <c r="AX287" s="16" t="str">
        <f t="shared" si="124"/>
        <v>SFA</v>
      </c>
      <c r="AY287" s="22">
        <v>45076</v>
      </c>
      <c r="AZ287" s="22"/>
      <c r="BA287" s="1" t="s">
        <v>148</v>
      </c>
      <c r="BB287" s="22" t="str">
        <f t="shared" si="125"/>
        <v>MARINE CARGO / GIT</v>
      </c>
      <c r="BC287" s="1"/>
      <c r="BD287" s="1"/>
      <c r="BE287" s="1"/>
    </row>
    <row r="288" spans="1:57" ht="14.25" hidden="1" customHeight="1">
      <c r="A288" s="2" t="s">
        <v>165</v>
      </c>
      <c r="B288" s="1" t="s">
        <v>58</v>
      </c>
      <c r="C288" s="27">
        <v>45071</v>
      </c>
      <c r="D288" s="27">
        <v>45042</v>
      </c>
      <c r="E288" s="27">
        <v>45015</v>
      </c>
      <c r="F288" s="27">
        <v>45379</v>
      </c>
      <c r="G288" s="13" t="str">
        <f t="shared" si="115"/>
        <v>000-287/AIB RDC/2023</v>
      </c>
      <c r="H288" s="1">
        <v>0</v>
      </c>
      <c r="I288" s="1" t="s">
        <v>83</v>
      </c>
      <c r="J288" s="29" t="s">
        <v>539</v>
      </c>
      <c r="K288" s="2" t="s">
        <v>540</v>
      </c>
      <c r="L288" s="1"/>
      <c r="M288" s="1" t="s">
        <v>95</v>
      </c>
      <c r="N288" s="1" t="s">
        <v>146</v>
      </c>
      <c r="O288" s="1" t="s">
        <v>104</v>
      </c>
      <c r="P288" s="1" t="s">
        <v>105</v>
      </c>
      <c r="Q288" s="1" t="s">
        <v>66</v>
      </c>
      <c r="R288" s="1" t="s">
        <v>66</v>
      </c>
      <c r="S288" s="16">
        <v>44830.11</v>
      </c>
      <c r="T288" s="25">
        <v>106.56</v>
      </c>
      <c r="U288" s="16">
        <v>0</v>
      </c>
      <c r="V288" s="16">
        <v>0</v>
      </c>
      <c r="W288" s="25">
        <v>2.99</v>
      </c>
      <c r="X288" s="25">
        <v>66.13</v>
      </c>
      <c r="Y288" s="25">
        <v>11.06</v>
      </c>
      <c r="Z288" s="17">
        <f t="shared" si="116"/>
        <v>1.4751246427903032E-3</v>
      </c>
      <c r="AA288" s="18">
        <v>0.15</v>
      </c>
      <c r="AB288" s="16">
        <f t="shared" si="110"/>
        <v>9.9194999999999993</v>
      </c>
      <c r="AC288" s="16">
        <v>0</v>
      </c>
      <c r="AD288" s="16">
        <v>0</v>
      </c>
      <c r="AE288" s="16">
        <v>0</v>
      </c>
      <c r="AF288" s="16">
        <f t="shared" si="117"/>
        <v>9.9194999999999993</v>
      </c>
      <c r="AG288" s="16">
        <f t="shared" si="126"/>
        <v>1.5871199999999999</v>
      </c>
      <c r="AH288" s="16">
        <f t="shared" si="118"/>
        <v>11.50662</v>
      </c>
      <c r="AI288" s="16">
        <f t="shared" si="127"/>
        <v>0.19838999999999998</v>
      </c>
      <c r="AJ288" s="16">
        <v>0</v>
      </c>
      <c r="AK288" s="16">
        <f t="shared" si="119"/>
        <v>0.19838999999999998</v>
      </c>
      <c r="AL288" s="19"/>
      <c r="AM288" s="16">
        <f t="shared" si="120"/>
        <v>9.7211099999999995</v>
      </c>
      <c r="AN288" s="16" t="s">
        <v>147</v>
      </c>
      <c r="AO288" s="20">
        <v>0.4</v>
      </c>
      <c r="AP288" s="16">
        <f t="shared" si="121"/>
        <v>3.8884439999999998</v>
      </c>
      <c r="AQ288" s="16">
        <v>3.8884439999999998</v>
      </c>
      <c r="AR288" s="15">
        <v>45229</v>
      </c>
      <c r="AS288" s="16">
        <f t="shared" si="122"/>
        <v>0</v>
      </c>
      <c r="AT288" s="16"/>
      <c r="AU288" s="16">
        <v>11.50662</v>
      </c>
      <c r="AV288" s="16">
        <f t="shared" si="114"/>
        <v>11.50662</v>
      </c>
      <c r="AW288" s="16">
        <f t="shared" si="123"/>
        <v>0</v>
      </c>
      <c r="AX288" s="16" t="str">
        <f t="shared" si="124"/>
        <v>SFA</v>
      </c>
      <c r="AY288" s="22">
        <v>45076</v>
      </c>
      <c r="AZ288" s="22"/>
      <c r="BA288" s="1" t="s">
        <v>148</v>
      </c>
      <c r="BB288" s="22" t="str">
        <f t="shared" si="125"/>
        <v>MARINE CARGO / GIT</v>
      </c>
      <c r="BC288" s="1"/>
      <c r="BD288" s="1"/>
      <c r="BE288" s="1"/>
    </row>
    <row r="289" spans="1:57" ht="14.25" hidden="1" customHeight="1">
      <c r="A289" s="2" t="s">
        <v>406</v>
      </c>
      <c r="B289" s="1" t="s">
        <v>58</v>
      </c>
      <c r="C289" s="27">
        <v>45071</v>
      </c>
      <c r="D289" s="27">
        <v>45042</v>
      </c>
      <c r="E289" s="27">
        <v>45020</v>
      </c>
      <c r="F289" s="27">
        <v>45384</v>
      </c>
      <c r="G289" s="13" t="str">
        <f t="shared" si="115"/>
        <v>000-288/AIB RDC/2023</v>
      </c>
      <c r="H289" s="1">
        <v>0</v>
      </c>
      <c r="I289" s="1" t="s">
        <v>83</v>
      </c>
      <c r="J289" s="29" t="s">
        <v>541</v>
      </c>
      <c r="K289" s="2" t="s">
        <v>209</v>
      </c>
      <c r="L289" s="1"/>
      <c r="M289" s="2" t="s">
        <v>95</v>
      </c>
      <c r="N289" s="2" t="s">
        <v>146</v>
      </c>
      <c r="O289" s="2" t="s">
        <v>104</v>
      </c>
      <c r="P289" s="2" t="s">
        <v>105</v>
      </c>
      <c r="Q289" s="2" t="s">
        <v>66</v>
      </c>
      <c r="R289" s="2" t="s">
        <v>66</v>
      </c>
      <c r="S289" s="16">
        <v>1082783.56</v>
      </c>
      <c r="T289" s="25">
        <v>2315.36</v>
      </c>
      <c r="U289" s="25">
        <v>0</v>
      </c>
      <c r="V289" s="25">
        <v>0</v>
      </c>
      <c r="W289" s="25">
        <v>30.65</v>
      </c>
      <c r="X289" s="25">
        <v>1910.33</v>
      </c>
      <c r="Y289" s="25">
        <v>310.56</v>
      </c>
      <c r="Z289" s="17">
        <f t="shared" si="116"/>
        <v>1.7642768791206987E-3</v>
      </c>
      <c r="AA289" s="18">
        <v>0.15</v>
      </c>
      <c r="AB289" s="16">
        <f t="shared" si="110"/>
        <v>286.54949999999997</v>
      </c>
      <c r="AC289" s="16">
        <v>0</v>
      </c>
      <c r="AD289" s="16">
        <v>0</v>
      </c>
      <c r="AE289" s="16">
        <v>0</v>
      </c>
      <c r="AF289" s="16">
        <f t="shared" si="117"/>
        <v>286.54949999999997</v>
      </c>
      <c r="AG289" s="16">
        <f t="shared" si="126"/>
        <v>45.847919999999995</v>
      </c>
      <c r="AH289" s="16">
        <f t="shared" si="118"/>
        <v>332.39741999999995</v>
      </c>
      <c r="AI289" s="16">
        <f t="shared" si="127"/>
        <v>5.7309899999999994</v>
      </c>
      <c r="AJ289" s="16">
        <v>0</v>
      </c>
      <c r="AK289" s="16">
        <f t="shared" si="119"/>
        <v>5.7309899999999994</v>
      </c>
      <c r="AL289" s="19"/>
      <c r="AM289" s="16">
        <f t="shared" si="120"/>
        <v>280.81850999999995</v>
      </c>
      <c r="AN289" s="16" t="s">
        <v>147</v>
      </c>
      <c r="AO289" s="20">
        <v>0.4</v>
      </c>
      <c r="AP289" s="16">
        <f t="shared" si="121"/>
        <v>112.32740399999999</v>
      </c>
      <c r="AQ289" s="16">
        <v>112.32740399999999</v>
      </c>
      <c r="AR289" s="15">
        <v>45229</v>
      </c>
      <c r="AS289" s="16">
        <f t="shared" si="122"/>
        <v>0</v>
      </c>
      <c r="AT289" s="16"/>
      <c r="AU289" s="16">
        <v>332.39741999999995</v>
      </c>
      <c r="AV289" s="16">
        <f t="shared" si="114"/>
        <v>332.39741999999995</v>
      </c>
      <c r="AW289" s="16">
        <f t="shared" si="123"/>
        <v>0</v>
      </c>
      <c r="AX289" s="16" t="str">
        <f t="shared" si="124"/>
        <v>SFA</v>
      </c>
      <c r="AY289" s="22">
        <v>45076</v>
      </c>
      <c r="AZ289" s="22"/>
      <c r="BA289" s="1" t="s">
        <v>148</v>
      </c>
      <c r="BB289" s="22" t="str">
        <f t="shared" si="125"/>
        <v>MARINE CARGO / GIT</v>
      </c>
      <c r="BC289" s="1"/>
      <c r="BD289" s="1"/>
      <c r="BE289" s="1"/>
    </row>
    <row r="290" spans="1:57" ht="14.25" hidden="1" customHeight="1">
      <c r="A290" s="2" t="s">
        <v>165</v>
      </c>
      <c r="B290" s="1" t="s">
        <v>58</v>
      </c>
      <c r="C290" s="27">
        <v>45071</v>
      </c>
      <c r="D290" s="27">
        <v>45042</v>
      </c>
      <c r="E290" s="27">
        <v>45014</v>
      </c>
      <c r="F290" s="27">
        <v>45378</v>
      </c>
      <c r="G290" s="13" t="str">
        <f t="shared" si="115"/>
        <v>000-289/AIB RDC/2023</v>
      </c>
      <c r="H290" s="1">
        <v>0</v>
      </c>
      <c r="I290" s="1" t="s">
        <v>83</v>
      </c>
      <c r="J290" s="29" t="s">
        <v>542</v>
      </c>
      <c r="K290" s="2" t="s">
        <v>209</v>
      </c>
      <c r="L290" s="1"/>
      <c r="M290" s="2" t="s">
        <v>95</v>
      </c>
      <c r="N290" s="2" t="s">
        <v>146</v>
      </c>
      <c r="O290" s="2" t="s">
        <v>104</v>
      </c>
      <c r="P290" s="2" t="s">
        <v>105</v>
      </c>
      <c r="Q290" s="2" t="s">
        <v>66</v>
      </c>
      <c r="R290" s="2" t="s">
        <v>66</v>
      </c>
      <c r="S290" s="16">
        <v>151623.78</v>
      </c>
      <c r="T290" s="25">
        <v>354.23</v>
      </c>
      <c r="U290" s="25">
        <v>0</v>
      </c>
      <c r="V290" s="25">
        <v>0</v>
      </c>
      <c r="W290" s="25">
        <v>6.09</v>
      </c>
      <c r="X290" s="25">
        <v>272.92</v>
      </c>
      <c r="Y290" s="25">
        <v>44.64</v>
      </c>
      <c r="Z290" s="17">
        <f t="shared" si="116"/>
        <v>1.7999815068586208E-3</v>
      </c>
      <c r="AA290" s="18">
        <v>0.15</v>
      </c>
      <c r="AB290" s="16">
        <f t="shared" si="110"/>
        <v>40.938000000000002</v>
      </c>
      <c r="AC290" s="16">
        <v>0</v>
      </c>
      <c r="AD290" s="16">
        <v>0</v>
      </c>
      <c r="AE290" s="16">
        <v>0</v>
      </c>
      <c r="AF290" s="16">
        <f t="shared" si="117"/>
        <v>40.938000000000002</v>
      </c>
      <c r="AG290" s="16">
        <f t="shared" si="126"/>
        <v>6.5500800000000003</v>
      </c>
      <c r="AH290" s="16">
        <f t="shared" si="118"/>
        <v>47.488080000000004</v>
      </c>
      <c r="AI290" s="16">
        <f t="shared" si="127"/>
        <v>0.81876000000000004</v>
      </c>
      <c r="AJ290" s="16">
        <v>0</v>
      </c>
      <c r="AK290" s="16">
        <f t="shared" si="119"/>
        <v>0.81876000000000004</v>
      </c>
      <c r="AL290" s="19"/>
      <c r="AM290" s="16">
        <f t="shared" si="120"/>
        <v>40.119240000000005</v>
      </c>
      <c r="AN290" s="16" t="s">
        <v>147</v>
      </c>
      <c r="AO290" s="20">
        <v>0.4</v>
      </c>
      <c r="AP290" s="16">
        <f t="shared" si="121"/>
        <v>16.047696000000002</v>
      </c>
      <c r="AQ290" s="16">
        <v>16.047696000000002</v>
      </c>
      <c r="AR290" s="15">
        <v>45229</v>
      </c>
      <c r="AS290" s="16">
        <f t="shared" si="122"/>
        <v>0</v>
      </c>
      <c r="AT290" s="16"/>
      <c r="AU290" s="16">
        <v>47.488080000000004</v>
      </c>
      <c r="AV290" s="16">
        <f t="shared" si="114"/>
        <v>47.488080000000004</v>
      </c>
      <c r="AW290" s="16">
        <f t="shared" si="123"/>
        <v>0</v>
      </c>
      <c r="AX290" s="16" t="str">
        <f t="shared" si="124"/>
        <v>SFA</v>
      </c>
      <c r="AY290" s="22">
        <v>45076</v>
      </c>
      <c r="AZ290" s="22"/>
      <c r="BA290" s="1" t="s">
        <v>148</v>
      </c>
      <c r="BB290" s="22" t="str">
        <f t="shared" si="125"/>
        <v>MARINE CARGO / GIT</v>
      </c>
      <c r="BC290" s="1"/>
      <c r="BD290" s="1"/>
      <c r="BE290" s="1"/>
    </row>
    <row r="291" spans="1:57" ht="14.25" hidden="1" customHeight="1">
      <c r="A291" s="2" t="s">
        <v>406</v>
      </c>
      <c r="B291" s="1" t="s">
        <v>58</v>
      </c>
      <c r="C291" s="27">
        <v>45071</v>
      </c>
      <c r="D291" s="27">
        <v>45035</v>
      </c>
      <c r="E291" s="27">
        <v>45026</v>
      </c>
      <c r="F291" s="27">
        <v>45390</v>
      </c>
      <c r="G291" s="13" t="str">
        <f t="shared" si="115"/>
        <v>000-290/AIB RDC/2023</v>
      </c>
      <c r="H291" s="1">
        <v>0</v>
      </c>
      <c r="I291" s="1" t="s">
        <v>83</v>
      </c>
      <c r="J291" s="29" t="s">
        <v>543</v>
      </c>
      <c r="K291" s="2" t="s">
        <v>209</v>
      </c>
      <c r="L291" s="1"/>
      <c r="M291" s="2" t="s">
        <v>95</v>
      </c>
      <c r="N291" s="2" t="s">
        <v>146</v>
      </c>
      <c r="O291" s="2" t="s">
        <v>104</v>
      </c>
      <c r="P291" s="2" t="s">
        <v>105</v>
      </c>
      <c r="Q291" s="2" t="s">
        <v>66</v>
      </c>
      <c r="R291" s="2" t="s">
        <v>66</v>
      </c>
      <c r="S291" s="16">
        <v>81765.009999999995</v>
      </c>
      <c r="T291" s="25">
        <v>238.9</v>
      </c>
      <c r="U291" s="25">
        <v>0</v>
      </c>
      <c r="V291" s="25">
        <v>0</v>
      </c>
      <c r="W291" s="25">
        <v>4.6500000000000004</v>
      </c>
      <c r="X291" s="25">
        <v>176.62</v>
      </c>
      <c r="Y291" s="25">
        <v>29</v>
      </c>
      <c r="Z291" s="17">
        <f t="shared" si="116"/>
        <v>2.1600926851228909E-3</v>
      </c>
      <c r="AA291" s="18">
        <v>0.15</v>
      </c>
      <c r="AB291" s="16">
        <f t="shared" si="110"/>
        <v>26.492999999999999</v>
      </c>
      <c r="AC291" s="16">
        <v>0</v>
      </c>
      <c r="AD291" s="16">
        <v>0</v>
      </c>
      <c r="AE291" s="16">
        <v>0</v>
      </c>
      <c r="AF291" s="16">
        <f t="shared" si="117"/>
        <v>26.492999999999999</v>
      </c>
      <c r="AG291" s="16">
        <f t="shared" si="126"/>
        <v>4.23888</v>
      </c>
      <c r="AH291" s="16">
        <f t="shared" si="118"/>
        <v>30.731879999999997</v>
      </c>
      <c r="AI291" s="16">
        <f t="shared" si="127"/>
        <v>0.52986</v>
      </c>
      <c r="AJ291" s="16">
        <v>0</v>
      </c>
      <c r="AK291" s="16">
        <f t="shared" si="119"/>
        <v>0.52986</v>
      </c>
      <c r="AL291" s="19"/>
      <c r="AM291" s="16">
        <f t="shared" si="120"/>
        <v>25.963139999999999</v>
      </c>
      <c r="AN291" s="16" t="s">
        <v>147</v>
      </c>
      <c r="AO291" s="20">
        <v>0.4</v>
      </c>
      <c r="AP291" s="16">
        <f t="shared" si="121"/>
        <v>10.385256</v>
      </c>
      <c r="AQ291" s="16">
        <v>10.385256</v>
      </c>
      <c r="AR291" s="15">
        <v>45229</v>
      </c>
      <c r="AS291" s="16">
        <f t="shared" si="122"/>
        <v>0</v>
      </c>
      <c r="AT291" s="16"/>
      <c r="AU291" s="16">
        <v>30.731879999999997</v>
      </c>
      <c r="AV291" s="16">
        <f t="shared" ref="AV291:AV322" si="128">AH291</f>
        <v>30.731879999999997</v>
      </c>
      <c r="AW291" s="16">
        <f t="shared" si="123"/>
        <v>0</v>
      </c>
      <c r="AX291" s="16" t="str">
        <f t="shared" si="124"/>
        <v>SFA</v>
      </c>
      <c r="AY291" s="22">
        <v>45076</v>
      </c>
      <c r="AZ291" s="22"/>
      <c r="BA291" s="1" t="s">
        <v>148</v>
      </c>
      <c r="BB291" s="22" t="str">
        <f t="shared" si="125"/>
        <v>MARINE CARGO / GIT</v>
      </c>
      <c r="BC291" s="1"/>
      <c r="BD291" s="1"/>
      <c r="BE291" s="1"/>
    </row>
    <row r="292" spans="1:57" ht="14.25" hidden="1" customHeight="1">
      <c r="A292" s="2" t="s">
        <v>406</v>
      </c>
      <c r="B292" s="1" t="s">
        <v>58</v>
      </c>
      <c r="C292" s="27">
        <v>45071</v>
      </c>
      <c r="D292" s="27">
        <v>45034</v>
      </c>
      <c r="E292" s="27">
        <v>45034</v>
      </c>
      <c r="F292" s="27">
        <v>45398</v>
      </c>
      <c r="G292" s="13" t="str">
        <f t="shared" si="115"/>
        <v>000-291/AIB RDC/2023</v>
      </c>
      <c r="H292" s="1">
        <v>0</v>
      </c>
      <c r="I292" s="1" t="s">
        <v>83</v>
      </c>
      <c r="J292" s="29" t="s">
        <v>544</v>
      </c>
      <c r="K292" s="2" t="s">
        <v>209</v>
      </c>
      <c r="L292" s="1"/>
      <c r="M292" s="2" t="s">
        <v>95</v>
      </c>
      <c r="N292" s="2" t="s">
        <v>146</v>
      </c>
      <c r="O292" s="2" t="s">
        <v>104</v>
      </c>
      <c r="P292" s="2" t="s">
        <v>105</v>
      </c>
      <c r="Q292" s="2" t="s">
        <v>66</v>
      </c>
      <c r="R292" s="2" t="s">
        <v>66</v>
      </c>
      <c r="S292" s="16">
        <v>62818.75</v>
      </c>
      <c r="T292" s="25">
        <v>189.89</v>
      </c>
      <c r="U292" s="25">
        <v>0</v>
      </c>
      <c r="V292" s="25">
        <v>0</v>
      </c>
      <c r="W292" s="25">
        <v>4.04</v>
      </c>
      <c r="X292" s="25">
        <v>135.69999999999999</v>
      </c>
      <c r="Y292" s="25">
        <v>22.36</v>
      </c>
      <c r="Z292" s="17">
        <f t="shared" si="116"/>
        <v>2.160183066361556E-3</v>
      </c>
      <c r="AA292" s="18">
        <v>0.15</v>
      </c>
      <c r="AB292" s="16">
        <f t="shared" si="110"/>
        <v>20.354999999999997</v>
      </c>
      <c r="AC292" s="16">
        <v>0</v>
      </c>
      <c r="AD292" s="16">
        <v>0</v>
      </c>
      <c r="AE292" s="16">
        <v>0</v>
      </c>
      <c r="AF292" s="16">
        <f t="shared" si="117"/>
        <v>20.354999999999997</v>
      </c>
      <c r="AG292" s="16">
        <f t="shared" si="126"/>
        <v>3.2567999999999997</v>
      </c>
      <c r="AH292" s="16">
        <f t="shared" si="118"/>
        <v>23.611799999999995</v>
      </c>
      <c r="AI292" s="16">
        <f t="shared" si="127"/>
        <v>0.40709999999999996</v>
      </c>
      <c r="AJ292" s="16">
        <v>0</v>
      </c>
      <c r="AK292" s="16">
        <f t="shared" si="119"/>
        <v>0.40709999999999996</v>
      </c>
      <c r="AL292" s="19"/>
      <c r="AM292" s="16">
        <f t="shared" si="120"/>
        <v>19.947899999999997</v>
      </c>
      <c r="AN292" s="16" t="s">
        <v>147</v>
      </c>
      <c r="AO292" s="20">
        <v>0.4</v>
      </c>
      <c r="AP292" s="16">
        <f t="shared" si="121"/>
        <v>7.9791599999999994</v>
      </c>
      <c r="AQ292" s="16">
        <v>7.9791599999999994</v>
      </c>
      <c r="AR292" s="15">
        <v>45229</v>
      </c>
      <c r="AS292" s="16">
        <f t="shared" si="122"/>
        <v>0</v>
      </c>
      <c r="AT292" s="16"/>
      <c r="AU292" s="16">
        <v>23.611799999999995</v>
      </c>
      <c r="AV292" s="16">
        <f t="shared" si="128"/>
        <v>23.611799999999995</v>
      </c>
      <c r="AW292" s="16">
        <f t="shared" si="123"/>
        <v>0</v>
      </c>
      <c r="AX292" s="16" t="str">
        <f t="shared" si="124"/>
        <v>SFA</v>
      </c>
      <c r="AY292" s="22">
        <v>45076</v>
      </c>
      <c r="AZ292" s="22"/>
      <c r="BA292" s="1" t="s">
        <v>148</v>
      </c>
      <c r="BB292" s="22" t="str">
        <f t="shared" si="125"/>
        <v>MARINE CARGO / GIT</v>
      </c>
      <c r="BC292" s="1"/>
      <c r="BD292" s="1"/>
      <c r="BE292" s="1"/>
    </row>
    <row r="293" spans="1:57" ht="14.25" hidden="1" customHeight="1">
      <c r="A293" s="2" t="s">
        <v>165</v>
      </c>
      <c r="B293" s="1" t="s">
        <v>58</v>
      </c>
      <c r="C293" s="27">
        <v>45071</v>
      </c>
      <c r="D293" s="27">
        <v>45022</v>
      </c>
      <c r="E293" s="27">
        <v>45002</v>
      </c>
      <c r="F293" s="27">
        <v>45366</v>
      </c>
      <c r="G293" s="13" t="str">
        <f t="shared" si="115"/>
        <v>000-292/AIB RDC/2023</v>
      </c>
      <c r="H293" s="1">
        <v>0</v>
      </c>
      <c r="I293" s="1" t="s">
        <v>83</v>
      </c>
      <c r="J293" s="29" t="s">
        <v>545</v>
      </c>
      <c r="K293" s="2" t="s">
        <v>209</v>
      </c>
      <c r="L293" s="1"/>
      <c r="M293" s="2" t="s">
        <v>95</v>
      </c>
      <c r="N293" s="2" t="s">
        <v>146</v>
      </c>
      <c r="O293" s="2" t="s">
        <v>104</v>
      </c>
      <c r="P293" s="2" t="s">
        <v>105</v>
      </c>
      <c r="Q293" s="2" t="s">
        <v>66</v>
      </c>
      <c r="R293" s="2" t="s">
        <v>66</v>
      </c>
      <c r="S293" s="16">
        <v>18008.96</v>
      </c>
      <c r="T293" s="25">
        <v>48.07</v>
      </c>
      <c r="U293" s="25">
        <v>0</v>
      </c>
      <c r="V293" s="25">
        <v>0</v>
      </c>
      <c r="W293" s="25">
        <v>2.2599999999999998</v>
      </c>
      <c r="X293" s="25">
        <v>17.29</v>
      </c>
      <c r="Y293" s="25">
        <v>3.13</v>
      </c>
      <c r="Z293" s="17">
        <f t="shared" si="116"/>
        <v>9.6007765023632685E-4</v>
      </c>
      <c r="AA293" s="18">
        <v>0.15</v>
      </c>
      <c r="AB293" s="16">
        <f t="shared" si="110"/>
        <v>2.5934999999999997</v>
      </c>
      <c r="AC293" s="16">
        <v>0</v>
      </c>
      <c r="AD293" s="16">
        <v>0</v>
      </c>
      <c r="AE293" s="16">
        <v>0</v>
      </c>
      <c r="AF293" s="16">
        <f t="shared" si="117"/>
        <v>2.5934999999999997</v>
      </c>
      <c r="AG293" s="16">
        <f t="shared" si="126"/>
        <v>0.41495999999999994</v>
      </c>
      <c r="AH293" s="16">
        <f t="shared" si="118"/>
        <v>3.0084599999999995</v>
      </c>
      <c r="AI293" s="16">
        <f t="shared" si="127"/>
        <v>5.1869999999999993E-2</v>
      </c>
      <c r="AJ293" s="16">
        <v>0</v>
      </c>
      <c r="AK293" s="16">
        <f t="shared" si="119"/>
        <v>5.1869999999999993E-2</v>
      </c>
      <c r="AL293" s="19"/>
      <c r="AM293" s="16">
        <f t="shared" si="120"/>
        <v>2.5416299999999996</v>
      </c>
      <c r="AN293" s="16" t="s">
        <v>147</v>
      </c>
      <c r="AO293" s="20">
        <v>0.4</v>
      </c>
      <c r="AP293" s="16">
        <f t="shared" si="121"/>
        <v>1.0166519999999999</v>
      </c>
      <c r="AQ293" s="16">
        <v>1.0166519999999999</v>
      </c>
      <c r="AR293" s="15">
        <v>45229</v>
      </c>
      <c r="AS293" s="16">
        <f t="shared" si="122"/>
        <v>0</v>
      </c>
      <c r="AT293" s="16"/>
      <c r="AU293" s="16">
        <v>3.0084599999999995</v>
      </c>
      <c r="AV293" s="16">
        <f t="shared" si="128"/>
        <v>3.0084599999999995</v>
      </c>
      <c r="AW293" s="16">
        <f t="shared" si="123"/>
        <v>0</v>
      </c>
      <c r="AX293" s="16" t="str">
        <f t="shared" si="124"/>
        <v>SFA</v>
      </c>
      <c r="AY293" s="22">
        <v>45076</v>
      </c>
      <c r="AZ293" s="22"/>
      <c r="BA293" s="1" t="s">
        <v>148</v>
      </c>
      <c r="BB293" s="22" t="str">
        <f t="shared" si="125"/>
        <v>MARINE CARGO / GIT</v>
      </c>
      <c r="BC293" s="1"/>
      <c r="BD293" s="1"/>
      <c r="BE293" s="1"/>
    </row>
    <row r="294" spans="1:57" ht="14.25" hidden="1" customHeight="1">
      <c r="A294" s="2" t="s">
        <v>165</v>
      </c>
      <c r="B294" s="1" t="s">
        <v>58</v>
      </c>
      <c r="C294" s="27">
        <v>45071</v>
      </c>
      <c r="D294" s="27">
        <v>45022</v>
      </c>
      <c r="E294" s="27">
        <v>45002</v>
      </c>
      <c r="F294" s="27">
        <v>45366</v>
      </c>
      <c r="G294" s="13" t="str">
        <f t="shared" si="115"/>
        <v>000-293/AIB RDC/2023</v>
      </c>
      <c r="H294" s="1">
        <v>0</v>
      </c>
      <c r="I294" s="1" t="s">
        <v>83</v>
      </c>
      <c r="J294" s="29" t="s">
        <v>546</v>
      </c>
      <c r="K294" s="2" t="s">
        <v>209</v>
      </c>
      <c r="L294" s="1"/>
      <c r="M294" s="2" t="s">
        <v>95</v>
      </c>
      <c r="N294" s="2" t="s">
        <v>146</v>
      </c>
      <c r="O294" s="2" t="s">
        <v>104</v>
      </c>
      <c r="P294" s="2" t="s">
        <v>105</v>
      </c>
      <c r="Q294" s="2" t="s">
        <v>66</v>
      </c>
      <c r="R294" s="2" t="s">
        <v>66</v>
      </c>
      <c r="S294" s="16">
        <v>17279.41</v>
      </c>
      <c r="T294" s="25">
        <v>47.23</v>
      </c>
      <c r="U294" s="25">
        <v>0</v>
      </c>
      <c r="V294" s="25">
        <v>0</v>
      </c>
      <c r="W294" s="25">
        <v>2.25</v>
      </c>
      <c r="X294" s="25">
        <v>16.59</v>
      </c>
      <c r="Y294" s="25">
        <v>3.01</v>
      </c>
      <c r="Z294" s="17">
        <f t="shared" si="116"/>
        <v>9.6010222571256778E-4</v>
      </c>
      <c r="AA294" s="18">
        <v>0.15</v>
      </c>
      <c r="AB294" s="16">
        <f t="shared" si="110"/>
        <v>2.4884999999999997</v>
      </c>
      <c r="AC294" s="16">
        <v>0</v>
      </c>
      <c r="AD294" s="16">
        <v>0</v>
      </c>
      <c r="AE294" s="16">
        <v>0</v>
      </c>
      <c r="AF294" s="16">
        <f t="shared" si="117"/>
        <v>2.4884999999999997</v>
      </c>
      <c r="AG294" s="16">
        <f t="shared" si="126"/>
        <v>0.39815999999999996</v>
      </c>
      <c r="AH294" s="16">
        <f t="shared" si="118"/>
        <v>2.8866599999999996</v>
      </c>
      <c r="AI294" s="16">
        <f t="shared" si="127"/>
        <v>4.9769999999999995E-2</v>
      </c>
      <c r="AJ294" s="16">
        <v>0</v>
      </c>
      <c r="AK294" s="16">
        <f t="shared" si="119"/>
        <v>4.9769999999999995E-2</v>
      </c>
      <c r="AL294" s="19"/>
      <c r="AM294" s="16">
        <f t="shared" si="120"/>
        <v>2.4387299999999996</v>
      </c>
      <c r="AN294" s="16" t="s">
        <v>147</v>
      </c>
      <c r="AO294" s="20">
        <v>0.4</v>
      </c>
      <c r="AP294" s="16">
        <f t="shared" si="121"/>
        <v>0.97549199999999991</v>
      </c>
      <c r="AQ294" s="16">
        <v>0.97549199999999991</v>
      </c>
      <c r="AR294" s="15">
        <v>45229</v>
      </c>
      <c r="AS294" s="16">
        <f t="shared" si="122"/>
        <v>0</v>
      </c>
      <c r="AT294" s="16"/>
      <c r="AU294" s="16">
        <v>2.8866599999999996</v>
      </c>
      <c r="AV294" s="16">
        <f t="shared" si="128"/>
        <v>2.8866599999999996</v>
      </c>
      <c r="AW294" s="16">
        <f t="shared" si="123"/>
        <v>0</v>
      </c>
      <c r="AX294" s="16" t="str">
        <f t="shared" si="124"/>
        <v>SFA</v>
      </c>
      <c r="AY294" s="22">
        <v>45076</v>
      </c>
      <c r="AZ294" s="22"/>
      <c r="BA294" s="1" t="s">
        <v>148</v>
      </c>
      <c r="BB294" s="22" t="str">
        <f t="shared" si="125"/>
        <v>MARINE CARGO / GIT</v>
      </c>
      <c r="BC294" s="1"/>
      <c r="BD294" s="1"/>
      <c r="BE294" s="1"/>
    </row>
    <row r="295" spans="1:57" ht="14.25" hidden="1" customHeight="1">
      <c r="A295" s="2" t="s">
        <v>165</v>
      </c>
      <c r="B295" s="1" t="s">
        <v>58</v>
      </c>
      <c r="C295" s="27">
        <v>45071</v>
      </c>
      <c r="D295" s="27">
        <v>45022</v>
      </c>
      <c r="E295" s="27">
        <v>45002</v>
      </c>
      <c r="F295" s="27">
        <v>45366</v>
      </c>
      <c r="G295" s="13" t="str">
        <f t="shared" si="115"/>
        <v>000-294/AIB RDC/2023</v>
      </c>
      <c r="H295" s="1">
        <v>0</v>
      </c>
      <c r="I295" s="1" t="s">
        <v>83</v>
      </c>
      <c r="J295" s="29" t="s">
        <v>547</v>
      </c>
      <c r="K295" s="2" t="s">
        <v>209</v>
      </c>
      <c r="L295" s="1"/>
      <c r="M295" s="2" t="s">
        <v>95</v>
      </c>
      <c r="N295" s="2" t="s">
        <v>146</v>
      </c>
      <c r="O295" s="2" t="s">
        <v>104</v>
      </c>
      <c r="P295" s="2" t="s">
        <v>105</v>
      </c>
      <c r="Q295" s="2" t="s">
        <v>66</v>
      </c>
      <c r="R295" s="2" t="s">
        <v>66</v>
      </c>
      <c r="S295" s="16">
        <v>15332.32</v>
      </c>
      <c r="T295" s="25">
        <v>45.33</v>
      </c>
      <c r="U295" s="25">
        <v>0</v>
      </c>
      <c r="V295" s="25">
        <v>0</v>
      </c>
      <c r="W295" s="25">
        <v>2.23</v>
      </c>
      <c r="X295" s="25">
        <v>15</v>
      </c>
      <c r="Y295" s="25">
        <v>2.76</v>
      </c>
      <c r="Z295" s="17">
        <f t="shared" si="116"/>
        <v>9.7832552412159416E-4</v>
      </c>
      <c r="AA295" s="18">
        <v>0.15</v>
      </c>
      <c r="AB295" s="16">
        <f t="shared" si="110"/>
        <v>2.25</v>
      </c>
      <c r="AC295" s="16">
        <v>0</v>
      </c>
      <c r="AD295" s="16">
        <v>0</v>
      </c>
      <c r="AE295" s="16">
        <v>0</v>
      </c>
      <c r="AF295" s="16">
        <f t="shared" si="117"/>
        <v>2.25</v>
      </c>
      <c r="AG295" s="16">
        <f t="shared" si="126"/>
        <v>0.36</v>
      </c>
      <c r="AH295" s="16">
        <f t="shared" si="118"/>
        <v>2.61</v>
      </c>
      <c r="AI295" s="16">
        <f t="shared" si="127"/>
        <v>4.4999999999999998E-2</v>
      </c>
      <c r="AJ295" s="16">
        <v>0</v>
      </c>
      <c r="AK295" s="16">
        <f t="shared" si="119"/>
        <v>4.4999999999999998E-2</v>
      </c>
      <c r="AL295" s="19"/>
      <c r="AM295" s="16">
        <f t="shared" si="120"/>
        <v>2.2050000000000001</v>
      </c>
      <c r="AN295" s="16" t="s">
        <v>147</v>
      </c>
      <c r="AO295" s="20">
        <v>0.4</v>
      </c>
      <c r="AP295" s="16">
        <f t="shared" si="121"/>
        <v>0.88200000000000012</v>
      </c>
      <c r="AQ295" s="16">
        <v>0.88200000000000012</v>
      </c>
      <c r="AR295" s="15">
        <v>45229</v>
      </c>
      <c r="AS295" s="16">
        <f t="shared" si="122"/>
        <v>0</v>
      </c>
      <c r="AT295" s="16"/>
      <c r="AU295" s="16">
        <v>2.61</v>
      </c>
      <c r="AV295" s="16">
        <f t="shared" si="128"/>
        <v>2.61</v>
      </c>
      <c r="AW295" s="16">
        <f t="shared" si="123"/>
        <v>0</v>
      </c>
      <c r="AX295" s="16" t="str">
        <f t="shared" si="124"/>
        <v>SFA</v>
      </c>
      <c r="AY295" s="22">
        <v>45076</v>
      </c>
      <c r="AZ295" s="22"/>
      <c r="BA295" s="1" t="s">
        <v>148</v>
      </c>
      <c r="BB295" s="22" t="str">
        <f t="shared" si="125"/>
        <v>MARINE CARGO / GIT</v>
      </c>
      <c r="BC295" s="1"/>
      <c r="BD295" s="1"/>
      <c r="BE295" s="1"/>
    </row>
    <row r="296" spans="1:57" ht="14.25" hidden="1" customHeight="1">
      <c r="A296" s="2" t="s">
        <v>406</v>
      </c>
      <c r="B296" s="1" t="s">
        <v>58</v>
      </c>
      <c r="C296" s="27">
        <v>45071</v>
      </c>
      <c r="D296" s="27">
        <v>45033</v>
      </c>
      <c r="E296" s="27">
        <v>45023</v>
      </c>
      <c r="F296" s="27">
        <v>45310</v>
      </c>
      <c r="G296" s="13" t="str">
        <f t="shared" si="115"/>
        <v>000-295/AIB RDC/2023</v>
      </c>
      <c r="H296" s="1">
        <v>22</v>
      </c>
      <c r="I296" s="1" t="s">
        <v>59</v>
      </c>
      <c r="J296" s="14" t="s">
        <v>153</v>
      </c>
      <c r="K296" s="1" t="s">
        <v>154</v>
      </c>
      <c r="L296" s="1"/>
      <c r="M296" s="1" t="s">
        <v>95</v>
      </c>
      <c r="N296" s="2" t="s">
        <v>434</v>
      </c>
      <c r="O296" s="1" t="s">
        <v>65</v>
      </c>
      <c r="P296" s="1" t="s">
        <v>65</v>
      </c>
      <c r="Q296" s="1" t="s">
        <v>66</v>
      </c>
      <c r="R296" s="1" t="s">
        <v>66</v>
      </c>
      <c r="S296" s="16">
        <v>0</v>
      </c>
      <c r="T296" s="25">
        <v>191.98</v>
      </c>
      <c r="U296" s="25">
        <v>0</v>
      </c>
      <c r="V296" s="25">
        <v>0</v>
      </c>
      <c r="W296" s="25">
        <v>6.34</v>
      </c>
      <c r="X296" s="25">
        <v>156.36000000000001</v>
      </c>
      <c r="Y296" s="25">
        <v>26.03</v>
      </c>
      <c r="Z296" s="17" t="e">
        <f t="shared" si="116"/>
        <v>#DIV/0!</v>
      </c>
      <c r="AA296" s="18">
        <v>0.1</v>
      </c>
      <c r="AB296" s="16">
        <f t="shared" si="110"/>
        <v>15.636000000000003</v>
      </c>
      <c r="AC296" s="16">
        <v>0</v>
      </c>
      <c r="AD296" s="16">
        <v>0</v>
      </c>
      <c r="AE296" s="16">
        <v>0</v>
      </c>
      <c r="AF296" s="16">
        <f t="shared" si="117"/>
        <v>15.636000000000003</v>
      </c>
      <c r="AG296" s="16">
        <f t="shared" si="126"/>
        <v>2.5017600000000004</v>
      </c>
      <c r="AH296" s="16">
        <f t="shared" si="118"/>
        <v>18.137760000000004</v>
      </c>
      <c r="AI296" s="16">
        <f t="shared" si="127"/>
        <v>0.31272000000000005</v>
      </c>
      <c r="AJ296" s="16">
        <v>0</v>
      </c>
      <c r="AK296" s="16">
        <f t="shared" si="119"/>
        <v>0.31272000000000005</v>
      </c>
      <c r="AL296" s="19"/>
      <c r="AM296" s="16">
        <f t="shared" si="120"/>
        <v>15.323280000000002</v>
      </c>
      <c r="AN296" s="16"/>
      <c r="AO296" s="20"/>
      <c r="AP296" s="16">
        <f t="shared" si="121"/>
        <v>0</v>
      </c>
      <c r="AQ296" s="16"/>
      <c r="AR296" s="15"/>
      <c r="AS296" s="16">
        <f t="shared" si="122"/>
        <v>0</v>
      </c>
      <c r="AT296" s="16"/>
      <c r="AU296" s="16">
        <v>18.137760000000004</v>
      </c>
      <c r="AV296" s="16">
        <f t="shared" si="128"/>
        <v>18.137760000000004</v>
      </c>
      <c r="AW296" s="16">
        <f t="shared" si="123"/>
        <v>0</v>
      </c>
      <c r="AX296" s="16" t="str">
        <f t="shared" si="124"/>
        <v>SFA</v>
      </c>
      <c r="AY296" s="22">
        <v>45076</v>
      </c>
      <c r="AZ296" s="22"/>
      <c r="BA296" s="1"/>
      <c r="BB296" s="22"/>
      <c r="BC296" s="1"/>
      <c r="BD296" s="1"/>
      <c r="BE296" s="1"/>
    </row>
    <row r="297" spans="1:57" ht="14.25" hidden="1" customHeight="1">
      <c r="A297" s="2" t="s">
        <v>165</v>
      </c>
      <c r="B297" s="1" t="s">
        <v>58</v>
      </c>
      <c r="C297" s="27">
        <v>45071</v>
      </c>
      <c r="D297" s="27">
        <v>45042</v>
      </c>
      <c r="E297" s="27">
        <v>45010</v>
      </c>
      <c r="F297" s="27">
        <v>45374</v>
      </c>
      <c r="G297" s="13" t="str">
        <f t="shared" si="115"/>
        <v>000-296/AIB RDC/2023</v>
      </c>
      <c r="H297" s="1">
        <v>0</v>
      </c>
      <c r="I297" s="1" t="s">
        <v>83</v>
      </c>
      <c r="J297" s="14" t="s">
        <v>548</v>
      </c>
      <c r="K297" s="1" t="s">
        <v>197</v>
      </c>
      <c r="L297" s="1"/>
      <c r="M297" s="1" t="s">
        <v>95</v>
      </c>
      <c r="N297" s="2" t="s">
        <v>146</v>
      </c>
      <c r="O297" s="1" t="s">
        <v>104</v>
      </c>
      <c r="P297" s="1" t="s">
        <v>105</v>
      </c>
      <c r="Q297" s="1" t="s">
        <v>66</v>
      </c>
      <c r="R297" s="1" t="s">
        <v>66</v>
      </c>
      <c r="S297" s="16">
        <v>38380</v>
      </c>
      <c r="T297" s="25">
        <v>77.38</v>
      </c>
      <c r="U297" s="25">
        <v>0</v>
      </c>
      <c r="V297" s="25">
        <v>0</v>
      </c>
      <c r="W297" s="25">
        <v>3.16</v>
      </c>
      <c r="X297" s="25">
        <v>77.38</v>
      </c>
      <c r="Y297" s="25">
        <v>12.89</v>
      </c>
      <c r="Z297" s="17">
        <f t="shared" si="116"/>
        <v>2.0161542470036476E-3</v>
      </c>
      <c r="AA297" s="18">
        <v>0.15</v>
      </c>
      <c r="AB297" s="16">
        <f t="shared" si="110"/>
        <v>11.606999999999999</v>
      </c>
      <c r="AC297" s="16">
        <v>0</v>
      </c>
      <c r="AD297" s="16">
        <v>0</v>
      </c>
      <c r="AE297" s="16">
        <v>0</v>
      </c>
      <c r="AF297" s="16">
        <f t="shared" si="117"/>
        <v>11.606999999999999</v>
      </c>
      <c r="AG297" s="16">
        <f t="shared" si="126"/>
        <v>1.8571199999999999</v>
      </c>
      <c r="AH297" s="16">
        <f t="shared" si="118"/>
        <v>13.464119999999999</v>
      </c>
      <c r="AI297" s="16">
        <f t="shared" si="127"/>
        <v>0.23213999999999999</v>
      </c>
      <c r="AJ297" s="16">
        <v>0</v>
      </c>
      <c r="AK297" s="16">
        <f t="shared" si="119"/>
        <v>0.23213999999999999</v>
      </c>
      <c r="AL297" s="19"/>
      <c r="AM297" s="16">
        <f t="shared" si="120"/>
        <v>11.37486</v>
      </c>
      <c r="AN297" s="16" t="s">
        <v>147</v>
      </c>
      <c r="AO297" s="20">
        <v>0.4</v>
      </c>
      <c r="AP297" s="16">
        <f t="shared" si="121"/>
        <v>4.549944</v>
      </c>
      <c r="AQ297" s="16">
        <v>4.549944</v>
      </c>
      <c r="AR297" s="15">
        <v>45229</v>
      </c>
      <c r="AS297" s="16">
        <f t="shared" si="122"/>
        <v>0</v>
      </c>
      <c r="AT297" s="16"/>
      <c r="AU297" s="16">
        <v>13.464119999999999</v>
      </c>
      <c r="AV297" s="16">
        <f t="shared" si="128"/>
        <v>13.464119999999999</v>
      </c>
      <c r="AW297" s="16">
        <f t="shared" si="123"/>
        <v>0</v>
      </c>
      <c r="AX297" s="16" t="str">
        <f t="shared" si="124"/>
        <v>SFA</v>
      </c>
      <c r="AY297" s="22">
        <v>45076</v>
      </c>
      <c r="AZ297" s="22"/>
      <c r="BA297" s="1" t="s">
        <v>148</v>
      </c>
      <c r="BB297" s="1" t="s">
        <v>104</v>
      </c>
      <c r="BC297" s="1"/>
      <c r="BD297" s="1"/>
      <c r="BE297" s="1"/>
    </row>
    <row r="298" spans="1:57" ht="14.25" hidden="1" customHeight="1">
      <c r="A298" s="2" t="s">
        <v>165</v>
      </c>
      <c r="B298" s="1" t="s">
        <v>58</v>
      </c>
      <c r="C298" s="27">
        <v>45071</v>
      </c>
      <c r="D298" s="27">
        <v>45016</v>
      </c>
      <c r="E298" s="27">
        <v>45007</v>
      </c>
      <c r="F298" s="27">
        <v>45371</v>
      </c>
      <c r="G298" s="13" t="str">
        <f t="shared" si="115"/>
        <v>000-297/AIB RDC/2023</v>
      </c>
      <c r="H298" s="1">
        <v>0</v>
      </c>
      <c r="I298" s="1" t="s">
        <v>83</v>
      </c>
      <c r="J298" s="14" t="s">
        <v>549</v>
      </c>
      <c r="K298" s="1" t="s">
        <v>197</v>
      </c>
      <c r="L298" s="1"/>
      <c r="M298" s="1" t="s">
        <v>95</v>
      </c>
      <c r="N298" s="2" t="s">
        <v>146</v>
      </c>
      <c r="O298" s="1" t="s">
        <v>104</v>
      </c>
      <c r="P298" s="1" t="s">
        <v>105</v>
      </c>
      <c r="Q298" s="1" t="s">
        <v>66</v>
      </c>
      <c r="R298" s="1" t="s">
        <v>66</v>
      </c>
      <c r="S298" s="16">
        <v>20189.400000000001</v>
      </c>
      <c r="T298" s="25">
        <v>81.040000000000006</v>
      </c>
      <c r="U298" s="25">
        <v>0</v>
      </c>
      <c r="V298" s="25">
        <v>0</v>
      </c>
      <c r="W298" s="25">
        <v>2.67</v>
      </c>
      <c r="X298" s="25">
        <v>44.82</v>
      </c>
      <c r="Y298" s="25">
        <v>7.6</v>
      </c>
      <c r="Z298" s="17">
        <f t="shared" si="116"/>
        <v>2.2199768195191533E-3</v>
      </c>
      <c r="AA298" s="18">
        <v>0.15</v>
      </c>
      <c r="AB298" s="16">
        <f t="shared" si="110"/>
        <v>6.7229999999999999</v>
      </c>
      <c r="AC298" s="16">
        <v>0</v>
      </c>
      <c r="AD298" s="16">
        <v>0</v>
      </c>
      <c r="AE298" s="16">
        <v>0</v>
      </c>
      <c r="AF298" s="16">
        <f t="shared" si="117"/>
        <v>6.7229999999999999</v>
      </c>
      <c r="AG298" s="16">
        <f t="shared" si="126"/>
        <v>1.07568</v>
      </c>
      <c r="AH298" s="16">
        <f t="shared" si="118"/>
        <v>7.7986800000000001</v>
      </c>
      <c r="AI298" s="16">
        <f t="shared" si="127"/>
        <v>0.13446</v>
      </c>
      <c r="AJ298" s="16">
        <v>0</v>
      </c>
      <c r="AK298" s="16">
        <f t="shared" si="119"/>
        <v>0.13446</v>
      </c>
      <c r="AL298" s="19"/>
      <c r="AM298" s="16">
        <f t="shared" si="120"/>
        <v>6.5885400000000001</v>
      </c>
      <c r="AN298" s="16" t="s">
        <v>147</v>
      </c>
      <c r="AO298" s="20">
        <v>0.4</v>
      </c>
      <c r="AP298" s="16">
        <f t="shared" si="121"/>
        <v>2.6354160000000002</v>
      </c>
      <c r="AQ298" s="16">
        <v>2.6354160000000002</v>
      </c>
      <c r="AR298" s="15">
        <v>45229</v>
      </c>
      <c r="AS298" s="16">
        <f t="shared" si="122"/>
        <v>0</v>
      </c>
      <c r="AT298" s="16"/>
      <c r="AU298" s="16">
        <v>7.7986800000000001</v>
      </c>
      <c r="AV298" s="16">
        <f t="shared" si="128"/>
        <v>7.7986800000000001</v>
      </c>
      <c r="AW298" s="16">
        <f t="shared" si="123"/>
        <v>0</v>
      </c>
      <c r="AX298" s="16" t="str">
        <f t="shared" si="124"/>
        <v>SFA</v>
      </c>
      <c r="AY298" s="22">
        <v>45070</v>
      </c>
      <c r="AZ298" s="22"/>
      <c r="BA298" s="1" t="s">
        <v>148</v>
      </c>
      <c r="BB298" s="1" t="s">
        <v>104</v>
      </c>
      <c r="BC298" s="1"/>
      <c r="BD298" s="1"/>
      <c r="BE298" s="1"/>
    </row>
    <row r="299" spans="1:57" ht="14.25" hidden="1" customHeight="1">
      <c r="A299" s="2" t="s">
        <v>165</v>
      </c>
      <c r="B299" s="1" t="s">
        <v>58</v>
      </c>
      <c r="C299" s="27">
        <v>45071</v>
      </c>
      <c r="D299" s="27">
        <v>45016</v>
      </c>
      <c r="E299" s="27">
        <v>45007</v>
      </c>
      <c r="F299" s="27">
        <v>45371</v>
      </c>
      <c r="G299" s="13" t="str">
        <f t="shared" si="115"/>
        <v>000-298/AIB RDC/2023</v>
      </c>
      <c r="H299" s="1">
        <v>0</v>
      </c>
      <c r="I299" s="1" t="s">
        <v>83</v>
      </c>
      <c r="J299" s="14" t="s">
        <v>550</v>
      </c>
      <c r="K299" s="1" t="s">
        <v>197</v>
      </c>
      <c r="L299" s="1"/>
      <c r="M299" s="1" t="s">
        <v>95</v>
      </c>
      <c r="N299" s="2" t="s">
        <v>146</v>
      </c>
      <c r="O299" s="1" t="s">
        <v>104</v>
      </c>
      <c r="P299" s="1" t="s">
        <v>105</v>
      </c>
      <c r="Q299" s="1" t="s">
        <v>66</v>
      </c>
      <c r="R299" s="1" t="s">
        <v>66</v>
      </c>
      <c r="S299" s="16">
        <v>30800</v>
      </c>
      <c r="T299" s="25">
        <v>109.27</v>
      </c>
      <c r="U299" s="25">
        <v>0</v>
      </c>
      <c r="V299" s="25">
        <v>0</v>
      </c>
      <c r="W299" s="25">
        <v>3.03</v>
      </c>
      <c r="X299" s="25">
        <v>68.38</v>
      </c>
      <c r="Y299" s="25">
        <v>11.43</v>
      </c>
      <c r="Z299" s="17">
        <f t="shared" si="116"/>
        <v>2.22012987012987E-3</v>
      </c>
      <c r="AA299" s="18">
        <v>0.15</v>
      </c>
      <c r="AB299" s="16">
        <f t="shared" si="110"/>
        <v>10.257</v>
      </c>
      <c r="AC299" s="16">
        <v>0</v>
      </c>
      <c r="AD299" s="16">
        <v>0</v>
      </c>
      <c r="AE299" s="16">
        <v>0</v>
      </c>
      <c r="AF299" s="16">
        <f t="shared" si="117"/>
        <v>10.257</v>
      </c>
      <c r="AG299" s="16">
        <f t="shared" si="126"/>
        <v>1.6411199999999999</v>
      </c>
      <c r="AH299" s="16">
        <f t="shared" si="118"/>
        <v>11.898119999999999</v>
      </c>
      <c r="AI299" s="16">
        <f t="shared" si="127"/>
        <v>0.20513999999999999</v>
      </c>
      <c r="AJ299" s="16">
        <v>0</v>
      </c>
      <c r="AK299" s="16">
        <f t="shared" si="119"/>
        <v>0.20513999999999999</v>
      </c>
      <c r="AL299" s="19"/>
      <c r="AM299" s="16">
        <f t="shared" si="120"/>
        <v>10.05186</v>
      </c>
      <c r="AN299" s="16" t="s">
        <v>147</v>
      </c>
      <c r="AO299" s="20">
        <v>0.4</v>
      </c>
      <c r="AP299" s="16">
        <f t="shared" si="121"/>
        <v>4.0207439999999997</v>
      </c>
      <c r="AQ299" s="16">
        <v>4.0207439999999997</v>
      </c>
      <c r="AR299" s="15">
        <v>45229</v>
      </c>
      <c r="AS299" s="16">
        <f t="shared" si="122"/>
        <v>0</v>
      </c>
      <c r="AT299" s="16"/>
      <c r="AU299" s="16">
        <v>11.898119999999999</v>
      </c>
      <c r="AV299" s="16">
        <f t="shared" si="128"/>
        <v>11.898119999999999</v>
      </c>
      <c r="AW299" s="16">
        <f t="shared" si="123"/>
        <v>0</v>
      </c>
      <c r="AX299" s="16" t="str">
        <f t="shared" si="124"/>
        <v>SFA</v>
      </c>
      <c r="AY299" s="22">
        <v>45070</v>
      </c>
      <c r="AZ299" s="22"/>
      <c r="BA299" s="1" t="s">
        <v>148</v>
      </c>
      <c r="BB299" s="1" t="s">
        <v>104</v>
      </c>
      <c r="BC299" s="1"/>
      <c r="BD299" s="1"/>
      <c r="BE299" s="1"/>
    </row>
    <row r="300" spans="1:57" ht="14.25" hidden="1" customHeight="1">
      <c r="A300" s="2" t="s">
        <v>165</v>
      </c>
      <c r="B300" s="1" t="s">
        <v>58</v>
      </c>
      <c r="C300" s="27">
        <v>45071</v>
      </c>
      <c r="D300" s="27">
        <v>45016</v>
      </c>
      <c r="E300" s="27">
        <v>45007</v>
      </c>
      <c r="F300" s="27">
        <v>45371</v>
      </c>
      <c r="G300" s="13" t="str">
        <f t="shared" si="115"/>
        <v>000-299/AIB RDC/2023</v>
      </c>
      <c r="H300" s="1">
        <v>0</v>
      </c>
      <c r="I300" s="1" t="s">
        <v>83</v>
      </c>
      <c r="J300" s="14" t="s">
        <v>551</v>
      </c>
      <c r="K300" s="1" t="s">
        <v>197</v>
      </c>
      <c r="L300" s="1"/>
      <c r="M300" s="1" t="s">
        <v>95</v>
      </c>
      <c r="N300" s="2" t="s">
        <v>146</v>
      </c>
      <c r="O300" s="1" t="s">
        <v>104</v>
      </c>
      <c r="P300" s="1" t="s">
        <v>105</v>
      </c>
      <c r="Q300" s="1" t="s">
        <v>66</v>
      </c>
      <c r="R300" s="1" t="s">
        <v>66</v>
      </c>
      <c r="S300" s="16">
        <v>45024.800000000003</v>
      </c>
      <c r="T300" s="25">
        <v>147.08000000000001</v>
      </c>
      <c r="U300" s="25">
        <v>0</v>
      </c>
      <c r="V300" s="25">
        <v>0</v>
      </c>
      <c r="W300" s="25">
        <v>3.5</v>
      </c>
      <c r="X300" s="25">
        <v>99.96</v>
      </c>
      <c r="Y300" s="25">
        <v>16.55</v>
      </c>
      <c r="Z300" s="17">
        <f t="shared" si="116"/>
        <v>2.2201098061512764E-3</v>
      </c>
      <c r="AA300" s="18">
        <v>0.15</v>
      </c>
      <c r="AB300" s="16">
        <f t="shared" si="110"/>
        <v>14.993999999999998</v>
      </c>
      <c r="AC300" s="16">
        <v>0</v>
      </c>
      <c r="AD300" s="16">
        <v>0</v>
      </c>
      <c r="AE300" s="16">
        <v>0</v>
      </c>
      <c r="AF300" s="16">
        <f t="shared" si="117"/>
        <v>14.993999999999998</v>
      </c>
      <c r="AG300" s="16">
        <f t="shared" si="126"/>
        <v>2.3990399999999998</v>
      </c>
      <c r="AH300" s="16">
        <f t="shared" si="118"/>
        <v>17.393039999999999</v>
      </c>
      <c r="AI300" s="16">
        <f t="shared" si="127"/>
        <v>0.29987999999999998</v>
      </c>
      <c r="AJ300" s="16">
        <v>0</v>
      </c>
      <c r="AK300" s="16">
        <f t="shared" si="119"/>
        <v>0.29987999999999998</v>
      </c>
      <c r="AL300" s="19"/>
      <c r="AM300" s="16">
        <f t="shared" si="120"/>
        <v>14.694119999999998</v>
      </c>
      <c r="AN300" s="16" t="s">
        <v>147</v>
      </c>
      <c r="AO300" s="20">
        <v>0.4</v>
      </c>
      <c r="AP300" s="16">
        <f t="shared" si="121"/>
        <v>5.8776479999999998</v>
      </c>
      <c r="AQ300" s="16">
        <v>5.8776479999999998</v>
      </c>
      <c r="AR300" s="15">
        <v>45229</v>
      </c>
      <c r="AS300" s="16">
        <f t="shared" si="122"/>
        <v>0</v>
      </c>
      <c r="AT300" s="16"/>
      <c r="AU300" s="16">
        <v>17.393039999999999</v>
      </c>
      <c r="AV300" s="16">
        <f t="shared" si="128"/>
        <v>17.393039999999999</v>
      </c>
      <c r="AW300" s="16">
        <f t="shared" si="123"/>
        <v>0</v>
      </c>
      <c r="AX300" s="16" t="str">
        <f t="shared" si="124"/>
        <v>SFA</v>
      </c>
      <c r="AY300" s="22">
        <v>45070</v>
      </c>
      <c r="AZ300" s="22"/>
      <c r="BA300" s="1" t="s">
        <v>148</v>
      </c>
      <c r="BB300" s="1" t="s">
        <v>104</v>
      </c>
      <c r="BC300" s="1"/>
      <c r="BD300" s="1"/>
      <c r="BE300" s="1"/>
    </row>
    <row r="301" spans="1:57" ht="14.25" hidden="1" customHeight="1">
      <c r="A301" s="2" t="s">
        <v>230</v>
      </c>
      <c r="B301" s="1" t="s">
        <v>58</v>
      </c>
      <c r="C301" s="27">
        <v>45071</v>
      </c>
      <c r="D301" s="27">
        <v>45059</v>
      </c>
      <c r="E301" s="27">
        <v>45048</v>
      </c>
      <c r="F301" s="27">
        <v>45412</v>
      </c>
      <c r="G301" s="13" t="str">
        <f t="shared" si="115"/>
        <v>000-300/AIB RDC/2023</v>
      </c>
      <c r="H301" s="1">
        <v>0</v>
      </c>
      <c r="I301" s="1" t="s">
        <v>83</v>
      </c>
      <c r="J301" s="1" t="s">
        <v>552</v>
      </c>
      <c r="K301" s="1" t="s">
        <v>197</v>
      </c>
      <c r="L301" s="1"/>
      <c r="M301" s="1" t="s">
        <v>95</v>
      </c>
      <c r="N301" s="2" t="s">
        <v>146</v>
      </c>
      <c r="O301" s="1" t="s">
        <v>104</v>
      </c>
      <c r="P301" s="1" t="s">
        <v>105</v>
      </c>
      <c r="Q301" s="1" t="s">
        <v>66</v>
      </c>
      <c r="R301" s="1" t="s">
        <v>66</v>
      </c>
      <c r="S301" s="16">
        <v>26502.400000000001</v>
      </c>
      <c r="T301" s="25">
        <v>83.6</v>
      </c>
      <c r="U301" s="25">
        <v>0</v>
      </c>
      <c r="V301" s="25">
        <v>0</v>
      </c>
      <c r="W301" s="25">
        <v>6</v>
      </c>
      <c r="X301" s="25">
        <v>44.52</v>
      </c>
      <c r="Y301" s="25">
        <v>8.08</v>
      </c>
      <c r="Z301" s="17">
        <f t="shared" si="116"/>
        <v>1.679847862835064E-3</v>
      </c>
      <c r="AA301" s="18">
        <v>0.15</v>
      </c>
      <c r="AB301" s="16">
        <f t="shared" si="110"/>
        <v>6.6779999999999999</v>
      </c>
      <c r="AC301" s="16">
        <v>0</v>
      </c>
      <c r="AD301" s="16">
        <v>0</v>
      </c>
      <c r="AE301" s="16">
        <v>0</v>
      </c>
      <c r="AF301" s="16">
        <f t="shared" si="117"/>
        <v>6.6779999999999999</v>
      </c>
      <c r="AG301" s="16">
        <f t="shared" si="126"/>
        <v>1.0684800000000001</v>
      </c>
      <c r="AH301" s="16">
        <f t="shared" si="118"/>
        <v>7.74648</v>
      </c>
      <c r="AI301" s="16">
        <f t="shared" si="127"/>
        <v>0.13356000000000001</v>
      </c>
      <c r="AJ301" s="16">
        <v>0</v>
      </c>
      <c r="AK301" s="16">
        <f t="shared" si="119"/>
        <v>0.13356000000000001</v>
      </c>
      <c r="AL301" s="19"/>
      <c r="AM301" s="16">
        <f t="shared" si="120"/>
        <v>6.5444399999999998</v>
      </c>
      <c r="AN301" s="16" t="s">
        <v>147</v>
      </c>
      <c r="AO301" s="20">
        <v>0.4</v>
      </c>
      <c r="AP301" s="16">
        <f t="shared" si="121"/>
        <v>2.6177760000000001</v>
      </c>
      <c r="AQ301" s="16">
        <v>2.6177760000000001</v>
      </c>
      <c r="AR301" s="15">
        <v>45229</v>
      </c>
      <c r="AS301" s="16">
        <f t="shared" si="122"/>
        <v>0</v>
      </c>
      <c r="AT301" s="16"/>
      <c r="AU301" s="16">
        <v>7.74648</v>
      </c>
      <c r="AV301" s="16">
        <f t="shared" si="128"/>
        <v>7.74648</v>
      </c>
      <c r="AW301" s="16">
        <f t="shared" si="123"/>
        <v>0</v>
      </c>
      <c r="AX301" s="16" t="str">
        <f t="shared" si="124"/>
        <v>SFA</v>
      </c>
      <c r="AY301" s="22">
        <v>45100</v>
      </c>
      <c r="AZ301" s="22"/>
      <c r="BA301" s="1" t="s">
        <v>148</v>
      </c>
      <c r="BB301" s="1" t="s">
        <v>104</v>
      </c>
      <c r="BC301" s="1"/>
      <c r="BD301" s="1"/>
      <c r="BE301" s="1"/>
    </row>
    <row r="302" spans="1:57" ht="14.25" hidden="1" customHeight="1">
      <c r="A302" s="2" t="s">
        <v>230</v>
      </c>
      <c r="B302" s="1" t="s">
        <v>58</v>
      </c>
      <c r="C302" s="27">
        <v>45071</v>
      </c>
      <c r="D302" s="27">
        <v>45071</v>
      </c>
      <c r="E302" s="27">
        <v>45048</v>
      </c>
      <c r="F302" s="27">
        <v>45412</v>
      </c>
      <c r="G302" s="13" t="str">
        <f t="shared" si="115"/>
        <v>000-301/AIB RDC/2023</v>
      </c>
      <c r="H302" s="1">
        <v>0</v>
      </c>
      <c r="I302" s="1" t="s">
        <v>83</v>
      </c>
      <c r="J302" s="1" t="s">
        <v>553</v>
      </c>
      <c r="K302" s="1" t="s">
        <v>197</v>
      </c>
      <c r="L302" s="1"/>
      <c r="M302" s="1" t="s">
        <v>95</v>
      </c>
      <c r="N302" s="2" t="s">
        <v>146</v>
      </c>
      <c r="O302" s="1" t="s">
        <v>104</v>
      </c>
      <c r="P302" s="1" t="s">
        <v>105</v>
      </c>
      <c r="Q302" s="1" t="s">
        <v>66</v>
      </c>
      <c r="R302" s="1" t="s">
        <v>66</v>
      </c>
      <c r="S302" s="16">
        <v>25856.6</v>
      </c>
      <c r="T302" s="25">
        <v>82.35</v>
      </c>
      <c r="U302" s="25">
        <v>0</v>
      </c>
      <c r="V302" s="25">
        <v>0</v>
      </c>
      <c r="W302" s="25">
        <v>6</v>
      </c>
      <c r="X302" s="25">
        <v>43.44</v>
      </c>
      <c r="Y302" s="25">
        <v>7.91</v>
      </c>
      <c r="Z302" s="17">
        <f t="shared" si="116"/>
        <v>1.6800352714587377E-3</v>
      </c>
      <c r="AA302" s="18">
        <v>0.15</v>
      </c>
      <c r="AB302" s="16">
        <f t="shared" si="110"/>
        <v>6.5159999999999991</v>
      </c>
      <c r="AC302" s="16">
        <v>0</v>
      </c>
      <c r="AD302" s="16">
        <v>0</v>
      </c>
      <c r="AE302" s="16">
        <v>0</v>
      </c>
      <c r="AF302" s="16">
        <f t="shared" si="117"/>
        <v>6.5159999999999991</v>
      </c>
      <c r="AG302" s="16">
        <f t="shared" si="126"/>
        <v>1.0425599999999999</v>
      </c>
      <c r="AH302" s="16">
        <f t="shared" si="118"/>
        <v>7.5585599999999991</v>
      </c>
      <c r="AI302" s="16">
        <f t="shared" si="127"/>
        <v>0.13031999999999999</v>
      </c>
      <c r="AJ302" s="16">
        <v>0</v>
      </c>
      <c r="AK302" s="16">
        <f t="shared" si="119"/>
        <v>0.13031999999999999</v>
      </c>
      <c r="AL302" s="19"/>
      <c r="AM302" s="16">
        <f t="shared" si="120"/>
        <v>6.3856799999999989</v>
      </c>
      <c r="AN302" s="16" t="s">
        <v>147</v>
      </c>
      <c r="AO302" s="20">
        <v>0.4</v>
      </c>
      <c r="AP302" s="16">
        <f t="shared" si="121"/>
        <v>2.5542719999999997</v>
      </c>
      <c r="AQ302" s="16">
        <v>2.5542719999999997</v>
      </c>
      <c r="AR302" s="15">
        <v>45229</v>
      </c>
      <c r="AS302" s="16">
        <f t="shared" si="122"/>
        <v>0</v>
      </c>
      <c r="AT302" s="16"/>
      <c r="AU302" s="16">
        <v>7.5585599999999991</v>
      </c>
      <c r="AV302" s="16">
        <f t="shared" si="128"/>
        <v>7.5585599999999991</v>
      </c>
      <c r="AW302" s="16">
        <f t="shared" si="123"/>
        <v>0</v>
      </c>
      <c r="AX302" s="16" t="str">
        <f t="shared" si="124"/>
        <v>SFA</v>
      </c>
      <c r="AY302" s="22">
        <v>45100</v>
      </c>
      <c r="AZ302" s="22"/>
      <c r="BA302" s="1" t="s">
        <v>148</v>
      </c>
      <c r="BB302" s="1" t="s">
        <v>104</v>
      </c>
      <c r="BC302" s="1"/>
      <c r="BD302" s="1"/>
      <c r="BE302" s="1"/>
    </row>
    <row r="303" spans="1:57" ht="14.25" hidden="1" customHeight="1">
      <c r="A303" s="2" t="s">
        <v>230</v>
      </c>
      <c r="B303" s="1" t="s">
        <v>58</v>
      </c>
      <c r="C303" s="27">
        <v>45071</v>
      </c>
      <c r="D303" s="27">
        <v>45071</v>
      </c>
      <c r="E303" s="27">
        <v>45048</v>
      </c>
      <c r="F303" s="27">
        <v>45412</v>
      </c>
      <c r="G303" s="13" t="str">
        <f t="shared" si="115"/>
        <v>000-302/AIB RDC/2023</v>
      </c>
      <c r="H303" s="1">
        <v>0</v>
      </c>
      <c r="I303" s="1" t="s">
        <v>83</v>
      </c>
      <c r="J303" s="1" t="s">
        <v>554</v>
      </c>
      <c r="K303" s="1" t="s">
        <v>197</v>
      </c>
      <c r="L303" s="1"/>
      <c r="M303" s="1" t="s">
        <v>95</v>
      </c>
      <c r="N303" s="2" t="s">
        <v>146</v>
      </c>
      <c r="O303" s="1" t="s">
        <v>104</v>
      </c>
      <c r="P303" s="1" t="s">
        <v>105</v>
      </c>
      <c r="Q303" s="1" t="s">
        <v>66</v>
      </c>
      <c r="R303" s="1" t="s">
        <v>66</v>
      </c>
      <c r="S303" s="16">
        <v>27287.4</v>
      </c>
      <c r="T303" s="25">
        <v>85.13</v>
      </c>
      <c r="U303" s="25">
        <v>0</v>
      </c>
      <c r="V303" s="25">
        <v>0</v>
      </c>
      <c r="W303" s="25">
        <v>6</v>
      </c>
      <c r="X303" s="25">
        <v>45.84</v>
      </c>
      <c r="Y303" s="25">
        <v>8.2899999999999991</v>
      </c>
      <c r="Z303" s="17">
        <f t="shared" si="116"/>
        <v>1.6798962158358804E-3</v>
      </c>
      <c r="AA303" s="18">
        <v>0.15</v>
      </c>
      <c r="AB303" s="16">
        <f t="shared" si="110"/>
        <v>6.8760000000000003</v>
      </c>
      <c r="AC303" s="16">
        <v>0</v>
      </c>
      <c r="AD303" s="16">
        <v>0</v>
      </c>
      <c r="AE303" s="16">
        <v>0</v>
      </c>
      <c r="AF303" s="16">
        <f t="shared" si="117"/>
        <v>6.8760000000000003</v>
      </c>
      <c r="AG303" s="16">
        <f t="shared" si="126"/>
        <v>1.10016</v>
      </c>
      <c r="AH303" s="16">
        <f t="shared" si="118"/>
        <v>7.9761600000000001</v>
      </c>
      <c r="AI303" s="16">
        <f t="shared" si="127"/>
        <v>0.13752</v>
      </c>
      <c r="AJ303" s="16">
        <v>0</v>
      </c>
      <c r="AK303" s="16">
        <f t="shared" si="119"/>
        <v>0.13752</v>
      </c>
      <c r="AL303" s="19"/>
      <c r="AM303" s="16">
        <f t="shared" si="120"/>
        <v>6.73848</v>
      </c>
      <c r="AN303" s="16" t="s">
        <v>147</v>
      </c>
      <c r="AO303" s="20">
        <v>0.4</v>
      </c>
      <c r="AP303" s="16">
        <f t="shared" si="121"/>
        <v>2.695392</v>
      </c>
      <c r="AQ303" s="16">
        <v>2.695392</v>
      </c>
      <c r="AR303" s="15">
        <v>45229</v>
      </c>
      <c r="AS303" s="16">
        <f t="shared" si="122"/>
        <v>0</v>
      </c>
      <c r="AT303" s="16"/>
      <c r="AU303" s="16">
        <v>7.9761600000000001</v>
      </c>
      <c r="AV303" s="16">
        <f t="shared" si="128"/>
        <v>7.9761600000000001</v>
      </c>
      <c r="AW303" s="16">
        <f t="shared" si="123"/>
        <v>0</v>
      </c>
      <c r="AX303" s="16" t="str">
        <f t="shared" si="124"/>
        <v>SFA</v>
      </c>
      <c r="AY303" s="22">
        <v>45100</v>
      </c>
      <c r="AZ303" s="22"/>
      <c r="BA303" s="1" t="s">
        <v>148</v>
      </c>
      <c r="BB303" s="1" t="s">
        <v>104</v>
      </c>
      <c r="BC303" s="1"/>
      <c r="BD303" s="1"/>
      <c r="BE303" s="1"/>
    </row>
    <row r="304" spans="1:57" ht="14.25" hidden="1" customHeight="1">
      <c r="A304" s="2" t="s">
        <v>230</v>
      </c>
      <c r="B304" s="1" t="s">
        <v>58</v>
      </c>
      <c r="C304" s="27">
        <v>45071</v>
      </c>
      <c r="D304" s="27">
        <v>45071</v>
      </c>
      <c r="E304" s="27">
        <v>45048</v>
      </c>
      <c r="F304" s="27">
        <v>45412</v>
      </c>
      <c r="G304" s="13" t="str">
        <f t="shared" si="115"/>
        <v>000-303/AIB RDC/2023</v>
      </c>
      <c r="H304" s="1">
        <v>0</v>
      </c>
      <c r="I304" s="1" t="s">
        <v>83</v>
      </c>
      <c r="J304" s="1" t="s">
        <v>555</v>
      </c>
      <c r="K304" s="1" t="s">
        <v>197</v>
      </c>
      <c r="L304" s="1"/>
      <c r="M304" s="1" t="s">
        <v>95</v>
      </c>
      <c r="N304" s="2" t="s">
        <v>146</v>
      </c>
      <c r="O304" s="1" t="s">
        <v>104</v>
      </c>
      <c r="P304" s="1" t="s">
        <v>105</v>
      </c>
      <c r="Q304" s="1" t="s">
        <v>66</v>
      </c>
      <c r="R304" s="1" t="s">
        <v>66</v>
      </c>
      <c r="S304" s="16">
        <v>28721</v>
      </c>
      <c r="T304" s="25">
        <v>87.93</v>
      </c>
      <c r="U304" s="25">
        <v>0</v>
      </c>
      <c r="V304" s="25">
        <v>0</v>
      </c>
      <c r="W304" s="25">
        <v>6</v>
      </c>
      <c r="X304" s="25">
        <v>48.25</v>
      </c>
      <c r="Y304" s="25">
        <v>8.68</v>
      </c>
      <c r="Z304" s="17">
        <f t="shared" si="116"/>
        <v>1.6799554333066398E-3</v>
      </c>
      <c r="AA304" s="18">
        <v>0.15</v>
      </c>
      <c r="AB304" s="16">
        <f t="shared" si="110"/>
        <v>7.2374999999999998</v>
      </c>
      <c r="AC304" s="16">
        <v>0</v>
      </c>
      <c r="AD304" s="16">
        <v>0</v>
      </c>
      <c r="AE304" s="16">
        <v>0</v>
      </c>
      <c r="AF304" s="16">
        <f t="shared" si="117"/>
        <v>7.2374999999999998</v>
      </c>
      <c r="AG304" s="16">
        <f t="shared" si="126"/>
        <v>1.1579999999999999</v>
      </c>
      <c r="AH304" s="16">
        <f t="shared" si="118"/>
        <v>8.3955000000000002</v>
      </c>
      <c r="AI304" s="16">
        <f t="shared" si="127"/>
        <v>0.14474999999999999</v>
      </c>
      <c r="AJ304" s="16">
        <v>0</v>
      </c>
      <c r="AK304" s="16">
        <f t="shared" si="119"/>
        <v>0.14474999999999999</v>
      </c>
      <c r="AL304" s="19"/>
      <c r="AM304" s="16">
        <f t="shared" si="120"/>
        <v>7.0927499999999997</v>
      </c>
      <c r="AN304" s="16" t="s">
        <v>147</v>
      </c>
      <c r="AO304" s="20">
        <v>0.4</v>
      </c>
      <c r="AP304" s="16">
        <f t="shared" si="121"/>
        <v>2.8371</v>
      </c>
      <c r="AQ304" s="16">
        <v>2.8371</v>
      </c>
      <c r="AR304" s="15">
        <v>45229</v>
      </c>
      <c r="AS304" s="16">
        <f t="shared" si="122"/>
        <v>0</v>
      </c>
      <c r="AT304" s="16"/>
      <c r="AU304" s="16">
        <v>8.3955000000000002</v>
      </c>
      <c r="AV304" s="16">
        <f t="shared" si="128"/>
        <v>8.3955000000000002</v>
      </c>
      <c r="AW304" s="16">
        <f t="shared" si="123"/>
        <v>0</v>
      </c>
      <c r="AX304" s="16" t="str">
        <f t="shared" si="124"/>
        <v>SFA</v>
      </c>
      <c r="AY304" s="22">
        <v>45100</v>
      </c>
      <c r="AZ304" s="22"/>
      <c r="BA304" s="1" t="s">
        <v>148</v>
      </c>
      <c r="BB304" s="1" t="s">
        <v>104</v>
      </c>
      <c r="BC304" s="1"/>
      <c r="BD304" s="1"/>
      <c r="BE304" s="1"/>
    </row>
    <row r="305" spans="1:57" ht="14.25" hidden="1" customHeight="1">
      <c r="A305" s="2" t="s">
        <v>165</v>
      </c>
      <c r="B305" s="1" t="s">
        <v>58</v>
      </c>
      <c r="C305" s="27">
        <v>45072</v>
      </c>
      <c r="D305" s="27">
        <v>45012</v>
      </c>
      <c r="E305" s="27">
        <v>45012</v>
      </c>
      <c r="F305" s="27">
        <v>45376</v>
      </c>
      <c r="G305" s="13" t="str">
        <f t="shared" si="115"/>
        <v>000-304/AIB RDC/2023</v>
      </c>
      <c r="H305" s="1">
        <v>0</v>
      </c>
      <c r="I305" s="1" t="s">
        <v>83</v>
      </c>
      <c r="J305" s="14" t="s">
        <v>556</v>
      </c>
      <c r="K305" s="1" t="s">
        <v>197</v>
      </c>
      <c r="L305" s="1"/>
      <c r="M305" s="1" t="s">
        <v>95</v>
      </c>
      <c r="N305" s="2" t="s">
        <v>146</v>
      </c>
      <c r="O305" s="1" t="s">
        <v>104</v>
      </c>
      <c r="P305" s="1" t="s">
        <v>105</v>
      </c>
      <c r="Q305" s="1" t="s">
        <v>66</v>
      </c>
      <c r="R305" s="1" t="s">
        <v>66</v>
      </c>
      <c r="S305" s="16">
        <v>39501</v>
      </c>
      <c r="T305" s="25">
        <v>106.85</v>
      </c>
      <c r="U305" s="25">
        <v>0</v>
      </c>
      <c r="V305" s="25">
        <v>0</v>
      </c>
      <c r="W305" s="25">
        <v>3</v>
      </c>
      <c r="X305" s="25">
        <v>66.36</v>
      </c>
      <c r="Y305" s="25">
        <v>11.1</v>
      </c>
      <c r="Z305" s="17">
        <f t="shared" si="116"/>
        <v>1.6799574694311536E-3</v>
      </c>
      <c r="AA305" s="18">
        <v>0.15</v>
      </c>
      <c r="AB305" s="16">
        <f t="shared" si="110"/>
        <v>9.9539999999999988</v>
      </c>
      <c r="AC305" s="16">
        <v>0</v>
      </c>
      <c r="AD305" s="16">
        <v>0</v>
      </c>
      <c r="AE305" s="16">
        <v>0</v>
      </c>
      <c r="AF305" s="16">
        <f t="shared" si="117"/>
        <v>9.9539999999999988</v>
      </c>
      <c r="AG305" s="16">
        <f t="shared" si="126"/>
        <v>1.5926399999999998</v>
      </c>
      <c r="AH305" s="16">
        <f t="shared" si="118"/>
        <v>11.546639999999998</v>
      </c>
      <c r="AI305" s="16">
        <f t="shared" si="127"/>
        <v>0.19907999999999998</v>
      </c>
      <c r="AJ305" s="16">
        <v>0</v>
      </c>
      <c r="AK305" s="16">
        <f t="shared" si="119"/>
        <v>0.19907999999999998</v>
      </c>
      <c r="AL305" s="19"/>
      <c r="AM305" s="16">
        <f t="shared" si="120"/>
        <v>9.7549199999999985</v>
      </c>
      <c r="AN305" s="16" t="s">
        <v>147</v>
      </c>
      <c r="AO305" s="20">
        <v>0.4</v>
      </c>
      <c r="AP305" s="16">
        <f t="shared" si="121"/>
        <v>3.9019679999999997</v>
      </c>
      <c r="AQ305" s="16">
        <v>3.9019679999999997</v>
      </c>
      <c r="AR305" s="15">
        <v>45229</v>
      </c>
      <c r="AS305" s="16">
        <f t="shared" si="122"/>
        <v>0</v>
      </c>
      <c r="AT305" s="16"/>
      <c r="AU305" s="16">
        <v>11.546639999999998</v>
      </c>
      <c r="AV305" s="16">
        <f t="shared" si="128"/>
        <v>11.546639999999998</v>
      </c>
      <c r="AW305" s="16">
        <f t="shared" si="123"/>
        <v>0</v>
      </c>
      <c r="AX305" s="16" t="str">
        <f t="shared" si="124"/>
        <v>SFA</v>
      </c>
      <c r="AY305" s="22">
        <v>45070</v>
      </c>
      <c r="AZ305" s="22"/>
      <c r="BA305" s="1" t="s">
        <v>148</v>
      </c>
      <c r="BB305" s="1" t="s">
        <v>104</v>
      </c>
      <c r="BC305" s="1"/>
      <c r="BD305" s="1"/>
      <c r="BE305" s="1"/>
    </row>
    <row r="306" spans="1:57" ht="14.25" hidden="1" customHeight="1">
      <c r="A306" s="2" t="s">
        <v>165</v>
      </c>
      <c r="B306" s="1" t="s">
        <v>58</v>
      </c>
      <c r="C306" s="27">
        <v>45072</v>
      </c>
      <c r="D306" s="27">
        <v>45012</v>
      </c>
      <c r="E306" s="27">
        <v>45012</v>
      </c>
      <c r="F306" s="27">
        <v>45376</v>
      </c>
      <c r="G306" s="13" t="str">
        <f t="shared" si="115"/>
        <v>000-305/AIB RDC/2023</v>
      </c>
      <c r="H306" s="1">
        <v>0</v>
      </c>
      <c r="I306" s="1" t="s">
        <v>83</v>
      </c>
      <c r="J306" s="14" t="s">
        <v>557</v>
      </c>
      <c r="K306" s="1" t="s">
        <v>197</v>
      </c>
      <c r="L306" s="1"/>
      <c r="M306" s="1" t="s">
        <v>95</v>
      </c>
      <c r="N306" s="2" t="s">
        <v>146</v>
      </c>
      <c r="O306" s="1" t="s">
        <v>104</v>
      </c>
      <c r="P306" s="1" t="s">
        <v>105</v>
      </c>
      <c r="Q306" s="1" t="s">
        <v>66</v>
      </c>
      <c r="R306" s="1" t="s">
        <v>66</v>
      </c>
      <c r="S306" s="16">
        <v>48240</v>
      </c>
      <c r="T306" s="25">
        <v>124.43</v>
      </c>
      <c r="U306" s="25">
        <v>0</v>
      </c>
      <c r="V306" s="25">
        <v>0</v>
      </c>
      <c r="W306" s="25">
        <v>3.22</v>
      </c>
      <c r="X306" s="25">
        <v>81.040000000000006</v>
      </c>
      <c r="Y306" s="25">
        <v>13.48</v>
      </c>
      <c r="Z306" s="17">
        <f t="shared" si="116"/>
        <v>1.6799336650082919E-3</v>
      </c>
      <c r="AA306" s="18">
        <v>0.15</v>
      </c>
      <c r="AB306" s="16">
        <f t="shared" si="110"/>
        <v>12.156000000000001</v>
      </c>
      <c r="AC306" s="16">
        <v>0</v>
      </c>
      <c r="AD306" s="16">
        <v>0</v>
      </c>
      <c r="AE306" s="16">
        <v>0</v>
      </c>
      <c r="AF306" s="16">
        <f t="shared" si="117"/>
        <v>12.156000000000001</v>
      </c>
      <c r="AG306" s="16">
        <f t="shared" si="126"/>
        <v>1.9449600000000002</v>
      </c>
      <c r="AH306" s="16">
        <f t="shared" si="118"/>
        <v>14.100960000000001</v>
      </c>
      <c r="AI306" s="16">
        <f t="shared" si="127"/>
        <v>0.24312000000000003</v>
      </c>
      <c r="AJ306" s="16">
        <v>0</v>
      </c>
      <c r="AK306" s="16">
        <f t="shared" si="119"/>
        <v>0.24312000000000003</v>
      </c>
      <c r="AL306" s="19"/>
      <c r="AM306" s="16">
        <f t="shared" si="120"/>
        <v>11.912880000000001</v>
      </c>
      <c r="AN306" s="16" t="s">
        <v>147</v>
      </c>
      <c r="AO306" s="20">
        <v>0.4</v>
      </c>
      <c r="AP306" s="16">
        <f t="shared" si="121"/>
        <v>4.7651520000000005</v>
      </c>
      <c r="AQ306" s="16">
        <v>4.7651520000000005</v>
      </c>
      <c r="AR306" s="15">
        <v>45229</v>
      </c>
      <c r="AS306" s="16">
        <f t="shared" si="122"/>
        <v>0</v>
      </c>
      <c r="AT306" s="16"/>
      <c r="AU306" s="16">
        <v>14.100960000000001</v>
      </c>
      <c r="AV306" s="16">
        <f t="shared" si="128"/>
        <v>14.100960000000001</v>
      </c>
      <c r="AW306" s="16">
        <f t="shared" si="123"/>
        <v>0</v>
      </c>
      <c r="AX306" s="16" t="str">
        <f t="shared" si="124"/>
        <v>SFA</v>
      </c>
      <c r="AY306" s="22">
        <v>45070</v>
      </c>
      <c r="AZ306" s="22"/>
      <c r="BA306" s="1" t="s">
        <v>148</v>
      </c>
      <c r="BB306" s="1" t="s">
        <v>104</v>
      </c>
      <c r="BC306" s="1"/>
      <c r="BD306" s="1"/>
      <c r="BE306" s="1"/>
    </row>
    <row r="307" spans="1:57" ht="14.25" hidden="1" customHeight="1">
      <c r="A307" s="2" t="s">
        <v>165</v>
      </c>
      <c r="B307" s="1" t="s">
        <v>58</v>
      </c>
      <c r="C307" s="27">
        <v>45072</v>
      </c>
      <c r="D307" s="27">
        <v>45012</v>
      </c>
      <c r="E307" s="27">
        <v>45012</v>
      </c>
      <c r="F307" s="27">
        <v>45376</v>
      </c>
      <c r="G307" s="13" t="str">
        <f t="shared" si="115"/>
        <v>000-306/AIB RDC/2023</v>
      </c>
      <c r="H307" s="1">
        <v>0</v>
      </c>
      <c r="I307" s="1" t="s">
        <v>83</v>
      </c>
      <c r="J307" s="14" t="s">
        <v>558</v>
      </c>
      <c r="K307" s="1" t="s">
        <v>197</v>
      </c>
      <c r="L307" s="1"/>
      <c r="M307" s="1" t="s">
        <v>95</v>
      </c>
      <c r="N307" s="2" t="s">
        <v>146</v>
      </c>
      <c r="O307" s="1" t="s">
        <v>104</v>
      </c>
      <c r="P307" s="1" t="s">
        <v>105</v>
      </c>
      <c r="Q307" s="1" t="s">
        <v>66</v>
      </c>
      <c r="R307" s="1" t="s">
        <v>66</v>
      </c>
      <c r="S307" s="16">
        <v>97298.5</v>
      </c>
      <c r="T307" s="25">
        <v>223.14</v>
      </c>
      <c r="U307" s="25">
        <v>0</v>
      </c>
      <c r="V307" s="25">
        <v>0</v>
      </c>
      <c r="W307" s="25">
        <v>4.45</v>
      </c>
      <c r="X307" s="25">
        <v>163.46</v>
      </c>
      <c r="Y307" s="25">
        <v>26.87</v>
      </c>
      <c r="Z307" s="17">
        <f t="shared" si="116"/>
        <v>1.6799847890769128E-3</v>
      </c>
      <c r="AA307" s="18">
        <v>0.15</v>
      </c>
      <c r="AB307" s="16">
        <f t="shared" si="110"/>
        <v>24.519000000000002</v>
      </c>
      <c r="AC307" s="16">
        <v>0</v>
      </c>
      <c r="AD307" s="16">
        <v>0</v>
      </c>
      <c r="AE307" s="16">
        <v>0</v>
      </c>
      <c r="AF307" s="16">
        <f t="shared" si="117"/>
        <v>24.519000000000002</v>
      </c>
      <c r="AG307" s="16">
        <f t="shared" si="126"/>
        <v>3.9230400000000003</v>
      </c>
      <c r="AH307" s="16">
        <f t="shared" si="118"/>
        <v>28.442040000000002</v>
      </c>
      <c r="AI307" s="16">
        <f t="shared" si="127"/>
        <v>0.49038000000000004</v>
      </c>
      <c r="AJ307" s="16">
        <v>0</v>
      </c>
      <c r="AK307" s="16">
        <f t="shared" si="119"/>
        <v>0.49038000000000004</v>
      </c>
      <c r="AL307" s="19"/>
      <c r="AM307" s="16">
        <f t="shared" si="120"/>
        <v>24.028620000000004</v>
      </c>
      <c r="AN307" s="16" t="s">
        <v>147</v>
      </c>
      <c r="AO307" s="20">
        <v>0.4</v>
      </c>
      <c r="AP307" s="16">
        <f t="shared" si="121"/>
        <v>9.6114480000000029</v>
      </c>
      <c r="AQ307" s="16">
        <v>9.6114480000000029</v>
      </c>
      <c r="AR307" s="15">
        <v>45229</v>
      </c>
      <c r="AS307" s="16">
        <f t="shared" si="122"/>
        <v>0</v>
      </c>
      <c r="AT307" s="16"/>
      <c r="AU307" s="16">
        <v>28.442040000000002</v>
      </c>
      <c r="AV307" s="16">
        <f t="shared" si="128"/>
        <v>28.442040000000002</v>
      </c>
      <c r="AW307" s="16">
        <f t="shared" si="123"/>
        <v>0</v>
      </c>
      <c r="AX307" s="16" t="str">
        <f t="shared" si="124"/>
        <v>SFA</v>
      </c>
      <c r="AY307" s="22">
        <v>45070</v>
      </c>
      <c r="AZ307" s="22"/>
      <c r="BA307" s="1" t="s">
        <v>148</v>
      </c>
      <c r="BB307" s="1" t="s">
        <v>104</v>
      </c>
      <c r="BC307" s="1"/>
      <c r="BD307" s="1"/>
      <c r="BE307" s="1"/>
    </row>
    <row r="308" spans="1:57" ht="14.25" hidden="1" customHeight="1">
      <c r="A308" s="2" t="s">
        <v>406</v>
      </c>
      <c r="B308" s="1" t="s">
        <v>58</v>
      </c>
      <c r="C308" s="27">
        <v>45092</v>
      </c>
      <c r="D308" s="27">
        <v>45070</v>
      </c>
      <c r="E308" s="27">
        <v>45017</v>
      </c>
      <c r="F308" s="27">
        <v>45381</v>
      </c>
      <c r="G308" s="13" t="str">
        <f t="shared" si="115"/>
        <v>000-307/AIB RDC/2023</v>
      </c>
      <c r="H308" s="1">
        <v>0</v>
      </c>
      <c r="I308" s="1" t="s">
        <v>83</v>
      </c>
      <c r="J308" s="1" t="s">
        <v>559</v>
      </c>
      <c r="K308" s="1" t="s">
        <v>560</v>
      </c>
      <c r="L308" s="1" t="s">
        <v>62</v>
      </c>
      <c r="M308" s="1" t="s">
        <v>63</v>
      </c>
      <c r="N308" s="1" t="s">
        <v>71</v>
      </c>
      <c r="O308" s="1" t="s">
        <v>133</v>
      </c>
      <c r="P308" s="1" t="s">
        <v>134</v>
      </c>
      <c r="Q308" s="1" t="s">
        <v>127</v>
      </c>
      <c r="R308" s="1" t="s">
        <v>127</v>
      </c>
      <c r="S308" s="25">
        <v>0</v>
      </c>
      <c r="T308" s="40">
        <v>33322.71</v>
      </c>
      <c r="U308" s="25">
        <v>0</v>
      </c>
      <c r="V308" s="25">
        <v>0</v>
      </c>
      <c r="W308" s="40">
        <v>160</v>
      </c>
      <c r="X308" s="40">
        <v>28079.59</v>
      </c>
      <c r="Y308" s="40">
        <v>4518.33</v>
      </c>
      <c r="Z308" s="17" t="e">
        <f t="shared" si="116"/>
        <v>#DIV/0!</v>
      </c>
      <c r="AA308" s="41">
        <v>0.15</v>
      </c>
      <c r="AB308" s="16">
        <f t="shared" si="110"/>
        <v>4211.9385000000002</v>
      </c>
      <c r="AC308" s="16">
        <v>0</v>
      </c>
      <c r="AD308" s="16">
        <v>0</v>
      </c>
      <c r="AE308" s="16">
        <v>0</v>
      </c>
      <c r="AF308" s="16">
        <f t="shared" si="117"/>
        <v>4211.9385000000002</v>
      </c>
      <c r="AG308" s="16">
        <f t="shared" si="126"/>
        <v>673.91016000000002</v>
      </c>
      <c r="AH308" s="16">
        <f t="shared" si="118"/>
        <v>4885.8486600000006</v>
      </c>
      <c r="AI308" s="16">
        <f t="shared" si="127"/>
        <v>84.238770000000002</v>
      </c>
      <c r="AJ308" s="16">
        <v>0</v>
      </c>
      <c r="AK308" s="16">
        <f t="shared" si="119"/>
        <v>84.238770000000002</v>
      </c>
      <c r="AL308" s="19"/>
      <c r="AM308" s="16">
        <f t="shared" si="120"/>
        <v>4127.6997300000003</v>
      </c>
      <c r="AN308" s="40" t="s">
        <v>319</v>
      </c>
      <c r="AO308" s="42">
        <v>0.5</v>
      </c>
      <c r="AP308" s="16">
        <f t="shared" si="121"/>
        <v>2063.8498650000001</v>
      </c>
      <c r="AQ308" s="16"/>
      <c r="AR308" s="15"/>
      <c r="AS308" s="16">
        <f t="shared" si="122"/>
        <v>2063.8498650000001</v>
      </c>
      <c r="AT308" s="16"/>
      <c r="AU308" s="16">
        <v>4885.8486600000006</v>
      </c>
      <c r="AV308" s="16">
        <f t="shared" si="128"/>
        <v>4885.8486600000006</v>
      </c>
      <c r="AW308" s="16">
        <f t="shared" si="123"/>
        <v>0</v>
      </c>
      <c r="AX308" s="16" t="str">
        <f t="shared" si="124"/>
        <v>MAYFAIR</v>
      </c>
      <c r="AY308" s="22">
        <v>45106</v>
      </c>
      <c r="AZ308" s="22"/>
      <c r="BA308" s="1"/>
      <c r="BB308" s="22" t="str">
        <f>O308</f>
        <v>COMP MOTOR</v>
      </c>
      <c r="BC308" s="1"/>
      <c r="BD308" s="1"/>
      <c r="BE308" s="1"/>
    </row>
    <row r="309" spans="1:57" ht="14.25" hidden="1" customHeight="1">
      <c r="A309" s="2" t="s">
        <v>406</v>
      </c>
      <c r="B309" s="1" t="s">
        <v>58</v>
      </c>
      <c r="C309" s="27">
        <v>45093</v>
      </c>
      <c r="D309" s="27">
        <v>45043</v>
      </c>
      <c r="E309" s="27">
        <v>45036</v>
      </c>
      <c r="F309" s="27">
        <v>45107</v>
      </c>
      <c r="G309" s="13" t="str">
        <f t="shared" si="115"/>
        <v>000-308/AIB RDC/2023</v>
      </c>
      <c r="H309" s="1">
        <v>2</v>
      </c>
      <c r="I309" s="1" t="s">
        <v>189</v>
      </c>
      <c r="J309" s="1" t="s">
        <v>561</v>
      </c>
      <c r="K309" s="1" t="s">
        <v>204</v>
      </c>
      <c r="L309" s="1" t="s">
        <v>123</v>
      </c>
      <c r="M309" s="1" t="s">
        <v>63</v>
      </c>
      <c r="N309" s="1" t="s">
        <v>71</v>
      </c>
      <c r="O309" s="1" t="s">
        <v>133</v>
      </c>
      <c r="P309" s="1" t="s">
        <v>134</v>
      </c>
      <c r="Q309" s="1" t="s">
        <v>66</v>
      </c>
      <c r="R309" s="1" t="s">
        <v>66</v>
      </c>
      <c r="S309" s="25">
        <v>0</v>
      </c>
      <c r="T309" s="40">
        <v>3060.67</v>
      </c>
      <c r="U309" s="25">
        <v>0</v>
      </c>
      <c r="V309" s="25">
        <v>0</v>
      </c>
      <c r="W309" s="40">
        <v>59.93</v>
      </c>
      <c r="X309" s="40">
        <v>2532.17</v>
      </c>
      <c r="Y309" s="40">
        <v>414.73</v>
      </c>
      <c r="Z309" s="17" t="e">
        <f t="shared" si="116"/>
        <v>#DIV/0!</v>
      </c>
      <c r="AA309" s="41">
        <v>0.15</v>
      </c>
      <c r="AB309" s="16">
        <f t="shared" si="110"/>
        <v>379.82549999999998</v>
      </c>
      <c r="AC309" s="16">
        <v>0</v>
      </c>
      <c r="AD309" s="16">
        <v>0</v>
      </c>
      <c r="AE309" s="16">
        <v>0</v>
      </c>
      <c r="AF309" s="16">
        <f t="shared" si="117"/>
        <v>379.82549999999998</v>
      </c>
      <c r="AG309" s="16">
        <f t="shared" si="126"/>
        <v>60.772079999999995</v>
      </c>
      <c r="AH309" s="16">
        <f t="shared" si="118"/>
        <v>440.59757999999999</v>
      </c>
      <c r="AI309" s="16">
        <f t="shared" si="127"/>
        <v>7.5965099999999994</v>
      </c>
      <c r="AJ309" s="16">
        <v>0</v>
      </c>
      <c r="AK309" s="16">
        <f t="shared" si="119"/>
        <v>7.5965099999999994</v>
      </c>
      <c r="AL309" s="19"/>
      <c r="AM309" s="16">
        <f t="shared" si="120"/>
        <v>372.22898999999995</v>
      </c>
      <c r="AN309" s="40" t="s">
        <v>206</v>
      </c>
      <c r="AO309" s="43">
        <v>0.5</v>
      </c>
      <c r="AP309" s="16">
        <f t="shared" si="121"/>
        <v>186.11449499999998</v>
      </c>
      <c r="AQ309" s="16">
        <v>186.11449499999998</v>
      </c>
      <c r="AR309" s="15">
        <v>45219</v>
      </c>
      <c r="AS309" s="16">
        <f t="shared" si="122"/>
        <v>0</v>
      </c>
      <c r="AT309" s="16"/>
      <c r="AU309" s="16">
        <v>440.59757999999999</v>
      </c>
      <c r="AV309" s="16">
        <f t="shared" si="128"/>
        <v>440.59757999999999</v>
      </c>
      <c r="AW309" s="16">
        <f t="shared" si="123"/>
        <v>0</v>
      </c>
      <c r="AX309" s="16" t="str">
        <f t="shared" si="124"/>
        <v>SFA</v>
      </c>
      <c r="AY309" s="22">
        <v>45100</v>
      </c>
      <c r="AZ309" s="22"/>
      <c r="BA309" s="1"/>
      <c r="BB309" s="22" t="str">
        <f>O309</f>
        <v>COMP MOTOR</v>
      </c>
      <c r="BC309" s="1"/>
      <c r="BD309" s="1"/>
      <c r="BE309" s="1"/>
    </row>
    <row r="310" spans="1:57" ht="14.25" hidden="1" customHeight="1">
      <c r="A310" s="2" t="s">
        <v>165</v>
      </c>
      <c r="B310" s="1" t="s">
        <v>58</v>
      </c>
      <c r="C310" s="27">
        <v>45072</v>
      </c>
      <c r="D310" s="27">
        <v>45016</v>
      </c>
      <c r="E310" s="27">
        <v>45016</v>
      </c>
      <c r="F310" s="27">
        <v>45380</v>
      </c>
      <c r="G310" s="13" t="str">
        <f t="shared" si="115"/>
        <v>000-309/AIB RDC/2023</v>
      </c>
      <c r="H310" s="1">
        <v>0</v>
      </c>
      <c r="I310" s="1" t="s">
        <v>83</v>
      </c>
      <c r="J310" s="14" t="s">
        <v>562</v>
      </c>
      <c r="K310" s="1" t="s">
        <v>197</v>
      </c>
      <c r="L310" s="1"/>
      <c r="M310" s="1" t="s">
        <v>95</v>
      </c>
      <c r="N310" s="2" t="s">
        <v>146</v>
      </c>
      <c r="O310" s="1" t="s">
        <v>104</v>
      </c>
      <c r="P310" s="1" t="s">
        <v>105</v>
      </c>
      <c r="Q310" s="1" t="s">
        <v>66</v>
      </c>
      <c r="R310" s="1" t="s">
        <v>66</v>
      </c>
      <c r="S310" s="16">
        <v>29768.2</v>
      </c>
      <c r="T310" s="25">
        <v>87.26</v>
      </c>
      <c r="U310" s="25">
        <v>0</v>
      </c>
      <c r="V310" s="25">
        <v>0</v>
      </c>
      <c r="W310" s="25">
        <v>2.75</v>
      </c>
      <c r="X310" s="25">
        <v>50.01</v>
      </c>
      <c r="Y310" s="25">
        <v>8.44</v>
      </c>
      <c r="Z310" s="17">
        <f t="shared" si="116"/>
        <v>1.6799806504928076E-3</v>
      </c>
      <c r="AA310" s="18">
        <v>0.15</v>
      </c>
      <c r="AB310" s="16">
        <f t="shared" si="110"/>
        <v>7.5014999999999992</v>
      </c>
      <c r="AC310" s="16">
        <v>0</v>
      </c>
      <c r="AD310" s="16">
        <v>0</v>
      </c>
      <c r="AE310" s="16">
        <v>0</v>
      </c>
      <c r="AF310" s="16">
        <f t="shared" si="117"/>
        <v>7.5014999999999992</v>
      </c>
      <c r="AG310" s="16">
        <f t="shared" si="126"/>
        <v>1.20024</v>
      </c>
      <c r="AH310" s="16">
        <f t="shared" si="118"/>
        <v>8.7017399999999991</v>
      </c>
      <c r="AI310" s="16">
        <f t="shared" si="127"/>
        <v>0.15003</v>
      </c>
      <c r="AJ310" s="16">
        <v>0</v>
      </c>
      <c r="AK310" s="16">
        <f t="shared" si="119"/>
        <v>0.15003</v>
      </c>
      <c r="AL310" s="19"/>
      <c r="AM310" s="16">
        <f t="shared" si="120"/>
        <v>7.3514699999999991</v>
      </c>
      <c r="AN310" s="16" t="s">
        <v>147</v>
      </c>
      <c r="AO310" s="20">
        <v>0.4</v>
      </c>
      <c r="AP310" s="16">
        <f t="shared" si="121"/>
        <v>2.940588</v>
      </c>
      <c r="AQ310" s="16">
        <v>2.940588</v>
      </c>
      <c r="AR310" s="15">
        <v>45229</v>
      </c>
      <c r="AS310" s="16">
        <f t="shared" si="122"/>
        <v>0</v>
      </c>
      <c r="AT310" s="16"/>
      <c r="AU310" s="16">
        <v>8.7017399999999991</v>
      </c>
      <c r="AV310" s="16">
        <f t="shared" si="128"/>
        <v>8.7017399999999991</v>
      </c>
      <c r="AW310" s="16">
        <f t="shared" si="123"/>
        <v>0</v>
      </c>
      <c r="AX310" s="16" t="str">
        <f t="shared" si="124"/>
        <v>SFA</v>
      </c>
      <c r="AY310" s="22">
        <v>45070</v>
      </c>
      <c r="AZ310" s="22"/>
      <c r="BA310" s="1" t="s">
        <v>148</v>
      </c>
      <c r="BB310" s="1" t="s">
        <v>104</v>
      </c>
      <c r="BC310" s="1"/>
      <c r="BD310" s="1"/>
      <c r="BE310" s="1"/>
    </row>
    <row r="311" spans="1:57" ht="14.25" hidden="1" customHeight="1">
      <c r="A311" s="2" t="s">
        <v>165</v>
      </c>
      <c r="B311" s="1" t="s">
        <v>58</v>
      </c>
      <c r="C311" s="27">
        <v>45072</v>
      </c>
      <c r="D311" s="27">
        <v>45016</v>
      </c>
      <c r="E311" s="27">
        <v>45012</v>
      </c>
      <c r="F311" s="27">
        <v>45376</v>
      </c>
      <c r="G311" s="13" t="str">
        <f t="shared" si="115"/>
        <v>000-310/AIB RDC/2023</v>
      </c>
      <c r="H311" s="1">
        <v>0</v>
      </c>
      <c r="I311" s="1" t="s">
        <v>83</v>
      </c>
      <c r="J311" s="14" t="s">
        <v>563</v>
      </c>
      <c r="K311" s="1" t="s">
        <v>197</v>
      </c>
      <c r="L311" s="1"/>
      <c r="M311" s="1" t="s">
        <v>95</v>
      </c>
      <c r="N311" s="2" t="s">
        <v>146</v>
      </c>
      <c r="O311" s="1" t="s">
        <v>104</v>
      </c>
      <c r="P311" s="1" t="s">
        <v>105</v>
      </c>
      <c r="Q311" s="1" t="s">
        <v>66</v>
      </c>
      <c r="R311" s="1" t="s">
        <v>66</v>
      </c>
      <c r="S311" s="16">
        <v>11146.5</v>
      </c>
      <c r="T311" s="25">
        <v>48.18</v>
      </c>
      <c r="U311" s="25">
        <v>0</v>
      </c>
      <c r="V311" s="25">
        <v>0</v>
      </c>
      <c r="W311" s="25">
        <v>2.2599999999999998</v>
      </c>
      <c r="X311" s="25">
        <v>17.39</v>
      </c>
      <c r="Y311" s="25">
        <v>3.14</v>
      </c>
      <c r="Z311" s="17">
        <f t="shared" si="116"/>
        <v>1.5601309828197193E-3</v>
      </c>
      <c r="AA311" s="18">
        <v>0.15</v>
      </c>
      <c r="AB311" s="16">
        <f t="shared" si="110"/>
        <v>2.6084999999999998</v>
      </c>
      <c r="AC311" s="16">
        <v>0</v>
      </c>
      <c r="AD311" s="16">
        <v>0</v>
      </c>
      <c r="AE311" s="16">
        <v>0</v>
      </c>
      <c r="AF311" s="16">
        <f t="shared" si="117"/>
        <v>2.6084999999999998</v>
      </c>
      <c r="AG311" s="16">
        <f t="shared" si="126"/>
        <v>0.41735999999999995</v>
      </c>
      <c r="AH311" s="16">
        <f t="shared" si="118"/>
        <v>3.0258599999999998</v>
      </c>
      <c r="AI311" s="16">
        <f t="shared" si="127"/>
        <v>5.2169999999999994E-2</v>
      </c>
      <c r="AJ311" s="16">
        <v>0</v>
      </c>
      <c r="AK311" s="16">
        <f t="shared" si="119"/>
        <v>5.2169999999999994E-2</v>
      </c>
      <c r="AL311" s="19"/>
      <c r="AM311" s="16">
        <f t="shared" si="120"/>
        <v>2.55633</v>
      </c>
      <c r="AN311" s="16" t="s">
        <v>147</v>
      </c>
      <c r="AO311" s="20">
        <v>0.4</v>
      </c>
      <c r="AP311" s="16">
        <f t="shared" si="121"/>
        <v>1.022532</v>
      </c>
      <c r="AQ311" s="16">
        <v>1.022532</v>
      </c>
      <c r="AR311" s="15">
        <v>45229</v>
      </c>
      <c r="AS311" s="16">
        <f t="shared" si="122"/>
        <v>0</v>
      </c>
      <c r="AT311" s="16"/>
      <c r="AU311" s="16">
        <v>3.0258599999999998</v>
      </c>
      <c r="AV311" s="16">
        <f t="shared" si="128"/>
        <v>3.0258599999999998</v>
      </c>
      <c r="AW311" s="16">
        <f t="shared" si="123"/>
        <v>0</v>
      </c>
      <c r="AX311" s="16" t="str">
        <f t="shared" si="124"/>
        <v>SFA</v>
      </c>
      <c r="AY311" s="22">
        <v>45070</v>
      </c>
      <c r="AZ311" s="22"/>
      <c r="BA311" s="1" t="s">
        <v>148</v>
      </c>
      <c r="BB311" s="1" t="s">
        <v>104</v>
      </c>
      <c r="BC311" s="1"/>
      <c r="BD311" s="1"/>
      <c r="BE311" s="1"/>
    </row>
    <row r="312" spans="1:57" ht="14.25" hidden="1" customHeight="1">
      <c r="A312" s="2" t="s">
        <v>165</v>
      </c>
      <c r="B312" s="1" t="s">
        <v>58</v>
      </c>
      <c r="C312" s="27">
        <v>45072</v>
      </c>
      <c r="D312" s="27">
        <v>45016</v>
      </c>
      <c r="E312" s="27">
        <v>45012</v>
      </c>
      <c r="F312" s="27">
        <v>45376</v>
      </c>
      <c r="G312" s="13" t="str">
        <f t="shared" si="115"/>
        <v>000-311/AIB RDC/2023</v>
      </c>
      <c r="H312" s="1">
        <v>0</v>
      </c>
      <c r="I312" s="1" t="s">
        <v>83</v>
      </c>
      <c r="J312" s="14" t="s">
        <v>564</v>
      </c>
      <c r="K312" s="1" t="s">
        <v>197</v>
      </c>
      <c r="L312" s="1"/>
      <c r="M312" s="1" t="s">
        <v>95</v>
      </c>
      <c r="N312" s="2" t="s">
        <v>146</v>
      </c>
      <c r="O312" s="1" t="s">
        <v>104</v>
      </c>
      <c r="P312" s="1" t="s">
        <v>105</v>
      </c>
      <c r="Q312" s="1" t="s">
        <v>66</v>
      </c>
      <c r="R312" s="1" t="s">
        <v>66</v>
      </c>
      <c r="S312" s="16">
        <v>20651.400000000001</v>
      </c>
      <c r="T312" s="25">
        <v>68.900000000000006</v>
      </c>
      <c r="U312" s="25">
        <v>0</v>
      </c>
      <c r="V312" s="25">
        <v>0</v>
      </c>
      <c r="W312" s="25">
        <v>2.52</v>
      </c>
      <c r="X312" s="25">
        <v>34.69</v>
      </c>
      <c r="Y312" s="25">
        <v>5.95</v>
      </c>
      <c r="Z312" s="17">
        <f t="shared" si="116"/>
        <v>1.6797892636818809E-3</v>
      </c>
      <c r="AA312" s="18">
        <v>0.15</v>
      </c>
      <c r="AB312" s="16">
        <f t="shared" si="110"/>
        <v>5.2034999999999991</v>
      </c>
      <c r="AC312" s="16">
        <v>0</v>
      </c>
      <c r="AD312" s="16">
        <v>0</v>
      </c>
      <c r="AE312" s="16">
        <v>0</v>
      </c>
      <c r="AF312" s="16">
        <f t="shared" si="117"/>
        <v>5.2034999999999991</v>
      </c>
      <c r="AG312" s="16">
        <f t="shared" si="126"/>
        <v>0.83255999999999986</v>
      </c>
      <c r="AH312" s="16">
        <f t="shared" si="118"/>
        <v>6.0360599999999991</v>
      </c>
      <c r="AI312" s="16">
        <f t="shared" si="127"/>
        <v>0.10406999999999998</v>
      </c>
      <c r="AJ312" s="16">
        <v>0</v>
      </c>
      <c r="AK312" s="16">
        <f t="shared" si="119"/>
        <v>0.10406999999999998</v>
      </c>
      <c r="AL312" s="19"/>
      <c r="AM312" s="16">
        <f t="shared" si="120"/>
        <v>5.099429999999999</v>
      </c>
      <c r="AN312" s="16" t="s">
        <v>147</v>
      </c>
      <c r="AO312" s="20">
        <v>0.4</v>
      </c>
      <c r="AP312" s="16">
        <f t="shared" si="121"/>
        <v>2.0397719999999997</v>
      </c>
      <c r="AQ312" s="16">
        <v>2.0397719999999997</v>
      </c>
      <c r="AR312" s="15">
        <v>45229</v>
      </c>
      <c r="AS312" s="16">
        <f t="shared" si="122"/>
        <v>0</v>
      </c>
      <c r="AT312" s="16"/>
      <c r="AU312" s="16">
        <v>6.0360599999999991</v>
      </c>
      <c r="AV312" s="16">
        <f t="shared" si="128"/>
        <v>6.0360599999999991</v>
      </c>
      <c r="AW312" s="16">
        <f t="shared" si="123"/>
        <v>0</v>
      </c>
      <c r="AX312" s="16" t="str">
        <f t="shared" si="124"/>
        <v>SFA</v>
      </c>
      <c r="AY312" s="22">
        <v>45070</v>
      </c>
      <c r="AZ312" s="22"/>
      <c r="BA312" s="1" t="s">
        <v>148</v>
      </c>
      <c r="BB312" s="1" t="s">
        <v>104</v>
      </c>
      <c r="BC312" s="1"/>
      <c r="BD312" s="1"/>
      <c r="BE312" s="1"/>
    </row>
    <row r="313" spans="1:57" ht="14.25" hidden="1" customHeight="1">
      <c r="A313" s="2" t="s">
        <v>165</v>
      </c>
      <c r="B313" s="1" t="s">
        <v>58</v>
      </c>
      <c r="C313" s="27">
        <v>45072</v>
      </c>
      <c r="D313" s="27">
        <v>45014</v>
      </c>
      <c r="E313" s="27">
        <v>45014</v>
      </c>
      <c r="F313" s="27">
        <v>45379</v>
      </c>
      <c r="G313" s="13" t="str">
        <f t="shared" si="115"/>
        <v>000-312/AIB RDC/2023</v>
      </c>
      <c r="H313" s="1">
        <v>0</v>
      </c>
      <c r="I313" s="1" t="s">
        <v>83</v>
      </c>
      <c r="J313" s="14" t="s">
        <v>565</v>
      </c>
      <c r="K313" s="1" t="s">
        <v>566</v>
      </c>
      <c r="L313" s="1"/>
      <c r="M313" s="1" t="s">
        <v>63</v>
      </c>
      <c r="N313" s="2" t="s">
        <v>64</v>
      </c>
      <c r="O313" s="1" t="s">
        <v>65</v>
      </c>
      <c r="P313" s="1" t="s">
        <v>65</v>
      </c>
      <c r="Q313" s="1" t="s">
        <v>76</v>
      </c>
      <c r="R313" s="1" t="s">
        <v>76</v>
      </c>
      <c r="S313" s="16">
        <v>0</v>
      </c>
      <c r="T313" s="25">
        <v>259.83999999999997</v>
      </c>
      <c r="U313" s="25">
        <v>0</v>
      </c>
      <c r="V313" s="25">
        <v>0</v>
      </c>
      <c r="W313" s="25">
        <v>10</v>
      </c>
      <c r="X313" s="25">
        <v>214</v>
      </c>
      <c r="Y313" s="25">
        <v>35.840000000000003</v>
      </c>
      <c r="Z313" s="17" t="e">
        <f t="shared" si="116"/>
        <v>#DIV/0!</v>
      </c>
      <c r="AA313" s="18">
        <v>0.125</v>
      </c>
      <c r="AB313" s="16">
        <f t="shared" si="110"/>
        <v>26.75</v>
      </c>
      <c r="AC313" s="16">
        <v>0</v>
      </c>
      <c r="AD313" s="16">
        <v>0</v>
      </c>
      <c r="AE313" s="16">
        <v>0</v>
      </c>
      <c r="AF313" s="16">
        <f t="shared" si="117"/>
        <v>26.75</v>
      </c>
      <c r="AG313" s="16">
        <f t="shared" si="126"/>
        <v>4.28</v>
      </c>
      <c r="AH313" s="16">
        <f t="shared" si="118"/>
        <v>31.03</v>
      </c>
      <c r="AI313" s="16">
        <f t="shared" si="127"/>
        <v>0.53500000000000003</v>
      </c>
      <c r="AJ313" s="16">
        <v>0</v>
      </c>
      <c r="AK313" s="16">
        <f t="shared" si="119"/>
        <v>0.53500000000000003</v>
      </c>
      <c r="AL313" s="19"/>
      <c r="AM313" s="16">
        <f t="shared" si="120"/>
        <v>26.215</v>
      </c>
      <c r="AN313" s="16"/>
      <c r="AO313" s="20"/>
      <c r="AP313" s="16">
        <f t="shared" si="121"/>
        <v>0</v>
      </c>
      <c r="AQ313" s="16"/>
      <c r="AR313" s="15"/>
      <c r="AS313" s="16">
        <f t="shared" si="122"/>
        <v>0</v>
      </c>
      <c r="AT313" s="16"/>
      <c r="AU313" s="16">
        <v>31.03</v>
      </c>
      <c r="AV313" s="16">
        <f t="shared" si="128"/>
        <v>31.03</v>
      </c>
      <c r="AW313" s="16">
        <f t="shared" si="123"/>
        <v>0</v>
      </c>
      <c r="AX313" s="16" t="str">
        <f t="shared" si="124"/>
        <v>ACTIVA</v>
      </c>
      <c r="AY313" s="22">
        <v>45082</v>
      </c>
      <c r="AZ313" s="22"/>
      <c r="BA313" s="1"/>
      <c r="BB313" s="22" t="str">
        <f t="shared" ref="BB313:BB320" si="129">O313</f>
        <v>MOTOR TPL</v>
      </c>
      <c r="BC313" s="1"/>
      <c r="BD313" s="1"/>
      <c r="BE313" s="1"/>
    </row>
    <row r="314" spans="1:57" ht="14.25" hidden="1" customHeight="1">
      <c r="A314" s="2" t="s">
        <v>230</v>
      </c>
      <c r="B314" s="1" t="s">
        <v>58</v>
      </c>
      <c r="C314" s="27">
        <v>45076</v>
      </c>
      <c r="D314" s="27">
        <v>45075</v>
      </c>
      <c r="E314" s="27">
        <v>45071</v>
      </c>
      <c r="F314" s="27">
        <v>45435</v>
      </c>
      <c r="G314" s="13" t="str">
        <f t="shared" si="115"/>
        <v>000-313/AIB RDC/2023</v>
      </c>
      <c r="H314" s="1">
        <v>0</v>
      </c>
      <c r="I314" s="1" t="s">
        <v>83</v>
      </c>
      <c r="J314" s="1" t="s">
        <v>567</v>
      </c>
      <c r="K314" s="1" t="s">
        <v>197</v>
      </c>
      <c r="L314" s="1"/>
      <c r="M314" s="1" t="s">
        <v>95</v>
      </c>
      <c r="N314" s="1" t="s">
        <v>146</v>
      </c>
      <c r="O314" s="1" t="s">
        <v>104</v>
      </c>
      <c r="P314" s="1" t="s">
        <v>105</v>
      </c>
      <c r="Q314" s="1" t="s">
        <v>66</v>
      </c>
      <c r="R314" s="1" t="s">
        <v>66</v>
      </c>
      <c r="S314" s="16">
        <v>29244.6</v>
      </c>
      <c r="T314" s="25">
        <v>101.86</v>
      </c>
      <c r="U314" s="25">
        <v>0</v>
      </c>
      <c r="V314" s="25">
        <v>0</v>
      </c>
      <c r="W314" s="25">
        <v>7.3</v>
      </c>
      <c r="X314" s="25">
        <v>58.96</v>
      </c>
      <c r="Y314" s="25">
        <v>10.6</v>
      </c>
      <c r="Z314" s="17">
        <f t="shared" si="116"/>
        <v>2.0160986985631535E-3</v>
      </c>
      <c r="AA314" s="18">
        <v>0.15</v>
      </c>
      <c r="AB314" s="16">
        <f t="shared" si="110"/>
        <v>8.8439999999999994</v>
      </c>
      <c r="AC314" s="16">
        <v>0</v>
      </c>
      <c r="AD314" s="16">
        <v>0</v>
      </c>
      <c r="AE314" s="16">
        <v>0</v>
      </c>
      <c r="AF314" s="16">
        <f t="shared" si="117"/>
        <v>8.8439999999999994</v>
      </c>
      <c r="AG314" s="16">
        <f t="shared" si="126"/>
        <v>1.4150399999999999</v>
      </c>
      <c r="AH314" s="16">
        <f t="shared" si="118"/>
        <v>10.259039999999999</v>
      </c>
      <c r="AI314" s="16">
        <f t="shared" si="127"/>
        <v>0.17687999999999998</v>
      </c>
      <c r="AJ314" s="16">
        <v>0</v>
      </c>
      <c r="AK314" s="16">
        <f t="shared" si="119"/>
        <v>0.17687999999999998</v>
      </c>
      <c r="AL314" s="19"/>
      <c r="AM314" s="16">
        <f t="shared" si="120"/>
        <v>8.6671199999999988</v>
      </c>
      <c r="AN314" s="16" t="s">
        <v>147</v>
      </c>
      <c r="AO314" s="20">
        <v>0.4</v>
      </c>
      <c r="AP314" s="16">
        <f t="shared" si="121"/>
        <v>3.4668479999999997</v>
      </c>
      <c r="AQ314" s="16">
        <v>3.4668479999999997</v>
      </c>
      <c r="AR314" s="15">
        <v>45229</v>
      </c>
      <c r="AS314" s="16">
        <f t="shared" si="122"/>
        <v>0</v>
      </c>
      <c r="AT314" s="16"/>
      <c r="AU314" s="16">
        <v>10.259039999999999</v>
      </c>
      <c r="AV314" s="16">
        <f t="shared" si="128"/>
        <v>10.259039999999999</v>
      </c>
      <c r="AW314" s="16">
        <f t="shared" si="123"/>
        <v>0</v>
      </c>
      <c r="AX314" s="16" t="str">
        <f t="shared" si="124"/>
        <v>SFA</v>
      </c>
      <c r="AY314" s="22">
        <v>45100</v>
      </c>
      <c r="AZ314" s="22"/>
      <c r="BA314" s="1" t="s">
        <v>148</v>
      </c>
      <c r="BB314" s="22" t="str">
        <f t="shared" si="129"/>
        <v>MARINE CARGO / GIT</v>
      </c>
      <c r="BC314" s="1"/>
      <c r="BD314" s="1"/>
      <c r="BE314" s="1"/>
    </row>
    <row r="315" spans="1:57" ht="14.25" hidden="1" customHeight="1">
      <c r="A315" s="2" t="s">
        <v>230</v>
      </c>
      <c r="B315" s="1" t="s">
        <v>58</v>
      </c>
      <c r="C315" s="27">
        <v>45076</v>
      </c>
      <c r="D315" s="27">
        <v>45075</v>
      </c>
      <c r="E315" s="27">
        <v>45071</v>
      </c>
      <c r="F315" s="27">
        <v>45435</v>
      </c>
      <c r="G315" s="13" t="str">
        <f t="shared" si="115"/>
        <v>000-314/AIB RDC/2023</v>
      </c>
      <c r="H315" s="1">
        <v>0</v>
      </c>
      <c r="I315" s="1" t="s">
        <v>83</v>
      </c>
      <c r="J315" s="1" t="s">
        <v>568</v>
      </c>
      <c r="K315" s="1" t="s">
        <v>197</v>
      </c>
      <c r="L315" s="1"/>
      <c r="M315" s="1" t="s">
        <v>95</v>
      </c>
      <c r="N315" s="1" t="s">
        <v>146</v>
      </c>
      <c r="O315" s="1" t="s">
        <v>104</v>
      </c>
      <c r="P315" s="1" t="s">
        <v>105</v>
      </c>
      <c r="Q315" s="1" t="s">
        <v>66</v>
      </c>
      <c r="R315" s="1" t="s">
        <v>66</v>
      </c>
      <c r="S315" s="16">
        <v>26878</v>
      </c>
      <c r="T315" s="25">
        <v>85.53</v>
      </c>
      <c r="U315" s="25">
        <v>0</v>
      </c>
      <c r="V315" s="25">
        <v>0</v>
      </c>
      <c r="W315" s="25">
        <v>7.02</v>
      </c>
      <c r="X315" s="25">
        <v>45.16</v>
      </c>
      <c r="Y315" s="25">
        <v>8.35</v>
      </c>
      <c r="Z315" s="17">
        <f t="shared" si="116"/>
        <v>1.6801845375399953E-3</v>
      </c>
      <c r="AA315" s="18">
        <v>0.15</v>
      </c>
      <c r="AB315" s="16">
        <f t="shared" ref="AB315:AB378" si="130">AA315*X315</f>
        <v>6.7739999999999991</v>
      </c>
      <c r="AC315" s="16">
        <v>0</v>
      </c>
      <c r="AD315" s="16">
        <v>0</v>
      </c>
      <c r="AE315" s="16">
        <v>0</v>
      </c>
      <c r="AF315" s="16">
        <f t="shared" si="117"/>
        <v>6.7739999999999991</v>
      </c>
      <c r="AG315" s="16">
        <f t="shared" ref="AG315:AG346" si="131">16%*AF315</f>
        <v>1.0838399999999999</v>
      </c>
      <c r="AH315" s="16">
        <f t="shared" si="118"/>
        <v>7.8578399999999995</v>
      </c>
      <c r="AI315" s="16">
        <f t="shared" ref="AI315:AI346" si="132">2%*(AB315+AC315+AD315)</f>
        <v>0.13547999999999999</v>
      </c>
      <c r="AJ315" s="16">
        <v>0</v>
      </c>
      <c r="AK315" s="16">
        <f t="shared" si="119"/>
        <v>0.13547999999999999</v>
      </c>
      <c r="AL315" s="19"/>
      <c r="AM315" s="16">
        <f t="shared" si="120"/>
        <v>6.6385199999999989</v>
      </c>
      <c r="AN315" s="16" t="s">
        <v>147</v>
      </c>
      <c r="AO315" s="20">
        <v>0.4</v>
      </c>
      <c r="AP315" s="16">
        <f t="shared" si="121"/>
        <v>2.6554079999999995</v>
      </c>
      <c r="AQ315" s="16">
        <v>2.6554079999999995</v>
      </c>
      <c r="AR315" s="15">
        <v>45229</v>
      </c>
      <c r="AS315" s="16">
        <f t="shared" si="122"/>
        <v>0</v>
      </c>
      <c r="AT315" s="16"/>
      <c r="AU315" s="16">
        <v>7.8578399999999995</v>
      </c>
      <c r="AV315" s="16">
        <f t="shared" si="128"/>
        <v>7.8578399999999995</v>
      </c>
      <c r="AW315" s="16">
        <f t="shared" si="123"/>
        <v>0</v>
      </c>
      <c r="AX315" s="16" t="str">
        <f t="shared" si="124"/>
        <v>SFA</v>
      </c>
      <c r="AY315" s="22">
        <v>45100</v>
      </c>
      <c r="AZ315" s="22"/>
      <c r="BA315" s="1" t="s">
        <v>148</v>
      </c>
      <c r="BB315" s="22" t="str">
        <f t="shared" si="129"/>
        <v>MARINE CARGO / GIT</v>
      </c>
      <c r="BC315" s="1"/>
      <c r="BD315" s="1"/>
      <c r="BE315" s="1"/>
    </row>
    <row r="316" spans="1:57" ht="14.25" hidden="1" customHeight="1">
      <c r="A316" s="2" t="s">
        <v>230</v>
      </c>
      <c r="B316" s="1" t="s">
        <v>58</v>
      </c>
      <c r="C316" s="27">
        <v>45076</v>
      </c>
      <c r="D316" s="27">
        <v>45075</v>
      </c>
      <c r="E316" s="27">
        <v>45071</v>
      </c>
      <c r="F316" s="27">
        <v>45435</v>
      </c>
      <c r="G316" s="13" t="str">
        <f t="shared" si="115"/>
        <v>000-315/AIB RDC/2023</v>
      </c>
      <c r="H316" s="1">
        <v>0</v>
      </c>
      <c r="I316" s="1" t="s">
        <v>83</v>
      </c>
      <c r="J316" s="1" t="s">
        <v>569</v>
      </c>
      <c r="K316" s="1" t="s">
        <v>197</v>
      </c>
      <c r="L316" s="1"/>
      <c r="M316" s="1" t="s">
        <v>95</v>
      </c>
      <c r="N316" s="1" t="s">
        <v>146</v>
      </c>
      <c r="O316" s="1" t="s">
        <v>104</v>
      </c>
      <c r="P316" s="1" t="s">
        <v>105</v>
      </c>
      <c r="Q316" s="1" t="s">
        <v>66</v>
      </c>
      <c r="R316" s="1" t="s">
        <v>66</v>
      </c>
      <c r="S316" s="16">
        <v>20574.400000000001</v>
      </c>
      <c r="T316" s="25">
        <v>72.989999999999995</v>
      </c>
      <c r="U316" s="25">
        <v>0</v>
      </c>
      <c r="V316" s="25">
        <v>0</v>
      </c>
      <c r="W316" s="25">
        <v>6.81</v>
      </c>
      <c r="X316" s="25">
        <v>34.56</v>
      </c>
      <c r="Y316" s="25">
        <v>6.62</v>
      </c>
      <c r="Z316" s="17">
        <f t="shared" si="116"/>
        <v>1.6797573683801229E-3</v>
      </c>
      <c r="AA316" s="18">
        <v>0.15</v>
      </c>
      <c r="AB316" s="16">
        <f t="shared" si="130"/>
        <v>5.1840000000000002</v>
      </c>
      <c r="AC316" s="16">
        <v>0</v>
      </c>
      <c r="AD316" s="16">
        <v>0</v>
      </c>
      <c r="AE316" s="16">
        <v>0</v>
      </c>
      <c r="AF316" s="16">
        <f t="shared" si="117"/>
        <v>5.1840000000000002</v>
      </c>
      <c r="AG316" s="16">
        <f t="shared" si="131"/>
        <v>0.82944000000000007</v>
      </c>
      <c r="AH316" s="16">
        <f t="shared" si="118"/>
        <v>6.0134400000000001</v>
      </c>
      <c r="AI316" s="16">
        <f t="shared" si="132"/>
        <v>0.10368000000000001</v>
      </c>
      <c r="AJ316" s="16">
        <v>0</v>
      </c>
      <c r="AK316" s="16">
        <f t="shared" si="119"/>
        <v>0.10368000000000001</v>
      </c>
      <c r="AL316" s="19"/>
      <c r="AM316" s="16">
        <f t="shared" si="120"/>
        <v>5.0803200000000004</v>
      </c>
      <c r="AN316" s="16" t="s">
        <v>147</v>
      </c>
      <c r="AO316" s="20">
        <v>0.4</v>
      </c>
      <c r="AP316" s="16">
        <f t="shared" si="121"/>
        <v>2.0321280000000002</v>
      </c>
      <c r="AQ316" s="16">
        <v>2.0321280000000002</v>
      </c>
      <c r="AR316" s="15">
        <v>45229</v>
      </c>
      <c r="AS316" s="16">
        <f t="shared" si="122"/>
        <v>0</v>
      </c>
      <c r="AT316" s="16"/>
      <c r="AU316" s="16">
        <v>6.0134400000000001</v>
      </c>
      <c r="AV316" s="16">
        <f t="shared" si="128"/>
        <v>6.0134400000000001</v>
      </c>
      <c r="AW316" s="16">
        <f t="shared" si="123"/>
        <v>0</v>
      </c>
      <c r="AX316" s="16" t="str">
        <f t="shared" si="124"/>
        <v>SFA</v>
      </c>
      <c r="AY316" s="22">
        <v>45100</v>
      </c>
      <c r="AZ316" s="22"/>
      <c r="BA316" s="1" t="s">
        <v>148</v>
      </c>
      <c r="BB316" s="22" t="str">
        <f t="shared" si="129"/>
        <v>MARINE CARGO / GIT</v>
      </c>
      <c r="BC316" s="1"/>
      <c r="BD316" s="1"/>
      <c r="BE316" s="1"/>
    </row>
    <row r="317" spans="1:57" ht="14.25" hidden="1" customHeight="1">
      <c r="A317" s="2" t="s">
        <v>230</v>
      </c>
      <c r="B317" s="1" t="s">
        <v>58</v>
      </c>
      <c r="C317" s="27">
        <v>45076</v>
      </c>
      <c r="D317" s="27">
        <v>45075</v>
      </c>
      <c r="E317" s="27">
        <v>45071</v>
      </c>
      <c r="F317" s="27">
        <v>45435</v>
      </c>
      <c r="G317" s="13" t="str">
        <f t="shared" si="115"/>
        <v>000-316/AIB RDC/2023</v>
      </c>
      <c r="H317" s="1">
        <v>0</v>
      </c>
      <c r="I317" s="1" t="s">
        <v>83</v>
      </c>
      <c r="J317" s="1" t="s">
        <v>570</v>
      </c>
      <c r="K317" s="1" t="s">
        <v>197</v>
      </c>
      <c r="L317" s="1"/>
      <c r="M317" s="1" t="s">
        <v>95</v>
      </c>
      <c r="N317" s="1" t="s">
        <v>146</v>
      </c>
      <c r="O317" s="1" t="s">
        <v>104</v>
      </c>
      <c r="P317" s="1" t="s">
        <v>105</v>
      </c>
      <c r="Q317" s="1" t="s">
        <v>66</v>
      </c>
      <c r="R317" s="1" t="s">
        <v>66</v>
      </c>
      <c r="S317" s="16">
        <v>33814.800000000003</v>
      </c>
      <c r="T317" s="25">
        <v>99.32</v>
      </c>
      <c r="U317" s="25">
        <v>0</v>
      </c>
      <c r="V317" s="25">
        <v>0</v>
      </c>
      <c r="W317" s="25">
        <v>7.26</v>
      </c>
      <c r="X317" s="25">
        <v>56.81</v>
      </c>
      <c r="Y317" s="25">
        <v>10.25</v>
      </c>
      <c r="Z317" s="17">
        <f t="shared" si="116"/>
        <v>1.680033594757325E-3</v>
      </c>
      <c r="AA317" s="18">
        <v>0.15</v>
      </c>
      <c r="AB317" s="16">
        <f t="shared" si="130"/>
        <v>8.5214999999999996</v>
      </c>
      <c r="AC317" s="16">
        <v>0</v>
      </c>
      <c r="AD317" s="16">
        <v>0</v>
      </c>
      <c r="AE317" s="16">
        <v>0</v>
      </c>
      <c r="AF317" s="16">
        <f t="shared" si="117"/>
        <v>8.5214999999999996</v>
      </c>
      <c r="AG317" s="16">
        <f t="shared" si="131"/>
        <v>1.36344</v>
      </c>
      <c r="AH317" s="16">
        <f t="shared" si="118"/>
        <v>9.8849400000000003</v>
      </c>
      <c r="AI317" s="16">
        <f t="shared" si="132"/>
        <v>0.17043</v>
      </c>
      <c r="AJ317" s="16">
        <v>0</v>
      </c>
      <c r="AK317" s="16">
        <f t="shared" si="119"/>
        <v>0.17043</v>
      </c>
      <c r="AL317" s="19"/>
      <c r="AM317" s="16">
        <f t="shared" si="120"/>
        <v>8.35107</v>
      </c>
      <c r="AN317" s="16" t="s">
        <v>147</v>
      </c>
      <c r="AO317" s="20">
        <v>0.4</v>
      </c>
      <c r="AP317" s="16">
        <f t="shared" si="121"/>
        <v>3.3404280000000002</v>
      </c>
      <c r="AQ317" s="16">
        <v>3.3404280000000002</v>
      </c>
      <c r="AR317" s="15">
        <v>45229</v>
      </c>
      <c r="AS317" s="16">
        <f t="shared" si="122"/>
        <v>0</v>
      </c>
      <c r="AT317" s="16"/>
      <c r="AU317" s="16">
        <v>9.8849400000000003</v>
      </c>
      <c r="AV317" s="16">
        <f t="shared" si="128"/>
        <v>9.8849400000000003</v>
      </c>
      <c r="AW317" s="16">
        <f t="shared" si="123"/>
        <v>0</v>
      </c>
      <c r="AX317" s="16" t="str">
        <f t="shared" si="124"/>
        <v>SFA</v>
      </c>
      <c r="AY317" s="22">
        <v>45100</v>
      </c>
      <c r="AZ317" s="22"/>
      <c r="BA317" s="1" t="s">
        <v>148</v>
      </c>
      <c r="BB317" s="22" t="str">
        <f t="shared" si="129"/>
        <v>MARINE CARGO / GIT</v>
      </c>
      <c r="BC317" s="1"/>
      <c r="BD317" s="1"/>
      <c r="BE317" s="1"/>
    </row>
    <row r="318" spans="1:57" ht="14.25" hidden="1" customHeight="1">
      <c r="A318" s="2" t="s">
        <v>230</v>
      </c>
      <c r="B318" s="1" t="s">
        <v>58</v>
      </c>
      <c r="C318" s="27">
        <v>45076</v>
      </c>
      <c r="D318" s="27">
        <v>45075</v>
      </c>
      <c r="E318" s="27">
        <v>45071</v>
      </c>
      <c r="F318" s="27">
        <v>45435</v>
      </c>
      <c r="G318" s="13" t="str">
        <f t="shared" si="115"/>
        <v>000-317/AIB RDC/2023</v>
      </c>
      <c r="H318" s="1">
        <v>0</v>
      </c>
      <c r="I318" s="1" t="s">
        <v>83</v>
      </c>
      <c r="J318" s="1" t="s">
        <v>571</v>
      </c>
      <c r="K318" s="1" t="s">
        <v>197</v>
      </c>
      <c r="L318" s="1"/>
      <c r="M318" s="1" t="s">
        <v>95</v>
      </c>
      <c r="N318" s="1" t="s">
        <v>146</v>
      </c>
      <c r="O318" s="1" t="s">
        <v>104</v>
      </c>
      <c r="P318" s="1" t="s">
        <v>105</v>
      </c>
      <c r="Q318" s="1" t="s">
        <v>66</v>
      </c>
      <c r="R318" s="1" t="s">
        <v>66</v>
      </c>
      <c r="S318" s="16">
        <v>12775</v>
      </c>
      <c r="T318" s="25">
        <v>60.4</v>
      </c>
      <c r="U318" s="25">
        <v>0</v>
      </c>
      <c r="V318" s="25">
        <v>0</v>
      </c>
      <c r="W318" s="25">
        <v>6.6</v>
      </c>
      <c r="X318" s="25">
        <v>23.92</v>
      </c>
      <c r="Y318" s="25">
        <v>4.88</v>
      </c>
      <c r="Z318" s="17">
        <f t="shared" si="116"/>
        <v>1.8724070450097849E-3</v>
      </c>
      <c r="AA318" s="18">
        <v>0.15</v>
      </c>
      <c r="AB318" s="16">
        <f t="shared" si="130"/>
        <v>3.5880000000000001</v>
      </c>
      <c r="AC318" s="16">
        <v>0</v>
      </c>
      <c r="AD318" s="16">
        <v>0</v>
      </c>
      <c r="AE318" s="16">
        <v>0</v>
      </c>
      <c r="AF318" s="16">
        <f t="shared" si="117"/>
        <v>3.5880000000000001</v>
      </c>
      <c r="AG318" s="16">
        <f t="shared" si="131"/>
        <v>0.57408000000000003</v>
      </c>
      <c r="AH318" s="16">
        <f t="shared" si="118"/>
        <v>4.1620800000000004</v>
      </c>
      <c r="AI318" s="16">
        <f t="shared" si="132"/>
        <v>7.1760000000000004E-2</v>
      </c>
      <c r="AJ318" s="16">
        <v>0</v>
      </c>
      <c r="AK318" s="16">
        <f t="shared" si="119"/>
        <v>7.1760000000000004E-2</v>
      </c>
      <c r="AL318" s="19"/>
      <c r="AM318" s="16">
        <f t="shared" si="120"/>
        <v>3.5162400000000003</v>
      </c>
      <c r="AN318" s="16" t="s">
        <v>147</v>
      </c>
      <c r="AO318" s="20">
        <v>0.4</v>
      </c>
      <c r="AP318" s="16">
        <f t="shared" si="121"/>
        <v>1.4064960000000002</v>
      </c>
      <c r="AQ318" s="16">
        <v>1.4064960000000002</v>
      </c>
      <c r="AR318" s="15">
        <v>45229</v>
      </c>
      <c r="AS318" s="16">
        <f t="shared" si="122"/>
        <v>0</v>
      </c>
      <c r="AT318" s="16"/>
      <c r="AU318" s="16">
        <v>4.1620800000000004</v>
      </c>
      <c r="AV318" s="16">
        <f t="shared" si="128"/>
        <v>4.1620800000000004</v>
      </c>
      <c r="AW318" s="16">
        <f t="shared" si="123"/>
        <v>0</v>
      </c>
      <c r="AX318" s="16" t="str">
        <f t="shared" si="124"/>
        <v>SFA</v>
      </c>
      <c r="AY318" s="22">
        <v>45100</v>
      </c>
      <c r="AZ318" s="22"/>
      <c r="BA318" s="1" t="s">
        <v>148</v>
      </c>
      <c r="BB318" s="22" t="str">
        <f t="shared" si="129"/>
        <v>MARINE CARGO / GIT</v>
      </c>
      <c r="BC318" s="1"/>
      <c r="BD318" s="1"/>
      <c r="BE318" s="1"/>
    </row>
    <row r="319" spans="1:57" ht="14.25" hidden="1" customHeight="1">
      <c r="A319" s="2" t="s">
        <v>230</v>
      </c>
      <c r="B319" s="1" t="s">
        <v>58</v>
      </c>
      <c r="C319" s="27">
        <v>45076</v>
      </c>
      <c r="D319" s="27">
        <v>45075</v>
      </c>
      <c r="E319" s="27">
        <v>45069</v>
      </c>
      <c r="F319" s="27">
        <v>45433</v>
      </c>
      <c r="G319" s="13" t="str">
        <f t="shared" si="115"/>
        <v>000-318/AIB RDC/2023</v>
      </c>
      <c r="H319" s="1">
        <v>0</v>
      </c>
      <c r="I319" s="1" t="s">
        <v>83</v>
      </c>
      <c r="J319" s="1" t="s">
        <v>572</v>
      </c>
      <c r="K319" s="1" t="s">
        <v>573</v>
      </c>
      <c r="L319" s="1"/>
      <c r="M319" s="1" t="s">
        <v>95</v>
      </c>
      <c r="N319" s="1" t="s">
        <v>146</v>
      </c>
      <c r="O319" s="1" t="s">
        <v>104</v>
      </c>
      <c r="P319" s="1" t="s">
        <v>105</v>
      </c>
      <c r="Q319" s="1" t="s">
        <v>66</v>
      </c>
      <c r="R319" s="1" t="s">
        <v>66</v>
      </c>
      <c r="S319" s="16">
        <v>375275.94</v>
      </c>
      <c r="T319" s="25">
        <v>1342.88</v>
      </c>
      <c r="U319" s="25">
        <v>0</v>
      </c>
      <c r="V319" s="25">
        <v>0</v>
      </c>
      <c r="W319" s="25">
        <v>28.28</v>
      </c>
      <c r="X319" s="25">
        <v>1107.82</v>
      </c>
      <c r="Y319" s="25">
        <v>181.78</v>
      </c>
      <c r="Z319" s="17">
        <f t="shared" si="116"/>
        <v>2.9520144563491067E-3</v>
      </c>
      <c r="AA319" s="18">
        <v>0.15</v>
      </c>
      <c r="AB319" s="16">
        <f t="shared" si="130"/>
        <v>166.17299999999997</v>
      </c>
      <c r="AC319" s="16">
        <v>0</v>
      </c>
      <c r="AD319" s="16">
        <v>0</v>
      </c>
      <c r="AE319" s="16">
        <v>0</v>
      </c>
      <c r="AF319" s="16">
        <f t="shared" si="117"/>
        <v>166.17299999999997</v>
      </c>
      <c r="AG319" s="16">
        <f t="shared" si="131"/>
        <v>26.587679999999995</v>
      </c>
      <c r="AH319" s="16">
        <f t="shared" si="118"/>
        <v>192.76067999999998</v>
      </c>
      <c r="AI319" s="16">
        <f t="shared" si="132"/>
        <v>3.3234599999999994</v>
      </c>
      <c r="AJ319" s="16">
        <v>0</v>
      </c>
      <c r="AK319" s="16">
        <f t="shared" si="119"/>
        <v>3.3234599999999994</v>
      </c>
      <c r="AL319" s="19"/>
      <c r="AM319" s="16">
        <f t="shared" si="120"/>
        <v>162.84953999999996</v>
      </c>
      <c r="AN319" s="16" t="s">
        <v>147</v>
      </c>
      <c r="AO319" s="20">
        <v>0.4</v>
      </c>
      <c r="AP319" s="16">
        <f t="shared" si="121"/>
        <v>65.139815999999982</v>
      </c>
      <c r="AQ319" s="16">
        <v>65.139815999999982</v>
      </c>
      <c r="AR319" s="15">
        <v>45229</v>
      </c>
      <c r="AS319" s="16">
        <f t="shared" si="122"/>
        <v>0</v>
      </c>
      <c r="AT319" s="16"/>
      <c r="AU319" s="16">
        <v>192.76067999999998</v>
      </c>
      <c r="AV319" s="16">
        <f t="shared" si="128"/>
        <v>192.76067999999998</v>
      </c>
      <c r="AW319" s="16">
        <f t="shared" si="123"/>
        <v>0</v>
      </c>
      <c r="AX319" s="16" t="str">
        <f t="shared" si="124"/>
        <v>SFA</v>
      </c>
      <c r="AY319" s="22">
        <v>45100</v>
      </c>
      <c r="AZ319" s="22"/>
      <c r="BA319" s="1" t="s">
        <v>148</v>
      </c>
      <c r="BB319" s="22" t="str">
        <f t="shared" si="129"/>
        <v>MARINE CARGO / GIT</v>
      </c>
      <c r="BC319" s="1"/>
      <c r="BD319" s="1"/>
      <c r="BE319" s="1"/>
    </row>
    <row r="320" spans="1:57" ht="14.25" hidden="1" customHeight="1">
      <c r="A320" s="2" t="s">
        <v>230</v>
      </c>
      <c r="B320" s="1" t="s">
        <v>58</v>
      </c>
      <c r="C320" s="27">
        <v>45076</v>
      </c>
      <c r="D320" s="27">
        <v>45075</v>
      </c>
      <c r="E320" s="27">
        <v>45071</v>
      </c>
      <c r="F320" s="27">
        <v>45435</v>
      </c>
      <c r="G320" s="13" t="str">
        <f t="shared" si="115"/>
        <v>000-319/AIB RDC/2023</v>
      </c>
      <c r="H320" s="1">
        <v>0</v>
      </c>
      <c r="I320" s="1" t="s">
        <v>83</v>
      </c>
      <c r="J320" s="1" t="s">
        <v>574</v>
      </c>
      <c r="K320" s="1" t="s">
        <v>197</v>
      </c>
      <c r="L320" s="1"/>
      <c r="M320" s="1" t="s">
        <v>95</v>
      </c>
      <c r="N320" s="1" t="s">
        <v>146</v>
      </c>
      <c r="O320" s="1" t="s">
        <v>104</v>
      </c>
      <c r="P320" s="1" t="s">
        <v>105</v>
      </c>
      <c r="Q320" s="1" t="s">
        <v>66</v>
      </c>
      <c r="R320" s="1" t="s">
        <v>66</v>
      </c>
      <c r="S320" s="16">
        <v>168652</v>
      </c>
      <c r="T320" s="25">
        <v>493.61</v>
      </c>
      <c r="U320" s="25">
        <v>0</v>
      </c>
      <c r="V320" s="25">
        <v>0</v>
      </c>
      <c r="W320" s="25">
        <v>11.8</v>
      </c>
      <c r="X320" s="25">
        <v>284</v>
      </c>
      <c r="Y320" s="25">
        <v>47.81</v>
      </c>
      <c r="Z320" s="17">
        <f t="shared" si="116"/>
        <v>1.6839408960462965E-3</v>
      </c>
      <c r="AA320" s="18">
        <v>0.15</v>
      </c>
      <c r="AB320" s="16">
        <f t="shared" si="130"/>
        <v>42.6</v>
      </c>
      <c r="AC320" s="16">
        <v>0</v>
      </c>
      <c r="AD320" s="16">
        <v>0</v>
      </c>
      <c r="AE320" s="16">
        <v>0</v>
      </c>
      <c r="AF320" s="16">
        <f t="shared" si="117"/>
        <v>42.6</v>
      </c>
      <c r="AG320" s="16">
        <f t="shared" si="131"/>
        <v>6.8160000000000007</v>
      </c>
      <c r="AH320" s="16">
        <f t="shared" si="118"/>
        <v>49.416000000000004</v>
      </c>
      <c r="AI320" s="16">
        <f t="shared" si="132"/>
        <v>0.85200000000000009</v>
      </c>
      <c r="AJ320" s="16">
        <v>0</v>
      </c>
      <c r="AK320" s="16">
        <f t="shared" si="119"/>
        <v>0.85200000000000009</v>
      </c>
      <c r="AL320" s="19"/>
      <c r="AM320" s="16">
        <f t="shared" si="120"/>
        <v>41.748000000000005</v>
      </c>
      <c r="AN320" s="16" t="s">
        <v>147</v>
      </c>
      <c r="AO320" s="20">
        <v>0.4</v>
      </c>
      <c r="AP320" s="16">
        <f t="shared" si="121"/>
        <v>16.699200000000001</v>
      </c>
      <c r="AQ320" s="16">
        <v>16.699200000000001</v>
      </c>
      <c r="AR320" s="15">
        <v>45229</v>
      </c>
      <c r="AS320" s="16">
        <f t="shared" si="122"/>
        <v>0</v>
      </c>
      <c r="AT320" s="16"/>
      <c r="AU320" s="16">
        <v>49.416000000000004</v>
      </c>
      <c r="AV320" s="16">
        <f t="shared" si="128"/>
        <v>49.416000000000004</v>
      </c>
      <c r="AW320" s="16">
        <f t="shared" si="123"/>
        <v>0</v>
      </c>
      <c r="AX320" s="16" t="str">
        <f t="shared" si="124"/>
        <v>SFA</v>
      </c>
      <c r="AY320" s="22">
        <v>45100</v>
      </c>
      <c r="AZ320" s="22"/>
      <c r="BA320" s="1" t="s">
        <v>148</v>
      </c>
      <c r="BB320" s="22" t="str">
        <f t="shared" si="129"/>
        <v>MARINE CARGO / GIT</v>
      </c>
      <c r="BC320" s="1"/>
      <c r="BD320" s="1"/>
      <c r="BE320" s="1"/>
    </row>
    <row r="321" spans="1:57" ht="14.25" hidden="1" customHeight="1">
      <c r="A321" s="2" t="s">
        <v>230</v>
      </c>
      <c r="B321" s="1" t="s">
        <v>58</v>
      </c>
      <c r="C321" s="27">
        <v>45076</v>
      </c>
      <c r="D321" s="27">
        <v>45076</v>
      </c>
      <c r="E321" s="27">
        <v>45066</v>
      </c>
      <c r="F321" s="27">
        <v>45430</v>
      </c>
      <c r="G321" s="13" t="str">
        <f t="shared" si="115"/>
        <v>000-320/AIB RDC/2023</v>
      </c>
      <c r="H321" s="1">
        <v>0</v>
      </c>
      <c r="I321" s="1" t="s">
        <v>83</v>
      </c>
      <c r="J321" s="1" t="s">
        <v>575</v>
      </c>
      <c r="K321" s="1" t="s">
        <v>540</v>
      </c>
      <c r="L321" s="1"/>
      <c r="M321" s="1" t="s">
        <v>95</v>
      </c>
      <c r="N321" s="1" t="s">
        <v>146</v>
      </c>
      <c r="O321" s="1" t="s">
        <v>104</v>
      </c>
      <c r="P321" s="1" t="s">
        <v>105</v>
      </c>
      <c r="Q321" s="1" t="s">
        <v>66</v>
      </c>
      <c r="R321" s="1" t="s">
        <v>66</v>
      </c>
      <c r="S321" s="16">
        <v>30725.4</v>
      </c>
      <c r="T321" s="25">
        <v>103.81</v>
      </c>
      <c r="U321" s="25">
        <v>0</v>
      </c>
      <c r="V321" s="25">
        <v>0</v>
      </c>
      <c r="W321" s="25">
        <v>6</v>
      </c>
      <c r="X321" s="25">
        <v>61.94</v>
      </c>
      <c r="Y321" s="25">
        <v>10.87</v>
      </c>
      <c r="Z321" s="17">
        <f t="shared" si="116"/>
        <v>2.0159216804337778E-3</v>
      </c>
      <c r="AA321" s="18">
        <v>0.15</v>
      </c>
      <c r="AB321" s="16">
        <f t="shared" si="130"/>
        <v>9.2909999999999986</v>
      </c>
      <c r="AC321" s="16">
        <v>0</v>
      </c>
      <c r="AD321" s="16">
        <v>0</v>
      </c>
      <c r="AE321" s="16">
        <v>0</v>
      </c>
      <c r="AF321" s="16">
        <f t="shared" si="117"/>
        <v>9.2909999999999986</v>
      </c>
      <c r="AG321" s="16">
        <f t="shared" si="131"/>
        <v>1.4865599999999999</v>
      </c>
      <c r="AH321" s="16">
        <f t="shared" si="118"/>
        <v>10.777559999999998</v>
      </c>
      <c r="AI321" s="16">
        <f t="shared" si="132"/>
        <v>0.18581999999999999</v>
      </c>
      <c r="AJ321" s="16">
        <v>0</v>
      </c>
      <c r="AK321" s="16">
        <f t="shared" si="119"/>
        <v>0.18581999999999999</v>
      </c>
      <c r="AL321" s="19"/>
      <c r="AM321" s="16">
        <f t="shared" si="120"/>
        <v>9.1051799999999989</v>
      </c>
      <c r="AN321" s="16" t="s">
        <v>147</v>
      </c>
      <c r="AO321" s="20">
        <v>0.4</v>
      </c>
      <c r="AP321" s="16">
        <f t="shared" si="121"/>
        <v>3.6420719999999998</v>
      </c>
      <c r="AQ321" s="16">
        <v>3.6420719999999998</v>
      </c>
      <c r="AR321" s="15">
        <v>45229</v>
      </c>
      <c r="AS321" s="16">
        <f t="shared" si="122"/>
        <v>0</v>
      </c>
      <c r="AT321" s="16"/>
      <c r="AU321" s="16">
        <v>10.777559999999998</v>
      </c>
      <c r="AV321" s="16">
        <f t="shared" si="128"/>
        <v>10.777559999999998</v>
      </c>
      <c r="AW321" s="16">
        <f t="shared" si="123"/>
        <v>0</v>
      </c>
      <c r="AX321" s="16" t="str">
        <f t="shared" si="124"/>
        <v>SFA</v>
      </c>
      <c r="AY321" s="22">
        <v>45100</v>
      </c>
      <c r="AZ321" s="22"/>
      <c r="BA321" s="1" t="s">
        <v>148</v>
      </c>
      <c r="BB321" s="1" t="s">
        <v>104</v>
      </c>
      <c r="BC321" s="1"/>
      <c r="BD321" s="1"/>
      <c r="BE321" s="1"/>
    </row>
    <row r="322" spans="1:57" ht="14.25" hidden="1" customHeight="1">
      <c r="A322" s="2" t="s">
        <v>406</v>
      </c>
      <c r="B322" s="1" t="s">
        <v>58</v>
      </c>
      <c r="C322" s="27">
        <v>45076</v>
      </c>
      <c r="D322" s="27">
        <v>45076</v>
      </c>
      <c r="E322" s="27">
        <v>45042</v>
      </c>
      <c r="F322" s="27">
        <v>45406</v>
      </c>
      <c r="G322" s="13" t="str">
        <f t="shared" si="115"/>
        <v>000-321/AIB RDC/2023</v>
      </c>
      <c r="H322" s="1">
        <v>0</v>
      </c>
      <c r="I322" s="1" t="s">
        <v>83</v>
      </c>
      <c r="J322" s="1" t="s">
        <v>576</v>
      </c>
      <c r="K322" s="1" t="s">
        <v>197</v>
      </c>
      <c r="L322" s="1"/>
      <c r="M322" s="1" t="s">
        <v>95</v>
      </c>
      <c r="N322" s="1" t="s">
        <v>146</v>
      </c>
      <c r="O322" s="1" t="s">
        <v>104</v>
      </c>
      <c r="P322" s="1" t="s">
        <v>105</v>
      </c>
      <c r="Q322" s="1" t="s">
        <v>66</v>
      </c>
      <c r="R322" s="1" t="s">
        <v>66</v>
      </c>
      <c r="S322" s="16">
        <v>21575.94</v>
      </c>
      <c r="T322" s="25">
        <v>67.040000000000006</v>
      </c>
      <c r="U322" s="25">
        <v>0</v>
      </c>
      <c r="V322" s="25">
        <v>0</v>
      </c>
      <c r="W322" s="25">
        <v>2.58</v>
      </c>
      <c r="X322" s="25">
        <v>33.659999999999997</v>
      </c>
      <c r="Y322" s="25">
        <v>5.8</v>
      </c>
      <c r="Z322" s="17">
        <f t="shared" si="116"/>
        <v>1.5600710791743024E-3</v>
      </c>
      <c r="AA322" s="18">
        <v>0.15</v>
      </c>
      <c r="AB322" s="16">
        <f t="shared" si="130"/>
        <v>5.0489999999999995</v>
      </c>
      <c r="AC322" s="16">
        <v>0</v>
      </c>
      <c r="AD322" s="16">
        <v>0</v>
      </c>
      <c r="AE322" s="16">
        <v>0</v>
      </c>
      <c r="AF322" s="16">
        <f t="shared" si="117"/>
        <v>5.0489999999999995</v>
      </c>
      <c r="AG322" s="16">
        <f t="shared" si="131"/>
        <v>0.80783999999999989</v>
      </c>
      <c r="AH322" s="16">
        <f t="shared" si="118"/>
        <v>5.8568399999999992</v>
      </c>
      <c r="AI322" s="16">
        <f t="shared" si="132"/>
        <v>0.10097999999999999</v>
      </c>
      <c r="AJ322" s="16">
        <v>0</v>
      </c>
      <c r="AK322" s="16">
        <f t="shared" si="119"/>
        <v>0.10097999999999999</v>
      </c>
      <c r="AL322" s="19"/>
      <c r="AM322" s="16">
        <f t="shared" si="120"/>
        <v>4.9480199999999996</v>
      </c>
      <c r="AN322" s="16" t="s">
        <v>147</v>
      </c>
      <c r="AO322" s="20">
        <v>0.4</v>
      </c>
      <c r="AP322" s="16">
        <f t="shared" si="121"/>
        <v>1.9792079999999999</v>
      </c>
      <c r="AQ322" s="16">
        <v>1.9792079999999999</v>
      </c>
      <c r="AR322" s="15">
        <v>45229</v>
      </c>
      <c r="AS322" s="16">
        <f t="shared" si="122"/>
        <v>0</v>
      </c>
      <c r="AT322" s="16"/>
      <c r="AU322" s="16">
        <v>5.8568399999999992</v>
      </c>
      <c r="AV322" s="16">
        <f t="shared" si="128"/>
        <v>5.8568399999999992</v>
      </c>
      <c r="AW322" s="16">
        <f t="shared" si="123"/>
        <v>0</v>
      </c>
      <c r="AX322" s="16" t="str">
        <f t="shared" si="124"/>
        <v>SFA</v>
      </c>
      <c r="AY322" s="22">
        <v>45100</v>
      </c>
      <c r="AZ322" s="22"/>
      <c r="BA322" s="1" t="s">
        <v>148</v>
      </c>
      <c r="BB322" s="1" t="s">
        <v>104</v>
      </c>
      <c r="BC322" s="1"/>
      <c r="BD322" s="1"/>
      <c r="BE322" s="1"/>
    </row>
    <row r="323" spans="1:57" ht="14.25" hidden="1" customHeight="1">
      <c r="A323" s="2" t="s">
        <v>230</v>
      </c>
      <c r="B323" s="1" t="s">
        <v>58</v>
      </c>
      <c r="C323" s="27">
        <v>45076</v>
      </c>
      <c r="D323" s="27">
        <v>45076</v>
      </c>
      <c r="E323" s="27">
        <v>45066</v>
      </c>
      <c r="F323" s="27">
        <v>45430</v>
      </c>
      <c r="G323" s="13" t="str">
        <f t="shared" si="115"/>
        <v>000-322/AIB RDC/2023</v>
      </c>
      <c r="H323" s="1">
        <v>0</v>
      </c>
      <c r="I323" s="1" t="s">
        <v>83</v>
      </c>
      <c r="J323" s="1" t="s">
        <v>575</v>
      </c>
      <c r="K323" s="1" t="s">
        <v>197</v>
      </c>
      <c r="L323" s="1"/>
      <c r="M323" s="1" t="s">
        <v>95</v>
      </c>
      <c r="N323" s="1" t="s">
        <v>146</v>
      </c>
      <c r="O323" s="1" t="s">
        <v>104</v>
      </c>
      <c r="P323" s="1" t="s">
        <v>105</v>
      </c>
      <c r="Q323" s="1" t="s">
        <v>66</v>
      </c>
      <c r="R323" s="1" t="s">
        <v>66</v>
      </c>
      <c r="S323" s="16">
        <v>30725.4</v>
      </c>
      <c r="T323" s="25">
        <v>103.81</v>
      </c>
      <c r="U323" s="25">
        <v>0</v>
      </c>
      <c r="V323" s="25">
        <v>0</v>
      </c>
      <c r="W323" s="25">
        <v>6</v>
      </c>
      <c r="X323" s="25">
        <v>61.94</v>
      </c>
      <c r="Y323" s="25">
        <v>10.87</v>
      </c>
      <c r="Z323" s="17">
        <f t="shared" si="116"/>
        <v>2.0159216804337778E-3</v>
      </c>
      <c r="AA323" s="18">
        <v>0.15</v>
      </c>
      <c r="AB323" s="16">
        <f t="shared" si="130"/>
        <v>9.2909999999999986</v>
      </c>
      <c r="AC323" s="16">
        <v>0</v>
      </c>
      <c r="AD323" s="16">
        <v>0</v>
      </c>
      <c r="AE323" s="16">
        <v>0</v>
      </c>
      <c r="AF323" s="16">
        <f t="shared" si="117"/>
        <v>9.2909999999999986</v>
      </c>
      <c r="AG323" s="16">
        <f t="shared" si="131"/>
        <v>1.4865599999999999</v>
      </c>
      <c r="AH323" s="16">
        <f t="shared" si="118"/>
        <v>10.777559999999998</v>
      </c>
      <c r="AI323" s="16">
        <f t="shared" si="132"/>
        <v>0.18581999999999999</v>
      </c>
      <c r="AJ323" s="16">
        <v>0</v>
      </c>
      <c r="AK323" s="16">
        <f t="shared" si="119"/>
        <v>0.18581999999999999</v>
      </c>
      <c r="AL323" s="19"/>
      <c r="AM323" s="16">
        <f t="shared" si="120"/>
        <v>9.1051799999999989</v>
      </c>
      <c r="AN323" s="16" t="s">
        <v>147</v>
      </c>
      <c r="AO323" s="20">
        <v>0.4</v>
      </c>
      <c r="AP323" s="16">
        <f t="shared" si="121"/>
        <v>3.6420719999999998</v>
      </c>
      <c r="AQ323" s="16">
        <v>3.6420719999999998</v>
      </c>
      <c r="AR323" s="15">
        <v>45229</v>
      </c>
      <c r="AS323" s="16">
        <f t="shared" si="122"/>
        <v>0</v>
      </c>
      <c r="AT323" s="16"/>
      <c r="AU323" s="16">
        <v>10.777559999999998</v>
      </c>
      <c r="AV323" s="16">
        <f t="shared" ref="AV323:AV354" si="133">AH323</f>
        <v>10.777559999999998</v>
      </c>
      <c r="AW323" s="16">
        <f t="shared" si="123"/>
        <v>0</v>
      </c>
      <c r="AX323" s="16" t="str">
        <f t="shared" si="124"/>
        <v>SFA</v>
      </c>
      <c r="AY323" s="22">
        <v>45100</v>
      </c>
      <c r="AZ323" s="22"/>
      <c r="BA323" s="1" t="s">
        <v>148</v>
      </c>
      <c r="BB323" s="1" t="s">
        <v>104</v>
      </c>
      <c r="BC323" s="1"/>
      <c r="BD323" s="1"/>
      <c r="BE323" s="1"/>
    </row>
    <row r="324" spans="1:57" ht="14.25" hidden="1" customHeight="1">
      <c r="A324" s="2" t="s">
        <v>230</v>
      </c>
      <c r="B324" s="1" t="s">
        <v>58</v>
      </c>
      <c r="C324" s="27">
        <v>45076</v>
      </c>
      <c r="D324" s="27">
        <v>45076</v>
      </c>
      <c r="E324" s="27">
        <v>45051</v>
      </c>
      <c r="F324" s="27">
        <v>45415</v>
      </c>
      <c r="G324" s="13" t="str">
        <f t="shared" si="115"/>
        <v>000-323/AIB RDC/2023</v>
      </c>
      <c r="H324" s="1">
        <v>0</v>
      </c>
      <c r="I324" s="1" t="s">
        <v>83</v>
      </c>
      <c r="J324" s="1" t="s">
        <v>577</v>
      </c>
      <c r="K324" s="1" t="s">
        <v>540</v>
      </c>
      <c r="L324" s="1"/>
      <c r="M324" s="1" t="s">
        <v>95</v>
      </c>
      <c r="N324" s="1" t="s">
        <v>146</v>
      </c>
      <c r="O324" s="1" t="s">
        <v>104</v>
      </c>
      <c r="P324" s="1" t="s">
        <v>105</v>
      </c>
      <c r="Q324" s="1" t="s">
        <v>66</v>
      </c>
      <c r="R324" s="1" t="s">
        <v>66</v>
      </c>
      <c r="S324" s="16">
        <v>318516.51</v>
      </c>
      <c r="T324" s="25">
        <v>1046.8699999999999</v>
      </c>
      <c r="U324" s="25">
        <v>0</v>
      </c>
      <c r="V324" s="25">
        <v>0</v>
      </c>
      <c r="W324" s="25">
        <v>20.93</v>
      </c>
      <c r="X324" s="25">
        <v>859.99</v>
      </c>
      <c r="Y324" s="25">
        <v>140.94999999999999</v>
      </c>
      <c r="Z324" s="17">
        <f t="shared" si="116"/>
        <v>2.6999856302582243E-3</v>
      </c>
      <c r="AA324" s="18">
        <v>0.15</v>
      </c>
      <c r="AB324" s="16">
        <f t="shared" si="130"/>
        <v>128.99850000000001</v>
      </c>
      <c r="AC324" s="16">
        <v>0</v>
      </c>
      <c r="AD324" s="16">
        <v>0</v>
      </c>
      <c r="AE324" s="16">
        <v>0</v>
      </c>
      <c r="AF324" s="16">
        <f t="shared" si="117"/>
        <v>128.99850000000001</v>
      </c>
      <c r="AG324" s="16">
        <f t="shared" si="131"/>
        <v>20.639760000000003</v>
      </c>
      <c r="AH324" s="16">
        <f t="shared" si="118"/>
        <v>149.63826</v>
      </c>
      <c r="AI324" s="16">
        <f t="shared" si="132"/>
        <v>2.5799700000000003</v>
      </c>
      <c r="AJ324" s="16">
        <v>0</v>
      </c>
      <c r="AK324" s="16">
        <f t="shared" si="119"/>
        <v>2.5799700000000003</v>
      </c>
      <c r="AL324" s="19"/>
      <c r="AM324" s="16">
        <f t="shared" si="120"/>
        <v>126.41853</v>
      </c>
      <c r="AN324" s="16" t="s">
        <v>147</v>
      </c>
      <c r="AO324" s="20">
        <v>0.4</v>
      </c>
      <c r="AP324" s="16">
        <f t="shared" si="121"/>
        <v>50.567412000000004</v>
      </c>
      <c r="AQ324" s="16">
        <v>50.567412000000004</v>
      </c>
      <c r="AR324" s="15">
        <v>45229</v>
      </c>
      <c r="AS324" s="16">
        <f t="shared" si="122"/>
        <v>0</v>
      </c>
      <c r="AT324" s="16"/>
      <c r="AU324" s="16">
        <v>149.63826</v>
      </c>
      <c r="AV324" s="16">
        <f t="shared" si="133"/>
        <v>149.63826</v>
      </c>
      <c r="AW324" s="16">
        <f t="shared" si="123"/>
        <v>0</v>
      </c>
      <c r="AX324" s="16" t="str">
        <f t="shared" si="124"/>
        <v>SFA</v>
      </c>
      <c r="AY324" s="22">
        <v>45100</v>
      </c>
      <c r="AZ324" s="22"/>
      <c r="BA324" s="1" t="s">
        <v>148</v>
      </c>
      <c r="BB324" s="1" t="s">
        <v>104</v>
      </c>
      <c r="BC324" s="1"/>
      <c r="BD324" s="1"/>
      <c r="BE324" s="1"/>
    </row>
    <row r="325" spans="1:57" ht="14.25" hidden="1" customHeight="1">
      <c r="A325" s="2" t="s">
        <v>230</v>
      </c>
      <c r="B325" s="1" t="s">
        <v>58</v>
      </c>
      <c r="C325" s="27">
        <v>45076</v>
      </c>
      <c r="D325" s="27">
        <v>45065</v>
      </c>
      <c r="E325" s="27">
        <v>45062</v>
      </c>
      <c r="F325" s="27">
        <v>45426</v>
      </c>
      <c r="G325" s="13" t="str">
        <f t="shared" si="115"/>
        <v>000-324/AIB RDC/2023</v>
      </c>
      <c r="H325" s="1">
        <v>0</v>
      </c>
      <c r="I325" s="1" t="s">
        <v>83</v>
      </c>
      <c r="J325" s="1" t="s">
        <v>578</v>
      </c>
      <c r="K325" s="1" t="s">
        <v>197</v>
      </c>
      <c r="L325" s="1"/>
      <c r="M325" s="1" t="s">
        <v>95</v>
      </c>
      <c r="N325" s="1" t="s">
        <v>146</v>
      </c>
      <c r="O325" s="1" t="s">
        <v>104</v>
      </c>
      <c r="P325" s="1" t="s">
        <v>105</v>
      </c>
      <c r="Q325" s="1" t="s">
        <v>66</v>
      </c>
      <c r="R325" s="1" t="s">
        <v>66</v>
      </c>
      <c r="S325" s="16">
        <v>291.8</v>
      </c>
      <c r="T325" s="25">
        <v>49.85</v>
      </c>
      <c r="U325" s="25">
        <v>0</v>
      </c>
      <c r="V325" s="25">
        <v>0</v>
      </c>
      <c r="W325" s="25">
        <v>6.42</v>
      </c>
      <c r="X325" s="25">
        <v>15</v>
      </c>
      <c r="Y325" s="25">
        <v>3.43</v>
      </c>
      <c r="Z325" s="17">
        <f t="shared" si="116"/>
        <v>5.140507196710075E-2</v>
      </c>
      <c r="AA325" s="18">
        <v>0.15</v>
      </c>
      <c r="AB325" s="16">
        <f t="shared" si="130"/>
        <v>2.25</v>
      </c>
      <c r="AC325" s="16">
        <v>0</v>
      </c>
      <c r="AD325" s="16">
        <v>0</v>
      </c>
      <c r="AE325" s="16">
        <v>0</v>
      </c>
      <c r="AF325" s="16">
        <f t="shared" si="117"/>
        <v>2.25</v>
      </c>
      <c r="AG325" s="16">
        <f t="shared" si="131"/>
        <v>0.36</v>
      </c>
      <c r="AH325" s="16">
        <f t="shared" si="118"/>
        <v>2.61</v>
      </c>
      <c r="AI325" s="16">
        <f t="shared" si="132"/>
        <v>4.4999999999999998E-2</v>
      </c>
      <c r="AJ325" s="16">
        <v>0</v>
      </c>
      <c r="AK325" s="16">
        <f t="shared" si="119"/>
        <v>4.4999999999999998E-2</v>
      </c>
      <c r="AL325" s="19"/>
      <c r="AM325" s="16">
        <f t="shared" si="120"/>
        <v>2.2050000000000001</v>
      </c>
      <c r="AN325" s="16" t="s">
        <v>147</v>
      </c>
      <c r="AO325" s="20">
        <v>0.4</v>
      </c>
      <c r="AP325" s="16">
        <f t="shared" si="121"/>
        <v>0.88200000000000012</v>
      </c>
      <c r="AQ325" s="16">
        <v>0.88200000000000012</v>
      </c>
      <c r="AR325" s="15">
        <v>45229</v>
      </c>
      <c r="AS325" s="16">
        <f t="shared" si="122"/>
        <v>0</v>
      </c>
      <c r="AT325" s="16"/>
      <c r="AU325" s="16">
        <v>2.61</v>
      </c>
      <c r="AV325" s="16">
        <f t="shared" si="133"/>
        <v>2.61</v>
      </c>
      <c r="AW325" s="16">
        <f t="shared" si="123"/>
        <v>0</v>
      </c>
      <c r="AX325" s="16" t="str">
        <f t="shared" si="124"/>
        <v>SFA</v>
      </c>
      <c r="AY325" s="22">
        <v>45100</v>
      </c>
      <c r="AZ325" s="22"/>
      <c r="BA325" s="1" t="s">
        <v>148</v>
      </c>
      <c r="BB325" s="1" t="s">
        <v>104</v>
      </c>
      <c r="BC325" s="1"/>
      <c r="BD325" s="1"/>
      <c r="BE325" s="1"/>
    </row>
    <row r="326" spans="1:57" ht="14.25" hidden="1" customHeight="1">
      <c r="A326" s="2" t="s">
        <v>165</v>
      </c>
      <c r="B326" s="1" t="s">
        <v>58</v>
      </c>
      <c r="C326" s="27">
        <v>45077</v>
      </c>
      <c r="D326" s="27">
        <v>45001</v>
      </c>
      <c r="E326" s="27">
        <v>44994</v>
      </c>
      <c r="F326" s="27">
        <v>45358</v>
      </c>
      <c r="G326" s="13" t="str">
        <f t="shared" ref="G326:G389" si="134">TEXT(ROW(G326)-1,"000-000") &amp; "/AIB RDC/2023"</f>
        <v>000-325/AIB RDC/2023</v>
      </c>
      <c r="H326" s="1">
        <v>0</v>
      </c>
      <c r="I326" s="1" t="s">
        <v>83</v>
      </c>
      <c r="J326" s="14" t="s">
        <v>579</v>
      </c>
      <c r="K326" s="1" t="s">
        <v>197</v>
      </c>
      <c r="L326" s="1"/>
      <c r="M326" s="1" t="s">
        <v>95</v>
      </c>
      <c r="N326" s="1" t="s">
        <v>146</v>
      </c>
      <c r="O326" s="1" t="s">
        <v>104</v>
      </c>
      <c r="P326" s="1" t="s">
        <v>105</v>
      </c>
      <c r="Q326" s="1" t="s">
        <v>66</v>
      </c>
      <c r="R326" s="1" t="s">
        <v>66</v>
      </c>
      <c r="S326" s="16">
        <v>26219.599999999999</v>
      </c>
      <c r="T326" s="25">
        <v>90.66</v>
      </c>
      <c r="U326" s="25">
        <v>0</v>
      </c>
      <c r="V326" s="25">
        <v>0</v>
      </c>
      <c r="W326" s="25">
        <v>2.79</v>
      </c>
      <c r="X326" s="25">
        <v>52.86</v>
      </c>
      <c r="Y326" s="25">
        <v>8.9</v>
      </c>
      <c r="Z326" s="17">
        <f t="shared" ref="Z326:Z389" si="135">X326/S326</f>
        <v>2.0160490625333719E-3</v>
      </c>
      <c r="AA326" s="18">
        <v>0.15</v>
      </c>
      <c r="AB326" s="16">
        <f t="shared" si="130"/>
        <v>7.9289999999999994</v>
      </c>
      <c r="AC326" s="16">
        <v>0</v>
      </c>
      <c r="AD326" s="16">
        <v>0</v>
      </c>
      <c r="AE326" s="16">
        <v>0</v>
      </c>
      <c r="AF326" s="16">
        <f t="shared" ref="AF326:AF389" si="136">SUM(AB326:AE326)</f>
        <v>7.9289999999999994</v>
      </c>
      <c r="AG326" s="16">
        <f t="shared" si="131"/>
        <v>1.26864</v>
      </c>
      <c r="AH326" s="16">
        <f t="shared" ref="AH326:AH389" si="137">AF326+AG326</f>
        <v>9.1976399999999998</v>
      </c>
      <c r="AI326" s="16">
        <f t="shared" si="132"/>
        <v>0.15858</v>
      </c>
      <c r="AJ326" s="16">
        <v>0</v>
      </c>
      <c r="AK326" s="16">
        <f t="shared" ref="AK326:AK389" si="138">AI326-AJ326</f>
        <v>0.15858</v>
      </c>
      <c r="AL326" s="19"/>
      <c r="AM326" s="16">
        <f t="shared" ref="AM326:AM389" si="139">AF326-AI326</f>
        <v>7.7704199999999997</v>
      </c>
      <c r="AN326" s="16" t="s">
        <v>147</v>
      </c>
      <c r="AO326" s="20">
        <v>0.4</v>
      </c>
      <c r="AP326" s="16">
        <f t="shared" ref="AP326:AP389" si="140">AO326*AM326</f>
        <v>3.108168</v>
      </c>
      <c r="AQ326" s="16">
        <v>3.108168</v>
      </c>
      <c r="AR326" s="15">
        <v>45229</v>
      </c>
      <c r="AS326" s="16">
        <f t="shared" ref="AS326:AS389" si="141">AP326-AQ326</f>
        <v>0</v>
      </c>
      <c r="AT326" s="16"/>
      <c r="AU326" s="16">
        <v>9.1976399999999998</v>
      </c>
      <c r="AV326" s="16">
        <f t="shared" si="133"/>
        <v>9.1976399999999998</v>
      </c>
      <c r="AW326" s="16">
        <f t="shared" ref="AW326:AW389" si="142">AV326-AU326</f>
        <v>0</v>
      </c>
      <c r="AX326" s="16" t="str">
        <f t="shared" si="124"/>
        <v>SFA</v>
      </c>
      <c r="AY326" s="22">
        <v>45070</v>
      </c>
      <c r="AZ326" s="22"/>
      <c r="BA326" s="1" t="s">
        <v>148</v>
      </c>
      <c r="BB326" s="22" t="str">
        <f>O326</f>
        <v>MARINE CARGO / GIT</v>
      </c>
      <c r="BC326" s="1"/>
      <c r="BD326" s="1"/>
      <c r="BE326" s="1"/>
    </row>
    <row r="327" spans="1:57" ht="14.25" hidden="1" customHeight="1">
      <c r="A327" s="2" t="s">
        <v>165</v>
      </c>
      <c r="B327" s="1" t="s">
        <v>58</v>
      </c>
      <c r="C327" s="27">
        <v>45071</v>
      </c>
      <c r="D327" s="27">
        <v>45022</v>
      </c>
      <c r="E327" s="27">
        <v>45002</v>
      </c>
      <c r="F327" s="27">
        <v>45366</v>
      </c>
      <c r="G327" s="13" t="str">
        <f t="shared" si="134"/>
        <v>000-326/AIB RDC/2023</v>
      </c>
      <c r="H327" s="1">
        <v>0</v>
      </c>
      <c r="I327" s="1" t="s">
        <v>83</v>
      </c>
      <c r="J327" s="29" t="s">
        <v>580</v>
      </c>
      <c r="K327" s="2" t="s">
        <v>209</v>
      </c>
      <c r="L327" s="1"/>
      <c r="M327" s="2" t="s">
        <v>95</v>
      </c>
      <c r="N327" s="2" t="s">
        <v>146</v>
      </c>
      <c r="O327" s="2" t="s">
        <v>104</v>
      </c>
      <c r="P327" s="2" t="s">
        <v>105</v>
      </c>
      <c r="Q327" s="2" t="s">
        <v>66</v>
      </c>
      <c r="R327" s="2" t="s">
        <v>66</v>
      </c>
      <c r="S327" s="16">
        <v>40942.99</v>
      </c>
      <c r="T327" s="25">
        <v>74.430000000000007</v>
      </c>
      <c r="U327" s="25">
        <v>0</v>
      </c>
      <c r="V327" s="25">
        <v>0</v>
      </c>
      <c r="W327" s="25">
        <v>2.59</v>
      </c>
      <c r="X327" s="25">
        <v>39.299999999999997</v>
      </c>
      <c r="Y327" s="25">
        <v>6.7</v>
      </c>
      <c r="Z327" s="17">
        <f t="shared" si="135"/>
        <v>9.5987127466753161E-4</v>
      </c>
      <c r="AA327" s="18">
        <v>0.15</v>
      </c>
      <c r="AB327" s="16">
        <f t="shared" si="130"/>
        <v>5.8949999999999996</v>
      </c>
      <c r="AC327" s="16">
        <v>0</v>
      </c>
      <c r="AD327" s="16">
        <v>0</v>
      </c>
      <c r="AE327" s="16">
        <v>0</v>
      </c>
      <c r="AF327" s="16">
        <f t="shared" si="136"/>
        <v>5.8949999999999996</v>
      </c>
      <c r="AG327" s="16">
        <f t="shared" si="131"/>
        <v>0.94319999999999993</v>
      </c>
      <c r="AH327" s="16">
        <f t="shared" si="137"/>
        <v>6.8381999999999996</v>
      </c>
      <c r="AI327" s="16">
        <f t="shared" si="132"/>
        <v>0.11789999999999999</v>
      </c>
      <c r="AJ327" s="16">
        <v>0</v>
      </c>
      <c r="AK327" s="16">
        <f t="shared" si="138"/>
        <v>0.11789999999999999</v>
      </c>
      <c r="AL327" s="19"/>
      <c r="AM327" s="16">
        <f t="shared" si="139"/>
        <v>5.7770999999999999</v>
      </c>
      <c r="AN327" s="16" t="s">
        <v>147</v>
      </c>
      <c r="AO327" s="20">
        <v>0.4</v>
      </c>
      <c r="AP327" s="16">
        <f t="shared" si="140"/>
        <v>2.3108400000000002</v>
      </c>
      <c r="AQ327" s="16">
        <v>2.3108400000000002</v>
      </c>
      <c r="AR327" s="15">
        <v>45229</v>
      </c>
      <c r="AS327" s="16">
        <f t="shared" si="141"/>
        <v>0</v>
      </c>
      <c r="AT327" s="16"/>
      <c r="AU327" s="16">
        <v>6.8381999999999996</v>
      </c>
      <c r="AV327" s="16">
        <f t="shared" si="133"/>
        <v>6.8381999999999996</v>
      </c>
      <c r="AW327" s="16">
        <f t="shared" si="142"/>
        <v>0</v>
      </c>
      <c r="AX327" s="16" t="str">
        <f t="shared" ref="AX327:AX390" si="143">Q327</f>
        <v>SFA</v>
      </c>
      <c r="AY327" s="22">
        <v>45076</v>
      </c>
      <c r="AZ327" s="22"/>
      <c r="BA327" s="1" t="s">
        <v>148</v>
      </c>
      <c r="BB327" s="22" t="str">
        <f>O327</f>
        <v>MARINE CARGO / GIT</v>
      </c>
      <c r="BC327" s="1"/>
      <c r="BD327" s="1"/>
      <c r="BE327" s="1"/>
    </row>
    <row r="328" spans="1:57" ht="14.25" hidden="1" customHeight="1">
      <c r="A328" s="2" t="s">
        <v>165</v>
      </c>
      <c r="B328" s="1" t="s">
        <v>58</v>
      </c>
      <c r="C328" s="27">
        <v>45071</v>
      </c>
      <c r="D328" s="27">
        <v>45022</v>
      </c>
      <c r="E328" s="27">
        <v>45002</v>
      </c>
      <c r="F328" s="27">
        <v>45366</v>
      </c>
      <c r="G328" s="13" t="str">
        <f t="shared" si="134"/>
        <v>000-327/AIB RDC/2023</v>
      </c>
      <c r="H328" s="1">
        <v>0</v>
      </c>
      <c r="I328" s="1" t="s">
        <v>83</v>
      </c>
      <c r="J328" s="29" t="s">
        <v>581</v>
      </c>
      <c r="K328" s="2" t="s">
        <v>209</v>
      </c>
      <c r="L328" s="1"/>
      <c r="M328" s="2" t="s">
        <v>95</v>
      </c>
      <c r="N328" s="2" t="s">
        <v>146</v>
      </c>
      <c r="O328" s="2" t="s">
        <v>104</v>
      </c>
      <c r="P328" s="2" t="s">
        <v>105</v>
      </c>
      <c r="Q328" s="2" t="s">
        <v>66</v>
      </c>
      <c r="R328" s="2" t="s">
        <v>66</v>
      </c>
      <c r="S328" s="16">
        <v>5623.25</v>
      </c>
      <c r="T328" s="25">
        <v>45.33</v>
      </c>
      <c r="U328" s="25">
        <v>0</v>
      </c>
      <c r="V328" s="25">
        <v>0</v>
      </c>
      <c r="W328" s="25">
        <v>2.23</v>
      </c>
      <c r="X328" s="25">
        <v>15</v>
      </c>
      <c r="Y328" s="25">
        <v>2.76</v>
      </c>
      <c r="Z328" s="17">
        <f t="shared" si="135"/>
        <v>2.6674965544836171E-3</v>
      </c>
      <c r="AA328" s="18">
        <v>0.15</v>
      </c>
      <c r="AB328" s="16">
        <f t="shared" si="130"/>
        <v>2.25</v>
      </c>
      <c r="AC328" s="16">
        <v>0</v>
      </c>
      <c r="AD328" s="16">
        <v>0</v>
      </c>
      <c r="AE328" s="16">
        <v>0</v>
      </c>
      <c r="AF328" s="16">
        <f t="shared" si="136"/>
        <v>2.25</v>
      </c>
      <c r="AG328" s="16">
        <f t="shared" si="131"/>
        <v>0.36</v>
      </c>
      <c r="AH328" s="16">
        <f t="shared" si="137"/>
        <v>2.61</v>
      </c>
      <c r="AI328" s="16">
        <f t="shared" si="132"/>
        <v>4.4999999999999998E-2</v>
      </c>
      <c r="AJ328" s="16">
        <v>0</v>
      </c>
      <c r="AK328" s="16">
        <f t="shared" si="138"/>
        <v>4.4999999999999998E-2</v>
      </c>
      <c r="AL328" s="19"/>
      <c r="AM328" s="16">
        <f t="shared" si="139"/>
        <v>2.2050000000000001</v>
      </c>
      <c r="AN328" s="16" t="s">
        <v>147</v>
      </c>
      <c r="AO328" s="20">
        <v>0.4</v>
      </c>
      <c r="AP328" s="16">
        <f t="shared" si="140"/>
        <v>0.88200000000000012</v>
      </c>
      <c r="AQ328" s="16">
        <v>0.88200000000000012</v>
      </c>
      <c r="AR328" s="15">
        <v>45229</v>
      </c>
      <c r="AS328" s="16">
        <f t="shared" si="141"/>
        <v>0</v>
      </c>
      <c r="AT328" s="16"/>
      <c r="AU328" s="16">
        <v>2.61</v>
      </c>
      <c r="AV328" s="16">
        <f t="shared" si="133"/>
        <v>2.61</v>
      </c>
      <c r="AW328" s="16">
        <f t="shared" si="142"/>
        <v>0</v>
      </c>
      <c r="AX328" s="16" t="str">
        <f t="shared" si="143"/>
        <v>SFA</v>
      </c>
      <c r="AY328" s="22">
        <v>45076</v>
      </c>
      <c r="AZ328" s="22"/>
      <c r="BA328" s="1" t="s">
        <v>148</v>
      </c>
      <c r="BB328" s="22" t="str">
        <f>O328</f>
        <v>MARINE CARGO / GIT</v>
      </c>
      <c r="BC328" s="1"/>
      <c r="BD328" s="1"/>
      <c r="BE328" s="1"/>
    </row>
    <row r="329" spans="1:57" ht="14.25" hidden="1" customHeight="1">
      <c r="A329" s="2" t="s">
        <v>165</v>
      </c>
      <c r="B329" s="1" t="s">
        <v>58</v>
      </c>
      <c r="C329" s="27">
        <v>45079</v>
      </c>
      <c r="D329" s="27">
        <v>45002</v>
      </c>
      <c r="E329" s="27">
        <v>44994</v>
      </c>
      <c r="F329" s="27">
        <v>45358</v>
      </c>
      <c r="G329" s="13" t="str">
        <f t="shared" si="134"/>
        <v>000-328/AIB RDC/2023</v>
      </c>
      <c r="H329" s="1">
        <v>0</v>
      </c>
      <c r="I329" s="1" t="s">
        <v>83</v>
      </c>
      <c r="J329" s="23" t="s">
        <v>582</v>
      </c>
      <c r="K329" s="2" t="s">
        <v>403</v>
      </c>
      <c r="L329" s="1"/>
      <c r="M329" s="1" t="s">
        <v>95</v>
      </c>
      <c r="N329" s="1" t="s">
        <v>146</v>
      </c>
      <c r="O329" s="1" t="s">
        <v>104</v>
      </c>
      <c r="P329" s="1" t="s">
        <v>105</v>
      </c>
      <c r="Q329" s="1" t="s">
        <v>66</v>
      </c>
      <c r="R329" s="1" t="s">
        <v>66</v>
      </c>
      <c r="S329" s="25">
        <v>0</v>
      </c>
      <c r="T329" s="25">
        <v>818.77</v>
      </c>
      <c r="U329" s="25">
        <v>0</v>
      </c>
      <c r="V329" s="25">
        <v>0</v>
      </c>
      <c r="W329" s="25">
        <v>14.28</v>
      </c>
      <c r="X329" s="25">
        <v>818.77</v>
      </c>
      <c r="Y329" s="25">
        <v>133.29</v>
      </c>
      <c r="Z329" s="17" t="e">
        <f t="shared" si="135"/>
        <v>#DIV/0!</v>
      </c>
      <c r="AA329" s="18">
        <v>0.15</v>
      </c>
      <c r="AB329" s="16">
        <f t="shared" si="130"/>
        <v>122.81549999999999</v>
      </c>
      <c r="AC329" s="16">
        <v>0</v>
      </c>
      <c r="AD329" s="16">
        <v>0</v>
      </c>
      <c r="AE329" s="16">
        <v>0</v>
      </c>
      <c r="AF329" s="16">
        <f t="shared" si="136"/>
        <v>122.81549999999999</v>
      </c>
      <c r="AG329" s="16">
        <f t="shared" si="131"/>
        <v>19.650479999999998</v>
      </c>
      <c r="AH329" s="16">
        <f t="shared" si="137"/>
        <v>142.46597999999997</v>
      </c>
      <c r="AI329" s="16">
        <f t="shared" si="132"/>
        <v>2.4563099999999998</v>
      </c>
      <c r="AJ329" s="16">
        <v>0</v>
      </c>
      <c r="AK329" s="16">
        <f t="shared" si="138"/>
        <v>2.4563099999999998</v>
      </c>
      <c r="AL329" s="19"/>
      <c r="AM329" s="16">
        <f t="shared" si="139"/>
        <v>120.35918999999998</v>
      </c>
      <c r="AN329" s="16" t="s">
        <v>147</v>
      </c>
      <c r="AO329" s="20">
        <v>0.4</v>
      </c>
      <c r="AP329" s="16">
        <f t="shared" si="140"/>
        <v>48.143675999999999</v>
      </c>
      <c r="AQ329" s="16">
        <v>48.143675999999999</v>
      </c>
      <c r="AR329" s="15">
        <v>45229</v>
      </c>
      <c r="AS329" s="16">
        <f t="shared" si="141"/>
        <v>0</v>
      </c>
      <c r="AT329" s="16"/>
      <c r="AU329" s="16">
        <v>142.46597999999997</v>
      </c>
      <c r="AV329" s="16">
        <f t="shared" si="133"/>
        <v>142.46597999999997</v>
      </c>
      <c r="AW329" s="16">
        <f t="shared" si="142"/>
        <v>0</v>
      </c>
      <c r="AX329" s="16" t="str">
        <f t="shared" si="143"/>
        <v>SFA</v>
      </c>
      <c r="AY329" s="22">
        <v>45070</v>
      </c>
      <c r="AZ329" s="22"/>
      <c r="BA329" s="1" t="s">
        <v>148</v>
      </c>
      <c r="BB329" s="1" t="s">
        <v>104</v>
      </c>
      <c r="BC329" s="1"/>
      <c r="BD329" s="1"/>
      <c r="BE329" s="1"/>
    </row>
    <row r="330" spans="1:57" ht="14.25" hidden="1" customHeight="1">
      <c r="A330" s="2" t="s">
        <v>165</v>
      </c>
      <c r="B330" s="1" t="s">
        <v>58</v>
      </c>
      <c r="C330" s="27">
        <v>45079</v>
      </c>
      <c r="D330" s="27">
        <v>45007</v>
      </c>
      <c r="E330" s="27">
        <v>44993</v>
      </c>
      <c r="F330" s="27">
        <v>45357</v>
      </c>
      <c r="G330" s="13" t="str">
        <f t="shared" si="134"/>
        <v>000-329/AIB RDC/2023</v>
      </c>
      <c r="H330" s="1">
        <v>0</v>
      </c>
      <c r="I330" s="1" t="s">
        <v>83</v>
      </c>
      <c r="J330" s="23" t="s">
        <v>583</v>
      </c>
      <c r="K330" s="2" t="s">
        <v>403</v>
      </c>
      <c r="L330" s="1"/>
      <c r="M330" s="1" t="s">
        <v>95</v>
      </c>
      <c r="N330" s="1" t="s">
        <v>146</v>
      </c>
      <c r="O330" s="1" t="s">
        <v>104</v>
      </c>
      <c r="P330" s="1" t="s">
        <v>105</v>
      </c>
      <c r="Q330" s="1" t="s">
        <v>66</v>
      </c>
      <c r="R330" s="1" t="s">
        <v>66</v>
      </c>
      <c r="S330" s="25">
        <v>0</v>
      </c>
      <c r="T330" s="25">
        <v>89.3</v>
      </c>
      <c r="U330" s="25">
        <v>0</v>
      </c>
      <c r="V330" s="25">
        <v>0</v>
      </c>
      <c r="W330" s="25">
        <v>3.34</v>
      </c>
      <c r="X330" s="25">
        <v>89.3</v>
      </c>
      <c r="Y330" s="25">
        <v>14.82</v>
      </c>
      <c r="Z330" s="17" t="e">
        <f t="shared" si="135"/>
        <v>#DIV/0!</v>
      </c>
      <c r="AA330" s="18">
        <v>0.15</v>
      </c>
      <c r="AB330" s="16">
        <f t="shared" si="130"/>
        <v>13.395</v>
      </c>
      <c r="AC330" s="16">
        <v>0</v>
      </c>
      <c r="AD330" s="16">
        <v>0</v>
      </c>
      <c r="AE330" s="16">
        <v>0</v>
      </c>
      <c r="AF330" s="16">
        <f t="shared" si="136"/>
        <v>13.395</v>
      </c>
      <c r="AG330" s="16">
        <f t="shared" si="131"/>
        <v>2.1431999999999998</v>
      </c>
      <c r="AH330" s="16">
        <f t="shared" si="137"/>
        <v>15.5382</v>
      </c>
      <c r="AI330" s="16">
        <f t="shared" si="132"/>
        <v>0.26789999999999997</v>
      </c>
      <c r="AJ330" s="16">
        <v>0</v>
      </c>
      <c r="AK330" s="16">
        <f t="shared" si="138"/>
        <v>0.26789999999999997</v>
      </c>
      <c r="AL330" s="19"/>
      <c r="AM330" s="16">
        <f t="shared" si="139"/>
        <v>13.1271</v>
      </c>
      <c r="AN330" s="16" t="s">
        <v>147</v>
      </c>
      <c r="AO330" s="20">
        <v>0.4</v>
      </c>
      <c r="AP330" s="16">
        <f t="shared" si="140"/>
        <v>5.2508400000000002</v>
      </c>
      <c r="AQ330" s="16">
        <v>5.2508400000000002</v>
      </c>
      <c r="AR330" s="15">
        <v>45229</v>
      </c>
      <c r="AS330" s="16">
        <f t="shared" si="141"/>
        <v>0</v>
      </c>
      <c r="AT330" s="16"/>
      <c r="AU330" s="16">
        <v>15.5382</v>
      </c>
      <c r="AV330" s="16">
        <f t="shared" si="133"/>
        <v>15.5382</v>
      </c>
      <c r="AW330" s="16">
        <f t="shared" si="142"/>
        <v>0</v>
      </c>
      <c r="AX330" s="16" t="str">
        <f t="shared" si="143"/>
        <v>SFA</v>
      </c>
      <c r="AY330" s="22">
        <v>45070</v>
      </c>
      <c r="AZ330" s="22"/>
      <c r="BA330" s="1" t="s">
        <v>148</v>
      </c>
      <c r="BB330" s="1" t="s">
        <v>104</v>
      </c>
      <c r="BC330" s="1"/>
      <c r="BD330" s="1"/>
      <c r="BE330" s="1"/>
    </row>
    <row r="331" spans="1:57" ht="14.25" hidden="1" customHeight="1">
      <c r="A331" s="2" t="s">
        <v>165</v>
      </c>
      <c r="B331" s="1" t="s">
        <v>58</v>
      </c>
      <c r="C331" s="27">
        <v>45079</v>
      </c>
      <c r="D331" s="27">
        <v>45007</v>
      </c>
      <c r="E331" s="27">
        <v>44993</v>
      </c>
      <c r="F331" s="27">
        <v>45357</v>
      </c>
      <c r="G331" s="13" t="str">
        <f t="shared" si="134"/>
        <v>000-330/AIB RDC/2023</v>
      </c>
      <c r="H331" s="1">
        <v>0</v>
      </c>
      <c r="I331" s="1" t="s">
        <v>83</v>
      </c>
      <c r="J331" s="23" t="s">
        <v>584</v>
      </c>
      <c r="K331" s="2" t="s">
        <v>403</v>
      </c>
      <c r="L331" s="1"/>
      <c r="M331" s="1" t="s">
        <v>95</v>
      </c>
      <c r="N331" s="1" t="s">
        <v>146</v>
      </c>
      <c r="O331" s="1" t="s">
        <v>104</v>
      </c>
      <c r="P331" s="1" t="s">
        <v>105</v>
      </c>
      <c r="Q331" s="1" t="s">
        <v>66</v>
      </c>
      <c r="R331" s="1" t="s">
        <v>66</v>
      </c>
      <c r="S331" s="25">
        <v>0</v>
      </c>
      <c r="T331" s="25">
        <v>59.53</v>
      </c>
      <c r="U331" s="25">
        <v>0</v>
      </c>
      <c r="V331" s="25">
        <v>0</v>
      </c>
      <c r="W331" s="25">
        <v>2.89</v>
      </c>
      <c r="X331" s="25">
        <v>59.53</v>
      </c>
      <c r="Y331" s="25">
        <v>9.99</v>
      </c>
      <c r="Z331" s="17" t="e">
        <f t="shared" si="135"/>
        <v>#DIV/0!</v>
      </c>
      <c r="AA331" s="18">
        <v>0.15</v>
      </c>
      <c r="AB331" s="16">
        <f t="shared" si="130"/>
        <v>8.9294999999999991</v>
      </c>
      <c r="AC331" s="16">
        <v>0</v>
      </c>
      <c r="AD331" s="16">
        <v>0</v>
      </c>
      <c r="AE331" s="16">
        <v>0</v>
      </c>
      <c r="AF331" s="16">
        <f t="shared" si="136"/>
        <v>8.9294999999999991</v>
      </c>
      <c r="AG331" s="16">
        <f t="shared" si="131"/>
        <v>1.42872</v>
      </c>
      <c r="AH331" s="16">
        <f t="shared" si="137"/>
        <v>10.358219999999999</v>
      </c>
      <c r="AI331" s="16">
        <f t="shared" si="132"/>
        <v>0.17859</v>
      </c>
      <c r="AJ331" s="16">
        <v>0</v>
      </c>
      <c r="AK331" s="16">
        <f t="shared" si="138"/>
        <v>0.17859</v>
      </c>
      <c r="AL331" s="19"/>
      <c r="AM331" s="16">
        <f t="shared" si="139"/>
        <v>8.7509099999999993</v>
      </c>
      <c r="AN331" s="16" t="s">
        <v>147</v>
      </c>
      <c r="AO331" s="20">
        <v>0.4</v>
      </c>
      <c r="AP331" s="16">
        <f t="shared" si="140"/>
        <v>3.5003639999999998</v>
      </c>
      <c r="AQ331" s="16">
        <v>3.5003639999999998</v>
      </c>
      <c r="AR331" s="15">
        <v>45229</v>
      </c>
      <c r="AS331" s="16">
        <f t="shared" si="141"/>
        <v>0</v>
      </c>
      <c r="AT331" s="16"/>
      <c r="AU331" s="16">
        <v>10.358219999999999</v>
      </c>
      <c r="AV331" s="16">
        <f t="shared" si="133"/>
        <v>10.358219999999999</v>
      </c>
      <c r="AW331" s="16">
        <f t="shared" si="142"/>
        <v>0</v>
      </c>
      <c r="AX331" s="16" t="str">
        <f t="shared" si="143"/>
        <v>SFA</v>
      </c>
      <c r="AY331" s="22">
        <v>45070</v>
      </c>
      <c r="AZ331" s="22"/>
      <c r="BA331" s="1" t="s">
        <v>148</v>
      </c>
      <c r="BB331" s="1" t="s">
        <v>104</v>
      </c>
      <c r="BC331" s="1"/>
      <c r="BD331" s="1"/>
      <c r="BE331" s="1"/>
    </row>
    <row r="332" spans="1:57" ht="14.25" hidden="1" customHeight="1">
      <c r="A332" s="2" t="s">
        <v>165</v>
      </c>
      <c r="B332" s="1" t="s">
        <v>58</v>
      </c>
      <c r="C332" s="27">
        <v>45079</v>
      </c>
      <c r="D332" s="27">
        <v>45007</v>
      </c>
      <c r="E332" s="27">
        <v>44993</v>
      </c>
      <c r="F332" s="27">
        <v>45357</v>
      </c>
      <c r="G332" s="13" t="str">
        <f t="shared" si="134"/>
        <v>000-331/AIB RDC/2023</v>
      </c>
      <c r="H332" s="1">
        <v>0</v>
      </c>
      <c r="I332" s="1" t="s">
        <v>83</v>
      </c>
      <c r="J332" s="23" t="s">
        <v>585</v>
      </c>
      <c r="K332" s="2" t="s">
        <v>403</v>
      </c>
      <c r="L332" s="1"/>
      <c r="M332" s="1" t="s">
        <v>95</v>
      </c>
      <c r="N332" s="1" t="s">
        <v>146</v>
      </c>
      <c r="O332" s="1" t="s">
        <v>104</v>
      </c>
      <c r="P332" s="1" t="s">
        <v>105</v>
      </c>
      <c r="Q332" s="1" t="s">
        <v>66</v>
      </c>
      <c r="R332" s="1" t="s">
        <v>66</v>
      </c>
      <c r="S332" s="25">
        <v>0</v>
      </c>
      <c r="T332" s="25">
        <v>59.53</v>
      </c>
      <c r="U332" s="25">
        <v>0</v>
      </c>
      <c r="V332" s="25">
        <v>0</v>
      </c>
      <c r="W332" s="25">
        <v>2.89</v>
      </c>
      <c r="X332" s="25">
        <v>59.53</v>
      </c>
      <c r="Y332" s="25">
        <v>9.99</v>
      </c>
      <c r="Z332" s="17" t="e">
        <f t="shared" si="135"/>
        <v>#DIV/0!</v>
      </c>
      <c r="AA332" s="18">
        <v>0.15</v>
      </c>
      <c r="AB332" s="16">
        <f t="shared" si="130"/>
        <v>8.9294999999999991</v>
      </c>
      <c r="AC332" s="16">
        <v>0</v>
      </c>
      <c r="AD332" s="16">
        <v>0</v>
      </c>
      <c r="AE332" s="16">
        <v>0</v>
      </c>
      <c r="AF332" s="16">
        <f t="shared" si="136"/>
        <v>8.9294999999999991</v>
      </c>
      <c r="AG332" s="16">
        <f t="shared" si="131"/>
        <v>1.42872</v>
      </c>
      <c r="AH332" s="16">
        <f t="shared" si="137"/>
        <v>10.358219999999999</v>
      </c>
      <c r="AI332" s="16">
        <f t="shared" si="132"/>
        <v>0.17859</v>
      </c>
      <c r="AJ332" s="16">
        <v>0</v>
      </c>
      <c r="AK332" s="16">
        <f t="shared" si="138"/>
        <v>0.17859</v>
      </c>
      <c r="AL332" s="19"/>
      <c r="AM332" s="16">
        <f t="shared" si="139"/>
        <v>8.7509099999999993</v>
      </c>
      <c r="AN332" s="16" t="s">
        <v>147</v>
      </c>
      <c r="AO332" s="20">
        <v>0.4</v>
      </c>
      <c r="AP332" s="16">
        <f t="shared" si="140"/>
        <v>3.5003639999999998</v>
      </c>
      <c r="AQ332" s="16">
        <v>3.5003639999999998</v>
      </c>
      <c r="AR332" s="15">
        <v>45229</v>
      </c>
      <c r="AS332" s="16">
        <f t="shared" si="141"/>
        <v>0</v>
      </c>
      <c r="AT332" s="16"/>
      <c r="AU332" s="16">
        <v>10.358219999999999</v>
      </c>
      <c r="AV332" s="16">
        <f t="shared" si="133"/>
        <v>10.358219999999999</v>
      </c>
      <c r="AW332" s="16">
        <f t="shared" si="142"/>
        <v>0</v>
      </c>
      <c r="AX332" s="16" t="str">
        <f t="shared" si="143"/>
        <v>SFA</v>
      </c>
      <c r="AY332" s="22">
        <v>45070</v>
      </c>
      <c r="AZ332" s="22"/>
      <c r="BA332" s="1" t="s">
        <v>148</v>
      </c>
      <c r="BB332" s="1" t="s">
        <v>104</v>
      </c>
      <c r="BC332" s="1"/>
      <c r="BD332" s="1"/>
      <c r="BE332" s="1"/>
    </row>
    <row r="333" spans="1:57" ht="14.25" hidden="1" customHeight="1">
      <c r="A333" s="2" t="s">
        <v>165</v>
      </c>
      <c r="B333" s="1" t="s">
        <v>58</v>
      </c>
      <c r="C333" s="27">
        <v>45079</v>
      </c>
      <c r="D333" s="27">
        <v>45007</v>
      </c>
      <c r="E333" s="27">
        <v>44993</v>
      </c>
      <c r="F333" s="27">
        <v>45357</v>
      </c>
      <c r="G333" s="13" t="str">
        <f t="shared" si="134"/>
        <v>000-332/AIB RDC/2023</v>
      </c>
      <c r="H333" s="1">
        <v>0</v>
      </c>
      <c r="I333" s="1" t="s">
        <v>83</v>
      </c>
      <c r="J333" s="23" t="s">
        <v>586</v>
      </c>
      <c r="K333" s="2" t="s">
        <v>403</v>
      </c>
      <c r="L333" s="1"/>
      <c r="M333" s="1" t="s">
        <v>95</v>
      </c>
      <c r="N333" s="1" t="s">
        <v>146</v>
      </c>
      <c r="O333" s="1" t="s">
        <v>104</v>
      </c>
      <c r="P333" s="1" t="s">
        <v>105</v>
      </c>
      <c r="Q333" s="1" t="s">
        <v>66</v>
      </c>
      <c r="R333" s="1" t="s">
        <v>66</v>
      </c>
      <c r="S333" s="25">
        <v>0</v>
      </c>
      <c r="T333" s="25">
        <v>59.08</v>
      </c>
      <c r="U333" s="25">
        <v>0</v>
      </c>
      <c r="V333" s="25">
        <v>0</v>
      </c>
      <c r="W333" s="25">
        <v>2.89</v>
      </c>
      <c r="X333" s="25">
        <v>59.08</v>
      </c>
      <c r="Y333" s="25">
        <v>9.92</v>
      </c>
      <c r="Z333" s="17" t="e">
        <f t="shared" si="135"/>
        <v>#DIV/0!</v>
      </c>
      <c r="AA333" s="18">
        <v>0.15</v>
      </c>
      <c r="AB333" s="16">
        <f t="shared" si="130"/>
        <v>8.8620000000000001</v>
      </c>
      <c r="AC333" s="16">
        <v>0</v>
      </c>
      <c r="AD333" s="16">
        <v>0</v>
      </c>
      <c r="AE333" s="16">
        <v>0</v>
      </c>
      <c r="AF333" s="16">
        <f t="shared" si="136"/>
        <v>8.8620000000000001</v>
      </c>
      <c r="AG333" s="16">
        <f t="shared" si="131"/>
        <v>1.4179200000000001</v>
      </c>
      <c r="AH333" s="16">
        <f t="shared" si="137"/>
        <v>10.279920000000001</v>
      </c>
      <c r="AI333" s="16">
        <f t="shared" si="132"/>
        <v>0.17724000000000001</v>
      </c>
      <c r="AJ333" s="16">
        <v>0</v>
      </c>
      <c r="AK333" s="16">
        <f t="shared" si="138"/>
        <v>0.17724000000000001</v>
      </c>
      <c r="AL333" s="19"/>
      <c r="AM333" s="16">
        <f t="shared" si="139"/>
        <v>8.6847600000000007</v>
      </c>
      <c r="AN333" s="16" t="s">
        <v>147</v>
      </c>
      <c r="AO333" s="20">
        <v>0.4</v>
      </c>
      <c r="AP333" s="16">
        <f t="shared" si="140"/>
        <v>3.4739040000000005</v>
      </c>
      <c r="AQ333" s="16">
        <v>3.4739040000000005</v>
      </c>
      <c r="AR333" s="15">
        <v>45229</v>
      </c>
      <c r="AS333" s="16">
        <f t="shared" si="141"/>
        <v>0</v>
      </c>
      <c r="AT333" s="16"/>
      <c r="AU333" s="16">
        <v>10.279920000000001</v>
      </c>
      <c r="AV333" s="16">
        <f t="shared" si="133"/>
        <v>10.279920000000001</v>
      </c>
      <c r="AW333" s="16">
        <f t="shared" si="142"/>
        <v>0</v>
      </c>
      <c r="AX333" s="16" t="str">
        <f t="shared" si="143"/>
        <v>SFA</v>
      </c>
      <c r="AY333" s="22">
        <v>45070</v>
      </c>
      <c r="AZ333" s="22"/>
      <c r="BA333" s="1" t="s">
        <v>148</v>
      </c>
      <c r="BB333" s="1" t="s">
        <v>104</v>
      </c>
      <c r="BC333" s="1"/>
      <c r="BD333" s="1"/>
      <c r="BE333" s="1"/>
    </row>
    <row r="334" spans="1:57" ht="14.25" hidden="1" customHeight="1">
      <c r="A334" s="2" t="s">
        <v>165</v>
      </c>
      <c r="B334" s="1" t="s">
        <v>58</v>
      </c>
      <c r="C334" s="27">
        <v>45079</v>
      </c>
      <c r="D334" s="27">
        <v>45007</v>
      </c>
      <c r="E334" s="27">
        <v>44993</v>
      </c>
      <c r="F334" s="27">
        <v>45357</v>
      </c>
      <c r="G334" s="13" t="str">
        <f t="shared" si="134"/>
        <v>000-333/AIB RDC/2023</v>
      </c>
      <c r="H334" s="1">
        <v>0</v>
      </c>
      <c r="I334" s="1" t="s">
        <v>83</v>
      </c>
      <c r="J334" s="23" t="s">
        <v>587</v>
      </c>
      <c r="K334" s="2" t="s">
        <v>403</v>
      </c>
      <c r="L334" s="1"/>
      <c r="M334" s="1" t="s">
        <v>95</v>
      </c>
      <c r="N334" s="1" t="s">
        <v>146</v>
      </c>
      <c r="O334" s="1" t="s">
        <v>104</v>
      </c>
      <c r="P334" s="1" t="s">
        <v>105</v>
      </c>
      <c r="Q334" s="1" t="s">
        <v>66</v>
      </c>
      <c r="R334" s="1" t="s">
        <v>66</v>
      </c>
      <c r="S334" s="25">
        <v>0</v>
      </c>
      <c r="T334" s="25">
        <v>59.53</v>
      </c>
      <c r="U334" s="25">
        <v>0</v>
      </c>
      <c r="V334" s="25">
        <v>0</v>
      </c>
      <c r="W334" s="25">
        <v>2.89</v>
      </c>
      <c r="X334" s="25">
        <v>59.53</v>
      </c>
      <c r="Y334" s="25">
        <v>9.99</v>
      </c>
      <c r="Z334" s="17" t="e">
        <f t="shared" si="135"/>
        <v>#DIV/0!</v>
      </c>
      <c r="AA334" s="18">
        <v>0.15</v>
      </c>
      <c r="AB334" s="16">
        <f t="shared" si="130"/>
        <v>8.9294999999999991</v>
      </c>
      <c r="AC334" s="16">
        <v>0</v>
      </c>
      <c r="AD334" s="16">
        <v>0</v>
      </c>
      <c r="AE334" s="16">
        <v>0</v>
      </c>
      <c r="AF334" s="16">
        <f t="shared" si="136"/>
        <v>8.9294999999999991</v>
      </c>
      <c r="AG334" s="16">
        <f t="shared" si="131"/>
        <v>1.42872</v>
      </c>
      <c r="AH334" s="16">
        <f t="shared" si="137"/>
        <v>10.358219999999999</v>
      </c>
      <c r="AI334" s="16">
        <f t="shared" si="132"/>
        <v>0.17859</v>
      </c>
      <c r="AJ334" s="16">
        <v>0</v>
      </c>
      <c r="AK334" s="16">
        <f t="shared" si="138"/>
        <v>0.17859</v>
      </c>
      <c r="AL334" s="19"/>
      <c r="AM334" s="16">
        <f t="shared" si="139"/>
        <v>8.7509099999999993</v>
      </c>
      <c r="AN334" s="16" t="s">
        <v>147</v>
      </c>
      <c r="AO334" s="20">
        <v>0.4</v>
      </c>
      <c r="AP334" s="16">
        <f t="shared" si="140"/>
        <v>3.5003639999999998</v>
      </c>
      <c r="AQ334" s="16">
        <v>3.5003639999999998</v>
      </c>
      <c r="AR334" s="15">
        <v>45229</v>
      </c>
      <c r="AS334" s="16">
        <f t="shared" si="141"/>
        <v>0</v>
      </c>
      <c r="AT334" s="16"/>
      <c r="AU334" s="16">
        <v>10.358219999999999</v>
      </c>
      <c r="AV334" s="16">
        <f t="shared" si="133"/>
        <v>10.358219999999999</v>
      </c>
      <c r="AW334" s="16">
        <f t="shared" si="142"/>
        <v>0</v>
      </c>
      <c r="AX334" s="16" t="str">
        <f t="shared" si="143"/>
        <v>SFA</v>
      </c>
      <c r="AY334" s="22">
        <v>45070</v>
      </c>
      <c r="AZ334" s="22"/>
      <c r="BA334" s="1" t="s">
        <v>148</v>
      </c>
      <c r="BB334" s="1" t="s">
        <v>104</v>
      </c>
      <c r="BC334" s="1"/>
      <c r="BD334" s="1"/>
      <c r="BE334" s="1"/>
    </row>
    <row r="335" spans="1:57" ht="14.25" hidden="1" customHeight="1">
      <c r="A335" s="2" t="s">
        <v>165</v>
      </c>
      <c r="B335" s="1" t="s">
        <v>58</v>
      </c>
      <c r="C335" s="27">
        <v>45079</v>
      </c>
      <c r="D335" s="27">
        <v>45007</v>
      </c>
      <c r="E335" s="27">
        <v>44993</v>
      </c>
      <c r="F335" s="27">
        <v>45357</v>
      </c>
      <c r="G335" s="13" t="str">
        <f t="shared" si="134"/>
        <v>000-334/AIB RDC/2023</v>
      </c>
      <c r="H335" s="1">
        <v>0</v>
      </c>
      <c r="I335" s="1" t="s">
        <v>83</v>
      </c>
      <c r="J335" s="23" t="s">
        <v>588</v>
      </c>
      <c r="K335" s="2" t="s">
        <v>403</v>
      </c>
      <c r="L335" s="1"/>
      <c r="M335" s="1" t="s">
        <v>95</v>
      </c>
      <c r="N335" s="1" t="s">
        <v>146</v>
      </c>
      <c r="O335" s="1" t="s">
        <v>104</v>
      </c>
      <c r="P335" s="1" t="s">
        <v>105</v>
      </c>
      <c r="Q335" s="1" t="s">
        <v>66</v>
      </c>
      <c r="R335" s="1" t="s">
        <v>66</v>
      </c>
      <c r="S335" s="25">
        <v>0</v>
      </c>
      <c r="T335" s="25">
        <v>59.53</v>
      </c>
      <c r="U335" s="25">
        <v>0</v>
      </c>
      <c r="V335" s="25">
        <v>0</v>
      </c>
      <c r="W335" s="25">
        <v>2.89</v>
      </c>
      <c r="X335" s="25">
        <v>59.53</v>
      </c>
      <c r="Y335" s="25">
        <v>9.99</v>
      </c>
      <c r="Z335" s="17" t="e">
        <f t="shared" si="135"/>
        <v>#DIV/0!</v>
      </c>
      <c r="AA335" s="18">
        <v>0.15</v>
      </c>
      <c r="AB335" s="16">
        <f t="shared" si="130"/>
        <v>8.9294999999999991</v>
      </c>
      <c r="AC335" s="16">
        <v>0</v>
      </c>
      <c r="AD335" s="16">
        <v>0</v>
      </c>
      <c r="AE335" s="16">
        <v>0</v>
      </c>
      <c r="AF335" s="16">
        <f t="shared" si="136"/>
        <v>8.9294999999999991</v>
      </c>
      <c r="AG335" s="16">
        <f t="shared" si="131"/>
        <v>1.42872</v>
      </c>
      <c r="AH335" s="16">
        <f t="shared" si="137"/>
        <v>10.358219999999999</v>
      </c>
      <c r="AI335" s="16">
        <f t="shared" si="132"/>
        <v>0.17859</v>
      </c>
      <c r="AJ335" s="16">
        <v>0</v>
      </c>
      <c r="AK335" s="16">
        <f t="shared" si="138"/>
        <v>0.17859</v>
      </c>
      <c r="AL335" s="19"/>
      <c r="AM335" s="16">
        <f t="shared" si="139"/>
        <v>8.7509099999999993</v>
      </c>
      <c r="AN335" s="16" t="s">
        <v>147</v>
      </c>
      <c r="AO335" s="20">
        <v>0.4</v>
      </c>
      <c r="AP335" s="16">
        <f t="shared" si="140"/>
        <v>3.5003639999999998</v>
      </c>
      <c r="AQ335" s="16">
        <v>3.5003639999999998</v>
      </c>
      <c r="AR335" s="15">
        <v>45229</v>
      </c>
      <c r="AS335" s="16">
        <f t="shared" si="141"/>
        <v>0</v>
      </c>
      <c r="AT335" s="16"/>
      <c r="AU335" s="16">
        <v>10.358219999999999</v>
      </c>
      <c r="AV335" s="16">
        <f t="shared" si="133"/>
        <v>10.358219999999999</v>
      </c>
      <c r="AW335" s="16">
        <f t="shared" si="142"/>
        <v>0</v>
      </c>
      <c r="AX335" s="16" t="str">
        <f t="shared" si="143"/>
        <v>SFA</v>
      </c>
      <c r="AY335" s="22">
        <v>45070</v>
      </c>
      <c r="AZ335" s="22"/>
      <c r="BA335" s="1" t="s">
        <v>148</v>
      </c>
      <c r="BB335" s="1" t="s">
        <v>104</v>
      </c>
      <c r="BC335" s="1"/>
      <c r="BD335" s="1"/>
      <c r="BE335" s="1"/>
    </row>
    <row r="336" spans="1:57" ht="14.25" hidden="1" customHeight="1">
      <c r="A336" s="2" t="s">
        <v>165</v>
      </c>
      <c r="B336" s="1" t="s">
        <v>58</v>
      </c>
      <c r="C336" s="27">
        <v>45079</v>
      </c>
      <c r="D336" s="27">
        <v>45007</v>
      </c>
      <c r="E336" s="27">
        <v>44993</v>
      </c>
      <c r="F336" s="27">
        <v>45357</v>
      </c>
      <c r="G336" s="13" t="str">
        <f t="shared" si="134"/>
        <v>000-335/AIB RDC/2023</v>
      </c>
      <c r="H336" s="1">
        <v>0</v>
      </c>
      <c r="I336" s="1" t="s">
        <v>83</v>
      </c>
      <c r="J336" s="23" t="s">
        <v>589</v>
      </c>
      <c r="K336" s="2" t="s">
        <v>403</v>
      </c>
      <c r="L336" s="1"/>
      <c r="M336" s="1" t="s">
        <v>95</v>
      </c>
      <c r="N336" s="1" t="s">
        <v>146</v>
      </c>
      <c r="O336" s="1" t="s">
        <v>104</v>
      </c>
      <c r="P336" s="1" t="s">
        <v>105</v>
      </c>
      <c r="Q336" s="1" t="s">
        <v>66</v>
      </c>
      <c r="R336" s="1" t="s">
        <v>66</v>
      </c>
      <c r="S336" s="25">
        <v>0</v>
      </c>
      <c r="T336" s="25">
        <v>48.22</v>
      </c>
      <c r="U336" s="25">
        <v>0</v>
      </c>
      <c r="V336" s="25">
        <v>0</v>
      </c>
      <c r="W336" s="25">
        <v>2.72</v>
      </c>
      <c r="X336" s="25">
        <v>48.22</v>
      </c>
      <c r="Y336" s="25">
        <v>8.15</v>
      </c>
      <c r="Z336" s="17" t="e">
        <f t="shared" si="135"/>
        <v>#DIV/0!</v>
      </c>
      <c r="AA336" s="18">
        <v>0.15</v>
      </c>
      <c r="AB336" s="16">
        <f t="shared" si="130"/>
        <v>7.2329999999999997</v>
      </c>
      <c r="AC336" s="16">
        <v>0</v>
      </c>
      <c r="AD336" s="16">
        <v>0</v>
      </c>
      <c r="AE336" s="16">
        <v>0</v>
      </c>
      <c r="AF336" s="16">
        <f t="shared" si="136"/>
        <v>7.2329999999999997</v>
      </c>
      <c r="AG336" s="16">
        <f t="shared" si="131"/>
        <v>1.1572799999999999</v>
      </c>
      <c r="AH336" s="16">
        <f t="shared" si="137"/>
        <v>8.3902799999999989</v>
      </c>
      <c r="AI336" s="16">
        <f t="shared" si="132"/>
        <v>0.14465999999999998</v>
      </c>
      <c r="AJ336" s="16">
        <v>0</v>
      </c>
      <c r="AK336" s="16">
        <f t="shared" si="138"/>
        <v>0.14465999999999998</v>
      </c>
      <c r="AL336" s="19"/>
      <c r="AM336" s="16">
        <f t="shared" si="139"/>
        <v>7.0883399999999996</v>
      </c>
      <c r="AN336" s="16" t="s">
        <v>147</v>
      </c>
      <c r="AO336" s="20">
        <v>0.4</v>
      </c>
      <c r="AP336" s="16">
        <f t="shared" si="140"/>
        <v>2.8353359999999999</v>
      </c>
      <c r="AQ336" s="16">
        <v>2.8353359999999999</v>
      </c>
      <c r="AR336" s="15">
        <v>45229</v>
      </c>
      <c r="AS336" s="16">
        <f t="shared" si="141"/>
        <v>0</v>
      </c>
      <c r="AT336" s="16"/>
      <c r="AU336" s="16">
        <v>8.3902799999999989</v>
      </c>
      <c r="AV336" s="16">
        <f t="shared" si="133"/>
        <v>8.3902799999999989</v>
      </c>
      <c r="AW336" s="16">
        <f t="shared" si="142"/>
        <v>0</v>
      </c>
      <c r="AX336" s="16" t="str">
        <f t="shared" si="143"/>
        <v>SFA</v>
      </c>
      <c r="AY336" s="22">
        <v>45070</v>
      </c>
      <c r="AZ336" s="22"/>
      <c r="BA336" s="1" t="s">
        <v>148</v>
      </c>
      <c r="BB336" s="1" t="s">
        <v>104</v>
      </c>
      <c r="BC336" s="1"/>
      <c r="BD336" s="1"/>
      <c r="BE336" s="1"/>
    </row>
    <row r="337" spans="1:57" ht="14.25" hidden="1" customHeight="1">
      <c r="A337" s="2" t="s">
        <v>165</v>
      </c>
      <c r="B337" s="1" t="s">
        <v>58</v>
      </c>
      <c r="C337" s="27">
        <v>45079</v>
      </c>
      <c r="D337" s="27">
        <v>45007</v>
      </c>
      <c r="E337" s="27">
        <v>44993</v>
      </c>
      <c r="F337" s="27">
        <v>45357</v>
      </c>
      <c r="G337" s="13" t="str">
        <f t="shared" si="134"/>
        <v>000-336/AIB RDC/2023</v>
      </c>
      <c r="H337" s="1">
        <v>0</v>
      </c>
      <c r="I337" s="1" t="s">
        <v>83</v>
      </c>
      <c r="J337" s="23" t="s">
        <v>590</v>
      </c>
      <c r="K337" s="2" t="s">
        <v>403</v>
      </c>
      <c r="L337" s="1"/>
      <c r="M337" s="1" t="s">
        <v>95</v>
      </c>
      <c r="N337" s="1" t="s">
        <v>146</v>
      </c>
      <c r="O337" s="1" t="s">
        <v>104</v>
      </c>
      <c r="P337" s="1" t="s">
        <v>105</v>
      </c>
      <c r="Q337" s="1" t="s">
        <v>66</v>
      </c>
      <c r="R337" s="1" t="s">
        <v>66</v>
      </c>
      <c r="S337" s="25">
        <v>0</v>
      </c>
      <c r="T337" s="25">
        <v>48.22</v>
      </c>
      <c r="U337" s="25">
        <v>0</v>
      </c>
      <c r="V337" s="25">
        <v>0</v>
      </c>
      <c r="W337" s="25">
        <v>2.72</v>
      </c>
      <c r="X337" s="25">
        <v>48.22</v>
      </c>
      <c r="Y337" s="25">
        <v>8.15</v>
      </c>
      <c r="Z337" s="17" t="e">
        <f t="shared" si="135"/>
        <v>#DIV/0!</v>
      </c>
      <c r="AA337" s="18">
        <v>0.15</v>
      </c>
      <c r="AB337" s="16">
        <f t="shared" si="130"/>
        <v>7.2329999999999997</v>
      </c>
      <c r="AC337" s="16">
        <v>0</v>
      </c>
      <c r="AD337" s="16">
        <v>0</v>
      </c>
      <c r="AE337" s="16">
        <v>0</v>
      </c>
      <c r="AF337" s="16">
        <f t="shared" si="136"/>
        <v>7.2329999999999997</v>
      </c>
      <c r="AG337" s="16">
        <f t="shared" si="131"/>
        <v>1.1572799999999999</v>
      </c>
      <c r="AH337" s="16">
        <f t="shared" si="137"/>
        <v>8.3902799999999989</v>
      </c>
      <c r="AI337" s="16">
        <f t="shared" si="132"/>
        <v>0.14465999999999998</v>
      </c>
      <c r="AJ337" s="16">
        <v>0</v>
      </c>
      <c r="AK337" s="16">
        <f t="shared" si="138"/>
        <v>0.14465999999999998</v>
      </c>
      <c r="AL337" s="19"/>
      <c r="AM337" s="16">
        <f t="shared" si="139"/>
        <v>7.0883399999999996</v>
      </c>
      <c r="AN337" s="16" t="s">
        <v>147</v>
      </c>
      <c r="AO337" s="20">
        <v>0.4</v>
      </c>
      <c r="AP337" s="16">
        <f t="shared" si="140"/>
        <v>2.8353359999999999</v>
      </c>
      <c r="AQ337" s="16">
        <v>2.8353359999999999</v>
      </c>
      <c r="AR337" s="15">
        <v>45229</v>
      </c>
      <c r="AS337" s="16">
        <f t="shared" si="141"/>
        <v>0</v>
      </c>
      <c r="AT337" s="16"/>
      <c r="AU337" s="16">
        <v>8.3902799999999989</v>
      </c>
      <c r="AV337" s="16">
        <f t="shared" si="133"/>
        <v>8.3902799999999989</v>
      </c>
      <c r="AW337" s="16">
        <f t="shared" si="142"/>
        <v>0</v>
      </c>
      <c r="AX337" s="16" t="str">
        <f t="shared" si="143"/>
        <v>SFA</v>
      </c>
      <c r="AY337" s="22">
        <v>45070</v>
      </c>
      <c r="AZ337" s="22"/>
      <c r="BA337" s="1" t="s">
        <v>148</v>
      </c>
      <c r="BB337" s="1" t="s">
        <v>104</v>
      </c>
      <c r="BC337" s="1"/>
      <c r="BD337" s="1"/>
      <c r="BE337" s="1"/>
    </row>
    <row r="338" spans="1:57" ht="14.25" hidden="1" customHeight="1">
      <c r="A338" s="2" t="s">
        <v>165</v>
      </c>
      <c r="B338" s="1" t="s">
        <v>58</v>
      </c>
      <c r="C338" s="27">
        <v>45079</v>
      </c>
      <c r="D338" s="27">
        <v>45007</v>
      </c>
      <c r="E338" s="27">
        <v>44993</v>
      </c>
      <c r="F338" s="27">
        <v>45357</v>
      </c>
      <c r="G338" s="13" t="str">
        <f t="shared" si="134"/>
        <v>000-337/AIB RDC/2023</v>
      </c>
      <c r="H338" s="1">
        <v>0</v>
      </c>
      <c r="I338" s="1" t="s">
        <v>83</v>
      </c>
      <c r="J338" s="23" t="s">
        <v>591</v>
      </c>
      <c r="K338" s="2" t="s">
        <v>403</v>
      </c>
      <c r="L338" s="1"/>
      <c r="M338" s="1" t="s">
        <v>95</v>
      </c>
      <c r="N338" s="1" t="s">
        <v>146</v>
      </c>
      <c r="O338" s="1" t="s">
        <v>104</v>
      </c>
      <c r="P338" s="1" t="s">
        <v>105</v>
      </c>
      <c r="Q338" s="1" t="s">
        <v>66</v>
      </c>
      <c r="R338" s="1" t="s">
        <v>66</v>
      </c>
      <c r="S338" s="25">
        <v>0</v>
      </c>
      <c r="T338" s="25">
        <v>59.08</v>
      </c>
      <c r="U338" s="25">
        <v>0</v>
      </c>
      <c r="V338" s="25">
        <v>0</v>
      </c>
      <c r="W338" s="25">
        <v>2.89</v>
      </c>
      <c r="X338" s="25">
        <v>59.08</v>
      </c>
      <c r="Y338" s="25">
        <v>9.92</v>
      </c>
      <c r="Z338" s="17" t="e">
        <f t="shared" si="135"/>
        <v>#DIV/0!</v>
      </c>
      <c r="AA338" s="18">
        <v>0.15</v>
      </c>
      <c r="AB338" s="16">
        <f t="shared" si="130"/>
        <v>8.8620000000000001</v>
      </c>
      <c r="AC338" s="16">
        <v>0</v>
      </c>
      <c r="AD338" s="16">
        <v>0</v>
      </c>
      <c r="AE338" s="16">
        <v>0</v>
      </c>
      <c r="AF338" s="16">
        <f t="shared" si="136"/>
        <v>8.8620000000000001</v>
      </c>
      <c r="AG338" s="16">
        <f t="shared" si="131"/>
        <v>1.4179200000000001</v>
      </c>
      <c r="AH338" s="16">
        <f t="shared" si="137"/>
        <v>10.279920000000001</v>
      </c>
      <c r="AI338" s="16">
        <f t="shared" si="132"/>
        <v>0.17724000000000001</v>
      </c>
      <c r="AJ338" s="16">
        <v>0</v>
      </c>
      <c r="AK338" s="16">
        <f t="shared" si="138"/>
        <v>0.17724000000000001</v>
      </c>
      <c r="AL338" s="19"/>
      <c r="AM338" s="16">
        <f t="shared" si="139"/>
        <v>8.6847600000000007</v>
      </c>
      <c r="AN338" s="16" t="s">
        <v>147</v>
      </c>
      <c r="AO338" s="20">
        <v>0.4</v>
      </c>
      <c r="AP338" s="16">
        <f t="shared" si="140"/>
        <v>3.4739040000000005</v>
      </c>
      <c r="AQ338" s="16">
        <v>3.4739040000000005</v>
      </c>
      <c r="AR338" s="15">
        <v>45229</v>
      </c>
      <c r="AS338" s="16">
        <f t="shared" si="141"/>
        <v>0</v>
      </c>
      <c r="AT338" s="16"/>
      <c r="AU338" s="16">
        <v>10.279920000000001</v>
      </c>
      <c r="AV338" s="16">
        <f t="shared" si="133"/>
        <v>10.279920000000001</v>
      </c>
      <c r="AW338" s="16">
        <f t="shared" si="142"/>
        <v>0</v>
      </c>
      <c r="AX338" s="16" t="str">
        <f t="shared" si="143"/>
        <v>SFA</v>
      </c>
      <c r="AY338" s="22">
        <v>45070</v>
      </c>
      <c r="AZ338" s="22"/>
      <c r="BA338" s="1" t="s">
        <v>148</v>
      </c>
      <c r="BB338" s="1" t="s">
        <v>104</v>
      </c>
      <c r="BC338" s="1"/>
      <c r="BD338" s="1"/>
      <c r="BE338" s="1"/>
    </row>
    <row r="339" spans="1:57" ht="14.25" hidden="1" customHeight="1">
      <c r="A339" s="2" t="s">
        <v>165</v>
      </c>
      <c r="B339" s="1" t="s">
        <v>58</v>
      </c>
      <c r="C339" s="27">
        <v>45079</v>
      </c>
      <c r="D339" s="27">
        <v>45007</v>
      </c>
      <c r="E339" s="27">
        <v>44993</v>
      </c>
      <c r="F339" s="27">
        <v>45357</v>
      </c>
      <c r="G339" s="13" t="str">
        <f t="shared" si="134"/>
        <v>000-338/AIB RDC/2023</v>
      </c>
      <c r="H339" s="1">
        <v>0</v>
      </c>
      <c r="I339" s="1" t="s">
        <v>83</v>
      </c>
      <c r="J339" s="23" t="s">
        <v>592</v>
      </c>
      <c r="K339" s="2" t="s">
        <v>403</v>
      </c>
      <c r="L339" s="1"/>
      <c r="M339" s="1" t="s">
        <v>95</v>
      </c>
      <c r="N339" s="1" t="s">
        <v>146</v>
      </c>
      <c r="O339" s="1" t="s">
        <v>104</v>
      </c>
      <c r="P339" s="1" t="s">
        <v>105</v>
      </c>
      <c r="Q339" s="1" t="s">
        <v>66</v>
      </c>
      <c r="R339" s="1" t="s">
        <v>66</v>
      </c>
      <c r="S339" s="25">
        <v>0</v>
      </c>
      <c r="T339" s="25">
        <v>59.08</v>
      </c>
      <c r="U339" s="25">
        <v>0</v>
      </c>
      <c r="V339" s="25">
        <v>0</v>
      </c>
      <c r="W339" s="25">
        <v>2.89</v>
      </c>
      <c r="X339" s="25">
        <v>59.08</v>
      </c>
      <c r="Y339" s="25">
        <v>9.92</v>
      </c>
      <c r="Z339" s="17" t="e">
        <f t="shared" si="135"/>
        <v>#DIV/0!</v>
      </c>
      <c r="AA339" s="18">
        <v>0.15</v>
      </c>
      <c r="AB339" s="16">
        <f t="shared" si="130"/>
        <v>8.8620000000000001</v>
      </c>
      <c r="AC339" s="16">
        <v>0</v>
      </c>
      <c r="AD339" s="16">
        <v>0</v>
      </c>
      <c r="AE339" s="16">
        <v>0</v>
      </c>
      <c r="AF339" s="16">
        <f t="shared" si="136"/>
        <v>8.8620000000000001</v>
      </c>
      <c r="AG339" s="16">
        <f t="shared" si="131"/>
        <v>1.4179200000000001</v>
      </c>
      <c r="AH339" s="16">
        <f t="shared" si="137"/>
        <v>10.279920000000001</v>
      </c>
      <c r="AI339" s="16">
        <f t="shared" si="132"/>
        <v>0.17724000000000001</v>
      </c>
      <c r="AJ339" s="16">
        <v>0</v>
      </c>
      <c r="AK339" s="16">
        <f t="shared" si="138"/>
        <v>0.17724000000000001</v>
      </c>
      <c r="AL339" s="19"/>
      <c r="AM339" s="16">
        <f t="shared" si="139"/>
        <v>8.6847600000000007</v>
      </c>
      <c r="AN339" s="16" t="s">
        <v>147</v>
      </c>
      <c r="AO339" s="20">
        <v>0.4</v>
      </c>
      <c r="AP339" s="16">
        <f t="shared" si="140"/>
        <v>3.4739040000000005</v>
      </c>
      <c r="AQ339" s="16">
        <v>3.4739040000000005</v>
      </c>
      <c r="AR339" s="15">
        <v>45229</v>
      </c>
      <c r="AS339" s="16">
        <f t="shared" si="141"/>
        <v>0</v>
      </c>
      <c r="AT339" s="16"/>
      <c r="AU339" s="16">
        <v>10.279920000000001</v>
      </c>
      <c r="AV339" s="16">
        <f t="shared" si="133"/>
        <v>10.279920000000001</v>
      </c>
      <c r="AW339" s="16">
        <f t="shared" si="142"/>
        <v>0</v>
      </c>
      <c r="AX339" s="16" t="str">
        <f t="shared" si="143"/>
        <v>SFA</v>
      </c>
      <c r="AY339" s="22">
        <v>45070</v>
      </c>
      <c r="AZ339" s="22"/>
      <c r="BA339" s="1" t="s">
        <v>148</v>
      </c>
      <c r="BB339" s="1" t="s">
        <v>104</v>
      </c>
      <c r="BC339" s="1"/>
      <c r="BD339" s="1"/>
      <c r="BE339" s="1"/>
    </row>
    <row r="340" spans="1:57" ht="14.25" hidden="1" customHeight="1">
      <c r="A340" s="2" t="s">
        <v>165</v>
      </c>
      <c r="B340" s="1" t="s">
        <v>58</v>
      </c>
      <c r="C340" s="27">
        <v>45079</v>
      </c>
      <c r="D340" s="27">
        <v>45007</v>
      </c>
      <c r="E340" s="27">
        <v>44993</v>
      </c>
      <c r="F340" s="27">
        <v>45357</v>
      </c>
      <c r="G340" s="13" t="str">
        <f t="shared" si="134"/>
        <v>000-339/AIB RDC/2023</v>
      </c>
      <c r="H340" s="1">
        <v>0</v>
      </c>
      <c r="I340" s="1" t="s">
        <v>83</v>
      </c>
      <c r="J340" s="23" t="s">
        <v>593</v>
      </c>
      <c r="K340" s="2" t="s">
        <v>403</v>
      </c>
      <c r="L340" s="1"/>
      <c r="M340" s="1" t="s">
        <v>95</v>
      </c>
      <c r="N340" s="1" t="s">
        <v>146</v>
      </c>
      <c r="O340" s="1" t="s">
        <v>104</v>
      </c>
      <c r="P340" s="1" t="s">
        <v>105</v>
      </c>
      <c r="Q340" s="1" t="s">
        <v>66</v>
      </c>
      <c r="R340" s="1" t="s">
        <v>66</v>
      </c>
      <c r="S340" s="25">
        <v>0</v>
      </c>
      <c r="T340" s="25">
        <v>48.22</v>
      </c>
      <c r="U340" s="25">
        <v>0</v>
      </c>
      <c r="V340" s="25">
        <v>0</v>
      </c>
      <c r="W340" s="25">
        <v>2.72</v>
      </c>
      <c r="X340" s="25">
        <v>48.22</v>
      </c>
      <c r="Y340" s="25">
        <v>8.15</v>
      </c>
      <c r="Z340" s="17" t="e">
        <f t="shared" si="135"/>
        <v>#DIV/0!</v>
      </c>
      <c r="AA340" s="18">
        <v>0.15</v>
      </c>
      <c r="AB340" s="16">
        <f t="shared" si="130"/>
        <v>7.2329999999999997</v>
      </c>
      <c r="AC340" s="16">
        <v>0</v>
      </c>
      <c r="AD340" s="16">
        <v>0</v>
      </c>
      <c r="AE340" s="16">
        <v>0</v>
      </c>
      <c r="AF340" s="16">
        <f t="shared" si="136"/>
        <v>7.2329999999999997</v>
      </c>
      <c r="AG340" s="16">
        <f t="shared" si="131"/>
        <v>1.1572799999999999</v>
      </c>
      <c r="AH340" s="16">
        <f t="shared" si="137"/>
        <v>8.3902799999999989</v>
      </c>
      <c r="AI340" s="16">
        <f t="shared" si="132"/>
        <v>0.14465999999999998</v>
      </c>
      <c r="AJ340" s="16">
        <v>0</v>
      </c>
      <c r="AK340" s="16">
        <f t="shared" si="138"/>
        <v>0.14465999999999998</v>
      </c>
      <c r="AL340" s="19"/>
      <c r="AM340" s="16">
        <f t="shared" si="139"/>
        <v>7.0883399999999996</v>
      </c>
      <c r="AN340" s="16" t="s">
        <v>147</v>
      </c>
      <c r="AO340" s="20">
        <v>0.4</v>
      </c>
      <c r="AP340" s="16">
        <f t="shared" si="140"/>
        <v>2.8353359999999999</v>
      </c>
      <c r="AQ340" s="16">
        <v>2.8353359999999999</v>
      </c>
      <c r="AR340" s="15">
        <v>45229</v>
      </c>
      <c r="AS340" s="16">
        <f t="shared" si="141"/>
        <v>0</v>
      </c>
      <c r="AT340" s="16"/>
      <c r="AU340" s="16">
        <v>8.3902799999999989</v>
      </c>
      <c r="AV340" s="16">
        <f t="shared" si="133"/>
        <v>8.3902799999999989</v>
      </c>
      <c r="AW340" s="16">
        <f t="shared" si="142"/>
        <v>0</v>
      </c>
      <c r="AX340" s="16" t="str">
        <f t="shared" si="143"/>
        <v>SFA</v>
      </c>
      <c r="AY340" s="22">
        <v>45070</v>
      </c>
      <c r="AZ340" s="22"/>
      <c r="BA340" s="1" t="s">
        <v>148</v>
      </c>
      <c r="BB340" s="1" t="s">
        <v>104</v>
      </c>
      <c r="BC340" s="1"/>
      <c r="BD340" s="1"/>
      <c r="BE340" s="1"/>
    </row>
    <row r="341" spans="1:57" ht="14.25" hidden="1" customHeight="1">
      <c r="A341" s="2" t="s">
        <v>165</v>
      </c>
      <c r="B341" s="1" t="s">
        <v>58</v>
      </c>
      <c r="C341" s="27">
        <v>45079</v>
      </c>
      <c r="D341" s="27">
        <v>45007</v>
      </c>
      <c r="E341" s="27">
        <v>44993</v>
      </c>
      <c r="F341" s="27">
        <v>45357</v>
      </c>
      <c r="G341" s="13" t="str">
        <f t="shared" si="134"/>
        <v>000-340/AIB RDC/2023</v>
      </c>
      <c r="H341" s="1">
        <v>0</v>
      </c>
      <c r="I341" s="1" t="s">
        <v>83</v>
      </c>
      <c r="J341" s="23" t="s">
        <v>594</v>
      </c>
      <c r="K341" s="2" t="s">
        <v>403</v>
      </c>
      <c r="L341" s="1"/>
      <c r="M341" s="1" t="s">
        <v>95</v>
      </c>
      <c r="N341" s="1" t="s">
        <v>146</v>
      </c>
      <c r="O341" s="1" t="s">
        <v>104</v>
      </c>
      <c r="P341" s="1" t="s">
        <v>105</v>
      </c>
      <c r="Q341" s="1" t="s">
        <v>66</v>
      </c>
      <c r="R341" s="1" t="s">
        <v>66</v>
      </c>
      <c r="S341" s="25">
        <v>0</v>
      </c>
      <c r="T341" s="25">
        <v>46.75</v>
      </c>
      <c r="U341" s="25">
        <v>0</v>
      </c>
      <c r="V341" s="25">
        <v>0</v>
      </c>
      <c r="W341" s="25">
        <v>2.7</v>
      </c>
      <c r="X341" s="25">
        <v>46.75</v>
      </c>
      <c r="Y341" s="25">
        <v>7.91</v>
      </c>
      <c r="Z341" s="17" t="e">
        <f t="shared" si="135"/>
        <v>#DIV/0!</v>
      </c>
      <c r="AA341" s="18">
        <v>0.15</v>
      </c>
      <c r="AB341" s="16">
        <f t="shared" si="130"/>
        <v>7.0125000000000002</v>
      </c>
      <c r="AC341" s="16">
        <v>0</v>
      </c>
      <c r="AD341" s="16">
        <v>0</v>
      </c>
      <c r="AE341" s="16">
        <v>0</v>
      </c>
      <c r="AF341" s="16">
        <f t="shared" si="136"/>
        <v>7.0125000000000002</v>
      </c>
      <c r="AG341" s="16">
        <f t="shared" si="131"/>
        <v>1.1220000000000001</v>
      </c>
      <c r="AH341" s="16">
        <f t="shared" si="137"/>
        <v>8.134500000000001</v>
      </c>
      <c r="AI341" s="16">
        <f t="shared" si="132"/>
        <v>0.14025000000000001</v>
      </c>
      <c r="AJ341" s="16">
        <v>0</v>
      </c>
      <c r="AK341" s="16">
        <f t="shared" si="138"/>
        <v>0.14025000000000001</v>
      </c>
      <c r="AL341" s="19"/>
      <c r="AM341" s="16">
        <f t="shared" si="139"/>
        <v>6.8722500000000002</v>
      </c>
      <c r="AN341" s="16" t="s">
        <v>147</v>
      </c>
      <c r="AO341" s="20">
        <v>0.4</v>
      </c>
      <c r="AP341" s="16">
        <f t="shared" si="140"/>
        <v>2.7489000000000003</v>
      </c>
      <c r="AQ341" s="16">
        <v>2.7489000000000003</v>
      </c>
      <c r="AR341" s="15">
        <v>45229</v>
      </c>
      <c r="AS341" s="16">
        <f t="shared" si="141"/>
        <v>0</v>
      </c>
      <c r="AT341" s="16"/>
      <c r="AU341" s="16">
        <v>8.134500000000001</v>
      </c>
      <c r="AV341" s="16">
        <f t="shared" si="133"/>
        <v>8.134500000000001</v>
      </c>
      <c r="AW341" s="16">
        <f t="shared" si="142"/>
        <v>0</v>
      </c>
      <c r="AX341" s="16" t="str">
        <f t="shared" si="143"/>
        <v>SFA</v>
      </c>
      <c r="AY341" s="22">
        <v>45070</v>
      </c>
      <c r="AZ341" s="22"/>
      <c r="BA341" s="1" t="s">
        <v>148</v>
      </c>
      <c r="BB341" s="1" t="s">
        <v>104</v>
      </c>
      <c r="BC341" s="1"/>
      <c r="BD341" s="1"/>
      <c r="BE341" s="1"/>
    </row>
    <row r="342" spans="1:57" ht="14.25" hidden="1" customHeight="1">
      <c r="A342" s="2" t="s">
        <v>165</v>
      </c>
      <c r="B342" s="1" t="s">
        <v>58</v>
      </c>
      <c r="C342" s="27">
        <v>45079</v>
      </c>
      <c r="D342" s="27">
        <v>45009</v>
      </c>
      <c r="E342" s="27">
        <v>44993</v>
      </c>
      <c r="F342" s="27">
        <v>45357</v>
      </c>
      <c r="G342" s="13" t="str">
        <f t="shared" si="134"/>
        <v>000-341/AIB RDC/2023</v>
      </c>
      <c r="H342" s="1">
        <v>0</v>
      </c>
      <c r="I342" s="1" t="s">
        <v>83</v>
      </c>
      <c r="J342" s="23" t="s">
        <v>595</v>
      </c>
      <c r="K342" s="2" t="s">
        <v>403</v>
      </c>
      <c r="L342" s="1"/>
      <c r="M342" s="1" t="s">
        <v>95</v>
      </c>
      <c r="N342" s="1" t="s">
        <v>146</v>
      </c>
      <c r="O342" s="1" t="s">
        <v>104</v>
      </c>
      <c r="P342" s="1" t="s">
        <v>105</v>
      </c>
      <c r="Q342" s="1" t="s">
        <v>66</v>
      </c>
      <c r="R342" s="1" t="s">
        <v>66</v>
      </c>
      <c r="S342" s="25">
        <v>0</v>
      </c>
      <c r="T342" s="25">
        <v>71.44</v>
      </c>
      <c r="U342" s="25">
        <v>0</v>
      </c>
      <c r="V342" s="25">
        <v>0</v>
      </c>
      <c r="W342" s="25">
        <v>3.07</v>
      </c>
      <c r="X342" s="25">
        <v>71.44</v>
      </c>
      <c r="Y342" s="25">
        <v>11.92</v>
      </c>
      <c r="Z342" s="17" t="e">
        <f t="shared" si="135"/>
        <v>#DIV/0!</v>
      </c>
      <c r="AA342" s="18">
        <v>0.15</v>
      </c>
      <c r="AB342" s="16">
        <f t="shared" si="130"/>
        <v>10.715999999999999</v>
      </c>
      <c r="AC342" s="16">
        <v>0</v>
      </c>
      <c r="AD342" s="16">
        <v>0</v>
      </c>
      <c r="AE342" s="16">
        <v>0</v>
      </c>
      <c r="AF342" s="16">
        <f t="shared" si="136"/>
        <v>10.715999999999999</v>
      </c>
      <c r="AG342" s="16">
        <f t="shared" si="131"/>
        <v>1.7145599999999999</v>
      </c>
      <c r="AH342" s="16">
        <f t="shared" si="137"/>
        <v>12.43056</v>
      </c>
      <c r="AI342" s="16">
        <f t="shared" si="132"/>
        <v>0.21431999999999998</v>
      </c>
      <c r="AJ342" s="16">
        <v>0</v>
      </c>
      <c r="AK342" s="16">
        <f t="shared" si="138"/>
        <v>0.21431999999999998</v>
      </c>
      <c r="AL342" s="19"/>
      <c r="AM342" s="16">
        <f t="shared" si="139"/>
        <v>10.501679999999999</v>
      </c>
      <c r="AN342" s="16" t="s">
        <v>147</v>
      </c>
      <c r="AO342" s="20">
        <v>0.4</v>
      </c>
      <c r="AP342" s="16">
        <f t="shared" si="140"/>
        <v>4.200672</v>
      </c>
      <c r="AQ342" s="16">
        <v>4.200672</v>
      </c>
      <c r="AR342" s="15">
        <v>45229</v>
      </c>
      <c r="AS342" s="16">
        <f t="shared" si="141"/>
        <v>0</v>
      </c>
      <c r="AT342" s="16"/>
      <c r="AU342" s="16">
        <v>12.43056</v>
      </c>
      <c r="AV342" s="16">
        <f t="shared" si="133"/>
        <v>12.43056</v>
      </c>
      <c r="AW342" s="16">
        <f t="shared" si="142"/>
        <v>0</v>
      </c>
      <c r="AX342" s="16" t="str">
        <f t="shared" si="143"/>
        <v>SFA</v>
      </c>
      <c r="AY342" s="22">
        <v>45070</v>
      </c>
      <c r="AZ342" s="22"/>
      <c r="BA342" s="1" t="s">
        <v>148</v>
      </c>
      <c r="BB342" s="1" t="s">
        <v>104</v>
      </c>
      <c r="BC342" s="1"/>
      <c r="BD342" s="1"/>
      <c r="BE342" s="1"/>
    </row>
    <row r="343" spans="1:57" ht="14.25" hidden="1" customHeight="1">
      <c r="A343" s="2" t="s">
        <v>165</v>
      </c>
      <c r="B343" s="1" t="s">
        <v>58</v>
      </c>
      <c r="C343" s="27">
        <v>45079</v>
      </c>
      <c r="D343" s="27">
        <v>45009</v>
      </c>
      <c r="E343" s="27">
        <v>44993</v>
      </c>
      <c r="F343" s="27">
        <v>45357</v>
      </c>
      <c r="G343" s="13" t="str">
        <f t="shared" si="134"/>
        <v>000-342/AIB RDC/2023</v>
      </c>
      <c r="H343" s="1">
        <v>0</v>
      </c>
      <c r="I343" s="1" t="s">
        <v>83</v>
      </c>
      <c r="J343" s="23" t="s">
        <v>596</v>
      </c>
      <c r="K343" s="2" t="s">
        <v>403</v>
      </c>
      <c r="L343" s="1"/>
      <c r="M343" s="1" t="s">
        <v>95</v>
      </c>
      <c r="N343" s="1" t="s">
        <v>146</v>
      </c>
      <c r="O343" s="1" t="s">
        <v>104</v>
      </c>
      <c r="P343" s="1" t="s">
        <v>105</v>
      </c>
      <c r="Q343" s="1" t="s">
        <v>66</v>
      </c>
      <c r="R343" s="1" t="s">
        <v>66</v>
      </c>
      <c r="S343" s="25">
        <v>0</v>
      </c>
      <c r="T343" s="25">
        <v>57.86</v>
      </c>
      <c r="U343" s="25">
        <v>0</v>
      </c>
      <c r="V343" s="25">
        <v>0</v>
      </c>
      <c r="W343" s="25">
        <v>2.87</v>
      </c>
      <c r="X343" s="25">
        <v>57.86</v>
      </c>
      <c r="Y343" s="25">
        <v>9.7200000000000006</v>
      </c>
      <c r="Z343" s="17" t="e">
        <f t="shared" si="135"/>
        <v>#DIV/0!</v>
      </c>
      <c r="AA343" s="18">
        <v>0.15</v>
      </c>
      <c r="AB343" s="16">
        <f t="shared" si="130"/>
        <v>8.6790000000000003</v>
      </c>
      <c r="AC343" s="16">
        <v>0</v>
      </c>
      <c r="AD343" s="16">
        <v>0</v>
      </c>
      <c r="AE343" s="16">
        <v>0</v>
      </c>
      <c r="AF343" s="16">
        <f t="shared" si="136"/>
        <v>8.6790000000000003</v>
      </c>
      <c r="AG343" s="16">
        <f t="shared" si="131"/>
        <v>1.3886400000000001</v>
      </c>
      <c r="AH343" s="16">
        <f t="shared" si="137"/>
        <v>10.067640000000001</v>
      </c>
      <c r="AI343" s="16">
        <f t="shared" si="132"/>
        <v>0.17358000000000001</v>
      </c>
      <c r="AJ343" s="16">
        <v>0</v>
      </c>
      <c r="AK343" s="16">
        <f t="shared" si="138"/>
        <v>0.17358000000000001</v>
      </c>
      <c r="AL343" s="19"/>
      <c r="AM343" s="16">
        <f t="shared" si="139"/>
        <v>8.5054200000000009</v>
      </c>
      <c r="AN343" s="16" t="s">
        <v>147</v>
      </c>
      <c r="AO343" s="20">
        <v>0.4</v>
      </c>
      <c r="AP343" s="16">
        <f t="shared" si="140"/>
        <v>3.4021680000000005</v>
      </c>
      <c r="AQ343" s="16">
        <v>3.4021680000000005</v>
      </c>
      <c r="AR343" s="15">
        <v>45229</v>
      </c>
      <c r="AS343" s="16">
        <f t="shared" si="141"/>
        <v>0</v>
      </c>
      <c r="AT343" s="16"/>
      <c r="AU343" s="16">
        <v>10.067640000000001</v>
      </c>
      <c r="AV343" s="16">
        <f t="shared" si="133"/>
        <v>10.067640000000001</v>
      </c>
      <c r="AW343" s="16">
        <f t="shared" si="142"/>
        <v>0</v>
      </c>
      <c r="AX343" s="16" t="str">
        <f t="shared" si="143"/>
        <v>SFA</v>
      </c>
      <c r="AY343" s="22">
        <v>45070</v>
      </c>
      <c r="AZ343" s="22"/>
      <c r="BA343" s="1" t="s">
        <v>148</v>
      </c>
      <c r="BB343" s="1" t="s">
        <v>104</v>
      </c>
      <c r="BC343" s="1"/>
      <c r="BD343" s="1"/>
      <c r="BE343" s="1"/>
    </row>
    <row r="344" spans="1:57" ht="14.25" hidden="1" customHeight="1">
      <c r="A344" s="2" t="s">
        <v>165</v>
      </c>
      <c r="B344" s="1" t="s">
        <v>58</v>
      </c>
      <c r="C344" s="27">
        <v>45079</v>
      </c>
      <c r="D344" s="27">
        <v>45009</v>
      </c>
      <c r="E344" s="27">
        <v>44993</v>
      </c>
      <c r="F344" s="27">
        <v>45357</v>
      </c>
      <c r="G344" s="13" t="str">
        <f t="shared" si="134"/>
        <v>000-343/AIB RDC/2023</v>
      </c>
      <c r="H344" s="1">
        <v>0</v>
      </c>
      <c r="I344" s="1" t="s">
        <v>83</v>
      </c>
      <c r="J344" s="23" t="s">
        <v>597</v>
      </c>
      <c r="K344" s="2" t="s">
        <v>403</v>
      </c>
      <c r="L344" s="1"/>
      <c r="M344" s="1" t="s">
        <v>95</v>
      </c>
      <c r="N344" s="1" t="s">
        <v>146</v>
      </c>
      <c r="O344" s="1" t="s">
        <v>104</v>
      </c>
      <c r="P344" s="1" t="s">
        <v>105</v>
      </c>
      <c r="Q344" s="1" t="s">
        <v>66</v>
      </c>
      <c r="R344" s="1" t="s">
        <v>66</v>
      </c>
      <c r="S344" s="25">
        <v>0</v>
      </c>
      <c r="T344" s="25">
        <v>56.1</v>
      </c>
      <c r="U344" s="25">
        <v>0</v>
      </c>
      <c r="V344" s="25">
        <v>0</v>
      </c>
      <c r="W344" s="25">
        <v>2.84</v>
      </c>
      <c r="X344" s="25">
        <v>56.1</v>
      </c>
      <c r="Y344" s="25">
        <v>9.43</v>
      </c>
      <c r="Z344" s="17" t="e">
        <f t="shared" si="135"/>
        <v>#DIV/0!</v>
      </c>
      <c r="AA344" s="18">
        <v>0.15</v>
      </c>
      <c r="AB344" s="16">
        <f t="shared" si="130"/>
        <v>8.4149999999999991</v>
      </c>
      <c r="AC344" s="16">
        <v>0</v>
      </c>
      <c r="AD344" s="16">
        <v>0</v>
      </c>
      <c r="AE344" s="16">
        <v>0</v>
      </c>
      <c r="AF344" s="16">
        <f t="shared" si="136"/>
        <v>8.4149999999999991</v>
      </c>
      <c r="AG344" s="16">
        <f t="shared" si="131"/>
        <v>1.3463999999999998</v>
      </c>
      <c r="AH344" s="16">
        <f t="shared" si="137"/>
        <v>9.7613999999999983</v>
      </c>
      <c r="AI344" s="16">
        <f t="shared" si="132"/>
        <v>0.16829999999999998</v>
      </c>
      <c r="AJ344" s="16">
        <v>0</v>
      </c>
      <c r="AK344" s="16">
        <f t="shared" si="138"/>
        <v>0.16829999999999998</v>
      </c>
      <c r="AL344" s="19"/>
      <c r="AM344" s="16">
        <f t="shared" si="139"/>
        <v>8.2466999999999988</v>
      </c>
      <c r="AN344" s="16" t="s">
        <v>147</v>
      </c>
      <c r="AO344" s="20">
        <v>0.4</v>
      </c>
      <c r="AP344" s="16">
        <f t="shared" si="140"/>
        <v>3.2986799999999996</v>
      </c>
      <c r="AQ344" s="16">
        <v>3.2986799999999996</v>
      </c>
      <c r="AR344" s="15">
        <v>45229</v>
      </c>
      <c r="AS344" s="16">
        <f t="shared" si="141"/>
        <v>0</v>
      </c>
      <c r="AT344" s="16"/>
      <c r="AU344" s="16">
        <v>9.7613999999999983</v>
      </c>
      <c r="AV344" s="16">
        <f t="shared" si="133"/>
        <v>9.7613999999999983</v>
      </c>
      <c r="AW344" s="16">
        <f t="shared" si="142"/>
        <v>0</v>
      </c>
      <c r="AX344" s="16" t="str">
        <f t="shared" si="143"/>
        <v>SFA</v>
      </c>
      <c r="AY344" s="22">
        <v>45070</v>
      </c>
      <c r="AZ344" s="22"/>
      <c r="BA344" s="1" t="s">
        <v>148</v>
      </c>
      <c r="BB344" s="1" t="s">
        <v>104</v>
      </c>
      <c r="BC344" s="1"/>
      <c r="BD344" s="1"/>
      <c r="BE344" s="1"/>
    </row>
    <row r="345" spans="1:57" ht="14.25" hidden="1" customHeight="1">
      <c r="A345" s="2" t="s">
        <v>165</v>
      </c>
      <c r="B345" s="1" t="s">
        <v>58</v>
      </c>
      <c r="C345" s="27">
        <v>45079</v>
      </c>
      <c r="D345" s="27">
        <v>45009</v>
      </c>
      <c r="E345" s="27">
        <v>44993</v>
      </c>
      <c r="F345" s="27">
        <v>45357</v>
      </c>
      <c r="G345" s="13" t="str">
        <f t="shared" si="134"/>
        <v>000-344/AIB RDC/2023</v>
      </c>
      <c r="H345" s="1">
        <v>0</v>
      </c>
      <c r="I345" s="1" t="s">
        <v>83</v>
      </c>
      <c r="J345" s="23" t="s">
        <v>598</v>
      </c>
      <c r="K345" s="2" t="s">
        <v>403</v>
      </c>
      <c r="L345" s="1"/>
      <c r="M345" s="1" t="s">
        <v>95</v>
      </c>
      <c r="N345" s="1" t="s">
        <v>146</v>
      </c>
      <c r="O345" s="1" t="s">
        <v>104</v>
      </c>
      <c r="P345" s="1" t="s">
        <v>105</v>
      </c>
      <c r="Q345" s="1" t="s">
        <v>66</v>
      </c>
      <c r="R345" s="1" t="s">
        <v>66</v>
      </c>
      <c r="S345" s="25">
        <v>0</v>
      </c>
      <c r="T345" s="25">
        <v>71.44</v>
      </c>
      <c r="U345" s="25">
        <v>0</v>
      </c>
      <c r="V345" s="25">
        <v>0</v>
      </c>
      <c r="W345" s="25">
        <v>3.07</v>
      </c>
      <c r="X345" s="25">
        <v>71.44</v>
      </c>
      <c r="Y345" s="25">
        <v>11.92</v>
      </c>
      <c r="Z345" s="17" t="e">
        <f t="shared" si="135"/>
        <v>#DIV/0!</v>
      </c>
      <c r="AA345" s="18">
        <v>0.15</v>
      </c>
      <c r="AB345" s="16">
        <f t="shared" si="130"/>
        <v>10.715999999999999</v>
      </c>
      <c r="AC345" s="16">
        <v>0</v>
      </c>
      <c r="AD345" s="16">
        <v>0</v>
      </c>
      <c r="AE345" s="16">
        <v>0</v>
      </c>
      <c r="AF345" s="16">
        <f t="shared" si="136"/>
        <v>10.715999999999999</v>
      </c>
      <c r="AG345" s="16">
        <f t="shared" si="131"/>
        <v>1.7145599999999999</v>
      </c>
      <c r="AH345" s="16">
        <f t="shared" si="137"/>
        <v>12.43056</v>
      </c>
      <c r="AI345" s="16">
        <f t="shared" si="132"/>
        <v>0.21431999999999998</v>
      </c>
      <c r="AJ345" s="16">
        <v>0</v>
      </c>
      <c r="AK345" s="16">
        <f t="shared" si="138"/>
        <v>0.21431999999999998</v>
      </c>
      <c r="AL345" s="19"/>
      <c r="AM345" s="16">
        <f t="shared" si="139"/>
        <v>10.501679999999999</v>
      </c>
      <c r="AN345" s="16" t="s">
        <v>147</v>
      </c>
      <c r="AO345" s="20">
        <v>0.4</v>
      </c>
      <c r="AP345" s="16">
        <f t="shared" si="140"/>
        <v>4.200672</v>
      </c>
      <c r="AQ345" s="16">
        <v>4.200672</v>
      </c>
      <c r="AR345" s="15">
        <v>45229</v>
      </c>
      <c r="AS345" s="16">
        <f t="shared" si="141"/>
        <v>0</v>
      </c>
      <c r="AT345" s="16"/>
      <c r="AU345" s="16">
        <v>12.43056</v>
      </c>
      <c r="AV345" s="16">
        <f t="shared" si="133"/>
        <v>12.43056</v>
      </c>
      <c r="AW345" s="16">
        <f t="shared" si="142"/>
        <v>0</v>
      </c>
      <c r="AX345" s="16" t="str">
        <f t="shared" si="143"/>
        <v>SFA</v>
      </c>
      <c r="AY345" s="22">
        <v>45070</v>
      </c>
      <c r="AZ345" s="22"/>
      <c r="BA345" s="1" t="s">
        <v>148</v>
      </c>
      <c r="BB345" s="1" t="s">
        <v>104</v>
      </c>
      <c r="BC345" s="1"/>
      <c r="BD345" s="1"/>
      <c r="BE345" s="1"/>
    </row>
    <row r="346" spans="1:57" ht="14.25" hidden="1" customHeight="1">
      <c r="A346" s="2" t="s">
        <v>165</v>
      </c>
      <c r="B346" s="1" t="s">
        <v>58</v>
      </c>
      <c r="C346" s="27">
        <v>45079</v>
      </c>
      <c r="D346" s="27">
        <v>45009</v>
      </c>
      <c r="E346" s="27">
        <v>44993</v>
      </c>
      <c r="F346" s="27">
        <v>45357</v>
      </c>
      <c r="G346" s="13" t="str">
        <f t="shared" si="134"/>
        <v>000-345/AIB RDC/2023</v>
      </c>
      <c r="H346" s="1">
        <v>0</v>
      </c>
      <c r="I346" s="1" t="s">
        <v>83</v>
      </c>
      <c r="J346" s="23" t="s">
        <v>599</v>
      </c>
      <c r="K346" s="2" t="s">
        <v>403</v>
      </c>
      <c r="L346" s="1"/>
      <c r="M346" s="1" t="s">
        <v>95</v>
      </c>
      <c r="N346" s="1" t="s">
        <v>146</v>
      </c>
      <c r="O346" s="1" t="s">
        <v>104</v>
      </c>
      <c r="P346" s="1" t="s">
        <v>105</v>
      </c>
      <c r="Q346" s="1" t="s">
        <v>66</v>
      </c>
      <c r="R346" s="1" t="s">
        <v>66</v>
      </c>
      <c r="S346" s="25">
        <v>0</v>
      </c>
      <c r="T346" s="25">
        <v>71.44</v>
      </c>
      <c r="U346" s="25">
        <v>0</v>
      </c>
      <c r="V346" s="25">
        <v>0</v>
      </c>
      <c r="W346" s="25">
        <v>3.07</v>
      </c>
      <c r="X346" s="25">
        <v>71.44</v>
      </c>
      <c r="Y346" s="25">
        <v>11.92</v>
      </c>
      <c r="Z346" s="17" t="e">
        <f t="shared" si="135"/>
        <v>#DIV/0!</v>
      </c>
      <c r="AA346" s="18">
        <v>0.15</v>
      </c>
      <c r="AB346" s="16">
        <f t="shared" si="130"/>
        <v>10.715999999999999</v>
      </c>
      <c r="AC346" s="16">
        <v>0</v>
      </c>
      <c r="AD346" s="16">
        <v>0</v>
      </c>
      <c r="AE346" s="16">
        <v>0</v>
      </c>
      <c r="AF346" s="16">
        <f t="shared" si="136"/>
        <v>10.715999999999999</v>
      </c>
      <c r="AG346" s="16">
        <f t="shared" si="131"/>
        <v>1.7145599999999999</v>
      </c>
      <c r="AH346" s="16">
        <f t="shared" si="137"/>
        <v>12.43056</v>
      </c>
      <c r="AI346" s="16">
        <f t="shared" si="132"/>
        <v>0.21431999999999998</v>
      </c>
      <c r="AJ346" s="16">
        <v>0</v>
      </c>
      <c r="AK346" s="16">
        <f t="shared" si="138"/>
        <v>0.21431999999999998</v>
      </c>
      <c r="AL346" s="19"/>
      <c r="AM346" s="16">
        <f t="shared" si="139"/>
        <v>10.501679999999999</v>
      </c>
      <c r="AN346" s="16" t="s">
        <v>147</v>
      </c>
      <c r="AO346" s="20">
        <v>0.4</v>
      </c>
      <c r="AP346" s="16">
        <f t="shared" si="140"/>
        <v>4.200672</v>
      </c>
      <c r="AQ346" s="16">
        <v>4.200672</v>
      </c>
      <c r="AR346" s="15">
        <v>45229</v>
      </c>
      <c r="AS346" s="16">
        <f t="shared" si="141"/>
        <v>0</v>
      </c>
      <c r="AT346" s="16"/>
      <c r="AU346" s="16">
        <v>12.43056</v>
      </c>
      <c r="AV346" s="16">
        <f t="shared" si="133"/>
        <v>12.43056</v>
      </c>
      <c r="AW346" s="16">
        <f t="shared" si="142"/>
        <v>0</v>
      </c>
      <c r="AX346" s="16" t="str">
        <f t="shared" si="143"/>
        <v>SFA</v>
      </c>
      <c r="AY346" s="22">
        <v>45070</v>
      </c>
      <c r="AZ346" s="22"/>
      <c r="BA346" s="1" t="s">
        <v>148</v>
      </c>
      <c r="BB346" s="1" t="s">
        <v>104</v>
      </c>
      <c r="BC346" s="1"/>
      <c r="BD346" s="1"/>
      <c r="BE346" s="1"/>
    </row>
    <row r="347" spans="1:57" ht="14.25" hidden="1" customHeight="1">
      <c r="A347" s="2" t="s">
        <v>165</v>
      </c>
      <c r="B347" s="1" t="s">
        <v>58</v>
      </c>
      <c r="C347" s="27">
        <v>45079</v>
      </c>
      <c r="D347" s="27">
        <v>45009</v>
      </c>
      <c r="E347" s="27">
        <v>44993</v>
      </c>
      <c r="F347" s="27">
        <v>45357</v>
      </c>
      <c r="G347" s="13" t="str">
        <f t="shared" si="134"/>
        <v>000-346/AIB RDC/2023</v>
      </c>
      <c r="H347" s="1">
        <v>0</v>
      </c>
      <c r="I347" s="1" t="s">
        <v>83</v>
      </c>
      <c r="J347" s="23" t="s">
        <v>600</v>
      </c>
      <c r="K347" s="2" t="s">
        <v>403</v>
      </c>
      <c r="L347" s="1"/>
      <c r="M347" s="1" t="s">
        <v>95</v>
      </c>
      <c r="N347" s="1" t="s">
        <v>146</v>
      </c>
      <c r="O347" s="1" t="s">
        <v>104</v>
      </c>
      <c r="P347" s="1" t="s">
        <v>105</v>
      </c>
      <c r="Q347" s="1" t="s">
        <v>66</v>
      </c>
      <c r="R347" s="1" t="s">
        <v>66</v>
      </c>
      <c r="S347" s="25">
        <v>0</v>
      </c>
      <c r="T347" s="25">
        <v>57.86</v>
      </c>
      <c r="U347" s="25">
        <v>0</v>
      </c>
      <c r="V347" s="25">
        <v>0</v>
      </c>
      <c r="W347" s="25">
        <v>2.87</v>
      </c>
      <c r="X347" s="25">
        <v>57.86</v>
      </c>
      <c r="Y347" s="25">
        <v>9.7200000000000006</v>
      </c>
      <c r="Z347" s="17" t="e">
        <f t="shared" si="135"/>
        <v>#DIV/0!</v>
      </c>
      <c r="AA347" s="18">
        <v>0.15</v>
      </c>
      <c r="AB347" s="16">
        <f t="shared" si="130"/>
        <v>8.6790000000000003</v>
      </c>
      <c r="AC347" s="16">
        <v>0</v>
      </c>
      <c r="AD347" s="16">
        <v>0</v>
      </c>
      <c r="AE347" s="16">
        <v>0</v>
      </c>
      <c r="AF347" s="16">
        <f t="shared" si="136"/>
        <v>8.6790000000000003</v>
      </c>
      <c r="AG347" s="16">
        <f t="shared" ref="AG347:AG378" si="144">16%*AF347</f>
        <v>1.3886400000000001</v>
      </c>
      <c r="AH347" s="16">
        <f t="shared" si="137"/>
        <v>10.067640000000001</v>
      </c>
      <c r="AI347" s="16">
        <f t="shared" ref="AI347:AI378" si="145">2%*(AB347+AC347+AD347)</f>
        <v>0.17358000000000001</v>
      </c>
      <c r="AJ347" s="16">
        <v>0</v>
      </c>
      <c r="AK347" s="16">
        <f t="shared" si="138"/>
        <v>0.17358000000000001</v>
      </c>
      <c r="AL347" s="19"/>
      <c r="AM347" s="16">
        <f t="shared" si="139"/>
        <v>8.5054200000000009</v>
      </c>
      <c r="AN347" s="16" t="s">
        <v>147</v>
      </c>
      <c r="AO347" s="20">
        <v>0.4</v>
      </c>
      <c r="AP347" s="16">
        <f t="shared" si="140"/>
        <v>3.4021680000000005</v>
      </c>
      <c r="AQ347" s="16">
        <v>3.4021680000000005</v>
      </c>
      <c r="AR347" s="15">
        <v>45229</v>
      </c>
      <c r="AS347" s="16">
        <f t="shared" si="141"/>
        <v>0</v>
      </c>
      <c r="AT347" s="16"/>
      <c r="AU347" s="16">
        <v>10.067640000000001</v>
      </c>
      <c r="AV347" s="16">
        <f t="shared" si="133"/>
        <v>10.067640000000001</v>
      </c>
      <c r="AW347" s="16">
        <f t="shared" si="142"/>
        <v>0</v>
      </c>
      <c r="AX347" s="16" t="str">
        <f t="shared" si="143"/>
        <v>SFA</v>
      </c>
      <c r="AY347" s="22">
        <v>45070</v>
      </c>
      <c r="AZ347" s="22"/>
      <c r="BA347" s="1" t="s">
        <v>148</v>
      </c>
      <c r="BB347" s="1" t="s">
        <v>104</v>
      </c>
      <c r="BC347" s="1"/>
      <c r="BD347" s="1"/>
      <c r="BE347" s="1"/>
    </row>
    <row r="348" spans="1:57" ht="14.25" hidden="1" customHeight="1">
      <c r="A348" s="2" t="s">
        <v>165</v>
      </c>
      <c r="B348" s="1" t="s">
        <v>58</v>
      </c>
      <c r="C348" s="27">
        <v>45079</v>
      </c>
      <c r="D348" s="27">
        <v>45009</v>
      </c>
      <c r="E348" s="27">
        <v>44993</v>
      </c>
      <c r="F348" s="27">
        <v>45357</v>
      </c>
      <c r="G348" s="13" t="str">
        <f t="shared" si="134"/>
        <v>000-347/AIB RDC/2023</v>
      </c>
      <c r="H348" s="1">
        <v>0</v>
      </c>
      <c r="I348" s="1" t="s">
        <v>83</v>
      </c>
      <c r="J348" s="23" t="s">
        <v>601</v>
      </c>
      <c r="K348" s="2" t="s">
        <v>403</v>
      </c>
      <c r="L348" s="1"/>
      <c r="M348" s="1" t="s">
        <v>95</v>
      </c>
      <c r="N348" s="1" t="s">
        <v>146</v>
      </c>
      <c r="O348" s="1" t="s">
        <v>104</v>
      </c>
      <c r="P348" s="1" t="s">
        <v>105</v>
      </c>
      <c r="Q348" s="1" t="s">
        <v>66</v>
      </c>
      <c r="R348" s="1" t="s">
        <v>66</v>
      </c>
      <c r="S348" s="25">
        <v>0</v>
      </c>
      <c r="T348" s="25">
        <v>55.99</v>
      </c>
      <c r="U348" s="25">
        <v>0</v>
      </c>
      <c r="V348" s="25">
        <v>0</v>
      </c>
      <c r="W348" s="25">
        <v>2.84</v>
      </c>
      <c r="X348" s="25">
        <v>55.99</v>
      </c>
      <c r="Y348" s="25">
        <v>9.41</v>
      </c>
      <c r="Z348" s="17" t="e">
        <f t="shared" si="135"/>
        <v>#DIV/0!</v>
      </c>
      <c r="AA348" s="18">
        <v>0.15</v>
      </c>
      <c r="AB348" s="16">
        <f t="shared" si="130"/>
        <v>8.3985000000000003</v>
      </c>
      <c r="AC348" s="16">
        <v>0</v>
      </c>
      <c r="AD348" s="16">
        <v>0</v>
      </c>
      <c r="AE348" s="16">
        <v>0</v>
      </c>
      <c r="AF348" s="16">
        <f t="shared" si="136"/>
        <v>8.3985000000000003</v>
      </c>
      <c r="AG348" s="16">
        <f t="shared" si="144"/>
        <v>1.3437600000000001</v>
      </c>
      <c r="AH348" s="16">
        <f t="shared" si="137"/>
        <v>9.7422599999999999</v>
      </c>
      <c r="AI348" s="16">
        <f t="shared" si="145"/>
        <v>0.16797000000000001</v>
      </c>
      <c r="AJ348" s="16">
        <v>0</v>
      </c>
      <c r="AK348" s="16">
        <f t="shared" si="138"/>
        <v>0.16797000000000001</v>
      </c>
      <c r="AL348" s="19"/>
      <c r="AM348" s="16">
        <f t="shared" si="139"/>
        <v>8.2305299999999999</v>
      </c>
      <c r="AN348" s="16" t="s">
        <v>147</v>
      </c>
      <c r="AO348" s="20">
        <v>0.4</v>
      </c>
      <c r="AP348" s="16">
        <f t="shared" si="140"/>
        <v>3.2922120000000001</v>
      </c>
      <c r="AQ348" s="16">
        <v>3.2922120000000001</v>
      </c>
      <c r="AR348" s="15">
        <v>45229</v>
      </c>
      <c r="AS348" s="16">
        <f t="shared" si="141"/>
        <v>0</v>
      </c>
      <c r="AT348" s="16"/>
      <c r="AU348" s="16">
        <v>9.7422599999999999</v>
      </c>
      <c r="AV348" s="16">
        <f t="shared" si="133"/>
        <v>9.7422599999999999</v>
      </c>
      <c r="AW348" s="16">
        <f t="shared" si="142"/>
        <v>0</v>
      </c>
      <c r="AX348" s="16" t="str">
        <f t="shared" si="143"/>
        <v>SFA</v>
      </c>
      <c r="AY348" s="22">
        <v>45070</v>
      </c>
      <c r="AZ348" s="22"/>
      <c r="BA348" s="1" t="s">
        <v>148</v>
      </c>
      <c r="BB348" s="1" t="s">
        <v>104</v>
      </c>
      <c r="BC348" s="1"/>
      <c r="BD348" s="1"/>
      <c r="BE348" s="1"/>
    </row>
    <row r="349" spans="1:57" ht="14.25" hidden="1" customHeight="1">
      <c r="A349" s="2" t="s">
        <v>165</v>
      </c>
      <c r="B349" s="1" t="s">
        <v>58</v>
      </c>
      <c r="C349" s="27">
        <v>45079</v>
      </c>
      <c r="D349" s="27">
        <v>45009</v>
      </c>
      <c r="E349" s="27">
        <v>44993</v>
      </c>
      <c r="F349" s="27">
        <v>45357</v>
      </c>
      <c r="G349" s="13" t="str">
        <f t="shared" si="134"/>
        <v>000-348/AIB RDC/2023</v>
      </c>
      <c r="H349" s="1">
        <v>0</v>
      </c>
      <c r="I349" s="1" t="s">
        <v>83</v>
      </c>
      <c r="J349" s="23" t="s">
        <v>602</v>
      </c>
      <c r="K349" s="2" t="s">
        <v>403</v>
      </c>
      <c r="L349" s="1"/>
      <c r="M349" s="1" t="s">
        <v>95</v>
      </c>
      <c r="N349" s="1" t="s">
        <v>146</v>
      </c>
      <c r="O349" s="1" t="s">
        <v>104</v>
      </c>
      <c r="P349" s="1" t="s">
        <v>105</v>
      </c>
      <c r="Q349" s="1" t="s">
        <v>66</v>
      </c>
      <c r="R349" s="1" t="s">
        <v>66</v>
      </c>
      <c r="S349" s="25">
        <v>0</v>
      </c>
      <c r="T349" s="25">
        <v>70.900000000000006</v>
      </c>
      <c r="U349" s="25">
        <v>0</v>
      </c>
      <c r="V349" s="25">
        <v>0</v>
      </c>
      <c r="W349" s="25">
        <v>3.06</v>
      </c>
      <c r="X349" s="25">
        <v>70.900000000000006</v>
      </c>
      <c r="Y349" s="25">
        <v>11.83</v>
      </c>
      <c r="Z349" s="17" t="e">
        <f t="shared" si="135"/>
        <v>#DIV/0!</v>
      </c>
      <c r="AA349" s="18">
        <v>0.15</v>
      </c>
      <c r="AB349" s="16">
        <f t="shared" si="130"/>
        <v>10.635</v>
      </c>
      <c r="AC349" s="16">
        <v>0</v>
      </c>
      <c r="AD349" s="16">
        <v>0</v>
      </c>
      <c r="AE349" s="16">
        <v>0</v>
      </c>
      <c r="AF349" s="16">
        <f t="shared" si="136"/>
        <v>10.635</v>
      </c>
      <c r="AG349" s="16">
        <f t="shared" si="144"/>
        <v>1.7016</v>
      </c>
      <c r="AH349" s="16">
        <f t="shared" si="137"/>
        <v>12.336600000000001</v>
      </c>
      <c r="AI349" s="16">
        <f t="shared" si="145"/>
        <v>0.2127</v>
      </c>
      <c r="AJ349" s="16">
        <v>0</v>
      </c>
      <c r="AK349" s="16">
        <f t="shared" si="138"/>
        <v>0.2127</v>
      </c>
      <c r="AL349" s="19"/>
      <c r="AM349" s="16">
        <f t="shared" si="139"/>
        <v>10.4223</v>
      </c>
      <c r="AN349" s="16" t="s">
        <v>147</v>
      </c>
      <c r="AO349" s="20">
        <v>0.4</v>
      </c>
      <c r="AP349" s="16">
        <f t="shared" si="140"/>
        <v>4.16892</v>
      </c>
      <c r="AQ349" s="16">
        <v>4.16892</v>
      </c>
      <c r="AR349" s="15">
        <v>45229</v>
      </c>
      <c r="AS349" s="16">
        <f t="shared" si="141"/>
        <v>0</v>
      </c>
      <c r="AT349" s="16"/>
      <c r="AU349" s="16">
        <v>12.336600000000001</v>
      </c>
      <c r="AV349" s="16">
        <f t="shared" si="133"/>
        <v>12.336600000000001</v>
      </c>
      <c r="AW349" s="16">
        <f t="shared" si="142"/>
        <v>0</v>
      </c>
      <c r="AX349" s="16" t="str">
        <f t="shared" si="143"/>
        <v>SFA</v>
      </c>
      <c r="AY349" s="22">
        <v>45070</v>
      </c>
      <c r="AZ349" s="22"/>
      <c r="BA349" s="1" t="s">
        <v>148</v>
      </c>
      <c r="BB349" s="1" t="s">
        <v>104</v>
      </c>
      <c r="BC349" s="1"/>
      <c r="BD349" s="1"/>
      <c r="BE349" s="1"/>
    </row>
    <row r="350" spans="1:57" ht="14.25" hidden="1" customHeight="1">
      <c r="A350" s="2" t="s">
        <v>165</v>
      </c>
      <c r="B350" s="1" t="s">
        <v>58</v>
      </c>
      <c r="C350" s="27">
        <v>45079</v>
      </c>
      <c r="D350" s="27">
        <v>45009</v>
      </c>
      <c r="E350" s="27">
        <v>44993</v>
      </c>
      <c r="F350" s="27">
        <v>45357</v>
      </c>
      <c r="G350" s="13" t="str">
        <f t="shared" si="134"/>
        <v>000-349/AIB RDC/2023</v>
      </c>
      <c r="H350" s="1">
        <v>0</v>
      </c>
      <c r="I350" s="1" t="s">
        <v>83</v>
      </c>
      <c r="J350" s="23" t="s">
        <v>603</v>
      </c>
      <c r="K350" s="2" t="s">
        <v>403</v>
      </c>
      <c r="L350" s="1"/>
      <c r="M350" s="1" t="s">
        <v>95</v>
      </c>
      <c r="N350" s="1" t="s">
        <v>146</v>
      </c>
      <c r="O350" s="1" t="s">
        <v>104</v>
      </c>
      <c r="P350" s="1" t="s">
        <v>105</v>
      </c>
      <c r="Q350" s="1" t="s">
        <v>66</v>
      </c>
      <c r="R350" s="1" t="s">
        <v>66</v>
      </c>
      <c r="S350" s="25">
        <v>0</v>
      </c>
      <c r="T350" s="25">
        <v>57.86</v>
      </c>
      <c r="U350" s="25">
        <v>0</v>
      </c>
      <c r="V350" s="25">
        <v>0</v>
      </c>
      <c r="W350" s="25">
        <v>2.87</v>
      </c>
      <c r="X350" s="25">
        <v>57.86</v>
      </c>
      <c r="Y350" s="25">
        <v>9.7200000000000006</v>
      </c>
      <c r="Z350" s="17" t="e">
        <f t="shared" si="135"/>
        <v>#DIV/0!</v>
      </c>
      <c r="AA350" s="18">
        <v>0.15</v>
      </c>
      <c r="AB350" s="16">
        <f t="shared" si="130"/>
        <v>8.6790000000000003</v>
      </c>
      <c r="AC350" s="16">
        <v>0</v>
      </c>
      <c r="AD350" s="16">
        <v>0</v>
      </c>
      <c r="AE350" s="16">
        <v>0</v>
      </c>
      <c r="AF350" s="16">
        <f t="shared" si="136"/>
        <v>8.6790000000000003</v>
      </c>
      <c r="AG350" s="16">
        <f t="shared" si="144"/>
        <v>1.3886400000000001</v>
      </c>
      <c r="AH350" s="16">
        <f t="shared" si="137"/>
        <v>10.067640000000001</v>
      </c>
      <c r="AI350" s="16">
        <f t="shared" si="145"/>
        <v>0.17358000000000001</v>
      </c>
      <c r="AJ350" s="16">
        <v>0</v>
      </c>
      <c r="AK350" s="16">
        <f t="shared" si="138"/>
        <v>0.17358000000000001</v>
      </c>
      <c r="AL350" s="19"/>
      <c r="AM350" s="16">
        <f t="shared" si="139"/>
        <v>8.5054200000000009</v>
      </c>
      <c r="AN350" s="16" t="s">
        <v>147</v>
      </c>
      <c r="AO350" s="20">
        <v>0.4</v>
      </c>
      <c r="AP350" s="16">
        <f t="shared" si="140"/>
        <v>3.4021680000000005</v>
      </c>
      <c r="AQ350" s="16">
        <v>3.4021680000000005</v>
      </c>
      <c r="AR350" s="15">
        <v>45229</v>
      </c>
      <c r="AS350" s="16">
        <f t="shared" si="141"/>
        <v>0</v>
      </c>
      <c r="AT350" s="16"/>
      <c r="AU350" s="16">
        <v>10.067640000000001</v>
      </c>
      <c r="AV350" s="16">
        <f t="shared" si="133"/>
        <v>10.067640000000001</v>
      </c>
      <c r="AW350" s="16">
        <f t="shared" si="142"/>
        <v>0</v>
      </c>
      <c r="AX350" s="16" t="str">
        <f t="shared" si="143"/>
        <v>SFA</v>
      </c>
      <c r="AY350" s="22">
        <v>45070</v>
      </c>
      <c r="AZ350" s="22"/>
      <c r="BA350" s="1" t="s">
        <v>148</v>
      </c>
      <c r="BB350" s="1" t="s">
        <v>104</v>
      </c>
      <c r="BC350" s="1"/>
      <c r="BD350" s="1"/>
      <c r="BE350" s="1"/>
    </row>
    <row r="351" spans="1:57" ht="14.25" hidden="1" customHeight="1">
      <c r="A351" s="2" t="s">
        <v>165</v>
      </c>
      <c r="B351" s="1" t="s">
        <v>58</v>
      </c>
      <c r="C351" s="27">
        <v>45079</v>
      </c>
      <c r="D351" s="27">
        <v>45009</v>
      </c>
      <c r="E351" s="27">
        <v>44993</v>
      </c>
      <c r="F351" s="27">
        <v>45357</v>
      </c>
      <c r="G351" s="13" t="str">
        <f t="shared" si="134"/>
        <v>000-350/AIB RDC/2023</v>
      </c>
      <c r="H351" s="1">
        <v>0</v>
      </c>
      <c r="I351" s="1" t="s">
        <v>83</v>
      </c>
      <c r="J351" s="23" t="s">
        <v>604</v>
      </c>
      <c r="K351" s="2" t="s">
        <v>403</v>
      </c>
      <c r="L351" s="1"/>
      <c r="M351" s="1" t="s">
        <v>95</v>
      </c>
      <c r="N351" s="1" t="s">
        <v>146</v>
      </c>
      <c r="O351" s="1" t="s">
        <v>104</v>
      </c>
      <c r="P351" s="1" t="s">
        <v>105</v>
      </c>
      <c r="Q351" s="1" t="s">
        <v>66</v>
      </c>
      <c r="R351" s="1" t="s">
        <v>66</v>
      </c>
      <c r="S351" s="25">
        <v>0</v>
      </c>
      <c r="T351" s="25">
        <v>57.86</v>
      </c>
      <c r="U351" s="25">
        <v>0</v>
      </c>
      <c r="V351" s="25">
        <v>0</v>
      </c>
      <c r="W351" s="25">
        <v>2.87</v>
      </c>
      <c r="X351" s="25">
        <v>57.86</v>
      </c>
      <c r="Y351" s="25">
        <v>9.7200000000000006</v>
      </c>
      <c r="Z351" s="17" t="e">
        <f t="shared" si="135"/>
        <v>#DIV/0!</v>
      </c>
      <c r="AA351" s="18">
        <v>0.15</v>
      </c>
      <c r="AB351" s="16">
        <f t="shared" si="130"/>
        <v>8.6790000000000003</v>
      </c>
      <c r="AC351" s="16">
        <v>0</v>
      </c>
      <c r="AD351" s="16">
        <v>0</v>
      </c>
      <c r="AE351" s="16">
        <v>0</v>
      </c>
      <c r="AF351" s="16">
        <f t="shared" si="136"/>
        <v>8.6790000000000003</v>
      </c>
      <c r="AG351" s="16">
        <f t="shared" si="144"/>
        <v>1.3886400000000001</v>
      </c>
      <c r="AH351" s="16">
        <f t="shared" si="137"/>
        <v>10.067640000000001</v>
      </c>
      <c r="AI351" s="16">
        <f t="shared" si="145"/>
        <v>0.17358000000000001</v>
      </c>
      <c r="AJ351" s="16">
        <v>0</v>
      </c>
      <c r="AK351" s="16">
        <f t="shared" si="138"/>
        <v>0.17358000000000001</v>
      </c>
      <c r="AL351" s="19"/>
      <c r="AM351" s="16">
        <f t="shared" si="139"/>
        <v>8.5054200000000009</v>
      </c>
      <c r="AN351" s="16" t="s">
        <v>147</v>
      </c>
      <c r="AO351" s="20">
        <v>0.4</v>
      </c>
      <c r="AP351" s="16">
        <f t="shared" si="140"/>
        <v>3.4021680000000005</v>
      </c>
      <c r="AQ351" s="16">
        <v>3.4021680000000005</v>
      </c>
      <c r="AR351" s="15">
        <v>45229</v>
      </c>
      <c r="AS351" s="16">
        <f t="shared" si="141"/>
        <v>0</v>
      </c>
      <c r="AT351" s="16"/>
      <c r="AU351" s="16">
        <v>10.067640000000001</v>
      </c>
      <c r="AV351" s="16">
        <f t="shared" si="133"/>
        <v>10.067640000000001</v>
      </c>
      <c r="AW351" s="16">
        <f t="shared" si="142"/>
        <v>0</v>
      </c>
      <c r="AX351" s="16" t="str">
        <f t="shared" si="143"/>
        <v>SFA</v>
      </c>
      <c r="AY351" s="22">
        <v>45070</v>
      </c>
      <c r="AZ351" s="22"/>
      <c r="BA351" s="1" t="s">
        <v>148</v>
      </c>
      <c r="BB351" s="1" t="s">
        <v>104</v>
      </c>
      <c r="BC351" s="1"/>
      <c r="BD351" s="1"/>
      <c r="BE351" s="1"/>
    </row>
    <row r="352" spans="1:57" ht="14.25" hidden="1" customHeight="1">
      <c r="A352" s="2" t="s">
        <v>165</v>
      </c>
      <c r="B352" s="1" t="s">
        <v>58</v>
      </c>
      <c r="C352" s="27">
        <v>45079</v>
      </c>
      <c r="D352" s="27">
        <v>45009</v>
      </c>
      <c r="E352" s="27">
        <v>44993</v>
      </c>
      <c r="F352" s="27">
        <v>45357</v>
      </c>
      <c r="G352" s="13" t="str">
        <f t="shared" si="134"/>
        <v>000-351/AIB RDC/2023</v>
      </c>
      <c r="H352" s="1">
        <v>0</v>
      </c>
      <c r="I352" s="1" t="s">
        <v>83</v>
      </c>
      <c r="J352" s="23" t="s">
        <v>605</v>
      </c>
      <c r="K352" s="2" t="s">
        <v>403</v>
      </c>
      <c r="L352" s="1"/>
      <c r="M352" s="1" t="s">
        <v>95</v>
      </c>
      <c r="N352" s="1" t="s">
        <v>146</v>
      </c>
      <c r="O352" s="1" t="s">
        <v>104</v>
      </c>
      <c r="P352" s="1" t="s">
        <v>105</v>
      </c>
      <c r="Q352" s="1" t="s">
        <v>66</v>
      </c>
      <c r="R352" s="1" t="s">
        <v>66</v>
      </c>
      <c r="S352" s="25">
        <v>0</v>
      </c>
      <c r="T352" s="25">
        <v>70.900000000000006</v>
      </c>
      <c r="U352" s="25">
        <v>0</v>
      </c>
      <c r="V352" s="25">
        <v>0</v>
      </c>
      <c r="W352" s="25">
        <v>3.06</v>
      </c>
      <c r="X352" s="25">
        <v>70.900000000000006</v>
      </c>
      <c r="Y352" s="25">
        <v>11.83</v>
      </c>
      <c r="Z352" s="17" t="e">
        <f t="shared" si="135"/>
        <v>#DIV/0!</v>
      </c>
      <c r="AA352" s="18">
        <v>0.15</v>
      </c>
      <c r="AB352" s="16">
        <f t="shared" si="130"/>
        <v>10.635</v>
      </c>
      <c r="AC352" s="16">
        <v>0</v>
      </c>
      <c r="AD352" s="16">
        <v>0</v>
      </c>
      <c r="AE352" s="16">
        <v>0</v>
      </c>
      <c r="AF352" s="16">
        <f t="shared" si="136"/>
        <v>10.635</v>
      </c>
      <c r="AG352" s="16">
        <f t="shared" si="144"/>
        <v>1.7016</v>
      </c>
      <c r="AH352" s="16">
        <f t="shared" si="137"/>
        <v>12.336600000000001</v>
      </c>
      <c r="AI352" s="16">
        <f t="shared" si="145"/>
        <v>0.2127</v>
      </c>
      <c r="AJ352" s="16">
        <v>0</v>
      </c>
      <c r="AK352" s="16">
        <f t="shared" si="138"/>
        <v>0.2127</v>
      </c>
      <c r="AL352" s="19"/>
      <c r="AM352" s="16">
        <f t="shared" si="139"/>
        <v>10.4223</v>
      </c>
      <c r="AN352" s="16" t="s">
        <v>147</v>
      </c>
      <c r="AO352" s="20">
        <v>0.4</v>
      </c>
      <c r="AP352" s="16">
        <f t="shared" si="140"/>
        <v>4.16892</v>
      </c>
      <c r="AQ352" s="16">
        <v>4.16892</v>
      </c>
      <c r="AR352" s="15">
        <v>45229</v>
      </c>
      <c r="AS352" s="16">
        <f t="shared" si="141"/>
        <v>0</v>
      </c>
      <c r="AT352" s="16"/>
      <c r="AU352" s="16">
        <v>12.336600000000001</v>
      </c>
      <c r="AV352" s="16">
        <f t="shared" si="133"/>
        <v>12.336600000000001</v>
      </c>
      <c r="AW352" s="16">
        <f t="shared" si="142"/>
        <v>0</v>
      </c>
      <c r="AX352" s="16" t="str">
        <f t="shared" si="143"/>
        <v>SFA</v>
      </c>
      <c r="AY352" s="22">
        <v>45070</v>
      </c>
      <c r="AZ352" s="22"/>
      <c r="BA352" s="1" t="s">
        <v>148</v>
      </c>
      <c r="BB352" s="1" t="s">
        <v>104</v>
      </c>
      <c r="BC352" s="1"/>
      <c r="BD352" s="1"/>
      <c r="BE352" s="1"/>
    </row>
    <row r="353" spans="1:57" ht="14.25" hidden="1" customHeight="1">
      <c r="A353" s="2" t="s">
        <v>165</v>
      </c>
      <c r="B353" s="1" t="s">
        <v>58</v>
      </c>
      <c r="C353" s="27">
        <v>45079</v>
      </c>
      <c r="D353" s="27">
        <v>45009</v>
      </c>
      <c r="E353" s="27">
        <v>45005</v>
      </c>
      <c r="F353" s="27">
        <v>45369</v>
      </c>
      <c r="G353" s="13" t="str">
        <f t="shared" si="134"/>
        <v>000-352/AIB RDC/2023</v>
      </c>
      <c r="H353" s="1">
        <v>0</v>
      </c>
      <c r="I353" s="1" t="s">
        <v>83</v>
      </c>
      <c r="J353" s="23" t="s">
        <v>606</v>
      </c>
      <c r="K353" s="1" t="s">
        <v>514</v>
      </c>
      <c r="L353" s="1"/>
      <c r="M353" s="1" t="s">
        <v>95</v>
      </c>
      <c r="N353" s="1" t="s">
        <v>146</v>
      </c>
      <c r="O353" s="1" t="s">
        <v>104</v>
      </c>
      <c r="P353" s="1" t="s">
        <v>105</v>
      </c>
      <c r="Q353" s="1" t="s">
        <v>66</v>
      </c>
      <c r="R353" s="1" t="s">
        <v>66</v>
      </c>
      <c r="S353" s="25">
        <v>0</v>
      </c>
      <c r="T353" s="25">
        <v>182.55</v>
      </c>
      <c r="U353" s="25">
        <v>0</v>
      </c>
      <c r="V353" s="25">
        <v>0</v>
      </c>
      <c r="W353" s="25">
        <v>3.94</v>
      </c>
      <c r="X353" s="25">
        <v>129.58000000000001</v>
      </c>
      <c r="Y353" s="25">
        <v>21.36</v>
      </c>
      <c r="Z353" s="17" t="e">
        <f t="shared" si="135"/>
        <v>#DIV/0!</v>
      </c>
      <c r="AA353" s="18">
        <v>0.15</v>
      </c>
      <c r="AB353" s="16">
        <f t="shared" si="130"/>
        <v>19.437000000000001</v>
      </c>
      <c r="AC353" s="16">
        <v>0</v>
      </c>
      <c r="AD353" s="16">
        <v>0</v>
      </c>
      <c r="AE353" s="16">
        <v>0</v>
      </c>
      <c r="AF353" s="16">
        <f t="shared" si="136"/>
        <v>19.437000000000001</v>
      </c>
      <c r="AG353" s="16">
        <f t="shared" si="144"/>
        <v>3.1099200000000002</v>
      </c>
      <c r="AH353" s="16">
        <f t="shared" si="137"/>
        <v>22.54692</v>
      </c>
      <c r="AI353" s="16">
        <f t="shared" si="145"/>
        <v>0.38874000000000003</v>
      </c>
      <c r="AJ353" s="16">
        <v>0</v>
      </c>
      <c r="AK353" s="16">
        <f t="shared" si="138"/>
        <v>0.38874000000000003</v>
      </c>
      <c r="AL353" s="19"/>
      <c r="AM353" s="16">
        <f t="shared" si="139"/>
        <v>19.048260000000003</v>
      </c>
      <c r="AN353" s="16" t="s">
        <v>147</v>
      </c>
      <c r="AO353" s="20">
        <v>0.4</v>
      </c>
      <c r="AP353" s="16">
        <f t="shared" si="140"/>
        <v>7.6193040000000014</v>
      </c>
      <c r="AQ353" s="16">
        <v>7.6193040000000014</v>
      </c>
      <c r="AR353" s="15">
        <v>45229</v>
      </c>
      <c r="AS353" s="16">
        <f t="shared" si="141"/>
        <v>0</v>
      </c>
      <c r="AT353" s="16"/>
      <c r="AU353" s="16">
        <v>22.54692</v>
      </c>
      <c r="AV353" s="16">
        <f t="shared" si="133"/>
        <v>22.54692</v>
      </c>
      <c r="AW353" s="16">
        <f t="shared" si="142"/>
        <v>0</v>
      </c>
      <c r="AX353" s="16" t="str">
        <f t="shared" si="143"/>
        <v>SFA</v>
      </c>
      <c r="AY353" s="22">
        <v>45070</v>
      </c>
      <c r="AZ353" s="22"/>
      <c r="BA353" s="1" t="s">
        <v>148</v>
      </c>
      <c r="BB353" s="1" t="s">
        <v>104</v>
      </c>
      <c r="BC353" s="1"/>
      <c r="BD353" s="1"/>
      <c r="BE353" s="1"/>
    </row>
    <row r="354" spans="1:57" ht="14.25" hidden="1" customHeight="1">
      <c r="A354" s="2" t="s">
        <v>165</v>
      </c>
      <c r="B354" s="1" t="s">
        <v>58</v>
      </c>
      <c r="C354" s="27">
        <v>45079</v>
      </c>
      <c r="D354" s="27">
        <v>45009</v>
      </c>
      <c r="E354" s="27">
        <v>45005</v>
      </c>
      <c r="F354" s="27">
        <v>45369</v>
      </c>
      <c r="G354" s="13" t="str">
        <f t="shared" si="134"/>
        <v>000-353/AIB RDC/2023</v>
      </c>
      <c r="H354" s="1">
        <v>0</v>
      </c>
      <c r="I354" s="1" t="s">
        <v>83</v>
      </c>
      <c r="J354" s="23" t="s">
        <v>607</v>
      </c>
      <c r="K354" s="1" t="s">
        <v>514</v>
      </c>
      <c r="L354" s="1"/>
      <c r="M354" s="1" t="s">
        <v>95</v>
      </c>
      <c r="N354" s="1" t="s">
        <v>146</v>
      </c>
      <c r="O354" s="1" t="s">
        <v>104</v>
      </c>
      <c r="P354" s="1" t="s">
        <v>105</v>
      </c>
      <c r="Q354" s="1" t="s">
        <v>66</v>
      </c>
      <c r="R354" s="1" t="s">
        <v>66</v>
      </c>
      <c r="S354" s="25">
        <v>0</v>
      </c>
      <c r="T354" s="25">
        <v>151.61000000000001</v>
      </c>
      <c r="U354" s="25">
        <v>0</v>
      </c>
      <c r="V354" s="25">
        <v>0</v>
      </c>
      <c r="W354" s="25">
        <v>3.56</v>
      </c>
      <c r="X354" s="25">
        <v>103.73</v>
      </c>
      <c r="Y354" s="25">
        <v>17.170000000000002</v>
      </c>
      <c r="Z354" s="17" t="e">
        <f t="shared" si="135"/>
        <v>#DIV/0!</v>
      </c>
      <c r="AA354" s="18">
        <v>0.15</v>
      </c>
      <c r="AB354" s="16">
        <f t="shared" si="130"/>
        <v>15.5595</v>
      </c>
      <c r="AC354" s="16">
        <v>0</v>
      </c>
      <c r="AD354" s="16">
        <v>0</v>
      </c>
      <c r="AE354" s="16">
        <v>0</v>
      </c>
      <c r="AF354" s="16">
        <f t="shared" si="136"/>
        <v>15.5595</v>
      </c>
      <c r="AG354" s="16">
        <f t="shared" si="144"/>
        <v>2.4895200000000002</v>
      </c>
      <c r="AH354" s="16">
        <f t="shared" si="137"/>
        <v>18.049019999999999</v>
      </c>
      <c r="AI354" s="16">
        <f t="shared" si="145"/>
        <v>0.31119000000000002</v>
      </c>
      <c r="AJ354" s="16">
        <v>0</v>
      </c>
      <c r="AK354" s="16">
        <f t="shared" si="138"/>
        <v>0.31119000000000002</v>
      </c>
      <c r="AL354" s="19"/>
      <c r="AM354" s="16">
        <f t="shared" si="139"/>
        <v>15.24831</v>
      </c>
      <c r="AN354" s="16" t="s">
        <v>147</v>
      </c>
      <c r="AO354" s="20">
        <v>0.4</v>
      </c>
      <c r="AP354" s="16">
        <f t="shared" si="140"/>
        <v>6.0993240000000002</v>
      </c>
      <c r="AQ354" s="16">
        <v>6.0993240000000002</v>
      </c>
      <c r="AR354" s="15">
        <v>45229</v>
      </c>
      <c r="AS354" s="16">
        <f t="shared" si="141"/>
        <v>0</v>
      </c>
      <c r="AT354" s="16"/>
      <c r="AU354" s="16">
        <v>18.049019999999999</v>
      </c>
      <c r="AV354" s="16">
        <f t="shared" si="133"/>
        <v>18.049019999999999</v>
      </c>
      <c r="AW354" s="16">
        <f t="shared" si="142"/>
        <v>0</v>
      </c>
      <c r="AX354" s="16" t="str">
        <f t="shared" si="143"/>
        <v>SFA</v>
      </c>
      <c r="AY354" s="22">
        <v>45070</v>
      </c>
      <c r="AZ354" s="22"/>
      <c r="BA354" s="1" t="s">
        <v>148</v>
      </c>
      <c r="BB354" s="1" t="s">
        <v>104</v>
      </c>
      <c r="BC354" s="1"/>
      <c r="BD354" s="1"/>
      <c r="BE354" s="1"/>
    </row>
    <row r="355" spans="1:57" ht="14.25" hidden="1" customHeight="1">
      <c r="A355" s="2" t="s">
        <v>165</v>
      </c>
      <c r="B355" s="1" t="s">
        <v>58</v>
      </c>
      <c r="C355" s="27">
        <v>45079</v>
      </c>
      <c r="D355" s="27">
        <v>45009</v>
      </c>
      <c r="E355" s="27">
        <v>45005</v>
      </c>
      <c r="F355" s="27">
        <v>45369</v>
      </c>
      <c r="G355" s="13" t="str">
        <f t="shared" si="134"/>
        <v>000-354/AIB RDC/2023</v>
      </c>
      <c r="H355" s="1">
        <v>0</v>
      </c>
      <c r="I355" s="1" t="s">
        <v>83</v>
      </c>
      <c r="J355" s="23" t="s">
        <v>608</v>
      </c>
      <c r="K355" s="1" t="s">
        <v>514</v>
      </c>
      <c r="L355" s="1"/>
      <c r="M355" s="1" t="s">
        <v>95</v>
      </c>
      <c r="N355" s="1" t="s">
        <v>146</v>
      </c>
      <c r="O355" s="1" t="s">
        <v>104</v>
      </c>
      <c r="P355" s="1" t="s">
        <v>105</v>
      </c>
      <c r="Q355" s="1" t="s">
        <v>66</v>
      </c>
      <c r="R355" s="1" t="s">
        <v>66</v>
      </c>
      <c r="S355" s="25">
        <v>0</v>
      </c>
      <c r="T355" s="25">
        <v>101.87</v>
      </c>
      <c r="U355" s="25">
        <v>0</v>
      </c>
      <c r="V355" s="25">
        <v>0</v>
      </c>
      <c r="W355" s="25">
        <v>2.93</v>
      </c>
      <c r="X355" s="25">
        <v>62.22</v>
      </c>
      <c r="Y355" s="25">
        <v>10.42</v>
      </c>
      <c r="Z355" s="17" t="e">
        <f t="shared" si="135"/>
        <v>#DIV/0!</v>
      </c>
      <c r="AA355" s="18">
        <v>0.15</v>
      </c>
      <c r="AB355" s="16">
        <f t="shared" si="130"/>
        <v>9.3330000000000002</v>
      </c>
      <c r="AC355" s="16">
        <v>0</v>
      </c>
      <c r="AD355" s="16">
        <v>0</v>
      </c>
      <c r="AE355" s="16">
        <v>0</v>
      </c>
      <c r="AF355" s="16">
        <f t="shared" si="136"/>
        <v>9.3330000000000002</v>
      </c>
      <c r="AG355" s="16">
        <f t="shared" si="144"/>
        <v>1.4932800000000002</v>
      </c>
      <c r="AH355" s="16">
        <f t="shared" si="137"/>
        <v>10.826280000000001</v>
      </c>
      <c r="AI355" s="16">
        <f t="shared" si="145"/>
        <v>0.18666000000000002</v>
      </c>
      <c r="AJ355" s="16">
        <v>0</v>
      </c>
      <c r="AK355" s="16">
        <f t="shared" si="138"/>
        <v>0.18666000000000002</v>
      </c>
      <c r="AL355" s="19"/>
      <c r="AM355" s="16">
        <f t="shared" si="139"/>
        <v>9.1463400000000004</v>
      </c>
      <c r="AN355" s="16" t="s">
        <v>147</v>
      </c>
      <c r="AO355" s="20">
        <v>0.4</v>
      </c>
      <c r="AP355" s="16">
        <f t="shared" si="140"/>
        <v>3.6585360000000002</v>
      </c>
      <c r="AQ355" s="16">
        <v>3.6585360000000002</v>
      </c>
      <c r="AR355" s="15">
        <v>45229</v>
      </c>
      <c r="AS355" s="16">
        <f t="shared" si="141"/>
        <v>0</v>
      </c>
      <c r="AT355" s="16"/>
      <c r="AU355" s="16">
        <v>10.826280000000001</v>
      </c>
      <c r="AV355" s="16">
        <f t="shared" ref="AV355:AV386" si="146">AH355</f>
        <v>10.826280000000001</v>
      </c>
      <c r="AW355" s="16">
        <f t="shared" si="142"/>
        <v>0</v>
      </c>
      <c r="AX355" s="16" t="str">
        <f t="shared" si="143"/>
        <v>SFA</v>
      </c>
      <c r="AY355" s="22">
        <v>45070</v>
      </c>
      <c r="AZ355" s="22"/>
      <c r="BA355" s="1" t="s">
        <v>148</v>
      </c>
      <c r="BB355" s="1" t="s">
        <v>104</v>
      </c>
      <c r="BC355" s="1"/>
      <c r="BD355" s="1"/>
      <c r="BE355" s="1"/>
    </row>
    <row r="356" spans="1:57" ht="14.25" hidden="1" customHeight="1">
      <c r="A356" s="2" t="s">
        <v>165</v>
      </c>
      <c r="B356" s="1" t="s">
        <v>58</v>
      </c>
      <c r="C356" s="27">
        <v>45079</v>
      </c>
      <c r="D356" s="27">
        <v>45009</v>
      </c>
      <c r="E356" s="27">
        <v>45005</v>
      </c>
      <c r="F356" s="27">
        <v>45369</v>
      </c>
      <c r="G356" s="13" t="str">
        <f t="shared" si="134"/>
        <v>000-355/AIB RDC/2023</v>
      </c>
      <c r="H356" s="1">
        <v>0</v>
      </c>
      <c r="I356" s="1" t="s">
        <v>83</v>
      </c>
      <c r="J356" s="23" t="s">
        <v>609</v>
      </c>
      <c r="K356" s="1" t="s">
        <v>514</v>
      </c>
      <c r="L356" s="1"/>
      <c r="M356" s="1" t="s">
        <v>95</v>
      </c>
      <c r="N356" s="1" t="s">
        <v>146</v>
      </c>
      <c r="O356" s="1" t="s">
        <v>104</v>
      </c>
      <c r="P356" s="1" t="s">
        <v>105</v>
      </c>
      <c r="Q356" s="1" t="s">
        <v>66</v>
      </c>
      <c r="R356" s="1" t="s">
        <v>66</v>
      </c>
      <c r="S356" s="25">
        <v>0</v>
      </c>
      <c r="T356" s="25">
        <v>106.11</v>
      </c>
      <c r="U356" s="25">
        <v>0</v>
      </c>
      <c r="V356" s="25">
        <v>0</v>
      </c>
      <c r="W356" s="25">
        <v>2.99</v>
      </c>
      <c r="X356" s="25">
        <v>65.75</v>
      </c>
      <c r="Y356" s="25">
        <v>11</v>
      </c>
      <c r="Z356" s="17" t="e">
        <f t="shared" si="135"/>
        <v>#DIV/0!</v>
      </c>
      <c r="AA356" s="18">
        <v>0.15</v>
      </c>
      <c r="AB356" s="16">
        <f t="shared" si="130"/>
        <v>9.8624999999999989</v>
      </c>
      <c r="AC356" s="16">
        <v>0</v>
      </c>
      <c r="AD356" s="16">
        <v>0</v>
      </c>
      <c r="AE356" s="16">
        <v>0</v>
      </c>
      <c r="AF356" s="16">
        <f t="shared" si="136"/>
        <v>9.8624999999999989</v>
      </c>
      <c r="AG356" s="16">
        <f t="shared" si="144"/>
        <v>1.5779999999999998</v>
      </c>
      <c r="AH356" s="16">
        <f t="shared" si="137"/>
        <v>11.440499999999998</v>
      </c>
      <c r="AI356" s="16">
        <f t="shared" si="145"/>
        <v>0.19724999999999998</v>
      </c>
      <c r="AJ356" s="16">
        <v>0</v>
      </c>
      <c r="AK356" s="16">
        <f t="shared" si="138"/>
        <v>0.19724999999999998</v>
      </c>
      <c r="AL356" s="19"/>
      <c r="AM356" s="16">
        <f t="shared" si="139"/>
        <v>9.6652499999999986</v>
      </c>
      <c r="AN356" s="16" t="s">
        <v>147</v>
      </c>
      <c r="AO356" s="20">
        <v>0.4</v>
      </c>
      <c r="AP356" s="16">
        <f t="shared" si="140"/>
        <v>3.8660999999999994</v>
      </c>
      <c r="AQ356" s="16">
        <v>3.8660999999999994</v>
      </c>
      <c r="AR356" s="15">
        <v>45229</v>
      </c>
      <c r="AS356" s="16">
        <f t="shared" si="141"/>
        <v>0</v>
      </c>
      <c r="AT356" s="16"/>
      <c r="AU356" s="16">
        <v>11.440499999999998</v>
      </c>
      <c r="AV356" s="16">
        <f t="shared" si="146"/>
        <v>11.440499999999998</v>
      </c>
      <c r="AW356" s="16">
        <f t="shared" si="142"/>
        <v>0</v>
      </c>
      <c r="AX356" s="16" t="str">
        <f t="shared" si="143"/>
        <v>SFA</v>
      </c>
      <c r="AY356" s="22">
        <v>45070</v>
      </c>
      <c r="AZ356" s="22"/>
      <c r="BA356" s="1" t="s">
        <v>148</v>
      </c>
      <c r="BB356" s="1" t="s">
        <v>104</v>
      </c>
      <c r="BC356" s="1"/>
      <c r="BD356" s="1"/>
      <c r="BE356" s="1"/>
    </row>
    <row r="357" spans="1:57" ht="14.25" hidden="1" customHeight="1">
      <c r="A357" s="2" t="s">
        <v>165</v>
      </c>
      <c r="B357" s="1" t="s">
        <v>58</v>
      </c>
      <c r="C357" s="27">
        <v>45079</v>
      </c>
      <c r="D357" s="27">
        <v>45010</v>
      </c>
      <c r="E357" s="27">
        <v>45010</v>
      </c>
      <c r="F357" s="27">
        <v>45374</v>
      </c>
      <c r="G357" s="13" t="str">
        <f t="shared" si="134"/>
        <v>000-356/AIB RDC/2023</v>
      </c>
      <c r="H357" s="1">
        <v>0</v>
      </c>
      <c r="I357" s="1" t="s">
        <v>83</v>
      </c>
      <c r="J357" s="23" t="s">
        <v>610</v>
      </c>
      <c r="K357" s="1" t="s">
        <v>514</v>
      </c>
      <c r="L357" s="1"/>
      <c r="M357" s="1" t="s">
        <v>95</v>
      </c>
      <c r="N357" s="1" t="s">
        <v>146</v>
      </c>
      <c r="O357" s="1" t="s">
        <v>104</v>
      </c>
      <c r="P357" s="1" t="s">
        <v>105</v>
      </c>
      <c r="Q357" s="1" t="s">
        <v>66</v>
      </c>
      <c r="R357" s="1" t="s">
        <v>66</v>
      </c>
      <c r="S357" s="25">
        <v>0</v>
      </c>
      <c r="T357" s="25">
        <v>48.53</v>
      </c>
      <c r="U357" s="25">
        <v>0</v>
      </c>
      <c r="V357" s="25">
        <v>0</v>
      </c>
      <c r="W357" s="25">
        <v>2.27</v>
      </c>
      <c r="X357" s="25">
        <v>17.670000000000002</v>
      </c>
      <c r="Y357" s="25">
        <v>3.19</v>
      </c>
      <c r="Z357" s="17" t="e">
        <f t="shared" si="135"/>
        <v>#DIV/0!</v>
      </c>
      <c r="AA357" s="18">
        <v>0.15</v>
      </c>
      <c r="AB357" s="16">
        <f t="shared" si="130"/>
        <v>2.6505000000000001</v>
      </c>
      <c r="AC357" s="16">
        <v>0</v>
      </c>
      <c r="AD357" s="16">
        <v>0</v>
      </c>
      <c r="AE357" s="16">
        <v>0</v>
      </c>
      <c r="AF357" s="16">
        <f t="shared" si="136"/>
        <v>2.6505000000000001</v>
      </c>
      <c r="AG357" s="16">
        <f t="shared" si="144"/>
        <v>0.42408000000000001</v>
      </c>
      <c r="AH357" s="16">
        <f t="shared" si="137"/>
        <v>3.0745800000000001</v>
      </c>
      <c r="AI357" s="16">
        <f t="shared" si="145"/>
        <v>5.3010000000000002E-2</v>
      </c>
      <c r="AJ357" s="16">
        <v>0</v>
      </c>
      <c r="AK357" s="16">
        <f t="shared" si="138"/>
        <v>5.3010000000000002E-2</v>
      </c>
      <c r="AL357" s="19"/>
      <c r="AM357" s="16">
        <f t="shared" si="139"/>
        <v>2.5974900000000001</v>
      </c>
      <c r="AN357" s="16" t="s">
        <v>147</v>
      </c>
      <c r="AO357" s="20">
        <v>0.4</v>
      </c>
      <c r="AP357" s="16">
        <f t="shared" si="140"/>
        <v>1.038996</v>
      </c>
      <c r="AQ357" s="16">
        <v>1.038996</v>
      </c>
      <c r="AR357" s="15">
        <v>45229</v>
      </c>
      <c r="AS357" s="16">
        <f t="shared" si="141"/>
        <v>0</v>
      </c>
      <c r="AT357" s="16"/>
      <c r="AU357" s="16">
        <v>3.0745800000000001</v>
      </c>
      <c r="AV357" s="16">
        <f t="shared" si="146"/>
        <v>3.0745800000000001</v>
      </c>
      <c r="AW357" s="16">
        <f t="shared" si="142"/>
        <v>0</v>
      </c>
      <c r="AX357" s="16" t="str">
        <f t="shared" si="143"/>
        <v>SFA</v>
      </c>
      <c r="AY357" s="22">
        <v>45070</v>
      </c>
      <c r="AZ357" s="22"/>
      <c r="BA357" s="1" t="s">
        <v>148</v>
      </c>
      <c r="BB357" s="1" t="s">
        <v>104</v>
      </c>
      <c r="BC357" s="1"/>
      <c r="BD357" s="1"/>
      <c r="BE357" s="1"/>
    </row>
    <row r="358" spans="1:57" ht="14.25" hidden="1" customHeight="1">
      <c r="A358" s="2" t="s">
        <v>165</v>
      </c>
      <c r="B358" s="1" t="s">
        <v>58</v>
      </c>
      <c r="C358" s="27">
        <v>45079</v>
      </c>
      <c r="D358" s="27">
        <v>45010</v>
      </c>
      <c r="E358" s="27">
        <v>45006</v>
      </c>
      <c r="F358" s="27">
        <v>45370</v>
      </c>
      <c r="G358" s="13" t="str">
        <f t="shared" si="134"/>
        <v>000-357/AIB RDC/2023</v>
      </c>
      <c r="H358" s="1">
        <v>0</v>
      </c>
      <c r="I358" s="1" t="s">
        <v>83</v>
      </c>
      <c r="J358" s="23" t="s">
        <v>611</v>
      </c>
      <c r="K358" s="1" t="s">
        <v>514</v>
      </c>
      <c r="L358" s="1"/>
      <c r="M358" s="1" t="s">
        <v>95</v>
      </c>
      <c r="N358" s="1" t="s">
        <v>146</v>
      </c>
      <c r="O358" s="1" t="s">
        <v>104</v>
      </c>
      <c r="P358" s="1" t="s">
        <v>105</v>
      </c>
      <c r="Q358" s="1" t="s">
        <v>66</v>
      </c>
      <c r="R358" s="1" t="s">
        <v>66</v>
      </c>
      <c r="S358" s="25">
        <v>0</v>
      </c>
      <c r="T358" s="25">
        <v>45.33</v>
      </c>
      <c r="U358" s="25">
        <v>0</v>
      </c>
      <c r="V358" s="25">
        <v>0</v>
      </c>
      <c r="W358" s="25">
        <v>2.23</v>
      </c>
      <c r="X358" s="25">
        <v>15</v>
      </c>
      <c r="Y358" s="25">
        <v>2.76</v>
      </c>
      <c r="Z358" s="17" t="e">
        <f t="shared" si="135"/>
        <v>#DIV/0!</v>
      </c>
      <c r="AA358" s="18">
        <v>0.15</v>
      </c>
      <c r="AB358" s="16">
        <f t="shared" si="130"/>
        <v>2.25</v>
      </c>
      <c r="AC358" s="16">
        <v>0</v>
      </c>
      <c r="AD358" s="16">
        <v>0</v>
      </c>
      <c r="AE358" s="16">
        <v>0</v>
      </c>
      <c r="AF358" s="16">
        <f t="shared" si="136"/>
        <v>2.25</v>
      </c>
      <c r="AG358" s="16">
        <f t="shared" si="144"/>
        <v>0.36</v>
      </c>
      <c r="AH358" s="16">
        <f t="shared" si="137"/>
        <v>2.61</v>
      </c>
      <c r="AI358" s="16">
        <f t="shared" si="145"/>
        <v>4.4999999999999998E-2</v>
      </c>
      <c r="AJ358" s="16">
        <v>0</v>
      </c>
      <c r="AK358" s="16">
        <f t="shared" si="138"/>
        <v>4.4999999999999998E-2</v>
      </c>
      <c r="AL358" s="19"/>
      <c r="AM358" s="16">
        <f t="shared" si="139"/>
        <v>2.2050000000000001</v>
      </c>
      <c r="AN358" s="16" t="s">
        <v>147</v>
      </c>
      <c r="AO358" s="20">
        <v>0.4</v>
      </c>
      <c r="AP358" s="16">
        <f t="shared" si="140"/>
        <v>0.88200000000000012</v>
      </c>
      <c r="AQ358" s="16">
        <v>0.88200000000000012</v>
      </c>
      <c r="AR358" s="15">
        <v>45229</v>
      </c>
      <c r="AS358" s="16">
        <f t="shared" si="141"/>
        <v>0</v>
      </c>
      <c r="AT358" s="16"/>
      <c r="AU358" s="16">
        <v>2.61</v>
      </c>
      <c r="AV358" s="16">
        <f t="shared" si="146"/>
        <v>2.61</v>
      </c>
      <c r="AW358" s="16">
        <f t="shared" si="142"/>
        <v>0</v>
      </c>
      <c r="AX358" s="16" t="str">
        <f t="shared" si="143"/>
        <v>SFA</v>
      </c>
      <c r="AY358" s="22">
        <v>45070</v>
      </c>
      <c r="AZ358" s="22"/>
      <c r="BA358" s="1" t="s">
        <v>148</v>
      </c>
      <c r="BB358" s="1" t="s">
        <v>104</v>
      </c>
      <c r="BC358" s="1"/>
      <c r="BD358" s="1"/>
      <c r="BE358" s="1"/>
    </row>
    <row r="359" spans="1:57" ht="14.25" hidden="1" customHeight="1">
      <c r="A359" s="2" t="s">
        <v>165</v>
      </c>
      <c r="B359" s="1" t="s">
        <v>58</v>
      </c>
      <c r="C359" s="27">
        <v>45079</v>
      </c>
      <c r="D359" s="27">
        <v>45010</v>
      </c>
      <c r="E359" s="27">
        <v>45006</v>
      </c>
      <c r="F359" s="27">
        <v>45370</v>
      </c>
      <c r="G359" s="13" t="str">
        <f t="shared" si="134"/>
        <v>000-358/AIB RDC/2023</v>
      </c>
      <c r="H359" s="1">
        <v>0</v>
      </c>
      <c r="I359" s="1" t="s">
        <v>83</v>
      </c>
      <c r="J359" s="23" t="s">
        <v>612</v>
      </c>
      <c r="K359" s="1" t="s">
        <v>514</v>
      </c>
      <c r="L359" s="1"/>
      <c r="M359" s="1" t="s">
        <v>95</v>
      </c>
      <c r="N359" s="1" t="s">
        <v>146</v>
      </c>
      <c r="O359" s="1" t="s">
        <v>104</v>
      </c>
      <c r="P359" s="1" t="s">
        <v>105</v>
      </c>
      <c r="Q359" s="1" t="s">
        <v>66</v>
      </c>
      <c r="R359" s="1" t="s">
        <v>66</v>
      </c>
      <c r="S359" s="25">
        <v>0</v>
      </c>
      <c r="T359" s="25">
        <v>54.66</v>
      </c>
      <c r="U359" s="25">
        <v>0</v>
      </c>
      <c r="V359" s="25">
        <v>0</v>
      </c>
      <c r="W359" s="25">
        <v>2.34</v>
      </c>
      <c r="X359" s="25">
        <v>22.8</v>
      </c>
      <c r="Y359" s="25">
        <v>4.0199999999999996</v>
      </c>
      <c r="Z359" s="17" t="e">
        <f t="shared" si="135"/>
        <v>#DIV/0!</v>
      </c>
      <c r="AA359" s="18">
        <v>0.15</v>
      </c>
      <c r="AB359" s="16">
        <f t="shared" si="130"/>
        <v>3.42</v>
      </c>
      <c r="AC359" s="16">
        <v>0</v>
      </c>
      <c r="AD359" s="16">
        <v>0</v>
      </c>
      <c r="AE359" s="16">
        <v>0</v>
      </c>
      <c r="AF359" s="16">
        <f t="shared" si="136"/>
        <v>3.42</v>
      </c>
      <c r="AG359" s="16">
        <f t="shared" si="144"/>
        <v>0.54720000000000002</v>
      </c>
      <c r="AH359" s="16">
        <f t="shared" si="137"/>
        <v>3.9672000000000001</v>
      </c>
      <c r="AI359" s="16">
        <f t="shared" si="145"/>
        <v>6.8400000000000002E-2</v>
      </c>
      <c r="AJ359" s="16">
        <v>0</v>
      </c>
      <c r="AK359" s="16">
        <f t="shared" si="138"/>
        <v>6.8400000000000002E-2</v>
      </c>
      <c r="AL359" s="19"/>
      <c r="AM359" s="16">
        <f t="shared" si="139"/>
        <v>3.3515999999999999</v>
      </c>
      <c r="AN359" s="16" t="s">
        <v>147</v>
      </c>
      <c r="AO359" s="20">
        <v>0.4</v>
      </c>
      <c r="AP359" s="16">
        <f t="shared" si="140"/>
        <v>1.3406400000000001</v>
      </c>
      <c r="AQ359" s="16">
        <v>1.3406400000000001</v>
      </c>
      <c r="AR359" s="15">
        <v>45229</v>
      </c>
      <c r="AS359" s="16">
        <f t="shared" si="141"/>
        <v>0</v>
      </c>
      <c r="AT359" s="16"/>
      <c r="AU359" s="16">
        <v>3.9672000000000001</v>
      </c>
      <c r="AV359" s="16">
        <f t="shared" si="146"/>
        <v>3.9672000000000001</v>
      </c>
      <c r="AW359" s="16">
        <f t="shared" si="142"/>
        <v>0</v>
      </c>
      <c r="AX359" s="16" t="str">
        <f t="shared" si="143"/>
        <v>SFA</v>
      </c>
      <c r="AY359" s="22">
        <v>45070</v>
      </c>
      <c r="AZ359" s="22"/>
      <c r="BA359" s="1" t="s">
        <v>148</v>
      </c>
      <c r="BB359" s="1" t="s">
        <v>104</v>
      </c>
      <c r="BC359" s="1"/>
      <c r="BD359" s="1"/>
      <c r="BE359" s="1"/>
    </row>
    <row r="360" spans="1:57" ht="14.25" hidden="1" customHeight="1">
      <c r="A360" s="2" t="s">
        <v>165</v>
      </c>
      <c r="B360" s="1" t="s">
        <v>58</v>
      </c>
      <c r="C360" s="27">
        <v>45079</v>
      </c>
      <c r="D360" s="27">
        <v>45010</v>
      </c>
      <c r="E360" s="27">
        <v>45005</v>
      </c>
      <c r="F360" s="27">
        <v>45369</v>
      </c>
      <c r="G360" s="13" t="str">
        <f t="shared" si="134"/>
        <v>000-359/AIB RDC/2023</v>
      </c>
      <c r="H360" s="1">
        <v>0</v>
      </c>
      <c r="I360" s="1" t="s">
        <v>83</v>
      </c>
      <c r="J360" s="23" t="s">
        <v>613</v>
      </c>
      <c r="K360" s="1" t="s">
        <v>514</v>
      </c>
      <c r="L360" s="1"/>
      <c r="M360" s="1" t="s">
        <v>95</v>
      </c>
      <c r="N360" s="1" t="s">
        <v>146</v>
      </c>
      <c r="O360" s="1" t="s">
        <v>104</v>
      </c>
      <c r="P360" s="1" t="s">
        <v>105</v>
      </c>
      <c r="Q360" s="1" t="s">
        <v>66</v>
      </c>
      <c r="R360" s="1" t="s">
        <v>66</v>
      </c>
      <c r="S360" s="25">
        <v>0</v>
      </c>
      <c r="T360" s="25">
        <v>109.67</v>
      </c>
      <c r="U360" s="25">
        <v>0</v>
      </c>
      <c r="V360" s="25">
        <v>0</v>
      </c>
      <c r="W360" s="25">
        <v>3.03</v>
      </c>
      <c r="X360" s="25">
        <v>68.72</v>
      </c>
      <c r="Y360" s="25">
        <v>11.48</v>
      </c>
      <c r="Z360" s="17" t="e">
        <f t="shared" si="135"/>
        <v>#DIV/0!</v>
      </c>
      <c r="AA360" s="18">
        <v>0.15</v>
      </c>
      <c r="AB360" s="16">
        <f t="shared" si="130"/>
        <v>10.308</v>
      </c>
      <c r="AC360" s="16">
        <v>0</v>
      </c>
      <c r="AD360" s="16">
        <v>0</v>
      </c>
      <c r="AE360" s="16">
        <v>0</v>
      </c>
      <c r="AF360" s="16">
        <f t="shared" si="136"/>
        <v>10.308</v>
      </c>
      <c r="AG360" s="16">
        <f t="shared" si="144"/>
        <v>1.6492800000000001</v>
      </c>
      <c r="AH360" s="16">
        <f t="shared" si="137"/>
        <v>11.957280000000001</v>
      </c>
      <c r="AI360" s="16">
        <f t="shared" si="145"/>
        <v>0.20616000000000001</v>
      </c>
      <c r="AJ360" s="16">
        <v>0</v>
      </c>
      <c r="AK360" s="16">
        <f t="shared" si="138"/>
        <v>0.20616000000000001</v>
      </c>
      <c r="AL360" s="19"/>
      <c r="AM360" s="16">
        <f t="shared" si="139"/>
        <v>10.101839999999999</v>
      </c>
      <c r="AN360" s="16" t="s">
        <v>147</v>
      </c>
      <c r="AO360" s="20">
        <v>0.4</v>
      </c>
      <c r="AP360" s="16">
        <f t="shared" si="140"/>
        <v>4.0407359999999999</v>
      </c>
      <c r="AQ360" s="16">
        <v>4.0407359999999999</v>
      </c>
      <c r="AR360" s="15">
        <v>45229</v>
      </c>
      <c r="AS360" s="16">
        <f t="shared" si="141"/>
        <v>0</v>
      </c>
      <c r="AT360" s="16"/>
      <c r="AU360" s="16">
        <v>11.957280000000001</v>
      </c>
      <c r="AV360" s="16">
        <f t="shared" si="146"/>
        <v>11.957280000000001</v>
      </c>
      <c r="AW360" s="16">
        <f t="shared" si="142"/>
        <v>0</v>
      </c>
      <c r="AX360" s="16" t="str">
        <f t="shared" si="143"/>
        <v>SFA</v>
      </c>
      <c r="AY360" s="22">
        <v>45070</v>
      </c>
      <c r="AZ360" s="22"/>
      <c r="BA360" s="1" t="s">
        <v>148</v>
      </c>
      <c r="BB360" s="1" t="s">
        <v>104</v>
      </c>
      <c r="BC360" s="1"/>
      <c r="BD360" s="1"/>
      <c r="BE360" s="1"/>
    </row>
    <row r="361" spans="1:57" ht="14.25" hidden="1" customHeight="1">
      <c r="A361" s="2" t="s">
        <v>165</v>
      </c>
      <c r="B361" s="1" t="s">
        <v>58</v>
      </c>
      <c r="C361" s="27">
        <v>45079</v>
      </c>
      <c r="D361" s="27">
        <v>45012</v>
      </c>
      <c r="E361" s="27">
        <v>44994</v>
      </c>
      <c r="F361" s="27">
        <v>45358</v>
      </c>
      <c r="G361" s="13" t="str">
        <f t="shared" si="134"/>
        <v>000-360/AIB RDC/2023</v>
      </c>
      <c r="H361" s="1">
        <v>0</v>
      </c>
      <c r="I361" s="1" t="s">
        <v>83</v>
      </c>
      <c r="J361" s="14" t="s">
        <v>614</v>
      </c>
      <c r="K361" s="2" t="s">
        <v>209</v>
      </c>
      <c r="L361" s="1"/>
      <c r="M361" s="2" t="s">
        <v>95</v>
      </c>
      <c r="N361" s="2" t="s">
        <v>146</v>
      </c>
      <c r="O361" s="2" t="s">
        <v>104</v>
      </c>
      <c r="P361" s="2" t="s">
        <v>105</v>
      </c>
      <c r="Q361" s="2" t="s">
        <v>66</v>
      </c>
      <c r="R361" s="2" t="s">
        <v>66</v>
      </c>
      <c r="S361" s="25">
        <v>132277.48000000001</v>
      </c>
      <c r="T361" s="25">
        <v>323.93</v>
      </c>
      <c r="U361" s="25">
        <v>0</v>
      </c>
      <c r="V361" s="25">
        <v>0</v>
      </c>
      <c r="W361" s="25">
        <v>5.71</v>
      </c>
      <c r="X361" s="25">
        <v>247.62</v>
      </c>
      <c r="Y361" s="25">
        <v>40.53</v>
      </c>
      <c r="Z361" s="17">
        <f t="shared" si="135"/>
        <v>1.8719739747083176E-3</v>
      </c>
      <c r="AA361" s="18">
        <v>0.15</v>
      </c>
      <c r="AB361" s="16">
        <f t="shared" si="130"/>
        <v>37.143000000000001</v>
      </c>
      <c r="AC361" s="16">
        <v>0</v>
      </c>
      <c r="AD361" s="16">
        <v>0</v>
      </c>
      <c r="AE361" s="16">
        <v>0</v>
      </c>
      <c r="AF361" s="16">
        <f t="shared" si="136"/>
        <v>37.143000000000001</v>
      </c>
      <c r="AG361" s="16">
        <f t="shared" si="144"/>
        <v>5.9428800000000006</v>
      </c>
      <c r="AH361" s="16">
        <f t="shared" si="137"/>
        <v>43.085880000000003</v>
      </c>
      <c r="AI361" s="16">
        <f t="shared" si="145"/>
        <v>0.74286000000000008</v>
      </c>
      <c r="AJ361" s="16">
        <v>0</v>
      </c>
      <c r="AK361" s="16">
        <f t="shared" si="138"/>
        <v>0.74286000000000008</v>
      </c>
      <c r="AL361" s="19"/>
      <c r="AM361" s="16">
        <f t="shared" si="139"/>
        <v>36.40014</v>
      </c>
      <c r="AN361" s="16" t="s">
        <v>147</v>
      </c>
      <c r="AO361" s="20">
        <v>0.4</v>
      </c>
      <c r="AP361" s="16">
        <f t="shared" si="140"/>
        <v>14.560056000000001</v>
      </c>
      <c r="AQ361" s="16">
        <v>14.560056000000001</v>
      </c>
      <c r="AR361" s="15">
        <v>45229</v>
      </c>
      <c r="AS361" s="16">
        <f t="shared" si="141"/>
        <v>0</v>
      </c>
      <c r="AT361" s="16"/>
      <c r="AU361" s="16">
        <v>43.085880000000003</v>
      </c>
      <c r="AV361" s="16">
        <f t="shared" si="146"/>
        <v>43.085880000000003</v>
      </c>
      <c r="AW361" s="16">
        <f t="shared" si="142"/>
        <v>0</v>
      </c>
      <c r="AX361" s="16" t="str">
        <f t="shared" si="143"/>
        <v>SFA</v>
      </c>
      <c r="AY361" s="22">
        <v>45070</v>
      </c>
      <c r="AZ361" s="22"/>
      <c r="BA361" s="1" t="s">
        <v>148</v>
      </c>
      <c r="BB361" s="22" t="str">
        <f t="shared" ref="BB361:BB385" si="147">O361</f>
        <v>MARINE CARGO / GIT</v>
      </c>
      <c r="BC361" s="1"/>
      <c r="BD361" s="1"/>
      <c r="BE361" s="1"/>
    </row>
    <row r="362" spans="1:57" ht="14.25" hidden="1" customHeight="1">
      <c r="A362" s="2" t="s">
        <v>165</v>
      </c>
      <c r="B362" s="1" t="s">
        <v>58</v>
      </c>
      <c r="C362" s="27">
        <v>45079</v>
      </c>
      <c r="D362" s="27">
        <v>45012</v>
      </c>
      <c r="E362" s="27">
        <v>44994</v>
      </c>
      <c r="F362" s="27">
        <v>45358</v>
      </c>
      <c r="G362" s="13" t="str">
        <f t="shared" si="134"/>
        <v>000-361/AIB RDC/2023</v>
      </c>
      <c r="H362" s="1">
        <v>0</v>
      </c>
      <c r="I362" s="1" t="s">
        <v>83</v>
      </c>
      <c r="J362" s="14" t="s">
        <v>615</v>
      </c>
      <c r="K362" s="2" t="s">
        <v>209</v>
      </c>
      <c r="L362" s="1"/>
      <c r="M362" s="2" t="s">
        <v>95</v>
      </c>
      <c r="N362" s="2" t="s">
        <v>146</v>
      </c>
      <c r="O362" s="2" t="s">
        <v>104</v>
      </c>
      <c r="P362" s="2" t="s">
        <v>105</v>
      </c>
      <c r="Q362" s="2" t="s">
        <v>66</v>
      </c>
      <c r="R362" s="2" t="s">
        <v>66</v>
      </c>
      <c r="S362" s="25">
        <v>150279.20000000001</v>
      </c>
      <c r="T362" s="25">
        <v>364.31</v>
      </c>
      <c r="U362" s="25">
        <v>0</v>
      </c>
      <c r="V362" s="25">
        <v>0</v>
      </c>
      <c r="W362" s="25">
        <v>6.22</v>
      </c>
      <c r="X362" s="25">
        <v>281.33</v>
      </c>
      <c r="Y362" s="25">
        <v>46.01</v>
      </c>
      <c r="Z362" s="17">
        <f t="shared" si="135"/>
        <v>1.8720488264510322E-3</v>
      </c>
      <c r="AA362" s="18">
        <v>0.15</v>
      </c>
      <c r="AB362" s="16">
        <f t="shared" si="130"/>
        <v>42.199499999999993</v>
      </c>
      <c r="AC362" s="16">
        <v>0</v>
      </c>
      <c r="AD362" s="16">
        <v>0</v>
      </c>
      <c r="AE362" s="16">
        <v>0</v>
      </c>
      <c r="AF362" s="16">
        <f t="shared" si="136"/>
        <v>42.199499999999993</v>
      </c>
      <c r="AG362" s="16">
        <f t="shared" si="144"/>
        <v>6.7519199999999993</v>
      </c>
      <c r="AH362" s="16">
        <f t="shared" si="137"/>
        <v>48.951419999999992</v>
      </c>
      <c r="AI362" s="16">
        <f t="shared" si="145"/>
        <v>0.84398999999999991</v>
      </c>
      <c r="AJ362" s="16">
        <v>0</v>
      </c>
      <c r="AK362" s="16">
        <f t="shared" si="138"/>
        <v>0.84398999999999991</v>
      </c>
      <c r="AL362" s="19"/>
      <c r="AM362" s="16">
        <f t="shared" si="139"/>
        <v>41.355509999999995</v>
      </c>
      <c r="AN362" s="16" t="s">
        <v>147</v>
      </c>
      <c r="AO362" s="20">
        <v>0.4</v>
      </c>
      <c r="AP362" s="16">
        <f t="shared" si="140"/>
        <v>16.542203999999998</v>
      </c>
      <c r="AQ362" s="16">
        <v>16.542203999999998</v>
      </c>
      <c r="AR362" s="15">
        <v>45229</v>
      </c>
      <c r="AS362" s="16">
        <f t="shared" si="141"/>
        <v>0</v>
      </c>
      <c r="AT362" s="16"/>
      <c r="AU362" s="16">
        <v>48.951419999999992</v>
      </c>
      <c r="AV362" s="16">
        <f t="shared" si="146"/>
        <v>48.951419999999992</v>
      </c>
      <c r="AW362" s="16">
        <f t="shared" si="142"/>
        <v>0</v>
      </c>
      <c r="AX362" s="16" t="str">
        <f t="shared" si="143"/>
        <v>SFA</v>
      </c>
      <c r="AY362" s="22">
        <v>45070</v>
      </c>
      <c r="AZ362" s="22"/>
      <c r="BA362" s="1" t="s">
        <v>148</v>
      </c>
      <c r="BB362" s="22" t="str">
        <f t="shared" si="147"/>
        <v>MARINE CARGO / GIT</v>
      </c>
      <c r="BC362" s="1"/>
      <c r="BD362" s="1"/>
      <c r="BE362" s="1"/>
    </row>
    <row r="363" spans="1:57" ht="14.25" hidden="1" customHeight="1">
      <c r="A363" s="2" t="s">
        <v>165</v>
      </c>
      <c r="B363" s="1" t="s">
        <v>58</v>
      </c>
      <c r="C363" s="27">
        <v>45079</v>
      </c>
      <c r="D363" s="27">
        <v>45012</v>
      </c>
      <c r="E363" s="27">
        <v>44994</v>
      </c>
      <c r="F363" s="27">
        <v>45358</v>
      </c>
      <c r="G363" s="13" t="str">
        <f t="shared" si="134"/>
        <v>000-362/AIB RDC/2023</v>
      </c>
      <c r="H363" s="1">
        <v>0</v>
      </c>
      <c r="I363" s="1" t="s">
        <v>83</v>
      </c>
      <c r="J363" s="14" t="s">
        <v>616</v>
      </c>
      <c r="K363" s="2" t="s">
        <v>209</v>
      </c>
      <c r="L363" s="1"/>
      <c r="M363" s="2" t="s">
        <v>95</v>
      </c>
      <c r="N363" s="2" t="s">
        <v>146</v>
      </c>
      <c r="O363" s="2" t="s">
        <v>104</v>
      </c>
      <c r="P363" s="2" t="s">
        <v>105</v>
      </c>
      <c r="Q363" s="2" t="s">
        <v>66</v>
      </c>
      <c r="R363" s="2" t="s">
        <v>66</v>
      </c>
      <c r="S363" s="25">
        <v>57267.32</v>
      </c>
      <c r="T363" s="25">
        <v>134.36000000000001</v>
      </c>
      <c r="U363" s="25">
        <v>0</v>
      </c>
      <c r="V363" s="25">
        <v>0</v>
      </c>
      <c r="W363" s="25">
        <v>3.34</v>
      </c>
      <c r="X363" s="25">
        <v>89.34</v>
      </c>
      <c r="Y363" s="25">
        <v>14.83</v>
      </c>
      <c r="Z363" s="17">
        <f t="shared" si="135"/>
        <v>1.560052050628526E-3</v>
      </c>
      <c r="AA363" s="18">
        <v>0.15</v>
      </c>
      <c r="AB363" s="16">
        <f t="shared" si="130"/>
        <v>13.401</v>
      </c>
      <c r="AC363" s="16">
        <v>0</v>
      </c>
      <c r="AD363" s="16">
        <v>0</v>
      </c>
      <c r="AE363" s="16">
        <v>0</v>
      </c>
      <c r="AF363" s="16">
        <f t="shared" si="136"/>
        <v>13.401</v>
      </c>
      <c r="AG363" s="16">
        <f t="shared" si="144"/>
        <v>2.1441599999999998</v>
      </c>
      <c r="AH363" s="16">
        <f t="shared" si="137"/>
        <v>15.545159999999999</v>
      </c>
      <c r="AI363" s="16">
        <f t="shared" si="145"/>
        <v>0.26801999999999998</v>
      </c>
      <c r="AJ363" s="16">
        <v>0</v>
      </c>
      <c r="AK363" s="16">
        <f t="shared" si="138"/>
        <v>0.26801999999999998</v>
      </c>
      <c r="AL363" s="19"/>
      <c r="AM363" s="16">
        <f t="shared" si="139"/>
        <v>13.13298</v>
      </c>
      <c r="AN363" s="16" t="s">
        <v>147</v>
      </c>
      <c r="AO363" s="20">
        <v>0.4</v>
      </c>
      <c r="AP363" s="16">
        <f t="shared" si="140"/>
        <v>5.2531920000000003</v>
      </c>
      <c r="AQ363" s="16">
        <v>5.2531920000000003</v>
      </c>
      <c r="AR363" s="15">
        <v>45229</v>
      </c>
      <c r="AS363" s="16">
        <f t="shared" si="141"/>
        <v>0</v>
      </c>
      <c r="AT363" s="16"/>
      <c r="AU363" s="16">
        <v>15.545159999999999</v>
      </c>
      <c r="AV363" s="16">
        <f t="shared" si="146"/>
        <v>15.545159999999999</v>
      </c>
      <c r="AW363" s="16">
        <f t="shared" si="142"/>
        <v>0</v>
      </c>
      <c r="AX363" s="16" t="str">
        <f t="shared" si="143"/>
        <v>SFA</v>
      </c>
      <c r="AY363" s="22">
        <v>45070</v>
      </c>
      <c r="AZ363" s="22"/>
      <c r="BA363" s="1" t="s">
        <v>148</v>
      </c>
      <c r="BB363" s="22" t="str">
        <f t="shared" si="147"/>
        <v>MARINE CARGO / GIT</v>
      </c>
      <c r="BC363" s="1"/>
      <c r="BD363" s="1"/>
      <c r="BE363" s="1"/>
    </row>
    <row r="364" spans="1:57" ht="14.25" hidden="1" customHeight="1">
      <c r="A364" s="2" t="s">
        <v>165</v>
      </c>
      <c r="B364" s="1" t="s">
        <v>58</v>
      </c>
      <c r="C364" s="27">
        <v>45079</v>
      </c>
      <c r="D364" s="27">
        <v>45013</v>
      </c>
      <c r="E364" s="27">
        <v>45013</v>
      </c>
      <c r="F364" s="27">
        <v>45377</v>
      </c>
      <c r="G364" s="13" t="str">
        <f t="shared" si="134"/>
        <v>000-363/AIB RDC/2023</v>
      </c>
      <c r="H364" s="1">
        <v>0</v>
      </c>
      <c r="I364" s="1" t="s">
        <v>83</v>
      </c>
      <c r="J364" s="14" t="s">
        <v>617</v>
      </c>
      <c r="K364" s="2" t="s">
        <v>209</v>
      </c>
      <c r="L364" s="1"/>
      <c r="M364" s="2" t="s">
        <v>95</v>
      </c>
      <c r="N364" s="2" t="s">
        <v>146</v>
      </c>
      <c r="O364" s="2" t="s">
        <v>104</v>
      </c>
      <c r="P364" s="2" t="s">
        <v>105</v>
      </c>
      <c r="Q364" s="2" t="s">
        <v>66</v>
      </c>
      <c r="R364" s="2" t="s">
        <v>66</v>
      </c>
      <c r="S364" s="25">
        <v>851432.47</v>
      </c>
      <c r="T364" s="25">
        <v>1936.36</v>
      </c>
      <c r="U364" s="25">
        <v>0</v>
      </c>
      <c r="V364" s="25">
        <v>0</v>
      </c>
      <c r="W364" s="25">
        <v>25.91</v>
      </c>
      <c r="X364" s="25">
        <v>1593.88</v>
      </c>
      <c r="Y364" s="25">
        <v>259.17</v>
      </c>
      <c r="Z364" s="17">
        <f t="shared" si="135"/>
        <v>1.8719981397937527E-3</v>
      </c>
      <c r="AA364" s="18">
        <v>0.15</v>
      </c>
      <c r="AB364" s="16">
        <f t="shared" si="130"/>
        <v>239.08199999999999</v>
      </c>
      <c r="AC364" s="16">
        <v>0</v>
      </c>
      <c r="AD364" s="16">
        <v>0</v>
      </c>
      <c r="AE364" s="16">
        <v>0</v>
      </c>
      <c r="AF364" s="16">
        <f t="shared" si="136"/>
        <v>239.08199999999999</v>
      </c>
      <c r="AG364" s="16">
        <f t="shared" si="144"/>
        <v>38.253120000000003</v>
      </c>
      <c r="AH364" s="16">
        <f t="shared" si="137"/>
        <v>277.33512000000002</v>
      </c>
      <c r="AI364" s="16">
        <f t="shared" si="145"/>
        <v>4.7816400000000003</v>
      </c>
      <c r="AJ364" s="16">
        <v>0</v>
      </c>
      <c r="AK364" s="16">
        <f t="shared" si="138"/>
        <v>4.7816400000000003</v>
      </c>
      <c r="AL364" s="19"/>
      <c r="AM364" s="16">
        <f t="shared" si="139"/>
        <v>234.30035999999998</v>
      </c>
      <c r="AN364" s="16" t="s">
        <v>147</v>
      </c>
      <c r="AO364" s="20">
        <v>0.4</v>
      </c>
      <c r="AP364" s="16">
        <f t="shared" si="140"/>
        <v>93.720144000000005</v>
      </c>
      <c r="AQ364" s="16">
        <v>93.720144000000005</v>
      </c>
      <c r="AR364" s="15">
        <v>45229</v>
      </c>
      <c r="AS364" s="16">
        <f t="shared" si="141"/>
        <v>0</v>
      </c>
      <c r="AT364" s="16"/>
      <c r="AU364" s="16">
        <v>277.33512000000002</v>
      </c>
      <c r="AV364" s="16">
        <f t="shared" si="146"/>
        <v>277.33512000000002</v>
      </c>
      <c r="AW364" s="16">
        <f t="shared" si="142"/>
        <v>0</v>
      </c>
      <c r="AX364" s="16" t="str">
        <f t="shared" si="143"/>
        <v>SFA</v>
      </c>
      <c r="AY364" s="22">
        <v>45070</v>
      </c>
      <c r="AZ364" s="22"/>
      <c r="BA364" s="1" t="s">
        <v>148</v>
      </c>
      <c r="BB364" s="22" t="str">
        <f t="shared" si="147"/>
        <v>MARINE CARGO / GIT</v>
      </c>
      <c r="BC364" s="1"/>
      <c r="BD364" s="1"/>
      <c r="BE364" s="1"/>
    </row>
    <row r="365" spans="1:57" ht="14.25" hidden="1" customHeight="1">
      <c r="A365" s="2" t="s">
        <v>165</v>
      </c>
      <c r="B365" s="1" t="s">
        <v>58</v>
      </c>
      <c r="C365" s="27">
        <v>45079</v>
      </c>
      <c r="D365" s="27">
        <v>45001</v>
      </c>
      <c r="E365" s="27">
        <v>45001</v>
      </c>
      <c r="F365" s="27">
        <v>45365</v>
      </c>
      <c r="G365" s="13" t="str">
        <f t="shared" si="134"/>
        <v>000-364/AIB RDC/2023</v>
      </c>
      <c r="H365" s="1">
        <v>0</v>
      </c>
      <c r="I365" s="1" t="s">
        <v>83</v>
      </c>
      <c r="J365" s="14" t="s">
        <v>618</v>
      </c>
      <c r="K365" s="1" t="s">
        <v>167</v>
      </c>
      <c r="L365" s="1"/>
      <c r="M365" s="1" t="s">
        <v>95</v>
      </c>
      <c r="N365" s="1" t="s">
        <v>146</v>
      </c>
      <c r="O365" s="1" t="s">
        <v>104</v>
      </c>
      <c r="P365" s="1" t="s">
        <v>105</v>
      </c>
      <c r="Q365" s="1" t="s">
        <v>66</v>
      </c>
      <c r="R365" s="1" t="s">
        <v>66</v>
      </c>
      <c r="S365" s="25">
        <v>0</v>
      </c>
      <c r="T365" s="25">
        <v>369.44</v>
      </c>
      <c r="U365" s="25">
        <v>0</v>
      </c>
      <c r="V365" s="25">
        <v>0</v>
      </c>
      <c r="W365" s="25">
        <v>7.9</v>
      </c>
      <c r="X365" s="25">
        <v>284</v>
      </c>
      <c r="Y365" s="25">
        <v>46.7</v>
      </c>
      <c r="Z365" s="17" t="e">
        <f t="shared" si="135"/>
        <v>#DIV/0!</v>
      </c>
      <c r="AA365" s="18">
        <v>0.15</v>
      </c>
      <c r="AB365" s="16">
        <f t="shared" si="130"/>
        <v>42.6</v>
      </c>
      <c r="AC365" s="16">
        <v>0</v>
      </c>
      <c r="AD365" s="16">
        <v>0</v>
      </c>
      <c r="AE365" s="16">
        <v>0</v>
      </c>
      <c r="AF365" s="16">
        <f t="shared" si="136"/>
        <v>42.6</v>
      </c>
      <c r="AG365" s="16">
        <f t="shared" si="144"/>
        <v>6.8160000000000007</v>
      </c>
      <c r="AH365" s="16">
        <f t="shared" si="137"/>
        <v>49.416000000000004</v>
      </c>
      <c r="AI365" s="16">
        <f t="shared" si="145"/>
        <v>0.85200000000000009</v>
      </c>
      <c r="AJ365" s="16">
        <v>0</v>
      </c>
      <c r="AK365" s="16">
        <f t="shared" si="138"/>
        <v>0.85200000000000009</v>
      </c>
      <c r="AL365" s="19"/>
      <c r="AM365" s="16">
        <f t="shared" si="139"/>
        <v>41.748000000000005</v>
      </c>
      <c r="AN365" s="16" t="s">
        <v>147</v>
      </c>
      <c r="AO365" s="20">
        <v>0.4</v>
      </c>
      <c r="AP365" s="16">
        <f t="shared" si="140"/>
        <v>16.699200000000001</v>
      </c>
      <c r="AQ365" s="16">
        <v>16.699200000000001</v>
      </c>
      <c r="AR365" s="15">
        <v>45229</v>
      </c>
      <c r="AS365" s="16">
        <f t="shared" si="141"/>
        <v>0</v>
      </c>
      <c r="AT365" s="16"/>
      <c r="AU365" s="16">
        <v>49.416000000000004</v>
      </c>
      <c r="AV365" s="16">
        <f t="shared" si="146"/>
        <v>49.416000000000004</v>
      </c>
      <c r="AW365" s="16">
        <f t="shared" si="142"/>
        <v>0</v>
      </c>
      <c r="AX365" s="16" t="str">
        <f t="shared" si="143"/>
        <v>SFA</v>
      </c>
      <c r="AY365" s="22">
        <v>45070</v>
      </c>
      <c r="AZ365" s="22"/>
      <c r="BA365" s="1" t="s">
        <v>148</v>
      </c>
      <c r="BB365" s="22" t="str">
        <f t="shared" si="147"/>
        <v>MARINE CARGO / GIT</v>
      </c>
      <c r="BC365" s="1"/>
      <c r="BD365" s="1"/>
      <c r="BE365" s="1"/>
    </row>
    <row r="366" spans="1:57" ht="14.25" hidden="1" customHeight="1">
      <c r="A366" s="2" t="s">
        <v>165</v>
      </c>
      <c r="B366" s="1" t="s">
        <v>58</v>
      </c>
      <c r="C366" s="27">
        <v>45079</v>
      </c>
      <c r="D366" s="27">
        <v>45005</v>
      </c>
      <c r="E366" s="27">
        <v>44992</v>
      </c>
      <c r="F366" s="27">
        <v>45356</v>
      </c>
      <c r="G366" s="13" t="str">
        <f t="shared" si="134"/>
        <v>000-365/AIB RDC/2023</v>
      </c>
      <c r="H366" s="1">
        <v>0</v>
      </c>
      <c r="I366" s="1" t="s">
        <v>83</v>
      </c>
      <c r="J366" s="14" t="s">
        <v>619</v>
      </c>
      <c r="K366" s="1" t="s">
        <v>197</v>
      </c>
      <c r="L366" s="1"/>
      <c r="M366" s="1" t="s">
        <v>95</v>
      </c>
      <c r="N366" s="1" t="s">
        <v>146</v>
      </c>
      <c r="O366" s="1" t="s">
        <v>104</v>
      </c>
      <c r="P366" s="1" t="s">
        <v>105</v>
      </c>
      <c r="Q366" s="1" t="s">
        <v>66</v>
      </c>
      <c r="R366" s="1" t="s">
        <v>66</v>
      </c>
      <c r="S366" s="25">
        <v>27068</v>
      </c>
      <c r="T366" s="25">
        <v>92.36</v>
      </c>
      <c r="U366" s="25">
        <v>0</v>
      </c>
      <c r="V366" s="25">
        <v>0</v>
      </c>
      <c r="W366" s="25">
        <v>2.81</v>
      </c>
      <c r="X366" s="25">
        <v>54.28</v>
      </c>
      <c r="Y366" s="25">
        <v>9.1300000000000008</v>
      </c>
      <c r="Z366" s="17">
        <f t="shared" si="135"/>
        <v>2.0053199349785726E-3</v>
      </c>
      <c r="AA366" s="18">
        <v>0.15</v>
      </c>
      <c r="AB366" s="16">
        <f t="shared" si="130"/>
        <v>8.1419999999999995</v>
      </c>
      <c r="AC366" s="16">
        <v>0</v>
      </c>
      <c r="AD366" s="16">
        <v>0</v>
      </c>
      <c r="AE366" s="16">
        <v>0</v>
      </c>
      <c r="AF366" s="16">
        <f t="shared" si="136"/>
        <v>8.1419999999999995</v>
      </c>
      <c r="AG366" s="16">
        <f t="shared" si="144"/>
        <v>1.3027199999999999</v>
      </c>
      <c r="AH366" s="16">
        <f t="shared" si="137"/>
        <v>9.4447200000000002</v>
      </c>
      <c r="AI366" s="16">
        <f t="shared" si="145"/>
        <v>0.16283999999999998</v>
      </c>
      <c r="AJ366" s="16">
        <v>0</v>
      </c>
      <c r="AK366" s="16">
        <f t="shared" si="138"/>
        <v>0.16283999999999998</v>
      </c>
      <c r="AL366" s="19"/>
      <c r="AM366" s="16">
        <f t="shared" si="139"/>
        <v>7.9791599999999994</v>
      </c>
      <c r="AN366" s="16" t="s">
        <v>147</v>
      </c>
      <c r="AO366" s="20">
        <v>0.4</v>
      </c>
      <c r="AP366" s="16">
        <f t="shared" si="140"/>
        <v>3.1916639999999998</v>
      </c>
      <c r="AQ366" s="16">
        <v>3.1916639999999998</v>
      </c>
      <c r="AR366" s="15">
        <v>45229</v>
      </c>
      <c r="AS366" s="16">
        <f t="shared" si="141"/>
        <v>0</v>
      </c>
      <c r="AT366" s="16"/>
      <c r="AU366" s="16">
        <v>9.4447200000000002</v>
      </c>
      <c r="AV366" s="16">
        <f t="shared" si="146"/>
        <v>9.4447200000000002</v>
      </c>
      <c r="AW366" s="16">
        <f t="shared" si="142"/>
        <v>0</v>
      </c>
      <c r="AX366" s="16" t="str">
        <f t="shared" si="143"/>
        <v>SFA</v>
      </c>
      <c r="AY366" s="22">
        <v>45070</v>
      </c>
      <c r="AZ366" s="22"/>
      <c r="BA366" s="1" t="s">
        <v>148</v>
      </c>
      <c r="BB366" s="22" t="str">
        <f t="shared" si="147"/>
        <v>MARINE CARGO / GIT</v>
      </c>
      <c r="BC366" s="1"/>
      <c r="BD366" s="1"/>
      <c r="BE366" s="1"/>
    </row>
    <row r="367" spans="1:57" ht="14.25" hidden="1" customHeight="1">
      <c r="A367" s="2" t="s">
        <v>165</v>
      </c>
      <c r="B367" s="1" t="s">
        <v>58</v>
      </c>
      <c r="C367" s="27">
        <v>45079</v>
      </c>
      <c r="D367" s="27">
        <v>45005</v>
      </c>
      <c r="E367" s="27">
        <v>44992</v>
      </c>
      <c r="F367" s="27">
        <v>45356</v>
      </c>
      <c r="G367" s="13" t="str">
        <f t="shared" si="134"/>
        <v>000-366/AIB RDC/2023</v>
      </c>
      <c r="H367" s="1">
        <v>0</v>
      </c>
      <c r="I367" s="1" t="s">
        <v>83</v>
      </c>
      <c r="J367" s="14" t="s">
        <v>620</v>
      </c>
      <c r="K367" s="1" t="s">
        <v>197</v>
      </c>
      <c r="L367" s="1"/>
      <c r="M367" s="1" t="s">
        <v>95</v>
      </c>
      <c r="N367" s="1" t="s">
        <v>146</v>
      </c>
      <c r="O367" s="1" t="s">
        <v>104</v>
      </c>
      <c r="P367" s="1" t="s">
        <v>105</v>
      </c>
      <c r="Q367" s="1" t="s">
        <v>66</v>
      </c>
      <c r="R367" s="1" t="s">
        <v>66</v>
      </c>
      <c r="S367" s="25">
        <v>35249</v>
      </c>
      <c r="T367" s="25">
        <v>98.29</v>
      </c>
      <c r="U367" s="25">
        <v>0</v>
      </c>
      <c r="V367" s="25">
        <v>0</v>
      </c>
      <c r="W367" s="25">
        <v>2.89</v>
      </c>
      <c r="X367" s="25">
        <v>59.22</v>
      </c>
      <c r="Y367" s="25">
        <v>9.94</v>
      </c>
      <c r="Z367" s="17">
        <f t="shared" si="135"/>
        <v>1.6800476609265512E-3</v>
      </c>
      <c r="AA367" s="18">
        <v>0.15</v>
      </c>
      <c r="AB367" s="16">
        <f t="shared" si="130"/>
        <v>8.8829999999999991</v>
      </c>
      <c r="AC367" s="16">
        <v>0</v>
      </c>
      <c r="AD367" s="16">
        <v>0</v>
      </c>
      <c r="AE367" s="16">
        <v>0</v>
      </c>
      <c r="AF367" s="16">
        <f t="shared" si="136"/>
        <v>8.8829999999999991</v>
      </c>
      <c r="AG367" s="16">
        <f t="shared" si="144"/>
        <v>1.4212799999999999</v>
      </c>
      <c r="AH367" s="16">
        <f t="shared" si="137"/>
        <v>10.304279999999999</v>
      </c>
      <c r="AI367" s="16">
        <f t="shared" si="145"/>
        <v>0.17765999999999998</v>
      </c>
      <c r="AJ367" s="16">
        <v>0</v>
      </c>
      <c r="AK367" s="16">
        <f t="shared" si="138"/>
        <v>0.17765999999999998</v>
      </c>
      <c r="AL367" s="19"/>
      <c r="AM367" s="16">
        <f t="shared" si="139"/>
        <v>8.7053399999999996</v>
      </c>
      <c r="AN367" s="16" t="s">
        <v>147</v>
      </c>
      <c r="AO367" s="20">
        <v>0.4</v>
      </c>
      <c r="AP367" s="16">
        <f t="shared" si="140"/>
        <v>3.4821360000000001</v>
      </c>
      <c r="AQ367" s="16">
        <v>3.4821360000000001</v>
      </c>
      <c r="AR367" s="15">
        <v>45229</v>
      </c>
      <c r="AS367" s="16">
        <f t="shared" si="141"/>
        <v>0</v>
      </c>
      <c r="AT367" s="16"/>
      <c r="AU367" s="16">
        <v>10.304279999999999</v>
      </c>
      <c r="AV367" s="16">
        <f t="shared" si="146"/>
        <v>10.304279999999999</v>
      </c>
      <c r="AW367" s="16">
        <f t="shared" si="142"/>
        <v>0</v>
      </c>
      <c r="AX367" s="16" t="str">
        <f t="shared" si="143"/>
        <v>SFA</v>
      </c>
      <c r="AY367" s="22">
        <v>45070</v>
      </c>
      <c r="AZ367" s="22"/>
      <c r="BA367" s="1" t="s">
        <v>148</v>
      </c>
      <c r="BB367" s="22" t="str">
        <f t="shared" si="147"/>
        <v>MARINE CARGO / GIT</v>
      </c>
      <c r="BC367" s="1"/>
      <c r="BD367" s="1"/>
      <c r="BE367" s="1"/>
    </row>
    <row r="368" spans="1:57" ht="14.25" hidden="1" customHeight="1">
      <c r="A368" s="2" t="s">
        <v>165</v>
      </c>
      <c r="B368" s="1" t="s">
        <v>58</v>
      </c>
      <c r="C368" s="27">
        <v>45079</v>
      </c>
      <c r="D368" s="27">
        <v>45005</v>
      </c>
      <c r="E368" s="27">
        <v>44992</v>
      </c>
      <c r="F368" s="27">
        <v>45356</v>
      </c>
      <c r="G368" s="13" t="str">
        <f t="shared" si="134"/>
        <v>000-367/AIB RDC/2023</v>
      </c>
      <c r="H368" s="1">
        <v>0</v>
      </c>
      <c r="I368" s="1" t="s">
        <v>83</v>
      </c>
      <c r="J368" s="14" t="s">
        <v>621</v>
      </c>
      <c r="K368" s="1" t="s">
        <v>197</v>
      </c>
      <c r="L368" s="1"/>
      <c r="M368" s="1" t="s">
        <v>95</v>
      </c>
      <c r="N368" s="1" t="s">
        <v>146</v>
      </c>
      <c r="O368" s="1" t="s">
        <v>104</v>
      </c>
      <c r="P368" s="1" t="s">
        <v>105</v>
      </c>
      <c r="Q368" s="1" t="s">
        <v>66</v>
      </c>
      <c r="R368" s="1" t="s">
        <v>66</v>
      </c>
      <c r="S368" s="25">
        <v>43810.6</v>
      </c>
      <c r="T368" s="25">
        <v>115.5</v>
      </c>
      <c r="U368" s="25">
        <v>0</v>
      </c>
      <c r="V368" s="25">
        <v>0</v>
      </c>
      <c r="W368" s="25">
        <v>3.1</v>
      </c>
      <c r="X368" s="25">
        <v>73.599999999999994</v>
      </c>
      <c r="Y368" s="25">
        <v>12.27</v>
      </c>
      <c r="Z368" s="17">
        <f t="shared" si="135"/>
        <v>1.6799587314485535E-3</v>
      </c>
      <c r="AA368" s="18">
        <v>0.15</v>
      </c>
      <c r="AB368" s="16">
        <f t="shared" si="130"/>
        <v>11.04</v>
      </c>
      <c r="AC368" s="16">
        <v>0</v>
      </c>
      <c r="AD368" s="16">
        <v>0</v>
      </c>
      <c r="AE368" s="16">
        <v>0</v>
      </c>
      <c r="AF368" s="16">
        <f t="shared" si="136"/>
        <v>11.04</v>
      </c>
      <c r="AG368" s="16">
        <f t="shared" si="144"/>
        <v>1.7664</v>
      </c>
      <c r="AH368" s="16">
        <f t="shared" si="137"/>
        <v>12.8064</v>
      </c>
      <c r="AI368" s="16">
        <f t="shared" si="145"/>
        <v>0.2208</v>
      </c>
      <c r="AJ368" s="16">
        <v>0</v>
      </c>
      <c r="AK368" s="16">
        <f t="shared" si="138"/>
        <v>0.2208</v>
      </c>
      <c r="AL368" s="19"/>
      <c r="AM368" s="16">
        <f t="shared" si="139"/>
        <v>10.819199999999999</v>
      </c>
      <c r="AN368" s="16" t="s">
        <v>147</v>
      </c>
      <c r="AO368" s="20">
        <v>0.4</v>
      </c>
      <c r="AP368" s="16">
        <f t="shared" si="140"/>
        <v>4.32768</v>
      </c>
      <c r="AQ368" s="16">
        <v>4.32768</v>
      </c>
      <c r="AR368" s="15">
        <v>45229</v>
      </c>
      <c r="AS368" s="16">
        <f t="shared" si="141"/>
        <v>0</v>
      </c>
      <c r="AT368" s="16"/>
      <c r="AU368" s="16">
        <v>12.8064</v>
      </c>
      <c r="AV368" s="16">
        <f t="shared" si="146"/>
        <v>12.8064</v>
      </c>
      <c r="AW368" s="16">
        <f t="shared" si="142"/>
        <v>0</v>
      </c>
      <c r="AX368" s="16" t="str">
        <f t="shared" si="143"/>
        <v>SFA</v>
      </c>
      <c r="AY368" s="22">
        <v>45070</v>
      </c>
      <c r="AZ368" s="22"/>
      <c r="BA368" s="1" t="s">
        <v>148</v>
      </c>
      <c r="BB368" s="22" t="str">
        <f t="shared" si="147"/>
        <v>MARINE CARGO / GIT</v>
      </c>
      <c r="BC368" s="1"/>
      <c r="BD368" s="1"/>
      <c r="BE368" s="1"/>
    </row>
    <row r="369" spans="1:57" ht="14.25" hidden="1" customHeight="1">
      <c r="A369" s="2" t="s">
        <v>165</v>
      </c>
      <c r="B369" s="1" t="s">
        <v>58</v>
      </c>
      <c r="C369" s="27">
        <v>45079</v>
      </c>
      <c r="D369" s="27">
        <v>45015</v>
      </c>
      <c r="E369" s="27">
        <v>45002</v>
      </c>
      <c r="F369" s="27">
        <v>45366</v>
      </c>
      <c r="G369" s="13" t="str">
        <f t="shared" si="134"/>
        <v>000-368/AIB RDC/2023</v>
      </c>
      <c r="H369" s="1">
        <v>0</v>
      </c>
      <c r="I369" s="1" t="s">
        <v>83</v>
      </c>
      <c r="J369" s="14" t="s">
        <v>622</v>
      </c>
      <c r="K369" s="2" t="s">
        <v>265</v>
      </c>
      <c r="L369" s="1"/>
      <c r="M369" s="2" t="s">
        <v>95</v>
      </c>
      <c r="N369" s="2" t="s">
        <v>146</v>
      </c>
      <c r="O369" s="2" t="s">
        <v>104</v>
      </c>
      <c r="P369" s="2" t="s">
        <v>105</v>
      </c>
      <c r="Q369" s="2" t="s">
        <v>66</v>
      </c>
      <c r="R369" s="2" t="s">
        <v>66</v>
      </c>
      <c r="S369" s="25">
        <v>11977.56</v>
      </c>
      <c r="T369" s="25">
        <v>46.3</v>
      </c>
      <c r="U369" s="25">
        <v>0</v>
      </c>
      <c r="V369" s="25">
        <v>0</v>
      </c>
      <c r="W369" s="25">
        <v>2.2400000000000002</v>
      </c>
      <c r="X369" s="25">
        <v>15.81</v>
      </c>
      <c r="Y369" s="25">
        <v>2.89</v>
      </c>
      <c r="Z369" s="17">
        <f t="shared" si="135"/>
        <v>1.3199683407972911E-3</v>
      </c>
      <c r="AA369" s="18">
        <v>0.15</v>
      </c>
      <c r="AB369" s="16">
        <f t="shared" si="130"/>
        <v>2.3715000000000002</v>
      </c>
      <c r="AC369" s="16">
        <v>0</v>
      </c>
      <c r="AD369" s="16">
        <v>0</v>
      </c>
      <c r="AE369" s="16">
        <v>0</v>
      </c>
      <c r="AF369" s="16">
        <f t="shared" si="136"/>
        <v>2.3715000000000002</v>
      </c>
      <c r="AG369" s="16">
        <f t="shared" si="144"/>
        <v>0.37944000000000006</v>
      </c>
      <c r="AH369" s="16">
        <f t="shared" si="137"/>
        <v>2.7509400000000004</v>
      </c>
      <c r="AI369" s="16">
        <f t="shared" si="145"/>
        <v>4.7430000000000007E-2</v>
      </c>
      <c r="AJ369" s="16">
        <v>0</v>
      </c>
      <c r="AK369" s="16">
        <f t="shared" si="138"/>
        <v>4.7430000000000007E-2</v>
      </c>
      <c r="AL369" s="19"/>
      <c r="AM369" s="16">
        <f t="shared" si="139"/>
        <v>2.3240700000000003</v>
      </c>
      <c r="AN369" s="16" t="s">
        <v>147</v>
      </c>
      <c r="AO369" s="20">
        <v>0.4</v>
      </c>
      <c r="AP369" s="16">
        <f t="shared" si="140"/>
        <v>0.92962800000000012</v>
      </c>
      <c r="AQ369" s="16">
        <v>0.92962800000000012</v>
      </c>
      <c r="AR369" s="15">
        <v>45229</v>
      </c>
      <c r="AS369" s="16">
        <f t="shared" si="141"/>
        <v>0</v>
      </c>
      <c r="AT369" s="16"/>
      <c r="AU369" s="16">
        <v>2.7509400000000004</v>
      </c>
      <c r="AV369" s="16">
        <f t="shared" si="146"/>
        <v>2.7509400000000004</v>
      </c>
      <c r="AW369" s="16">
        <f t="shared" si="142"/>
        <v>0</v>
      </c>
      <c r="AX369" s="16" t="str">
        <f t="shared" si="143"/>
        <v>SFA</v>
      </c>
      <c r="AY369" s="22">
        <v>45070</v>
      </c>
      <c r="AZ369" s="22"/>
      <c r="BA369" s="1" t="s">
        <v>148</v>
      </c>
      <c r="BB369" s="22" t="str">
        <f t="shared" si="147"/>
        <v>MARINE CARGO / GIT</v>
      </c>
      <c r="BC369" s="1"/>
      <c r="BD369" s="1"/>
      <c r="BE369" s="1"/>
    </row>
    <row r="370" spans="1:57" ht="14.25" hidden="1" customHeight="1">
      <c r="A370" s="2" t="s">
        <v>165</v>
      </c>
      <c r="B370" s="1" t="s">
        <v>58</v>
      </c>
      <c r="C370" s="27">
        <v>45082</v>
      </c>
      <c r="D370" s="27">
        <v>45006</v>
      </c>
      <c r="E370" s="27">
        <v>45001</v>
      </c>
      <c r="F370" s="27">
        <v>45365</v>
      </c>
      <c r="G370" s="13" t="str">
        <f t="shared" si="134"/>
        <v>000-369/AIB RDC/2023</v>
      </c>
      <c r="H370" s="1">
        <v>0</v>
      </c>
      <c r="I370" s="1" t="s">
        <v>83</v>
      </c>
      <c r="J370" s="29" t="s">
        <v>623</v>
      </c>
      <c r="K370" s="2" t="s">
        <v>163</v>
      </c>
      <c r="L370" s="1"/>
      <c r="M370" s="1" t="s">
        <v>95</v>
      </c>
      <c r="N370" s="1" t="s">
        <v>146</v>
      </c>
      <c r="O370" s="1" t="s">
        <v>104</v>
      </c>
      <c r="P370" s="1" t="s">
        <v>105</v>
      </c>
      <c r="Q370" s="1" t="s">
        <v>66</v>
      </c>
      <c r="R370" s="1" t="s">
        <v>66</v>
      </c>
      <c r="S370" s="25">
        <f>26790.16+45064.59+28267.8+29039.11</f>
        <v>129161.66</v>
      </c>
      <c r="T370" s="25">
        <v>399.03</v>
      </c>
      <c r="U370" s="25">
        <v>0</v>
      </c>
      <c r="V370" s="25">
        <v>0</v>
      </c>
      <c r="W370" s="25">
        <v>6.65</v>
      </c>
      <c r="X370" s="25">
        <v>310.32</v>
      </c>
      <c r="Y370" s="25">
        <v>50.72</v>
      </c>
      <c r="Z370" s="17">
        <f t="shared" si="135"/>
        <v>2.4025705460892959E-3</v>
      </c>
      <c r="AA370" s="18">
        <v>0.15</v>
      </c>
      <c r="AB370" s="16">
        <f t="shared" si="130"/>
        <v>46.547999999999995</v>
      </c>
      <c r="AC370" s="16">
        <v>0</v>
      </c>
      <c r="AD370" s="16">
        <v>0</v>
      </c>
      <c r="AE370" s="16">
        <v>0</v>
      </c>
      <c r="AF370" s="16">
        <f t="shared" si="136"/>
        <v>46.547999999999995</v>
      </c>
      <c r="AG370" s="16">
        <f t="shared" si="144"/>
        <v>7.4476799999999992</v>
      </c>
      <c r="AH370" s="16">
        <f t="shared" si="137"/>
        <v>53.995679999999993</v>
      </c>
      <c r="AI370" s="16">
        <f t="shared" si="145"/>
        <v>0.9309599999999999</v>
      </c>
      <c r="AJ370" s="16">
        <v>0</v>
      </c>
      <c r="AK370" s="16">
        <f t="shared" si="138"/>
        <v>0.9309599999999999</v>
      </c>
      <c r="AL370" s="19"/>
      <c r="AM370" s="16">
        <f t="shared" si="139"/>
        <v>45.617039999999996</v>
      </c>
      <c r="AN370" s="16" t="s">
        <v>147</v>
      </c>
      <c r="AO370" s="20">
        <v>0.4</v>
      </c>
      <c r="AP370" s="16">
        <f t="shared" si="140"/>
        <v>18.246815999999999</v>
      </c>
      <c r="AQ370" s="16">
        <v>18.246815999999999</v>
      </c>
      <c r="AR370" s="15">
        <v>45229</v>
      </c>
      <c r="AS370" s="16">
        <f t="shared" si="141"/>
        <v>0</v>
      </c>
      <c r="AT370" s="16"/>
      <c r="AU370" s="16">
        <v>53.995679999999993</v>
      </c>
      <c r="AV370" s="16">
        <f t="shared" si="146"/>
        <v>53.995679999999993</v>
      </c>
      <c r="AW370" s="16">
        <f t="shared" si="142"/>
        <v>0</v>
      </c>
      <c r="AX370" s="16" t="str">
        <f t="shared" si="143"/>
        <v>SFA</v>
      </c>
      <c r="AY370" s="22">
        <v>45070</v>
      </c>
      <c r="AZ370" s="22"/>
      <c r="BA370" s="1" t="s">
        <v>148</v>
      </c>
      <c r="BB370" s="22" t="str">
        <f t="shared" si="147"/>
        <v>MARINE CARGO / GIT</v>
      </c>
      <c r="BC370" s="1"/>
      <c r="BD370" s="1"/>
      <c r="BE370" s="1"/>
    </row>
    <row r="371" spans="1:57" ht="14.25" hidden="1" customHeight="1">
      <c r="A371" s="2" t="s">
        <v>165</v>
      </c>
      <c r="B371" s="1" t="s">
        <v>58</v>
      </c>
      <c r="C371" s="27">
        <v>45082</v>
      </c>
      <c r="D371" s="27">
        <v>45012</v>
      </c>
      <c r="E371" s="27">
        <v>45012</v>
      </c>
      <c r="F371" s="27">
        <v>45376</v>
      </c>
      <c r="G371" s="13" t="str">
        <f t="shared" si="134"/>
        <v>000-370/AIB RDC/2023</v>
      </c>
      <c r="H371" s="1">
        <v>0</v>
      </c>
      <c r="I371" s="1" t="s">
        <v>83</v>
      </c>
      <c r="J371" s="29" t="s">
        <v>624</v>
      </c>
      <c r="K371" s="2" t="s">
        <v>163</v>
      </c>
      <c r="L371" s="1"/>
      <c r="M371" s="1" t="s">
        <v>95</v>
      </c>
      <c r="N371" s="1" t="s">
        <v>146</v>
      </c>
      <c r="O371" s="1" t="s">
        <v>104</v>
      </c>
      <c r="P371" s="1" t="s">
        <v>105</v>
      </c>
      <c r="Q371" s="1" t="s">
        <v>66</v>
      </c>
      <c r="R371" s="1" t="s">
        <v>66</v>
      </c>
      <c r="S371" s="25">
        <v>0</v>
      </c>
      <c r="T371" s="25">
        <v>546.36</v>
      </c>
      <c r="U371" s="25">
        <v>0</v>
      </c>
      <c r="V371" s="25">
        <v>0</v>
      </c>
      <c r="W371" s="25">
        <v>8.5</v>
      </c>
      <c r="X371" s="25">
        <v>433.33</v>
      </c>
      <c r="Y371" s="25">
        <v>70.69</v>
      </c>
      <c r="Z371" s="17" t="e">
        <f t="shared" si="135"/>
        <v>#DIV/0!</v>
      </c>
      <c r="AA371" s="18">
        <v>0.15</v>
      </c>
      <c r="AB371" s="16">
        <f t="shared" si="130"/>
        <v>64.999499999999998</v>
      </c>
      <c r="AC371" s="16">
        <v>0</v>
      </c>
      <c r="AD371" s="16">
        <v>0</v>
      </c>
      <c r="AE371" s="16">
        <v>0</v>
      </c>
      <c r="AF371" s="16">
        <f t="shared" si="136"/>
        <v>64.999499999999998</v>
      </c>
      <c r="AG371" s="16">
        <f t="shared" si="144"/>
        <v>10.39992</v>
      </c>
      <c r="AH371" s="16">
        <f t="shared" si="137"/>
        <v>75.399419999999992</v>
      </c>
      <c r="AI371" s="16">
        <f t="shared" si="145"/>
        <v>1.29999</v>
      </c>
      <c r="AJ371" s="16">
        <v>0</v>
      </c>
      <c r="AK371" s="16">
        <f t="shared" si="138"/>
        <v>1.29999</v>
      </c>
      <c r="AL371" s="19"/>
      <c r="AM371" s="16">
        <f t="shared" si="139"/>
        <v>63.699509999999997</v>
      </c>
      <c r="AN371" s="16" t="s">
        <v>147</v>
      </c>
      <c r="AO371" s="20">
        <v>0.4</v>
      </c>
      <c r="AP371" s="16">
        <f t="shared" si="140"/>
        <v>25.479804000000001</v>
      </c>
      <c r="AQ371" s="16">
        <v>25.479804000000001</v>
      </c>
      <c r="AR371" s="15">
        <v>45229</v>
      </c>
      <c r="AS371" s="16">
        <f t="shared" si="141"/>
        <v>0</v>
      </c>
      <c r="AT371" s="16"/>
      <c r="AU371" s="16">
        <v>75.399419999999992</v>
      </c>
      <c r="AV371" s="16">
        <f t="shared" si="146"/>
        <v>75.399419999999992</v>
      </c>
      <c r="AW371" s="16">
        <f t="shared" si="142"/>
        <v>0</v>
      </c>
      <c r="AX371" s="16" t="str">
        <f t="shared" si="143"/>
        <v>SFA</v>
      </c>
      <c r="AY371" s="22">
        <v>45070</v>
      </c>
      <c r="AZ371" s="22"/>
      <c r="BA371" s="1" t="s">
        <v>148</v>
      </c>
      <c r="BB371" s="22" t="str">
        <f t="shared" si="147"/>
        <v>MARINE CARGO / GIT</v>
      </c>
      <c r="BC371" s="1"/>
      <c r="BD371" s="1"/>
      <c r="BE371" s="1"/>
    </row>
    <row r="372" spans="1:57" ht="14.25" hidden="1" customHeight="1">
      <c r="A372" s="2" t="s">
        <v>165</v>
      </c>
      <c r="B372" s="1" t="s">
        <v>58</v>
      </c>
      <c r="C372" s="27">
        <v>45082</v>
      </c>
      <c r="D372" s="27">
        <v>45012</v>
      </c>
      <c r="E372" s="27">
        <v>45012</v>
      </c>
      <c r="F372" s="27">
        <v>45376</v>
      </c>
      <c r="G372" s="13" t="str">
        <f t="shared" si="134"/>
        <v>000-371/AIB RDC/2023</v>
      </c>
      <c r="H372" s="1">
        <v>0</v>
      </c>
      <c r="I372" s="1" t="s">
        <v>83</v>
      </c>
      <c r="J372" s="29" t="s">
        <v>625</v>
      </c>
      <c r="K372" s="2" t="s">
        <v>163</v>
      </c>
      <c r="L372" s="1"/>
      <c r="M372" s="1" t="s">
        <v>95</v>
      </c>
      <c r="N372" s="1" t="s">
        <v>146</v>
      </c>
      <c r="O372" s="1" t="s">
        <v>104</v>
      </c>
      <c r="P372" s="1" t="s">
        <v>105</v>
      </c>
      <c r="Q372" s="1" t="s">
        <v>66</v>
      </c>
      <c r="R372" s="1" t="s">
        <v>66</v>
      </c>
      <c r="S372" s="25">
        <v>0</v>
      </c>
      <c r="T372" s="25">
        <v>102.46</v>
      </c>
      <c r="U372" s="25">
        <v>0</v>
      </c>
      <c r="V372" s="25">
        <v>0</v>
      </c>
      <c r="W372" s="25">
        <v>2.94</v>
      </c>
      <c r="X372" s="25">
        <v>62.71</v>
      </c>
      <c r="Y372" s="25">
        <v>10.5</v>
      </c>
      <c r="Z372" s="17" t="e">
        <f t="shared" si="135"/>
        <v>#DIV/0!</v>
      </c>
      <c r="AA372" s="18">
        <v>0.15</v>
      </c>
      <c r="AB372" s="16">
        <f t="shared" si="130"/>
        <v>9.4064999999999994</v>
      </c>
      <c r="AC372" s="16">
        <v>0</v>
      </c>
      <c r="AD372" s="16">
        <v>0</v>
      </c>
      <c r="AE372" s="16">
        <v>0</v>
      </c>
      <c r="AF372" s="16">
        <f t="shared" si="136"/>
        <v>9.4064999999999994</v>
      </c>
      <c r="AG372" s="16">
        <f t="shared" si="144"/>
        <v>1.5050399999999999</v>
      </c>
      <c r="AH372" s="16">
        <f t="shared" si="137"/>
        <v>10.911539999999999</v>
      </c>
      <c r="AI372" s="16">
        <f t="shared" si="145"/>
        <v>0.18812999999999999</v>
      </c>
      <c r="AJ372" s="16">
        <v>0</v>
      </c>
      <c r="AK372" s="16">
        <f t="shared" si="138"/>
        <v>0.18812999999999999</v>
      </c>
      <c r="AL372" s="19"/>
      <c r="AM372" s="16">
        <f t="shared" si="139"/>
        <v>9.2183700000000002</v>
      </c>
      <c r="AN372" s="16" t="s">
        <v>147</v>
      </c>
      <c r="AO372" s="20">
        <v>0.4</v>
      </c>
      <c r="AP372" s="16">
        <f t="shared" si="140"/>
        <v>3.6873480000000001</v>
      </c>
      <c r="AQ372" s="16">
        <v>3.6873480000000001</v>
      </c>
      <c r="AR372" s="15">
        <v>45229</v>
      </c>
      <c r="AS372" s="16">
        <f t="shared" si="141"/>
        <v>0</v>
      </c>
      <c r="AT372" s="16"/>
      <c r="AU372" s="16">
        <v>10.911539999999999</v>
      </c>
      <c r="AV372" s="16">
        <f t="shared" si="146"/>
        <v>10.911539999999999</v>
      </c>
      <c r="AW372" s="16">
        <f t="shared" si="142"/>
        <v>0</v>
      </c>
      <c r="AX372" s="16" t="str">
        <f t="shared" si="143"/>
        <v>SFA</v>
      </c>
      <c r="AY372" s="22">
        <v>45070</v>
      </c>
      <c r="AZ372" s="22"/>
      <c r="BA372" s="1" t="s">
        <v>148</v>
      </c>
      <c r="BB372" s="22" t="str">
        <f t="shared" si="147"/>
        <v>MARINE CARGO / GIT</v>
      </c>
      <c r="BC372" s="1"/>
      <c r="BD372" s="1"/>
      <c r="BE372" s="1"/>
    </row>
    <row r="373" spans="1:57" ht="14.25" hidden="1" customHeight="1">
      <c r="A373" s="2" t="s">
        <v>165</v>
      </c>
      <c r="B373" s="1" t="s">
        <v>58</v>
      </c>
      <c r="C373" s="27">
        <v>45082</v>
      </c>
      <c r="D373" s="27">
        <v>45012</v>
      </c>
      <c r="E373" s="27">
        <v>45012</v>
      </c>
      <c r="F373" s="27">
        <v>45376</v>
      </c>
      <c r="G373" s="13" t="str">
        <f t="shared" si="134"/>
        <v>000-372/AIB RDC/2023</v>
      </c>
      <c r="H373" s="1">
        <v>0</v>
      </c>
      <c r="I373" s="1" t="s">
        <v>83</v>
      </c>
      <c r="J373" s="29" t="s">
        <v>626</v>
      </c>
      <c r="K373" s="2" t="s">
        <v>163</v>
      </c>
      <c r="L373" s="1"/>
      <c r="M373" s="1" t="s">
        <v>95</v>
      </c>
      <c r="N373" s="1" t="s">
        <v>146</v>
      </c>
      <c r="O373" s="1" t="s">
        <v>104</v>
      </c>
      <c r="P373" s="1" t="s">
        <v>105</v>
      </c>
      <c r="Q373" s="1" t="s">
        <v>66</v>
      </c>
      <c r="R373" s="1" t="s">
        <v>66</v>
      </c>
      <c r="S373" s="25">
        <v>0</v>
      </c>
      <c r="T373" s="25">
        <v>171.03</v>
      </c>
      <c r="U373" s="25">
        <v>0</v>
      </c>
      <c r="V373" s="25">
        <v>0</v>
      </c>
      <c r="W373" s="25">
        <v>3.8</v>
      </c>
      <c r="X373" s="25">
        <v>119.95</v>
      </c>
      <c r="Y373" s="25">
        <v>19.8</v>
      </c>
      <c r="Z373" s="17" t="e">
        <f t="shared" si="135"/>
        <v>#DIV/0!</v>
      </c>
      <c r="AA373" s="18">
        <v>0.15</v>
      </c>
      <c r="AB373" s="16">
        <f t="shared" si="130"/>
        <v>17.9925</v>
      </c>
      <c r="AC373" s="16">
        <v>0</v>
      </c>
      <c r="AD373" s="16">
        <v>0</v>
      </c>
      <c r="AE373" s="16">
        <v>0</v>
      </c>
      <c r="AF373" s="16">
        <f t="shared" si="136"/>
        <v>17.9925</v>
      </c>
      <c r="AG373" s="16">
        <f t="shared" si="144"/>
        <v>2.8788</v>
      </c>
      <c r="AH373" s="16">
        <f t="shared" si="137"/>
        <v>20.871299999999998</v>
      </c>
      <c r="AI373" s="16">
        <f t="shared" si="145"/>
        <v>0.35985</v>
      </c>
      <c r="AJ373" s="16">
        <v>0</v>
      </c>
      <c r="AK373" s="16">
        <f t="shared" si="138"/>
        <v>0.35985</v>
      </c>
      <c r="AL373" s="19"/>
      <c r="AM373" s="16">
        <f t="shared" si="139"/>
        <v>17.632649999999998</v>
      </c>
      <c r="AN373" s="16" t="s">
        <v>147</v>
      </c>
      <c r="AO373" s="20">
        <v>0.4</v>
      </c>
      <c r="AP373" s="16">
        <f t="shared" si="140"/>
        <v>7.0530599999999994</v>
      </c>
      <c r="AQ373" s="16">
        <v>7.0530599999999994</v>
      </c>
      <c r="AR373" s="15">
        <v>45229</v>
      </c>
      <c r="AS373" s="16">
        <f t="shared" si="141"/>
        <v>0</v>
      </c>
      <c r="AT373" s="16"/>
      <c r="AU373" s="16">
        <v>20.871299999999998</v>
      </c>
      <c r="AV373" s="16">
        <f t="shared" si="146"/>
        <v>20.871299999999998</v>
      </c>
      <c r="AW373" s="16">
        <f t="shared" si="142"/>
        <v>0</v>
      </c>
      <c r="AX373" s="16" t="str">
        <f t="shared" si="143"/>
        <v>SFA</v>
      </c>
      <c r="AY373" s="22">
        <v>45070</v>
      </c>
      <c r="AZ373" s="22"/>
      <c r="BA373" s="1" t="s">
        <v>148</v>
      </c>
      <c r="BB373" s="22" t="str">
        <f t="shared" si="147"/>
        <v>MARINE CARGO / GIT</v>
      </c>
      <c r="BC373" s="1"/>
      <c r="BD373" s="1"/>
      <c r="BE373" s="1"/>
    </row>
    <row r="374" spans="1:57" ht="14.25" hidden="1" customHeight="1">
      <c r="A374" s="2" t="s">
        <v>165</v>
      </c>
      <c r="B374" s="1" t="s">
        <v>58</v>
      </c>
      <c r="C374" s="27">
        <v>45082</v>
      </c>
      <c r="D374" s="27">
        <v>45012</v>
      </c>
      <c r="E374" s="27">
        <v>45012</v>
      </c>
      <c r="F374" s="27">
        <v>45376</v>
      </c>
      <c r="G374" s="13" t="str">
        <f t="shared" si="134"/>
        <v>000-373/AIB RDC/2023</v>
      </c>
      <c r="H374" s="1">
        <v>0</v>
      </c>
      <c r="I374" s="1" t="s">
        <v>83</v>
      </c>
      <c r="J374" s="29" t="s">
        <v>627</v>
      </c>
      <c r="K374" s="2" t="s">
        <v>163</v>
      </c>
      <c r="L374" s="1"/>
      <c r="M374" s="1" t="s">
        <v>95</v>
      </c>
      <c r="N374" s="1" t="s">
        <v>146</v>
      </c>
      <c r="O374" s="1" t="s">
        <v>104</v>
      </c>
      <c r="P374" s="1" t="s">
        <v>105</v>
      </c>
      <c r="Q374" s="1" t="s">
        <v>66</v>
      </c>
      <c r="R374" s="1" t="s">
        <v>66</v>
      </c>
      <c r="S374" s="25">
        <v>0</v>
      </c>
      <c r="T374" s="25">
        <v>294.77999999999997</v>
      </c>
      <c r="U374" s="25">
        <v>0</v>
      </c>
      <c r="V374" s="25">
        <v>0</v>
      </c>
      <c r="W374" s="25">
        <v>5.35</v>
      </c>
      <c r="X374" s="25">
        <v>223.28</v>
      </c>
      <c r="Y374" s="25">
        <v>36.58</v>
      </c>
      <c r="Z374" s="17" t="e">
        <f t="shared" si="135"/>
        <v>#DIV/0!</v>
      </c>
      <c r="AA374" s="18">
        <v>0.15</v>
      </c>
      <c r="AB374" s="16">
        <f t="shared" si="130"/>
        <v>33.491999999999997</v>
      </c>
      <c r="AC374" s="16">
        <v>0</v>
      </c>
      <c r="AD374" s="16">
        <v>0</v>
      </c>
      <c r="AE374" s="16">
        <v>0</v>
      </c>
      <c r="AF374" s="16">
        <f t="shared" si="136"/>
        <v>33.491999999999997</v>
      </c>
      <c r="AG374" s="16">
        <f t="shared" si="144"/>
        <v>5.3587199999999999</v>
      </c>
      <c r="AH374" s="16">
        <f t="shared" si="137"/>
        <v>38.850719999999995</v>
      </c>
      <c r="AI374" s="16">
        <f t="shared" si="145"/>
        <v>0.66983999999999999</v>
      </c>
      <c r="AJ374" s="16">
        <v>0</v>
      </c>
      <c r="AK374" s="16">
        <f t="shared" si="138"/>
        <v>0.66983999999999999</v>
      </c>
      <c r="AL374" s="19"/>
      <c r="AM374" s="16">
        <f t="shared" si="139"/>
        <v>32.822159999999997</v>
      </c>
      <c r="AN374" s="16" t="s">
        <v>147</v>
      </c>
      <c r="AO374" s="20">
        <v>0.4</v>
      </c>
      <c r="AP374" s="16">
        <f t="shared" si="140"/>
        <v>13.128864</v>
      </c>
      <c r="AQ374" s="16">
        <v>13.128864</v>
      </c>
      <c r="AR374" s="15">
        <v>45229</v>
      </c>
      <c r="AS374" s="16">
        <f t="shared" si="141"/>
        <v>0</v>
      </c>
      <c r="AT374" s="16"/>
      <c r="AU374" s="16">
        <v>38.850719999999995</v>
      </c>
      <c r="AV374" s="16">
        <f t="shared" si="146"/>
        <v>38.850719999999995</v>
      </c>
      <c r="AW374" s="16">
        <f t="shared" si="142"/>
        <v>0</v>
      </c>
      <c r="AX374" s="16" t="str">
        <f t="shared" si="143"/>
        <v>SFA</v>
      </c>
      <c r="AY374" s="22">
        <v>45070</v>
      </c>
      <c r="AZ374" s="22"/>
      <c r="BA374" s="1" t="s">
        <v>148</v>
      </c>
      <c r="BB374" s="22" t="str">
        <f t="shared" si="147"/>
        <v>MARINE CARGO / GIT</v>
      </c>
      <c r="BC374" s="1"/>
      <c r="BD374" s="1"/>
      <c r="BE374" s="1"/>
    </row>
    <row r="375" spans="1:57" ht="14.25" hidden="1" customHeight="1">
      <c r="A375" s="2" t="s">
        <v>165</v>
      </c>
      <c r="B375" s="1" t="s">
        <v>58</v>
      </c>
      <c r="C375" s="27">
        <v>45082</v>
      </c>
      <c r="D375" s="27">
        <v>45012</v>
      </c>
      <c r="E375" s="27">
        <v>45012</v>
      </c>
      <c r="F375" s="27">
        <v>45376</v>
      </c>
      <c r="G375" s="13" t="str">
        <f t="shared" si="134"/>
        <v>000-374/AIB RDC/2023</v>
      </c>
      <c r="H375" s="1">
        <v>0</v>
      </c>
      <c r="I375" s="1" t="s">
        <v>83</v>
      </c>
      <c r="J375" s="29" t="s">
        <v>628</v>
      </c>
      <c r="K375" s="2" t="s">
        <v>163</v>
      </c>
      <c r="L375" s="1"/>
      <c r="M375" s="1" t="s">
        <v>95</v>
      </c>
      <c r="N375" s="1" t="s">
        <v>146</v>
      </c>
      <c r="O375" s="1" t="s">
        <v>104</v>
      </c>
      <c r="P375" s="1" t="s">
        <v>105</v>
      </c>
      <c r="Q375" s="1" t="s">
        <v>66</v>
      </c>
      <c r="R375" s="1" t="s">
        <v>66</v>
      </c>
      <c r="S375" s="25">
        <v>0</v>
      </c>
      <c r="T375" s="25">
        <v>146.93</v>
      </c>
      <c r="U375" s="25">
        <v>0</v>
      </c>
      <c r="V375" s="25">
        <v>0</v>
      </c>
      <c r="W375" s="25">
        <v>3.5</v>
      </c>
      <c r="X375" s="25">
        <v>99.83</v>
      </c>
      <c r="Y375" s="25">
        <v>16.53</v>
      </c>
      <c r="Z375" s="17" t="e">
        <f t="shared" si="135"/>
        <v>#DIV/0!</v>
      </c>
      <c r="AA375" s="18">
        <v>0.15</v>
      </c>
      <c r="AB375" s="16">
        <f t="shared" si="130"/>
        <v>14.974499999999999</v>
      </c>
      <c r="AC375" s="16">
        <v>0</v>
      </c>
      <c r="AD375" s="16">
        <v>0</v>
      </c>
      <c r="AE375" s="16">
        <v>0</v>
      </c>
      <c r="AF375" s="16">
        <f t="shared" si="136"/>
        <v>14.974499999999999</v>
      </c>
      <c r="AG375" s="16">
        <f t="shared" si="144"/>
        <v>2.3959199999999998</v>
      </c>
      <c r="AH375" s="16">
        <f t="shared" si="137"/>
        <v>17.370419999999999</v>
      </c>
      <c r="AI375" s="16">
        <f t="shared" si="145"/>
        <v>0.29948999999999998</v>
      </c>
      <c r="AJ375" s="16">
        <v>0</v>
      </c>
      <c r="AK375" s="16">
        <f t="shared" si="138"/>
        <v>0.29948999999999998</v>
      </c>
      <c r="AL375" s="19"/>
      <c r="AM375" s="16">
        <f t="shared" si="139"/>
        <v>14.675009999999999</v>
      </c>
      <c r="AN375" s="16" t="s">
        <v>147</v>
      </c>
      <c r="AO375" s="20">
        <v>0.4</v>
      </c>
      <c r="AP375" s="16">
        <f t="shared" si="140"/>
        <v>5.8700039999999998</v>
      </c>
      <c r="AQ375" s="16">
        <v>5.8700039999999998</v>
      </c>
      <c r="AR375" s="15">
        <v>45229</v>
      </c>
      <c r="AS375" s="16">
        <f t="shared" si="141"/>
        <v>0</v>
      </c>
      <c r="AT375" s="16"/>
      <c r="AU375" s="16">
        <v>17.370419999999999</v>
      </c>
      <c r="AV375" s="16">
        <f t="shared" si="146"/>
        <v>17.370419999999999</v>
      </c>
      <c r="AW375" s="16">
        <f t="shared" si="142"/>
        <v>0</v>
      </c>
      <c r="AX375" s="16" t="str">
        <f t="shared" si="143"/>
        <v>SFA</v>
      </c>
      <c r="AY375" s="22">
        <v>45070</v>
      </c>
      <c r="AZ375" s="22"/>
      <c r="BA375" s="1" t="s">
        <v>148</v>
      </c>
      <c r="BB375" s="22" t="str">
        <f t="shared" si="147"/>
        <v>MARINE CARGO / GIT</v>
      </c>
      <c r="BC375" s="1"/>
      <c r="BD375" s="1"/>
      <c r="BE375" s="1"/>
    </row>
    <row r="376" spans="1:57" ht="14.25" hidden="1" customHeight="1">
      <c r="A376" s="2" t="s">
        <v>165</v>
      </c>
      <c r="B376" s="1" t="s">
        <v>58</v>
      </c>
      <c r="C376" s="27">
        <v>45082</v>
      </c>
      <c r="D376" s="27">
        <v>45012</v>
      </c>
      <c r="E376" s="27">
        <v>45012</v>
      </c>
      <c r="F376" s="27">
        <v>45376</v>
      </c>
      <c r="G376" s="13" t="str">
        <f t="shared" si="134"/>
        <v>000-375/AIB RDC/2023</v>
      </c>
      <c r="H376" s="1">
        <v>0</v>
      </c>
      <c r="I376" s="1" t="s">
        <v>83</v>
      </c>
      <c r="J376" s="29" t="s">
        <v>629</v>
      </c>
      <c r="K376" s="2" t="s">
        <v>163</v>
      </c>
      <c r="L376" s="1"/>
      <c r="M376" s="1" t="s">
        <v>95</v>
      </c>
      <c r="N376" s="1" t="s">
        <v>146</v>
      </c>
      <c r="O376" s="1" t="s">
        <v>104</v>
      </c>
      <c r="P376" s="1" t="s">
        <v>105</v>
      </c>
      <c r="Q376" s="1" t="s">
        <v>66</v>
      </c>
      <c r="R376" s="1" t="s">
        <v>66</v>
      </c>
      <c r="S376" s="25">
        <v>0</v>
      </c>
      <c r="T376" s="25">
        <v>61.46</v>
      </c>
      <c r="U376" s="25">
        <v>0</v>
      </c>
      <c r="V376" s="25">
        <v>0</v>
      </c>
      <c r="W376" s="25">
        <v>2.4300000000000002</v>
      </c>
      <c r="X376" s="25">
        <v>28.47</v>
      </c>
      <c r="Y376" s="25">
        <v>4.9400000000000004</v>
      </c>
      <c r="Z376" s="17" t="e">
        <f t="shared" si="135"/>
        <v>#DIV/0!</v>
      </c>
      <c r="AA376" s="18">
        <v>0.15</v>
      </c>
      <c r="AB376" s="16">
        <f t="shared" si="130"/>
        <v>4.2704999999999993</v>
      </c>
      <c r="AC376" s="16">
        <v>0</v>
      </c>
      <c r="AD376" s="16">
        <v>0</v>
      </c>
      <c r="AE376" s="16">
        <v>0</v>
      </c>
      <c r="AF376" s="16">
        <f t="shared" si="136"/>
        <v>4.2704999999999993</v>
      </c>
      <c r="AG376" s="16">
        <f t="shared" si="144"/>
        <v>0.68327999999999989</v>
      </c>
      <c r="AH376" s="16">
        <f t="shared" si="137"/>
        <v>4.9537799999999992</v>
      </c>
      <c r="AI376" s="16">
        <f t="shared" si="145"/>
        <v>8.5409999999999986E-2</v>
      </c>
      <c r="AJ376" s="16">
        <v>0</v>
      </c>
      <c r="AK376" s="16">
        <f t="shared" si="138"/>
        <v>8.5409999999999986E-2</v>
      </c>
      <c r="AL376" s="19"/>
      <c r="AM376" s="16">
        <f t="shared" si="139"/>
        <v>4.1850899999999989</v>
      </c>
      <c r="AN376" s="16" t="s">
        <v>147</v>
      </c>
      <c r="AO376" s="20">
        <v>0.4</v>
      </c>
      <c r="AP376" s="16">
        <f t="shared" si="140"/>
        <v>1.6740359999999996</v>
      </c>
      <c r="AQ376" s="16">
        <v>1.6740359999999996</v>
      </c>
      <c r="AR376" s="15">
        <v>45229</v>
      </c>
      <c r="AS376" s="16">
        <f t="shared" si="141"/>
        <v>0</v>
      </c>
      <c r="AT376" s="16"/>
      <c r="AU376" s="16">
        <v>4.9537799999999992</v>
      </c>
      <c r="AV376" s="16">
        <f t="shared" si="146"/>
        <v>4.9537799999999992</v>
      </c>
      <c r="AW376" s="16">
        <f t="shared" si="142"/>
        <v>0</v>
      </c>
      <c r="AX376" s="16" t="str">
        <f t="shared" si="143"/>
        <v>SFA</v>
      </c>
      <c r="AY376" s="22">
        <v>45070</v>
      </c>
      <c r="AZ376" s="22"/>
      <c r="BA376" s="1" t="s">
        <v>148</v>
      </c>
      <c r="BB376" s="22" t="str">
        <f t="shared" si="147"/>
        <v>MARINE CARGO / GIT</v>
      </c>
      <c r="BC376" s="1"/>
      <c r="BD376" s="1"/>
      <c r="BE376" s="1"/>
    </row>
    <row r="377" spans="1:57" ht="14.25" hidden="1" customHeight="1">
      <c r="A377" s="2" t="s">
        <v>165</v>
      </c>
      <c r="B377" s="1" t="s">
        <v>58</v>
      </c>
      <c r="C377" s="27">
        <v>45082</v>
      </c>
      <c r="D377" s="27">
        <v>45005</v>
      </c>
      <c r="E377" s="27">
        <v>44992</v>
      </c>
      <c r="F377" s="27">
        <v>45356</v>
      </c>
      <c r="G377" s="13" t="str">
        <f t="shared" si="134"/>
        <v>000-376/AIB RDC/2023</v>
      </c>
      <c r="H377" s="1">
        <v>0</v>
      </c>
      <c r="I377" s="1" t="s">
        <v>83</v>
      </c>
      <c r="J377" s="14" t="s">
        <v>630</v>
      </c>
      <c r="K377" s="1" t="s">
        <v>197</v>
      </c>
      <c r="L377" s="1"/>
      <c r="M377" s="1" t="s">
        <v>95</v>
      </c>
      <c r="N377" s="1" t="s">
        <v>146</v>
      </c>
      <c r="O377" s="1" t="s">
        <v>104</v>
      </c>
      <c r="P377" s="1" t="s">
        <v>105</v>
      </c>
      <c r="Q377" s="1" t="s">
        <v>66</v>
      </c>
      <c r="R377" s="1" t="s">
        <v>66</v>
      </c>
      <c r="S377" s="25">
        <v>0</v>
      </c>
      <c r="T377" s="25">
        <v>105.81</v>
      </c>
      <c r="U377" s="25">
        <v>0</v>
      </c>
      <c r="V377" s="25">
        <v>0</v>
      </c>
      <c r="W377" s="25">
        <v>2.98</v>
      </c>
      <c r="X377" s="25">
        <v>65.5</v>
      </c>
      <c r="Y377" s="25">
        <v>10.96</v>
      </c>
      <c r="Z377" s="17" t="e">
        <f t="shared" si="135"/>
        <v>#DIV/0!</v>
      </c>
      <c r="AA377" s="18">
        <v>0.15</v>
      </c>
      <c r="AB377" s="16">
        <f t="shared" si="130"/>
        <v>9.8249999999999993</v>
      </c>
      <c r="AC377" s="16">
        <v>0</v>
      </c>
      <c r="AD377" s="16">
        <v>0</v>
      </c>
      <c r="AE377" s="16">
        <v>0</v>
      </c>
      <c r="AF377" s="16">
        <f t="shared" si="136"/>
        <v>9.8249999999999993</v>
      </c>
      <c r="AG377" s="16">
        <f t="shared" si="144"/>
        <v>1.5719999999999998</v>
      </c>
      <c r="AH377" s="16">
        <f t="shared" si="137"/>
        <v>11.396999999999998</v>
      </c>
      <c r="AI377" s="16">
        <f t="shared" si="145"/>
        <v>0.19649999999999998</v>
      </c>
      <c r="AJ377" s="16">
        <v>0</v>
      </c>
      <c r="AK377" s="16">
        <f t="shared" si="138"/>
        <v>0.19649999999999998</v>
      </c>
      <c r="AL377" s="19"/>
      <c r="AM377" s="16">
        <f t="shared" si="139"/>
        <v>9.6284999999999989</v>
      </c>
      <c r="AN377" s="16" t="s">
        <v>147</v>
      </c>
      <c r="AO377" s="20">
        <v>0.4</v>
      </c>
      <c r="AP377" s="16">
        <f t="shared" si="140"/>
        <v>3.8513999999999999</v>
      </c>
      <c r="AQ377" s="16">
        <v>3.8513999999999999</v>
      </c>
      <c r="AR377" s="15">
        <v>45229</v>
      </c>
      <c r="AS377" s="16">
        <f t="shared" si="141"/>
        <v>0</v>
      </c>
      <c r="AT377" s="16"/>
      <c r="AU377" s="16">
        <v>11.396999999999998</v>
      </c>
      <c r="AV377" s="16">
        <f t="shared" si="146"/>
        <v>11.396999999999998</v>
      </c>
      <c r="AW377" s="16">
        <f t="shared" si="142"/>
        <v>0</v>
      </c>
      <c r="AX377" s="16" t="str">
        <f t="shared" si="143"/>
        <v>SFA</v>
      </c>
      <c r="AY377" s="22">
        <v>45070</v>
      </c>
      <c r="AZ377" s="22"/>
      <c r="BA377" s="1" t="s">
        <v>148</v>
      </c>
      <c r="BB377" s="22" t="str">
        <f t="shared" si="147"/>
        <v>MARINE CARGO / GIT</v>
      </c>
      <c r="BC377" s="1"/>
      <c r="BD377" s="1"/>
      <c r="BE377" s="1"/>
    </row>
    <row r="378" spans="1:57" ht="14.25" hidden="1" customHeight="1">
      <c r="A378" s="2" t="s">
        <v>165</v>
      </c>
      <c r="B378" s="1" t="s">
        <v>58</v>
      </c>
      <c r="C378" s="27">
        <v>45082</v>
      </c>
      <c r="D378" s="27">
        <v>45005</v>
      </c>
      <c r="E378" s="27">
        <v>44992</v>
      </c>
      <c r="F378" s="27">
        <v>45356</v>
      </c>
      <c r="G378" s="13" t="str">
        <f t="shared" si="134"/>
        <v>000-377/AIB RDC/2023</v>
      </c>
      <c r="H378" s="1">
        <v>0</v>
      </c>
      <c r="I378" s="1" t="s">
        <v>83</v>
      </c>
      <c r="J378" s="14" t="s">
        <v>631</v>
      </c>
      <c r="K378" s="1" t="s">
        <v>197</v>
      </c>
      <c r="L378" s="1"/>
      <c r="M378" s="1" t="s">
        <v>95</v>
      </c>
      <c r="N378" s="1" t="s">
        <v>146</v>
      </c>
      <c r="O378" s="1" t="s">
        <v>104</v>
      </c>
      <c r="P378" s="1" t="s">
        <v>105</v>
      </c>
      <c r="Q378" s="1" t="s">
        <v>66</v>
      </c>
      <c r="R378" s="1" t="s">
        <v>66</v>
      </c>
      <c r="S378" s="25">
        <v>0</v>
      </c>
      <c r="T378" s="25">
        <v>92.39</v>
      </c>
      <c r="U378" s="25">
        <v>0</v>
      </c>
      <c r="V378" s="25">
        <v>0</v>
      </c>
      <c r="W378" s="25">
        <v>2.81</v>
      </c>
      <c r="X378" s="25">
        <v>54.3</v>
      </c>
      <c r="Y378" s="25">
        <v>9.14</v>
      </c>
      <c r="Z378" s="17" t="e">
        <f t="shared" si="135"/>
        <v>#DIV/0!</v>
      </c>
      <c r="AA378" s="18">
        <v>0.15</v>
      </c>
      <c r="AB378" s="16">
        <f t="shared" si="130"/>
        <v>8.1449999999999996</v>
      </c>
      <c r="AC378" s="16">
        <v>0</v>
      </c>
      <c r="AD378" s="16">
        <v>0</v>
      </c>
      <c r="AE378" s="16">
        <v>0</v>
      </c>
      <c r="AF378" s="16">
        <f t="shared" si="136"/>
        <v>8.1449999999999996</v>
      </c>
      <c r="AG378" s="16">
        <f t="shared" si="144"/>
        <v>1.3031999999999999</v>
      </c>
      <c r="AH378" s="16">
        <f t="shared" si="137"/>
        <v>9.4481999999999999</v>
      </c>
      <c r="AI378" s="16">
        <f t="shared" si="145"/>
        <v>0.16289999999999999</v>
      </c>
      <c r="AJ378" s="16">
        <v>0</v>
      </c>
      <c r="AK378" s="16">
        <f t="shared" si="138"/>
        <v>0.16289999999999999</v>
      </c>
      <c r="AL378" s="19"/>
      <c r="AM378" s="16">
        <f t="shared" si="139"/>
        <v>7.9821</v>
      </c>
      <c r="AN378" s="16" t="s">
        <v>147</v>
      </c>
      <c r="AO378" s="20">
        <v>0.4</v>
      </c>
      <c r="AP378" s="16">
        <f t="shared" si="140"/>
        <v>3.1928400000000003</v>
      </c>
      <c r="AQ378" s="16">
        <v>3.1928400000000003</v>
      </c>
      <c r="AR378" s="15">
        <v>45229</v>
      </c>
      <c r="AS378" s="16">
        <f t="shared" si="141"/>
        <v>0</v>
      </c>
      <c r="AT378" s="16"/>
      <c r="AU378" s="16">
        <v>9.4481999999999999</v>
      </c>
      <c r="AV378" s="16">
        <f t="shared" si="146"/>
        <v>9.4481999999999999</v>
      </c>
      <c r="AW378" s="16">
        <f t="shared" si="142"/>
        <v>0</v>
      </c>
      <c r="AX378" s="16" t="str">
        <f t="shared" si="143"/>
        <v>SFA</v>
      </c>
      <c r="AY378" s="22">
        <v>45070</v>
      </c>
      <c r="AZ378" s="22"/>
      <c r="BA378" s="1" t="s">
        <v>148</v>
      </c>
      <c r="BB378" s="22" t="str">
        <f t="shared" si="147"/>
        <v>MARINE CARGO / GIT</v>
      </c>
      <c r="BC378" s="1"/>
      <c r="BD378" s="1"/>
      <c r="BE378" s="1"/>
    </row>
    <row r="379" spans="1:57" ht="14.25" hidden="1" customHeight="1">
      <c r="A379" s="2" t="s">
        <v>165</v>
      </c>
      <c r="B379" s="1" t="s">
        <v>58</v>
      </c>
      <c r="C379" s="27">
        <v>45082</v>
      </c>
      <c r="D379" s="27">
        <v>45005</v>
      </c>
      <c r="E379" s="27">
        <v>44992</v>
      </c>
      <c r="F379" s="27">
        <v>45356</v>
      </c>
      <c r="G379" s="13" t="str">
        <f t="shared" si="134"/>
        <v>000-378/AIB RDC/2023</v>
      </c>
      <c r="H379" s="1">
        <v>0</v>
      </c>
      <c r="I379" s="1" t="s">
        <v>83</v>
      </c>
      <c r="J379" s="14" t="s">
        <v>632</v>
      </c>
      <c r="K379" s="1" t="s">
        <v>197</v>
      </c>
      <c r="L379" s="1"/>
      <c r="M379" s="1" t="s">
        <v>95</v>
      </c>
      <c r="N379" s="1" t="s">
        <v>146</v>
      </c>
      <c r="O379" s="1" t="s">
        <v>104</v>
      </c>
      <c r="P379" s="1" t="s">
        <v>105</v>
      </c>
      <c r="Q379" s="1" t="s">
        <v>66</v>
      </c>
      <c r="R379" s="1" t="s">
        <v>66</v>
      </c>
      <c r="S379" s="25">
        <v>0</v>
      </c>
      <c r="T379" s="25">
        <v>92.36</v>
      </c>
      <c r="U379" s="25">
        <v>0</v>
      </c>
      <c r="V379" s="25">
        <v>0</v>
      </c>
      <c r="W379" s="25">
        <v>2.81</v>
      </c>
      <c r="X379" s="25">
        <v>54.28</v>
      </c>
      <c r="Y379" s="25">
        <v>9.1300000000000008</v>
      </c>
      <c r="Z379" s="17" t="e">
        <f t="shared" si="135"/>
        <v>#DIV/0!</v>
      </c>
      <c r="AA379" s="18">
        <v>0.15</v>
      </c>
      <c r="AB379" s="16">
        <f t="shared" ref="AB379:AB442" si="148">AA379*X379</f>
        <v>8.1419999999999995</v>
      </c>
      <c r="AC379" s="16">
        <v>0</v>
      </c>
      <c r="AD379" s="16">
        <v>0</v>
      </c>
      <c r="AE379" s="16">
        <v>0</v>
      </c>
      <c r="AF379" s="16">
        <f t="shared" si="136"/>
        <v>8.1419999999999995</v>
      </c>
      <c r="AG379" s="16">
        <f t="shared" ref="AG379:AG410" si="149">16%*AF379</f>
        <v>1.3027199999999999</v>
      </c>
      <c r="AH379" s="16">
        <f t="shared" si="137"/>
        <v>9.4447200000000002</v>
      </c>
      <c r="AI379" s="16">
        <f t="shared" ref="AI379:AI389" si="150">2%*(AB379+AC379+AD379)</f>
        <v>0.16283999999999998</v>
      </c>
      <c r="AJ379" s="16">
        <v>0</v>
      </c>
      <c r="AK379" s="16">
        <f t="shared" si="138"/>
        <v>0.16283999999999998</v>
      </c>
      <c r="AL379" s="19"/>
      <c r="AM379" s="16">
        <f t="shared" si="139"/>
        <v>7.9791599999999994</v>
      </c>
      <c r="AN379" s="16" t="s">
        <v>147</v>
      </c>
      <c r="AO379" s="20">
        <v>0.4</v>
      </c>
      <c r="AP379" s="16">
        <f t="shared" si="140"/>
        <v>3.1916639999999998</v>
      </c>
      <c r="AQ379" s="16">
        <v>3.1916639999999998</v>
      </c>
      <c r="AR379" s="15">
        <v>45229</v>
      </c>
      <c r="AS379" s="16">
        <f t="shared" si="141"/>
        <v>0</v>
      </c>
      <c r="AT379" s="16"/>
      <c r="AU379" s="16">
        <v>9.4447200000000002</v>
      </c>
      <c r="AV379" s="16">
        <f t="shared" si="146"/>
        <v>9.4447200000000002</v>
      </c>
      <c r="AW379" s="16">
        <f t="shared" si="142"/>
        <v>0</v>
      </c>
      <c r="AX379" s="16" t="str">
        <f t="shared" si="143"/>
        <v>SFA</v>
      </c>
      <c r="AY379" s="22">
        <v>45070</v>
      </c>
      <c r="AZ379" s="22"/>
      <c r="BA379" s="1" t="s">
        <v>148</v>
      </c>
      <c r="BB379" s="22" t="str">
        <f t="shared" si="147"/>
        <v>MARINE CARGO / GIT</v>
      </c>
      <c r="BC379" s="1"/>
      <c r="BD379" s="1"/>
      <c r="BE379" s="1"/>
    </row>
    <row r="380" spans="1:57" ht="14.25" hidden="1" customHeight="1">
      <c r="A380" s="2" t="s">
        <v>165</v>
      </c>
      <c r="B380" s="1" t="s">
        <v>58</v>
      </c>
      <c r="C380" s="27">
        <v>45082</v>
      </c>
      <c r="D380" s="27">
        <v>45005</v>
      </c>
      <c r="E380" s="27">
        <v>44992</v>
      </c>
      <c r="F380" s="27">
        <v>45356</v>
      </c>
      <c r="G380" s="13" t="str">
        <f t="shared" si="134"/>
        <v>000-379/AIB RDC/2023</v>
      </c>
      <c r="H380" s="1">
        <v>0</v>
      </c>
      <c r="I380" s="1" t="s">
        <v>83</v>
      </c>
      <c r="J380" s="14" t="s">
        <v>633</v>
      </c>
      <c r="K380" s="1" t="s">
        <v>197</v>
      </c>
      <c r="L380" s="1"/>
      <c r="M380" s="1" t="s">
        <v>95</v>
      </c>
      <c r="N380" s="1" t="s">
        <v>146</v>
      </c>
      <c r="O380" s="1" t="s">
        <v>104</v>
      </c>
      <c r="P380" s="1" t="s">
        <v>105</v>
      </c>
      <c r="Q380" s="1" t="s">
        <v>66</v>
      </c>
      <c r="R380" s="1" t="s">
        <v>66</v>
      </c>
      <c r="S380" s="25">
        <v>0</v>
      </c>
      <c r="T380" s="25">
        <v>92.36</v>
      </c>
      <c r="U380" s="25">
        <v>0</v>
      </c>
      <c r="V380" s="25">
        <v>0</v>
      </c>
      <c r="W380" s="25">
        <v>2.81</v>
      </c>
      <c r="X380" s="25">
        <v>54.28</v>
      </c>
      <c r="Y380" s="25">
        <v>9.1300000000000008</v>
      </c>
      <c r="Z380" s="17" t="e">
        <f t="shared" si="135"/>
        <v>#DIV/0!</v>
      </c>
      <c r="AA380" s="18">
        <v>0.15</v>
      </c>
      <c r="AB380" s="16">
        <f t="shared" si="148"/>
        <v>8.1419999999999995</v>
      </c>
      <c r="AC380" s="16">
        <v>0</v>
      </c>
      <c r="AD380" s="16">
        <v>0</v>
      </c>
      <c r="AE380" s="16">
        <v>0</v>
      </c>
      <c r="AF380" s="16">
        <f t="shared" si="136"/>
        <v>8.1419999999999995</v>
      </c>
      <c r="AG380" s="16">
        <f t="shared" si="149"/>
        <v>1.3027199999999999</v>
      </c>
      <c r="AH380" s="16">
        <f t="shared" si="137"/>
        <v>9.4447200000000002</v>
      </c>
      <c r="AI380" s="16">
        <f t="shared" si="150"/>
        <v>0.16283999999999998</v>
      </c>
      <c r="AJ380" s="16">
        <v>0</v>
      </c>
      <c r="AK380" s="16">
        <f t="shared" si="138"/>
        <v>0.16283999999999998</v>
      </c>
      <c r="AL380" s="19"/>
      <c r="AM380" s="16">
        <f t="shared" si="139"/>
        <v>7.9791599999999994</v>
      </c>
      <c r="AN380" s="16" t="s">
        <v>147</v>
      </c>
      <c r="AO380" s="20">
        <v>0.4</v>
      </c>
      <c r="AP380" s="16">
        <f t="shared" si="140"/>
        <v>3.1916639999999998</v>
      </c>
      <c r="AQ380" s="16">
        <v>3.1916639999999998</v>
      </c>
      <c r="AR380" s="15">
        <v>45229</v>
      </c>
      <c r="AS380" s="16">
        <f t="shared" si="141"/>
        <v>0</v>
      </c>
      <c r="AT380" s="16"/>
      <c r="AU380" s="16">
        <v>9.4447200000000002</v>
      </c>
      <c r="AV380" s="16">
        <f t="shared" si="146"/>
        <v>9.4447200000000002</v>
      </c>
      <c r="AW380" s="16">
        <f t="shared" si="142"/>
        <v>0</v>
      </c>
      <c r="AX380" s="16" t="str">
        <f t="shared" si="143"/>
        <v>SFA</v>
      </c>
      <c r="AY380" s="22">
        <v>45070</v>
      </c>
      <c r="AZ380" s="22"/>
      <c r="BA380" s="1" t="s">
        <v>148</v>
      </c>
      <c r="BB380" s="22" t="str">
        <f t="shared" si="147"/>
        <v>MARINE CARGO / GIT</v>
      </c>
      <c r="BC380" s="1"/>
      <c r="BD380" s="1"/>
      <c r="BE380" s="1"/>
    </row>
    <row r="381" spans="1:57" ht="14.25" hidden="1" customHeight="1">
      <c r="A381" s="2" t="s">
        <v>165</v>
      </c>
      <c r="B381" s="1" t="s">
        <v>58</v>
      </c>
      <c r="C381" s="27">
        <v>45082</v>
      </c>
      <c r="D381" s="27">
        <v>45005</v>
      </c>
      <c r="E381" s="27">
        <v>44992</v>
      </c>
      <c r="F381" s="27">
        <v>45356</v>
      </c>
      <c r="G381" s="13" t="str">
        <f t="shared" si="134"/>
        <v>000-380/AIB RDC/2023</v>
      </c>
      <c r="H381" s="1">
        <v>0</v>
      </c>
      <c r="I381" s="1" t="s">
        <v>83</v>
      </c>
      <c r="J381" s="14" t="s">
        <v>634</v>
      </c>
      <c r="K381" s="1" t="s">
        <v>197</v>
      </c>
      <c r="L381" s="1"/>
      <c r="M381" s="1" t="s">
        <v>95</v>
      </c>
      <c r="N381" s="1" t="s">
        <v>146</v>
      </c>
      <c r="O381" s="1" t="s">
        <v>104</v>
      </c>
      <c r="P381" s="1" t="s">
        <v>105</v>
      </c>
      <c r="Q381" s="1" t="s">
        <v>66</v>
      </c>
      <c r="R381" s="1" t="s">
        <v>66</v>
      </c>
      <c r="S381" s="25">
        <v>0</v>
      </c>
      <c r="T381" s="25">
        <v>92.36</v>
      </c>
      <c r="U381" s="25">
        <v>0</v>
      </c>
      <c r="V381" s="25">
        <v>0</v>
      </c>
      <c r="W381" s="25">
        <v>2.81</v>
      </c>
      <c r="X381" s="25">
        <v>54.28</v>
      </c>
      <c r="Y381" s="25">
        <v>9.1300000000000008</v>
      </c>
      <c r="Z381" s="17" t="e">
        <f t="shared" si="135"/>
        <v>#DIV/0!</v>
      </c>
      <c r="AA381" s="18">
        <v>0.15</v>
      </c>
      <c r="AB381" s="16">
        <f t="shared" si="148"/>
        <v>8.1419999999999995</v>
      </c>
      <c r="AC381" s="16">
        <v>0</v>
      </c>
      <c r="AD381" s="16">
        <v>0</v>
      </c>
      <c r="AE381" s="16">
        <v>0</v>
      </c>
      <c r="AF381" s="16">
        <f t="shared" si="136"/>
        <v>8.1419999999999995</v>
      </c>
      <c r="AG381" s="16">
        <f t="shared" si="149"/>
        <v>1.3027199999999999</v>
      </c>
      <c r="AH381" s="16">
        <f t="shared" si="137"/>
        <v>9.4447200000000002</v>
      </c>
      <c r="AI381" s="16">
        <f t="shared" si="150"/>
        <v>0.16283999999999998</v>
      </c>
      <c r="AJ381" s="16">
        <v>0</v>
      </c>
      <c r="AK381" s="16">
        <f t="shared" si="138"/>
        <v>0.16283999999999998</v>
      </c>
      <c r="AL381" s="19"/>
      <c r="AM381" s="16">
        <f t="shared" si="139"/>
        <v>7.9791599999999994</v>
      </c>
      <c r="AN381" s="16" t="s">
        <v>147</v>
      </c>
      <c r="AO381" s="20">
        <v>0.4</v>
      </c>
      <c r="AP381" s="16">
        <f t="shared" si="140"/>
        <v>3.1916639999999998</v>
      </c>
      <c r="AQ381" s="16">
        <v>3.1916639999999998</v>
      </c>
      <c r="AR381" s="15">
        <v>45229</v>
      </c>
      <c r="AS381" s="16">
        <f t="shared" si="141"/>
        <v>0</v>
      </c>
      <c r="AT381" s="16"/>
      <c r="AU381" s="16">
        <v>9.4447200000000002</v>
      </c>
      <c r="AV381" s="16">
        <f t="shared" si="146"/>
        <v>9.4447200000000002</v>
      </c>
      <c r="AW381" s="16">
        <f t="shared" si="142"/>
        <v>0</v>
      </c>
      <c r="AX381" s="16" t="str">
        <f t="shared" si="143"/>
        <v>SFA</v>
      </c>
      <c r="AY381" s="22">
        <v>45070</v>
      </c>
      <c r="AZ381" s="22"/>
      <c r="BA381" s="1" t="s">
        <v>148</v>
      </c>
      <c r="BB381" s="22" t="str">
        <f t="shared" si="147"/>
        <v>MARINE CARGO / GIT</v>
      </c>
      <c r="BC381" s="1"/>
      <c r="BD381" s="1"/>
      <c r="BE381" s="1"/>
    </row>
    <row r="382" spans="1:57" ht="13.5" hidden="1" customHeight="1">
      <c r="A382" s="2" t="s">
        <v>165</v>
      </c>
      <c r="B382" s="1" t="s">
        <v>58</v>
      </c>
      <c r="C382" s="27">
        <v>45082</v>
      </c>
      <c r="D382" s="27">
        <v>45005</v>
      </c>
      <c r="E382" s="27">
        <v>44992</v>
      </c>
      <c r="F382" s="27">
        <v>45356</v>
      </c>
      <c r="G382" s="13" t="str">
        <f t="shared" si="134"/>
        <v>000-381/AIB RDC/2023</v>
      </c>
      <c r="H382" s="1">
        <v>0</v>
      </c>
      <c r="I382" s="1" t="s">
        <v>83</v>
      </c>
      <c r="J382" s="14" t="s">
        <v>635</v>
      </c>
      <c r="K382" s="1" t="s">
        <v>197</v>
      </c>
      <c r="L382" s="1"/>
      <c r="M382" s="1" t="s">
        <v>95</v>
      </c>
      <c r="N382" s="1" t="s">
        <v>146</v>
      </c>
      <c r="O382" s="1" t="s">
        <v>104</v>
      </c>
      <c r="P382" s="1" t="s">
        <v>105</v>
      </c>
      <c r="Q382" s="1" t="s">
        <v>66</v>
      </c>
      <c r="R382" s="1" t="s">
        <v>66</v>
      </c>
      <c r="S382" s="25">
        <v>0</v>
      </c>
      <c r="T382" s="25">
        <v>230.51</v>
      </c>
      <c r="U382" s="25">
        <v>0</v>
      </c>
      <c r="V382" s="25">
        <v>0</v>
      </c>
      <c r="W382" s="25">
        <v>4.54</v>
      </c>
      <c r="X382" s="25">
        <v>169.62</v>
      </c>
      <c r="Y382" s="25">
        <v>27.87</v>
      </c>
      <c r="Z382" s="17" t="e">
        <f t="shared" si="135"/>
        <v>#DIV/0!</v>
      </c>
      <c r="AA382" s="18">
        <v>0.15</v>
      </c>
      <c r="AB382" s="16">
        <f t="shared" si="148"/>
        <v>25.443000000000001</v>
      </c>
      <c r="AC382" s="16">
        <v>0</v>
      </c>
      <c r="AD382" s="16">
        <v>0</v>
      </c>
      <c r="AE382" s="16">
        <v>0</v>
      </c>
      <c r="AF382" s="16">
        <f t="shared" si="136"/>
        <v>25.443000000000001</v>
      </c>
      <c r="AG382" s="16">
        <f t="shared" si="149"/>
        <v>4.0708800000000007</v>
      </c>
      <c r="AH382" s="16">
        <f t="shared" si="137"/>
        <v>29.51388</v>
      </c>
      <c r="AI382" s="16">
        <f t="shared" si="150"/>
        <v>0.50886000000000009</v>
      </c>
      <c r="AJ382" s="16">
        <v>0</v>
      </c>
      <c r="AK382" s="16">
        <f t="shared" si="138"/>
        <v>0.50886000000000009</v>
      </c>
      <c r="AL382" s="19"/>
      <c r="AM382" s="16">
        <f t="shared" si="139"/>
        <v>24.934140000000003</v>
      </c>
      <c r="AN382" s="16" t="s">
        <v>147</v>
      </c>
      <c r="AO382" s="20">
        <v>0.4</v>
      </c>
      <c r="AP382" s="16">
        <f t="shared" si="140"/>
        <v>9.9736560000000019</v>
      </c>
      <c r="AQ382" s="16">
        <v>9.9736560000000019</v>
      </c>
      <c r="AR382" s="15">
        <v>45229</v>
      </c>
      <c r="AS382" s="16">
        <f t="shared" si="141"/>
        <v>0</v>
      </c>
      <c r="AT382" s="16"/>
      <c r="AU382" s="16">
        <v>29.51388</v>
      </c>
      <c r="AV382" s="16">
        <f t="shared" si="146"/>
        <v>29.51388</v>
      </c>
      <c r="AW382" s="16">
        <f t="shared" si="142"/>
        <v>0</v>
      </c>
      <c r="AX382" s="16" t="str">
        <f t="shared" si="143"/>
        <v>SFA</v>
      </c>
      <c r="AY382" s="22">
        <v>45070</v>
      </c>
      <c r="AZ382" s="22"/>
      <c r="BA382" s="1" t="s">
        <v>148</v>
      </c>
      <c r="BB382" s="22" t="str">
        <f t="shared" si="147"/>
        <v>MARINE CARGO / GIT</v>
      </c>
      <c r="BC382" s="1"/>
      <c r="BD382" s="1"/>
      <c r="BE382" s="1"/>
    </row>
    <row r="383" spans="1:57" ht="14.25" hidden="1" customHeight="1">
      <c r="A383" s="2" t="s">
        <v>165</v>
      </c>
      <c r="B383" s="1" t="s">
        <v>58</v>
      </c>
      <c r="C383" s="27">
        <v>45082</v>
      </c>
      <c r="D383" s="27">
        <v>45005</v>
      </c>
      <c r="E383" s="27">
        <v>44992</v>
      </c>
      <c r="F383" s="27">
        <v>45356</v>
      </c>
      <c r="G383" s="13" t="str">
        <f t="shared" si="134"/>
        <v>000-382/AIB RDC/2023</v>
      </c>
      <c r="H383" s="1">
        <v>0</v>
      </c>
      <c r="I383" s="1" t="s">
        <v>83</v>
      </c>
      <c r="J383" s="14" t="s">
        <v>636</v>
      </c>
      <c r="K383" s="1" t="s">
        <v>197</v>
      </c>
      <c r="L383" s="1"/>
      <c r="M383" s="1" t="s">
        <v>95</v>
      </c>
      <c r="N383" s="1" t="s">
        <v>146</v>
      </c>
      <c r="O383" s="1" t="s">
        <v>104</v>
      </c>
      <c r="P383" s="1" t="s">
        <v>105</v>
      </c>
      <c r="Q383" s="1" t="s">
        <v>66</v>
      </c>
      <c r="R383" s="1" t="s">
        <v>66</v>
      </c>
      <c r="S383" s="25">
        <v>0</v>
      </c>
      <c r="T383" s="25">
        <v>105.03</v>
      </c>
      <c r="U383" s="25">
        <v>0</v>
      </c>
      <c r="V383" s="25">
        <v>0</v>
      </c>
      <c r="W383" s="25">
        <v>2.97</v>
      </c>
      <c r="X383" s="25">
        <v>64.849999999999994</v>
      </c>
      <c r="Y383" s="25">
        <v>10.85</v>
      </c>
      <c r="Z383" s="17" t="e">
        <f t="shared" si="135"/>
        <v>#DIV/0!</v>
      </c>
      <c r="AA383" s="18">
        <v>0.15</v>
      </c>
      <c r="AB383" s="16">
        <f t="shared" si="148"/>
        <v>9.7274999999999991</v>
      </c>
      <c r="AC383" s="16">
        <v>0</v>
      </c>
      <c r="AD383" s="16">
        <v>0</v>
      </c>
      <c r="AE383" s="16">
        <v>0</v>
      </c>
      <c r="AF383" s="16">
        <f t="shared" si="136"/>
        <v>9.7274999999999991</v>
      </c>
      <c r="AG383" s="16">
        <f t="shared" si="149"/>
        <v>1.5564</v>
      </c>
      <c r="AH383" s="16">
        <f t="shared" si="137"/>
        <v>11.283899999999999</v>
      </c>
      <c r="AI383" s="16">
        <f t="shared" si="150"/>
        <v>0.19455</v>
      </c>
      <c r="AJ383" s="16">
        <v>0</v>
      </c>
      <c r="AK383" s="16">
        <f t="shared" si="138"/>
        <v>0.19455</v>
      </c>
      <c r="AL383" s="19"/>
      <c r="AM383" s="16">
        <f t="shared" si="139"/>
        <v>9.5329499999999996</v>
      </c>
      <c r="AN383" s="16" t="s">
        <v>147</v>
      </c>
      <c r="AO383" s="20">
        <v>0.4</v>
      </c>
      <c r="AP383" s="16">
        <f t="shared" si="140"/>
        <v>3.81318</v>
      </c>
      <c r="AQ383" s="16">
        <v>3.81318</v>
      </c>
      <c r="AR383" s="15">
        <v>45229</v>
      </c>
      <c r="AS383" s="16">
        <f t="shared" si="141"/>
        <v>0</v>
      </c>
      <c r="AT383" s="16"/>
      <c r="AU383" s="16">
        <v>11.283899999999999</v>
      </c>
      <c r="AV383" s="16">
        <f t="shared" si="146"/>
        <v>11.283899999999999</v>
      </c>
      <c r="AW383" s="16">
        <f t="shared" si="142"/>
        <v>0</v>
      </c>
      <c r="AX383" s="16" t="str">
        <f t="shared" si="143"/>
        <v>SFA</v>
      </c>
      <c r="AY383" s="22">
        <v>45070</v>
      </c>
      <c r="AZ383" s="22"/>
      <c r="BA383" s="1" t="s">
        <v>148</v>
      </c>
      <c r="BB383" s="22" t="str">
        <f t="shared" si="147"/>
        <v>MARINE CARGO / GIT</v>
      </c>
      <c r="BC383" s="1"/>
      <c r="BD383" s="1"/>
      <c r="BE383" s="1"/>
    </row>
    <row r="384" spans="1:57" ht="14.25" hidden="1" customHeight="1">
      <c r="A384" s="2" t="s">
        <v>406</v>
      </c>
      <c r="B384" s="1" t="s">
        <v>58</v>
      </c>
      <c r="C384" s="27">
        <v>45083</v>
      </c>
      <c r="D384" s="27">
        <v>45035</v>
      </c>
      <c r="E384" s="27">
        <v>45036</v>
      </c>
      <c r="F384" s="27">
        <v>45063</v>
      </c>
      <c r="G384" s="13" t="str">
        <f t="shared" si="134"/>
        <v>000-383/AIB RDC/2023</v>
      </c>
      <c r="H384" s="1">
        <v>1</v>
      </c>
      <c r="I384" s="1" t="s">
        <v>59</v>
      </c>
      <c r="J384" s="29" t="s">
        <v>637</v>
      </c>
      <c r="K384" s="2" t="s">
        <v>638</v>
      </c>
      <c r="L384" s="1"/>
      <c r="M384" s="1" t="s">
        <v>95</v>
      </c>
      <c r="N384" s="1" t="s">
        <v>434</v>
      </c>
      <c r="O384" s="1" t="s">
        <v>250</v>
      </c>
      <c r="P384" s="1" t="s">
        <v>251</v>
      </c>
      <c r="Q384" s="1" t="s">
        <v>66</v>
      </c>
      <c r="R384" s="1" t="s">
        <v>66</v>
      </c>
      <c r="S384" s="25">
        <v>0</v>
      </c>
      <c r="T384" s="25">
        <v>11861.95</v>
      </c>
      <c r="U384" s="25">
        <v>1500</v>
      </c>
      <c r="V384" s="25">
        <v>0</v>
      </c>
      <c r="W384" s="25">
        <v>52.5</v>
      </c>
      <c r="X384" s="25">
        <v>8500</v>
      </c>
      <c r="Y384" s="25">
        <v>1608.4</v>
      </c>
      <c r="Z384" s="17" t="e">
        <f t="shared" si="135"/>
        <v>#DIV/0!</v>
      </c>
      <c r="AA384" s="18">
        <v>0</v>
      </c>
      <c r="AB384" s="16">
        <f t="shared" si="148"/>
        <v>0</v>
      </c>
      <c r="AC384" s="16">
        <f>30%*U384</f>
        <v>450</v>
      </c>
      <c r="AD384" s="16">
        <v>732.76</v>
      </c>
      <c r="AE384" s="16">
        <v>0</v>
      </c>
      <c r="AF384" s="16">
        <f t="shared" si="136"/>
        <v>1182.76</v>
      </c>
      <c r="AG384" s="16">
        <f t="shared" si="149"/>
        <v>189.24160000000001</v>
      </c>
      <c r="AH384" s="16">
        <f t="shared" si="137"/>
        <v>1372.0016000000001</v>
      </c>
      <c r="AI384" s="16">
        <f t="shared" si="150"/>
        <v>23.655200000000001</v>
      </c>
      <c r="AJ384" s="16">
        <v>0</v>
      </c>
      <c r="AK384" s="16">
        <f t="shared" si="138"/>
        <v>23.655200000000001</v>
      </c>
      <c r="AL384" s="19"/>
      <c r="AM384" s="16">
        <f t="shared" si="139"/>
        <v>1159.1048000000001</v>
      </c>
      <c r="AN384" s="16"/>
      <c r="AO384" s="20"/>
      <c r="AP384" s="16">
        <f t="shared" si="140"/>
        <v>0</v>
      </c>
      <c r="AQ384" s="16"/>
      <c r="AR384" s="15"/>
      <c r="AS384" s="16">
        <f t="shared" si="141"/>
        <v>0</v>
      </c>
      <c r="AT384" s="16"/>
      <c r="AU384" s="16">
        <f>522+850.0016</f>
        <v>1372.0016000000001</v>
      </c>
      <c r="AV384" s="16">
        <f t="shared" si="146"/>
        <v>1372.0016000000001</v>
      </c>
      <c r="AW384" s="16">
        <f t="shared" si="142"/>
        <v>0</v>
      </c>
      <c r="AX384" s="16" t="str">
        <f t="shared" si="143"/>
        <v>SFA</v>
      </c>
      <c r="AY384" s="22">
        <v>45076</v>
      </c>
      <c r="AZ384" s="22"/>
      <c r="BA384" s="1" t="s">
        <v>148</v>
      </c>
      <c r="BB384" s="22" t="str">
        <f t="shared" si="147"/>
        <v>AVIATION HULL ALL RISK</v>
      </c>
      <c r="BC384" s="1"/>
      <c r="BD384" s="1"/>
      <c r="BE384" s="1"/>
    </row>
    <row r="385" spans="1:57" ht="14.25" customHeight="1">
      <c r="A385" s="2" t="s">
        <v>406</v>
      </c>
      <c r="B385" s="1" t="s">
        <v>58</v>
      </c>
      <c r="C385" s="27">
        <v>45045</v>
      </c>
      <c r="D385" s="27">
        <v>45044</v>
      </c>
      <c r="E385" s="27">
        <v>45044</v>
      </c>
      <c r="F385" s="27">
        <v>45404</v>
      </c>
      <c r="G385" s="13" t="str">
        <f t="shared" si="134"/>
        <v>000-384/AIB RDC/2023</v>
      </c>
      <c r="H385" s="1">
        <v>1</v>
      </c>
      <c r="I385" s="1" t="s">
        <v>443</v>
      </c>
      <c r="J385" s="1" t="s">
        <v>459</v>
      </c>
      <c r="K385" s="1" t="s">
        <v>419</v>
      </c>
      <c r="L385" s="1" t="s">
        <v>62</v>
      </c>
      <c r="M385" s="1" t="s">
        <v>63</v>
      </c>
      <c r="N385" s="1" t="s">
        <v>71</v>
      </c>
      <c r="O385" s="1" t="s">
        <v>65</v>
      </c>
      <c r="P385" s="1" t="s">
        <v>65</v>
      </c>
      <c r="Q385" s="1" t="s">
        <v>66</v>
      </c>
      <c r="R385" s="1" t="s">
        <v>66</v>
      </c>
      <c r="S385" s="25">
        <v>0</v>
      </c>
      <c r="T385" s="40">
        <v>-8022.56</v>
      </c>
      <c r="U385" s="25">
        <v>0</v>
      </c>
      <c r="V385" s="25">
        <v>0</v>
      </c>
      <c r="W385" s="40"/>
      <c r="X385" s="40">
        <v>-6916</v>
      </c>
      <c r="Y385" s="40">
        <v>-1106.56</v>
      </c>
      <c r="Z385" s="17" t="e">
        <f t="shared" si="135"/>
        <v>#DIV/0!</v>
      </c>
      <c r="AA385" s="41">
        <v>0.1</v>
      </c>
      <c r="AB385" s="16">
        <f t="shared" si="148"/>
        <v>-691.6</v>
      </c>
      <c r="AC385" s="16">
        <v>0</v>
      </c>
      <c r="AD385" s="16">
        <v>0</v>
      </c>
      <c r="AE385" s="16">
        <v>0</v>
      </c>
      <c r="AF385" s="16">
        <f t="shared" si="136"/>
        <v>-691.6</v>
      </c>
      <c r="AG385" s="16">
        <f t="shared" si="149"/>
        <v>-110.65600000000001</v>
      </c>
      <c r="AH385" s="16">
        <f t="shared" si="137"/>
        <v>-802.25600000000009</v>
      </c>
      <c r="AI385" s="16">
        <f t="shared" si="150"/>
        <v>-13.832000000000001</v>
      </c>
      <c r="AJ385" s="16"/>
      <c r="AK385" s="16">
        <f t="shared" si="138"/>
        <v>-13.832000000000001</v>
      </c>
      <c r="AL385" s="19"/>
      <c r="AM385" s="16">
        <f t="shared" si="139"/>
        <v>-677.76800000000003</v>
      </c>
      <c r="AN385" s="40" t="s">
        <v>319</v>
      </c>
      <c r="AO385" s="20"/>
      <c r="AP385" s="16">
        <f t="shared" si="140"/>
        <v>0</v>
      </c>
      <c r="AQ385" s="16"/>
      <c r="AR385" s="15"/>
      <c r="AS385" s="16">
        <f t="shared" si="141"/>
        <v>0</v>
      </c>
      <c r="AT385" s="16"/>
      <c r="AU385" s="16"/>
      <c r="AV385" s="16">
        <f t="shared" si="146"/>
        <v>-802.25600000000009</v>
      </c>
      <c r="AW385" s="60">
        <f t="shared" si="142"/>
        <v>-802.25600000000009</v>
      </c>
      <c r="AX385" s="16" t="str">
        <f t="shared" si="143"/>
        <v>SFA</v>
      </c>
      <c r="AY385" s="22"/>
      <c r="AZ385" s="22"/>
      <c r="BA385" s="1"/>
      <c r="BB385" s="22" t="str">
        <f t="shared" si="147"/>
        <v>MOTOR TPL</v>
      </c>
      <c r="BC385" s="1"/>
      <c r="BD385" s="1"/>
      <c r="BE385" s="1"/>
    </row>
    <row r="386" spans="1:57" ht="14.25" customHeight="1">
      <c r="A386" s="2" t="s">
        <v>212</v>
      </c>
      <c r="B386" s="1" t="s">
        <v>58</v>
      </c>
      <c r="C386" s="27">
        <v>45100</v>
      </c>
      <c r="D386" s="27">
        <v>45079</v>
      </c>
      <c r="E386" s="27">
        <v>45079</v>
      </c>
      <c r="F386" s="27">
        <v>45404</v>
      </c>
      <c r="G386" s="13" t="str">
        <f t="shared" si="134"/>
        <v>000-385/AIB RDC/2023</v>
      </c>
      <c r="H386" s="1">
        <v>5</v>
      </c>
      <c r="I386" s="1" t="s">
        <v>59</v>
      </c>
      <c r="J386" s="2" t="s">
        <v>459</v>
      </c>
      <c r="K386" s="2" t="s">
        <v>419</v>
      </c>
      <c r="L386" s="1" t="s">
        <v>62</v>
      </c>
      <c r="M386" s="1" t="s">
        <v>63</v>
      </c>
      <c r="N386" s="1" t="s">
        <v>71</v>
      </c>
      <c r="O386" s="1" t="s">
        <v>65</v>
      </c>
      <c r="P386" s="1" t="s">
        <v>65</v>
      </c>
      <c r="Q386" s="1" t="s">
        <v>66</v>
      </c>
      <c r="R386" s="1" t="s">
        <v>66</v>
      </c>
      <c r="S386" s="25">
        <v>0</v>
      </c>
      <c r="T386" s="25">
        <v>2336.14</v>
      </c>
      <c r="U386" s="25">
        <v>0</v>
      </c>
      <c r="V386" s="25">
        <v>0</v>
      </c>
      <c r="W386" s="25">
        <v>78.28</v>
      </c>
      <c r="X386" s="25">
        <v>1935.64</v>
      </c>
      <c r="Y386" s="25">
        <v>322.22000000000003</v>
      </c>
      <c r="Z386" s="17" t="e">
        <f t="shared" si="135"/>
        <v>#DIV/0!</v>
      </c>
      <c r="AA386" s="18">
        <v>0.1</v>
      </c>
      <c r="AB386" s="16">
        <f t="shared" si="148"/>
        <v>193.56400000000002</v>
      </c>
      <c r="AC386" s="16">
        <v>0</v>
      </c>
      <c r="AD386" s="16">
        <v>0</v>
      </c>
      <c r="AE386" s="16">
        <v>0</v>
      </c>
      <c r="AF386" s="16">
        <f t="shared" si="136"/>
        <v>193.56400000000002</v>
      </c>
      <c r="AG386" s="16">
        <f t="shared" si="149"/>
        <v>30.970240000000004</v>
      </c>
      <c r="AH386" s="16">
        <f t="shared" si="137"/>
        <v>224.53424000000001</v>
      </c>
      <c r="AI386" s="16">
        <f t="shared" si="150"/>
        <v>3.8712800000000005</v>
      </c>
      <c r="AJ386" s="16">
        <v>0</v>
      </c>
      <c r="AK386" s="16">
        <f t="shared" si="138"/>
        <v>3.8712800000000005</v>
      </c>
      <c r="AL386" s="19"/>
      <c r="AM386" s="16">
        <f t="shared" si="139"/>
        <v>189.69272000000001</v>
      </c>
      <c r="AN386" s="16"/>
      <c r="AO386" s="20"/>
      <c r="AP386" s="16">
        <f t="shared" si="140"/>
        <v>0</v>
      </c>
      <c r="AQ386" s="16"/>
      <c r="AR386" s="15"/>
      <c r="AS386" s="16">
        <f t="shared" si="141"/>
        <v>0</v>
      </c>
      <c r="AT386" s="16"/>
      <c r="AU386" s="16"/>
      <c r="AV386" s="16">
        <f t="shared" si="146"/>
        <v>224.53424000000001</v>
      </c>
      <c r="AW386" s="60">
        <f t="shared" si="142"/>
        <v>224.53424000000001</v>
      </c>
      <c r="AX386" s="16" t="str">
        <f t="shared" si="143"/>
        <v>SFA</v>
      </c>
      <c r="AY386" s="22"/>
      <c r="AZ386" s="22"/>
      <c r="BA386" s="1"/>
      <c r="BB386" s="22"/>
      <c r="BC386" s="1"/>
      <c r="BD386" s="1"/>
      <c r="BE386" s="1"/>
    </row>
    <row r="387" spans="1:57" ht="14.25" hidden="1" customHeight="1">
      <c r="A387" s="2" t="s">
        <v>230</v>
      </c>
      <c r="B387" s="1" t="s">
        <v>58</v>
      </c>
      <c r="C387" s="27">
        <v>45051</v>
      </c>
      <c r="D387" s="27">
        <v>45071</v>
      </c>
      <c r="E387" s="27">
        <v>45047</v>
      </c>
      <c r="F387" s="27">
        <v>45412</v>
      </c>
      <c r="G387" s="13" t="str">
        <f t="shared" si="134"/>
        <v>000-386/AIB RDC/2023</v>
      </c>
      <c r="H387" s="1">
        <v>0</v>
      </c>
      <c r="I387" s="1" t="s">
        <v>83</v>
      </c>
      <c r="J387" s="2" t="s">
        <v>641</v>
      </c>
      <c r="K387" s="2" t="s">
        <v>501</v>
      </c>
      <c r="L387" s="1" t="s">
        <v>123</v>
      </c>
      <c r="M387" s="1" t="s">
        <v>74</v>
      </c>
      <c r="N387" s="1" t="s">
        <v>75</v>
      </c>
      <c r="O387" s="1" t="s">
        <v>80</v>
      </c>
      <c r="P387" s="1" t="s">
        <v>81</v>
      </c>
      <c r="Q387" s="1" t="s">
        <v>66</v>
      </c>
      <c r="R387" s="1" t="s">
        <v>66</v>
      </c>
      <c r="S387" s="25">
        <v>0</v>
      </c>
      <c r="T387" s="25">
        <v>11604</v>
      </c>
      <c r="U387" s="25">
        <v>0</v>
      </c>
      <c r="V387" s="25">
        <v>0</v>
      </c>
      <c r="W387" s="25">
        <v>227.53</v>
      </c>
      <c r="X387" s="25">
        <v>11376.47</v>
      </c>
      <c r="Y387" s="25">
        <v>0</v>
      </c>
      <c r="Z387" s="17" t="e">
        <f t="shared" si="135"/>
        <v>#DIV/0!</v>
      </c>
      <c r="AA387" s="18">
        <v>0.1</v>
      </c>
      <c r="AB387" s="16">
        <f t="shared" si="148"/>
        <v>1137.6469999999999</v>
      </c>
      <c r="AC387" s="16">
        <v>0</v>
      </c>
      <c r="AD387" s="16">
        <v>0</v>
      </c>
      <c r="AE387" s="16">
        <v>0</v>
      </c>
      <c r="AF387" s="16">
        <f t="shared" si="136"/>
        <v>1137.6469999999999</v>
      </c>
      <c r="AG387" s="16">
        <f t="shared" si="149"/>
        <v>182.02351999999999</v>
      </c>
      <c r="AH387" s="16">
        <f t="shared" si="137"/>
        <v>1319.6705199999999</v>
      </c>
      <c r="AI387" s="16">
        <f t="shared" si="150"/>
        <v>22.752939999999999</v>
      </c>
      <c r="AJ387" s="16"/>
      <c r="AK387" s="16">
        <f t="shared" si="138"/>
        <v>22.752939999999999</v>
      </c>
      <c r="AL387" s="19"/>
      <c r="AM387" s="16">
        <f t="shared" si="139"/>
        <v>1114.8940599999999</v>
      </c>
      <c r="AN387" s="16"/>
      <c r="AO387" s="20"/>
      <c r="AP387" s="16">
        <f t="shared" si="140"/>
        <v>0</v>
      </c>
      <c r="AQ387" s="16"/>
      <c r="AR387" s="15"/>
      <c r="AS387" s="16">
        <f t="shared" si="141"/>
        <v>0</v>
      </c>
      <c r="AT387" s="16"/>
      <c r="AU387" s="16">
        <f>659.83+659.84</f>
        <v>1319.67</v>
      </c>
      <c r="AV387" s="16">
        <v>1319.67</v>
      </c>
      <c r="AW387" s="16">
        <f t="shared" si="142"/>
        <v>0</v>
      </c>
      <c r="AX387" s="16" t="str">
        <f t="shared" si="143"/>
        <v>SFA</v>
      </c>
      <c r="AY387" s="22">
        <v>45104</v>
      </c>
      <c r="AZ387" s="22"/>
      <c r="BA387" s="1"/>
      <c r="BB387" s="22" t="str">
        <f t="shared" ref="BB387:BB396" si="151">O387</f>
        <v>MEDICAL</v>
      </c>
      <c r="BC387" s="1"/>
      <c r="BD387" s="1"/>
      <c r="BE387" s="2"/>
    </row>
    <row r="388" spans="1:57" ht="14.25" hidden="1" customHeight="1">
      <c r="A388" s="2" t="s">
        <v>230</v>
      </c>
      <c r="B388" s="1" t="s">
        <v>58</v>
      </c>
      <c r="C388" s="27">
        <v>45061</v>
      </c>
      <c r="D388" s="27">
        <v>45047</v>
      </c>
      <c r="E388" s="27">
        <v>45047</v>
      </c>
      <c r="F388" s="27">
        <v>45412</v>
      </c>
      <c r="G388" s="13" t="str">
        <f t="shared" si="134"/>
        <v>000-387/AIB RDC/2023</v>
      </c>
      <c r="H388" s="1">
        <v>0</v>
      </c>
      <c r="I388" s="1" t="s">
        <v>83</v>
      </c>
      <c r="J388" s="2">
        <v>10200005</v>
      </c>
      <c r="K388" s="1" t="s">
        <v>480</v>
      </c>
      <c r="L388" s="1"/>
      <c r="M388" s="1" t="s">
        <v>74</v>
      </c>
      <c r="N388" s="1" t="s">
        <v>75</v>
      </c>
      <c r="O388" s="1" t="s">
        <v>80</v>
      </c>
      <c r="P388" s="1" t="s">
        <v>81</v>
      </c>
      <c r="Q388" s="1" t="s">
        <v>135</v>
      </c>
      <c r="R388" s="1" t="s">
        <v>135</v>
      </c>
      <c r="S388" s="25">
        <v>0</v>
      </c>
      <c r="T388" s="25">
        <v>365395.95</v>
      </c>
      <c r="U388" s="25">
        <v>0</v>
      </c>
      <c r="V388" s="25">
        <v>0</v>
      </c>
      <c r="W388" s="25"/>
      <c r="X388" s="25">
        <v>358231.32</v>
      </c>
      <c r="Y388" s="25">
        <v>0</v>
      </c>
      <c r="Z388" s="17" t="e">
        <f t="shared" si="135"/>
        <v>#DIV/0!</v>
      </c>
      <c r="AA388" s="18">
        <v>0.1</v>
      </c>
      <c r="AB388" s="16">
        <f t="shared" si="148"/>
        <v>35823.132000000005</v>
      </c>
      <c r="AC388" s="16">
        <v>0</v>
      </c>
      <c r="AD388" s="16">
        <v>0</v>
      </c>
      <c r="AE388" s="16">
        <v>0</v>
      </c>
      <c r="AF388" s="16">
        <f t="shared" si="136"/>
        <v>35823.132000000005</v>
      </c>
      <c r="AG388" s="16">
        <v>0</v>
      </c>
      <c r="AH388" s="16">
        <f t="shared" si="137"/>
        <v>35823.132000000005</v>
      </c>
      <c r="AI388" s="16">
        <f t="shared" si="150"/>
        <v>716.46264000000008</v>
      </c>
      <c r="AJ388" s="16">
        <v>0</v>
      </c>
      <c r="AK388" s="16">
        <f t="shared" si="138"/>
        <v>716.46264000000008</v>
      </c>
      <c r="AL388" s="19"/>
      <c r="AM388" s="16">
        <f t="shared" si="139"/>
        <v>35106.669360000007</v>
      </c>
      <c r="AN388" s="40" t="s">
        <v>481</v>
      </c>
      <c r="AO388" s="20"/>
      <c r="AP388" s="16">
        <f t="shared" si="140"/>
        <v>0</v>
      </c>
      <c r="AQ388" s="16"/>
      <c r="AR388" s="15"/>
      <c r="AS388" s="16">
        <f t="shared" si="141"/>
        <v>0</v>
      </c>
      <c r="AT388" s="16"/>
      <c r="AU388" s="16">
        <f>16000+1911.57+17911.562</f>
        <v>35823.131999999998</v>
      </c>
      <c r="AV388" s="16">
        <v>35823.131999999998</v>
      </c>
      <c r="AW388" s="16">
        <f t="shared" si="142"/>
        <v>0</v>
      </c>
      <c r="AX388" s="16" t="str">
        <f t="shared" si="143"/>
        <v>RAWSUR</v>
      </c>
      <c r="AY388" s="22">
        <v>45131</v>
      </c>
      <c r="AZ388" s="22"/>
      <c r="BA388" s="1"/>
      <c r="BB388" s="22" t="str">
        <f t="shared" si="151"/>
        <v>MEDICAL</v>
      </c>
      <c r="BC388" s="1"/>
      <c r="BD388" s="1"/>
      <c r="BE388" s="1"/>
    </row>
    <row r="389" spans="1:57" ht="14.25" hidden="1" customHeight="1">
      <c r="A389" s="2" t="s">
        <v>230</v>
      </c>
      <c r="B389" s="1" t="s">
        <v>58</v>
      </c>
      <c r="C389" s="27">
        <v>45071</v>
      </c>
      <c r="D389" s="27">
        <v>45077</v>
      </c>
      <c r="E389" s="27">
        <v>45075</v>
      </c>
      <c r="F389" s="27">
        <v>45440</v>
      </c>
      <c r="G389" s="13" t="str">
        <f t="shared" si="134"/>
        <v>000-388/AIB RDC/2023</v>
      </c>
      <c r="H389" s="1">
        <v>0</v>
      </c>
      <c r="I389" s="1" t="s">
        <v>83</v>
      </c>
      <c r="J389" s="2" t="s">
        <v>642</v>
      </c>
      <c r="K389" s="2" t="s">
        <v>257</v>
      </c>
      <c r="L389" s="1"/>
      <c r="M389" s="1" t="s">
        <v>74</v>
      </c>
      <c r="N389" s="1" t="s">
        <v>75</v>
      </c>
      <c r="O389" s="1" t="s">
        <v>133</v>
      </c>
      <c r="P389" s="1" t="s">
        <v>134</v>
      </c>
      <c r="Q389" s="1" t="s">
        <v>117</v>
      </c>
      <c r="R389" s="1" t="s">
        <v>117</v>
      </c>
      <c r="S389" s="25">
        <v>0</v>
      </c>
      <c r="T389" s="25">
        <v>21432.21</v>
      </c>
      <c r="U389" s="16">
        <v>0</v>
      </c>
      <c r="V389" s="16">
        <v>0</v>
      </c>
      <c r="W389" s="25">
        <v>1679.64</v>
      </c>
      <c r="X389" s="25">
        <v>16796.400000000001</v>
      </c>
      <c r="Y389" s="25">
        <v>2956.15</v>
      </c>
      <c r="Z389" s="17" t="e">
        <f t="shared" si="135"/>
        <v>#DIV/0!</v>
      </c>
      <c r="AA389" s="18">
        <v>0.15</v>
      </c>
      <c r="AB389" s="16">
        <f t="shared" si="148"/>
        <v>2519.46</v>
      </c>
      <c r="AC389" s="16">
        <v>0</v>
      </c>
      <c r="AD389" s="16">
        <v>0</v>
      </c>
      <c r="AE389" s="16">
        <v>0</v>
      </c>
      <c r="AF389" s="16">
        <f t="shared" si="136"/>
        <v>2519.46</v>
      </c>
      <c r="AG389" s="16">
        <f>16%*AF389</f>
        <v>403.11360000000002</v>
      </c>
      <c r="AH389" s="16">
        <f t="shared" si="137"/>
        <v>2922.5736000000002</v>
      </c>
      <c r="AI389" s="16">
        <f t="shared" si="150"/>
        <v>50.389200000000002</v>
      </c>
      <c r="AJ389" s="16">
        <v>0</v>
      </c>
      <c r="AK389" s="16">
        <f t="shared" si="138"/>
        <v>50.389200000000002</v>
      </c>
      <c r="AL389" s="19"/>
      <c r="AM389" s="16">
        <f t="shared" si="139"/>
        <v>2469.0708</v>
      </c>
      <c r="AN389" s="16"/>
      <c r="AO389" s="20"/>
      <c r="AP389" s="16">
        <f t="shared" si="140"/>
        <v>0</v>
      </c>
      <c r="AQ389" s="16"/>
      <c r="AR389" s="15"/>
      <c r="AS389" s="16">
        <f t="shared" si="141"/>
        <v>0</v>
      </c>
      <c r="AT389" s="16"/>
      <c r="AU389" s="16">
        <v>2922.5736000000002</v>
      </c>
      <c r="AV389" s="16">
        <f t="shared" ref="AV389:AV420" si="152">AH389</f>
        <v>2922.5736000000002</v>
      </c>
      <c r="AW389" s="16">
        <f t="shared" si="142"/>
        <v>0</v>
      </c>
      <c r="AX389" s="16" t="str">
        <f t="shared" si="143"/>
        <v>SUNU</v>
      </c>
      <c r="AY389" s="22">
        <v>45117</v>
      </c>
      <c r="AZ389" s="22"/>
      <c r="BA389" s="1"/>
      <c r="BB389" s="22" t="str">
        <f t="shared" si="151"/>
        <v>COMP MOTOR</v>
      </c>
      <c r="BC389" s="1"/>
      <c r="BD389" s="1"/>
      <c r="BE389" s="2"/>
    </row>
    <row r="390" spans="1:57" ht="14.25" hidden="1" customHeight="1">
      <c r="A390" s="2" t="s">
        <v>57</v>
      </c>
      <c r="B390" s="1" t="s">
        <v>58</v>
      </c>
      <c r="C390" s="27">
        <v>44931</v>
      </c>
      <c r="D390" s="27"/>
      <c r="E390" s="27">
        <v>44927</v>
      </c>
      <c r="F390" s="27">
        <v>45291</v>
      </c>
      <c r="G390" s="13" t="str">
        <f t="shared" ref="G390:G453" si="153">TEXT(ROW(G390)-1,"000-000") &amp; "/AIB RDC/2023"</f>
        <v>000-389/AIB RDC/2023</v>
      </c>
      <c r="H390" s="1">
        <v>4</v>
      </c>
      <c r="I390" s="1" t="s">
        <v>59</v>
      </c>
      <c r="J390" s="1" t="s">
        <v>87</v>
      </c>
      <c r="K390" s="2" t="s">
        <v>88</v>
      </c>
      <c r="L390" s="1"/>
      <c r="M390" s="1" t="s">
        <v>74</v>
      </c>
      <c r="N390" s="1" t="s">
        <v>75</v>
      </c>
      <c r="O390" s="1" t="s">
        <v>89</v>
      </c>
      <c r="P390" s="1" t="s">
        <v>89</v>
      </c>
      <c r="Q390" s="1" t="s">
        <v>90</v>
      </c>
      <c r="R390" s="1" t="s">
        <v>90</v>
      </c>
      <c r="S390" s="16">
        <v>0</v>
      </c>
      <c r="T390" s="25">
        <v>210</v>
      </c>
      <c r="U390" s="16">
        <v>0</v>
      </c>
      <c r="V390" s="16">
        <v>0</v>
      </c>
      <c r="W390" s="25">
        <v>1</v>
      </c>
      <c r="X390" s="25">
        <v>206.92</v>
      </c>
      <c r="Y390" s="16">
        <v>0</v>
      </c>
      <c r="Z390" s="17" t="e">
        <f t="shared" ref="Z390:Z453" si="154">X390/S390</f>
        <v>#DIV/0!</v>
      </c>
      <c r="AA390" s="18">
        <v>0.1</v>
      </c>
      <c r="AB390" s="16">
        <f t="shared" si="148"/>
        <v>20.692</v>
      </c>
      <c r="AC390" s="16">
        <v>0</v>
      </c>
      <c r="AD390" s="16">
        <v>0</v>
      </c>
      <c r="AE390" s="16">
        <v>0</v>
      </c>
      <c r="AF390" s="16">
        <f t="shared" ref="AF390:AF453" si="155">SUM(AB390:AE390)</f>
        <v>20.692</v>
      </c>
      <c r="AG390" s="16">
        <v>0</v>
      </c>
      <c r="AH390" s="16">
        <f t="shared" ref="AH390:AH453" si="156">AF390+AG390</f>
        <v>20.692</v>
      </c>
      <c r="AI390" s="16">
        <f t="shared" ref="AI390:AI396" si="157">1%*(AB390+AC390+AD390)</f>
        <v>0.20691999999999999</v>
      </c>
      <c r="AJ390" s="16">
        <v>0</v>
      </c>
      <c r="AK390" s="16">
        <f t="shared" ref="AK390:AK453" si="158">AI390-AJ390</f>
        <v>0.20691999999999999</v>
      </c>
      <c r="AL390" s="19"/>
      <c r="AM390" s="16">
        <f t="shared" ref="AM390:AM453" si="159">AF390-AI390</f>
        <v>20.48508</v>
      </c>
      <c r="AN390" s="16" t="s">
        <v>91</v>
      </c>
      <c r="AO390" s="20">
        <v>0.7</v>
      </c>
      <c r="AP390" s="16">
        <f t="shared" ref="AP390:AP453" si="160">AO390*AM390</f>
        <v>14.339555999999998</v>
      </c>
      <c r="AQ390" s="16"/>
      <c r="AR390" s="15"/>
      <c r="AS390" s="16">
        <f t="shared" ref="AS390:AS453" si="161">AP390-AQ390</f>
        <v>14.339555999999998</v>
      </c>
      <c r="AT390" s="16"/>
      <c r="AU390" s="16">
        <v>20.692</v>
      </c>
      <c r="AV390" s="16">
        <f t="shared" si="152"/>
        <v>20.692</v>
      </c>
      <c r="AW390" s="16">
        <f t="shared" ref="AW390:AW453" si="162">AV390-AU390</f>
        <v>0</v>
      </c>
      <c r="AX390" s="16" t="str">
        <f t="shared" si="143"/>
        <v>RAWSUR - LIFE</v>
      </c>
      <c r="AY390" s="22">
        <v>45124</v>
      </c>
      <c r="AZ390" s="22"/>
      <c r="BA390" s="1"/>
      <c r="BB390" s="22" t="str">
        <f t="shared" si="151"/>
        <v>LIFE</v>
      </c>
      <c r="BC390" s="1"/>
      <c r="BD390" s="1"/>
      <c r="BE390" s="2"/>
    </row>
    <row r="391" spans="1:57" ht="14.25" hidden="1" customHeight="1">
      <c r="A391" s="2" t="s">
        <v>57</v>
      </c>
      <c r="B391" s="1" t="s">
        <v>58</v>
      </c>
      <c r="C391" s="27">
        <v>44945</v>
      </c>
      <c r="D391" s="27"/>
      <c r="E391" s="27">
        <v>44927</v>
      </c>
      <c r="F391" s="27">
        <v>45291</v>
      </c>
      <c r="G391" s="13" t="str">
        <f t="shared" si="153"/>
        <v>000-390/AIB RDC/2023</v>
      </c>
      <c r="H391" s="1">
        <v>5</v>
      </c>
      <c r="I391" s="1" t="s">
        <v>59</v>
      </c>
      <c r="J391" s="1" t="s">
        <v>87</v>
      </c>
      <c r="K391" s="2" t="s">
        <v>88</v>
      </c>
      <c r="L391" s="1"/>
      <c r="M391" s="1" t="s">
        <v>74</v>
      </c>
      <c r="N391" s="1" t="s">
        <v>75</v>
      </c>
      <c r="O391" s="1" t="s">
        <v>89</v>
      </c>
      <c r="P391" s="1" t="s">
        <v>89</v>
      </c>
      <c r="Q391" s="1" t="s">
        <v>90</v>
      </c>
      <c r="R391" s="1" t="s">
        <v>90</v>
      </c>
      <c r="S391" s="16">
        <v>0</v>
      </c>
      <c r="T391" s="25">
        <v>180</v>
      </c>
      <c r="U391" s="16">
        <v>0</v>
      </c>
      <c r="V391" s="16">
        <v>0</v>
      </c>
      <c r="W391" s="25">
        <v>1</v>
      </c>
      <c r="X391" s="25">
        <v>177.22</v>
      </c>
      <c r="Y391" s="16">
        <v>0</v>
      </c>
      <c r="Z391" s="17" t="e">
        <f t="shared" si="154"/>
        <v>#DIV/0!</v>
      </c>
      <c r="AA391" s="18">
        <v>0.1</v>
      </c>
      <c r="AB391" s="16">
        <f t="shared" si="148"/>
        <v>17.722000000000001</v>
      </c>
      <c r="AC391" s="16">
        <v>0</v>
      </c>
      <c r="AD391" s="16">
        <v>0</v>
      </c>
      <c r="AE391" s="16">
        <v>0</v>
      </c>
      <c r="AF391" s="16">
        <f t="shared" si="155"/>
        <v>17.722000000000001</v>
      </c>
      <c r="AG391" s="16">
        <v>0</v>
      </c>
      <c r="AH391" s="16">
        <f t="shared" si="156"/>
        <v>17.722000000000001</v>
      </c>
      <c r="AI391" s="16">
        <f t="shared" si="157"/>
        <v>0.17722000000000002</v>
      </c>
      <c r="AJ391" s="16">
        <v>0</v>
      </c>
      <c r="AK391" s="16">
        <f t="shared" si="158"/>
        <v>0.17722000000000002</v>
      </c>
      <c r="AL391" s="19"/>
      <c r="AM391" s="16">
        <f t="shared" si="159"/>
        <v>17.544780000000003</v>
      </c>
      <c r="AN391" s="16" t="s">
        <v>91</v>
      </c>
      <c r="AO391" s="20">
        <v>0.7</v>
      </c>
      <c r="AP391" s="16">
        <f t="shared" si="160"/>
        <v>12.281346000000001</v>
      </c>
      <c r="AQ391" s="16"/>
      <c r="AR391" s="15"/>
      <c r="AS391" s="16">
        <f t="shared" si="161"/>
        <v>12.281346000000001</v>
      </c>
      <c r="AT391" s="16"/>
      <c r="AU391" s="16">
        <v>17.722000000000001</v>
      </c>
      <c r="AV391" s="16">
        <f t="shared" si="152"/>
        <v>17.722000000000001</v>
      </c>
      <c r="AW391" s="16">
        <f t="shared" si="162"/>
        <v>0</v>
      </c>
      <c r="AX391" s="16" t="str">
        <f t="shared" ref="AX391:AX454" si="163">Q391</f>
        <v>RAWSUR - LIFE</v>
      </c>
      <c r="AY391" s="22">
        <v>45124</v>
      </c>
      <c r="AZ391" s="22"/>
      <c r="BA391" s="1"/>
      <c r="BB391" s="22" t="str">
        <f t="shared" si="151"/>
        <v>LIFE</v>
      </c>
      <c r="BC391" s="1"/>
      <c r="BD391" s="1"/>
      <c r="BE391" s="2"/>
    </row>
    <row r="392" spans="1:57" ht="14.25" hidden="1" customHeight="1">
      <c r="A392" s="2" t="s">
        <v>57</v>
      </c>
      <c r="B392" s="1" t="s">
        <v>58</v>
      </c>
      <c r="C392" s="27">
        <v>44915</v>
      </c>
      <c r="D392" s="27"/>
      <c r="E392" s="27">
        <v>44927</v>
      </c>
      <c r="F392" s="27">
        <v>45291</v>
      </c>
      <c r="G392" s="13" t="str">
        <f t="shared" si="153"/>
        <v>000-391/AIB RDC/2023</v>
      </c>
      <c r="H392" s="1">
        <v>6</v>
      </c>
      <c r="I392" s="1" t="s">
        <v>59</v>
      </c>
      <c r="J392" s="1" t="s">
        <v>87</v>
      </c>
      <c r="K392" s="2" t="s">
        <v>88</v>
      </c>
      <c r="L392" s="1"/>
      <c r="M392" s="1" t="s">
        <v>74</v>
      </c>
      <c r="N392" s="1" t="s">
        <v>75</v>
      </c>
      <c r="O392" s="1" t="s">
        <v>89</v>
      </c>
      <c r="P392" s="1" t="s">
        <v>89</v>
      </c>
      <c r="Q392" s="1" t="s">
        <v>90</v>
      </c>
      <c r="R392" s="1" t="s">
        <v>90</v>
      </c>
      <c r="S392" s="16">
        <v>0</v>
      </c>
      <c r="T392" s="25">
        <v>120</v>
      </c>
      <c r="U392" s="16">
        <v>0</v>
      </c>
      <c r="V392" s="16">
        <v>0</v>
      </c>
      <c r="W392" s="25">
        <v>1</v>
      </c>
      <c r="X392" s="25">
        <v>117.81</v>
      </c>
      <c r="Y392" s="16">
        <v>0</v>
      </c>
      <c r="Z392" s="17" t="e">
        <f t="shared" si="154"/>
        <v>#DIV/0!</v>
      </c>
      <c r="AA392" s="18">
        <v>0.1</v>
      </c>
      <c r="AB392" s="16">
        <f t="shared" si="148"/>
        <v>11.781000000000001</v>
      </c>
      <c r="AC392" s="16">
        <v>0</v>
      </c>
      <c r="AD392" s="16">
        <v>0</v>
      </c>
      <c r="AE392" s="16">
        <v>0</v>
      </c>
      <c r="AF392" s="16">
        <f t="shared" si="155"/>
        <v>11.781000000000001</v>
      </c>
      <c r="AG392" s="16">
        <v>0</v>
      </c>
      <c r="AH392" s="16">
        <f t="shared" si="156"/>
        <v>11.781000000000001</v>
      </c>
      <c r="AI392" s="16">
        <f t="shared" si="157"/>
        <v>0.11781000000000001</v>
      </c>
      <c r="AJ392" s="16">
        <v>0</v>
      </c>
      <c r="AK392" s="16">
        <f t="shared" si="158"/>
        <v>0.11781000000000001</v>
      </c>
      <c r="AL392" s="19"/>
      <c r="AM392" s="16">
        <f t="shared" si="159"/>
        <v>11.66319</v>
      </c>
      <c r="AN392" s="16" t="s">
        <v>91</v>
      </c>
      <c r="AO392" s="20">
        <v>0.7</v>
      </c>
      <c r="AP392" s="16">
        <f t="shared" si="160"/>
        <v>8.1642329999999994</v>
      </c>
      <c r="AQ392" s="16"/>
      <c r="AR392" s="15"/>
      <c r="AS392" s="16">
        <f t="shared" si="161"/>
        <v>8.1642329999999994</v>
      </c>
      <c r="AT392" s="16"/>
      <c r="AU392" s="16">
        <v>11.781000000000001</v>
      </c>
      <c r="AV392" s="16">
        <f t="shared" si="152"/>
        <v>11.781000000000001</v>
      </c>
      <c r="AW392" s="16">
        <f t="shared" si="162"/>
        <v>0</v>
      </c>
      <c r="AX392" s="16" t="str">
        <f t="shared" si="163"/>
        <v>RAWSUR - LIFE</v>
      </c>
      <c r="AY392" s="22">
        <v>45124</v>
      </c>
      <c r="AZ392" s="22"/>
      <c r="BA392" s="1"/>
      <c r="BB392" s="22" t="str">
        <f t="shared" si="151"/>
        <v>LIFE</v>
      </c>
      <c r="BC392" s="1"/>
      <c r="BD392" s="1"/>
      <c r="BE392" s="2"/>
    </row>
    <row r="393" spans="1:57" ht="14.25" hidden="1" customHeight="1">
      <c r="A393" s="2" t="s">
        <v>57</v>
      </c>
      <c r="B393" s="1" t="s">
        <v>58</v>
      </c>
      <c r="C393" s="27">
        <v>45026</v>
      </c>
      <c r="D393" s="27"/>
      <c r="E393" s="27">
        <v>44927</v>
      </c>
      <c r="F393" s="27">
        <v>45291</v>
      </c>
      <c r="G393" s="13" t="str">
        <f t="shared" si="153"/>
        <v>000-392/AIB RDC/2023</v>
      </c>
      <c r="H393" s="1">
        <v>7</v>
      </c>
      <c r="I393" s="1" t="s">
        <v>59</v>
      </c>
      <c r="J393" s="1" t="s">
        <v>87</v>
      </c>
      <c r="K393" s="2" t="s">
        <v>88</v>
      </c>
      <c r="L393" s="1"/>
      <c r="M393" s="1" t="s">
        <v>74</v>
      </c>
      <c r="N393" s="1" t="s">
        <v>75</v>
      </c>
      <c r="O393" s="1" t="s">
        <v>89</v>
      </c>
      <c r="P393" s="1" t="s">
        <v>89</v>
      </c>
      <c r="Q393" s="1" t="s">
        <v>90</v>
      </c>
      <c r="R393" s="1" t="s">
        <v>90</v>
      </c>
      <c r="S393" s="16">
        <v>0</v>
      </c>
      <c r="T393" s="25">
        <v>480</v>
      </c>
      <c r="U393" s="16">
        <v>0</v>
      </c>
      <c r="V393" s="16">
        <v>0</v>
      </c>
      <c r="W393" s="25">
        <v>2</v>
      </c>
      <c r="X393" s="25">
        <v>473.24</v>
      </c>
      <c r="Y393" s="16">
        <v>0</v>
      </c>
      <c r="Z393" s="17" t="e">
        <f t="shared" si="154"/>
        <v>#DIV/0!</v>
      </c>
      <c r="AA393" s="18">
        <v>0.1</v>
      </c>
      <c r="AB393" s="16">
        <f t="shared" si="148"/>
        <v>47.324000000000005</v>
      </c>
      <c r="AC393" s="16">
        <v>0</v>
      </c>
      <c r="AD393" s="16">
        <v>0</v>
      </c>
      <c r="AE393" s="16">
        <v>0</v>
      </c>
      <c r="AF393" s="16">
        <f t="shared" si="155"/>
        <v>47.324000000000005</v>
      </c>
      <c r="AG393" s="16">
        <v>0</v>
      </c>
      <c r="AH393" s="16">
        <f t="shared" si="156"/>
        <v>47.324000000000005</v>
      </c>
      <c r="AI393" s="16">
        <f t="shared" si="157"/>
        <v>0.47324000000000005</v>
      </c>
      <c r="AJ393" s="16">
        <v>0</v>
      </c>
      <c r="AK393" s="16">
        <f t="shared" si="158"/>
        <v>0.47324000000000005</v>
      </c>
      <c r="AL393" s="19"/>
      <c r="AM393" s="16">
        <f t="shared" si="159"/>
        <v>46.850760000000008</v>
      </c>
      <c r="AN393" s="16" t="s">
        <v>91</v>
      </c>
      <c r="AO393" s="20">
        <v>0.7</v>
      </c>
      <c r="AP393" s="16">
        <f t="shared" si="160"/>
        <v>32.795532000000001</v>
      </c>
      <c r="AQ393" s="16"/>
      <c r="AR393" s="15"/>
      <c r="AS393" s="16">
        <f t="shared" si="161"/>
        <v>32.795532000000001</v>
      </c>
      <c r="AT393" s="16"/>
      <c r="AU393" s="16">
        <v>47.324000000000005</v>
      </c>
      <c r="AV393" s="16">
        <f t="shared" si="152"/>
        <v>47.324000000000005</v>
      </c>
      <c r="AW393" s="16">
        <f t="shared" si="162"/>
        <v>0</v>
      </c>
      <c r="AX393" s="16" t="str">
        <f t="shared" si="163"/>
        <v>RAWSUR - LIFE</v>
      </c>
      <c r="AY393" s="22">
        <v>45124</v>
      </c>
      <c r="AZ393" s="22"/>
      <c r="BA393" s="1"/>
      <c r="BB393" s="22" t="str">
        <f t="shared" si="151"/>
        <v>LIFE</v>
      </c>
      <c r="BC393" s="1"/>
      <c r="BD393" s="1"/>
      <c r="BE393" s="2"/>
    </row>
    <row r="394" spans="1:57" ht="14.25" hidden="1" customHeight="1">
      <c r="A394" s="2" t="s">
        <v>57</v>
      </c>
      <c r="B394" s="1" t="s">
        <v>58</v>
      </c>
      <c r="C394" s="27">
        <v>44945</v>
      </c>
      <c r="D394" s="27"/>
      <c r="E394" s="27">
        <v>44928</v>
      </c>
      <c r="F394" s="27">
        <v>45291</v>
      </c>
      <c r="G394" s="13" t="str">
        <f t="shared" si="153"/>
        <v>000-393/AIB RDC/2023</v>
      </c>
      <c r="H394" s="1">
        <v>8</v>
      </c>
      <c r="I394" s="1" t="s">
        <v>59</v>
      </c>
      <c r="J394" s="1" t="s">
        <v>87</v>
      </c>
      <c r="K394" s="2" t="s">
        <v>88</v>
      </c>
      <c r="L394" s="1"/>
      <c r="M394" s="1" t="s">
        <v>74</v>
      </c>
      <c r="N394" s="1" t="s">
        <v>75</v>
      </c>
      <c r="O394" s="1" t="s">
        <v>89</v>
      </c>
      <c r="P394" s="1" t="s">
        <v>89</v>
      </c>
      <c r="Q394" s="1" t="s">
        <v>90</v>
      </c>
      <c r="R394" s="1" t="s">
        <v>90</v>
      </c>
      <c r="S394" s="16">
        <v>0</v>
      </c>
      <c r="T394" s="25">
        <v>750</v>
      </c>
      <c r="U394" s="16">
        <v>0</v>
      </c>
      <c r="V394" s="16">
        <v>0</v>
      </c>
      <c r="W394" s="25">
        <v>2</v>
      </c>
      <c r="X394" s="25">
        <v>740.58</v>
      </c>
      <c r="Y394" s="16">
        <v>0</v>
      </c>
      <c r="Z394" s="17" t="e">
        <f t="shared" si="154"/>
        <v>#DIV/0!</v>
      </c>
      <c r="AA394" s="18">
        <v>0.1</v>
      </c>
      <c r="AB394" s="16">
        <f t="shared" si="148"/>
        <v>74.058000000000007</v>
      </c>
      <c r="AC394" s="16">
        <v>0</v>
      </c>
      <c r="AD394" s="16">
        <v>0</v>
      </c>
      <c r="AE394" s="16">
        <v>0</v>
      </c>
      <c r="AF394" s="16">
        <f t="shared" si="155"/>
        <v>74.058000000000007</v>
      </c>
      <c r="AG394" s="16">
        <v>0</v>
      </c>
      <c r="AH394" s="16">
        <f t="shared" si="156"/>
        <v>74.058000000000007</v>
      </c>
      <c r="AI394" s="16">
        <f t="shared" si="157"/>
        <v>0.74058000000000013</v>
      </c>
      <c r="AJ394" s="16">
        <v>0</v>
      </c>
      <c r="AK394" s="16">
        <f t="shared" si="158"/>
        <v>0.74058000000000013</v>
      </c>
      <c r="AL394" s="19"/>
      <c r="AM394" s="16">
        <f t="shared" si="159"/>
        <v>73.317420000000013</v>
      </c>
      <c r="AN394" s="16" t="s">
        <v>91</v>
      </c>
      <c r="AO394" s="20">
        <v>0.7</v>
      </c>
      <c r="AP394" s="16">
        <f t="shared" si="160"/>
        <v>51.322194000000003</v>
      </c>
      <c r="AQ394" s="16"/>
      <c r="AR394" s="15"/>
      <c r="AS394" s="16">
        <f t="shared" si="161"/>
        <v>51.322194000000003</v>
      </c>
      <c r="AT394" s="16"/>
      <c r="AU394" s="16">
        <v>74.058000000000007</v>
      </c>
      <c r="AV394" s="16">
        <f t="shared" si="152"/>
        <v>74.058000000000007</v>
      </c>
      <c r="AW394" s="16">
        <f t="shared" si="162"/>
        <v>0</v>
      </c>
      <c r="AX394" s="16" t="str">
        <f t="shared" si="163"/>
        <v>RAWSUR - LIFE</v>
      </c>
      <c r="AY394" s="22">
        <v>45124</v>
      </c>
      <c r="AZ394" s="22"/>
      <c r="BA394" s="1"/>
      <c r="BB394" s="22" t="str">
        <f t="shared" si="151"/>
        <v>LIFE</v>
      </c>
      <c r="BC394" s="1"/>
      <c r="BD394" s="1"/>
      <c r="BE394" s="2"/>
    </row>
    <row r="395" spans="1:57" ht="14.25" hidden="1" customHeight="1">
      <c r="A395" s="2" t="s">
        <v>165</v>
      </c>
      <c r="B395" s="1" t="s">
        <v>58</v>
      </c>
      <c r="C395" s="27">
        <v>45001</v>
      </c>
      <c r="D395" s="27"/>
      <c r="E395" s="27">
        <v>44986</v>
      </c>
      <c r="F395" s="27">
        <v>45291</v>
      </c>
      <c r="G395" s="13" t="str">
        <f t="shared" si="153"/>
        <v>000-394/AIB RDC/2023</v>
      </c>
      <c r="H395" s="1">
        <v>9</v>
      </c>
      <c r="I395" s="1" t="s">
        <v>59</v>
      </c>
      <c r="J395" s="1" t="s">
        <v>87</v>
      </c>
      <c r="K395" s="2" t="s">
        <v>88</v>
      </c>
      <c r="L395" s="1"/>
      <c r="M395" s="1" t="s">
        <v>74</v>
      </c>
      <c r="N395" s="1" t="s">
        <v>75</v>
      </c>
      <c r="O395" s="1" t="s">
        <v>89</v>
      </c>
      <c r="P395" s="1" t="s">
        <v>89</v>
      </c>
      <c r="Q395" s="1" t="s">
        <v>90</v>
      </c>
      <c r="R395" s="1" t="s">
        <v>90</v>
      </c>
      <c r="S395" s="16">
        <v>0</v>
      </c>
      <c r="T395" s="25">
        <v>200</v>
      </c>
      <c r="U395" s="16">
        <v>0</v>
      </c>
      <c r="V395" s="16">
        <v>0</v>
      </c>
      <c r="W395" s="25">
        <v>2</v>
      </c>
      <c r="X395" s="25">
        <v>196.02</v>
      </c>
      <c r="Y395" s="16">
        <v>0</v>
      </c>
      <c r="Z395" s="17" t="e">
        <f t="shared" si="154"/>
        <v>#DIV/0!</v>
      </c>
      <c r="AA395" s="18">
        <v>0.1</v>
      </c>
      <c r="AB395" s="16">
        <f t="shared" si="148"/>
        <v>19.602000000000004</v>
      </c>
      <c r="AC395" s="16">
        <v>0</v>
      </c>
      <c r="AD395" s="16">
        <v>0</v>
      </c>
      <c r="AE395" s="16">
        <v>0</v>
      </c>
      <c r="AF395" s="16">
        <f t="shared" si="155"/>
        <v>19.602000000000004</v>
      </c>
      <c r="AG395" s="16">
        <v>0</v>
      </c>
      <c r="AH395" s="16">
        <f t="shared" si="156"/>
        <v>19.602000000000004</v>
      </c>
      <c r="AI395" s="16">
        <f t="shared" si="157"/>
        <v>0.19602000000000006</v>
      </c>
      <c r="AJ395" s="16">
        <v>0</v>
      </c>
      <c r="AK395" s="16">
        <f t="shared" si="158"/>
        <v>0.19602000000000006</v>
      </c>
      <c r="AL395" s="19"/>
      <c r="AM395" s="16">
        <f t="shared" si="159"/>
        <v>19.405980000000003</v>
      </c>
      <c r="AN395" s="16" t="s">
        <v>91</v>
      </c>
      <c r="AO395" s="20">
        <v>0.7</v>
      </c>
      <c r="AP395" s="16">
        <f t="shared" si="160"/>
        <v>13.584186000000001</v>
      </c>
      <c r="AQ395" s="16"/>
      <c r="AR395" s="15"/>
      <c r="AS395" s="16">
        <f t="shared" si="161"/>
        <v>13.584186000000001</v>
      </c>
      <c r="AT395" s="16"/>
      <c r="AU395" s="16">
        <v>19.602000000000004</v>
      </c>
      <c r="AV395" s="16">
        <f t="shared" si="152"/>
        <v>19.602000000000004</v>
      </c>
      <c r="AW395" s="16">
        <f t="shared" si="162"/>
        <v>0</v>
      </c>
      <c r="AX395" s="16" t="str">
        <f t="shared" si="163"/>
        <v>RAWSUR - LIFE</v>
      </c>
      <c r="AY395" s="22">
        <v>45124</v>
      </c>
      <c r="AZ395" s="22"/>
      <c r="BA395" s="1"/>
      <c r="BB395" s="22" t="str">
        <f t="shared" si="151"/>
        <v>LIFE</v>
      </c>
      <c r="BC395" s="1"/>
      <c r="BD395" s="1"/>
      <c r="BE395" s="2"/>
    </row>
    <row r="396" spans="1:57" ht="14.25" hidden="1" customHeight="1">
      <c r="A396" s="2" t="s">
        <v>165</v>
      </c>
      <c r="B396" s="1" t="s">
        <v>58</v>
      </c>
      <c r="C396" s="27">
        <v>45007</v>
      </c>
      <c r="D396" s="27"/>
      <c r="E396" s="27">
        <v>44986</v>
      </c>
      <c r="F396" s="27">
        <v>45291</v>
      </c>
      <c r="G396" s="13" t="str">
        <f t="shared" si="153"/>
        <v>000-395/AIB RDC/2023</v>
      </c>
      <c r="H396" s="1">
        <v>10</v>
      </c>
      <c r="I396" s="1" t="s">
        <v>59</v>
      </c>
      <c r="J396" s="1" t="s">
        <v>87</v>
      </c>
      <c r="K396" s="2" t="s">
        <v>88</v>
      </c>
      <c r="L396" s="1"/>
      <c r="M396" s="1" t="s">
        <v>74</v>
      </c>
      <c r="N396" s="1" t="s">
        <v>75</v>
      </c>
      <c r="O396" s="1" t="s">
        <v>89</v>
      </c>
      <c r="P396" s="1" t="s">
        <v>89</v>
      </c>
      <c r="Q396" s="1" t="s">
        <v>90</v>
      </c>
      <c r="R396" s="1" t="s">
        <v>90</v>
      </c>
      <c r="S396" s="16">
        <v>0</v>
      </c>
      <c r="T396" s="25">
        <v>330</v>
      </c>
      <c r="U396" s="16">
        <v>0</v>
      </c>
      <c r="V396" s="16">
        <v>0</v>
      </c>
      <c r="W396" s="25">
        <v>2</v>
      </c>
      <c r="X396" s="25">
        <v>324.73</v>
      </c>
      <c r="Y396" s="16">
        <v>0</v>
      </c>
      <c r="Z396" s="17" t="e">
        <f t="shared" si="154"/>
        <v>#DIV/0!</v>
      </c>
      <c r="AA396" s="18">
        <v>0.1</v>
      </c>
      <c r="AB396" s="16">
        <f t="shared" si="148"/>
        <v>32.473000000000006</v>
      </c>
      <c r="AC396" s="16">
        <v>0</v>
      </c>
      <c r="AD396" s="16">
        <v>0</v>
      </c>
      <c r="AE396" s="16">
        <v>0</v>
      </c>
      <c r="AF396" s="16">
        <f t="shared" si="155"/>
        <v>32.473000000000006</v>
      </c>
      <c r="AG396" s="16">
        <v>0</v>
      </c>
      <c r="AH396" s="16">
        <f t="shared" si="156"/>
        <v>32.473000000000006</v>
      </c>
      <c r="AI396" s="16">
        <f t="shared" si="157"/>
        <v>0.32473000000000007</v>
      </c>
      <c r="AJ396" s="16">
        <v>0</v>
      </c>
      <c r="AK396" s="16">
        <f t="shared" si="158"/>
        <v>0.32473000000000007</v>
      </c>
      <c r="AL396" s="19"/>
      <c r="AM396" s="16">
        <f t="shared" si="159"/>
        <v>32.148270000000004</v>
      </c>
      <c r="AN396" s="16"/>
      <c r="AO396" s="20"/>
      <c r="AP396" s="16">
        <f t="shared" si="160"/>
        <v>0</v>
      </c>
      <c r="AQ396" s="16"/>
      <c r="AR396" s="15"/>
      <c r="AS396" s="16">
        <f t="shared" si="161"/>
        <v>0</v>
      </c>
      <c r="AT396" s="16"/>
      <c r="AU396" s="16">
        <v>32.473000000000006</v>
      </c>
      <c r="AV396" s="16">
        <f t="shared" si="152"/>
        <v>32.473000000000006</v>
      </c>
      <c r="AW396" s="16">
        <f t="shared" si="162"/>
        <v>0</v>
      </c>
      <c r="AX396" s="16" t="str">
        <f t="shared" si="163"/>
        <v>RAWSUR - LIFE</v>
      </c>
      <c r="AY396" s="22">
        <v>45124</v>
      </c>
      <c r="AZ396" s="22"/>
      <c r="BA396" s="1"/>
      <c r="BB396" s="22" t="str">
        <f t="shared" si="151"/>
        <v>LIFE</v>
      </c>
      <c r="BC396" s="1"/>
      <c r="BD396" s="1"/>
      <c r="BE396" s="2"/>
    </row>
    <row r="397" spans="1:57" ht="14.25" hidden="1" customHeight="1">
      <c r="A397" s="2" t="s">
        <v>230</v>
      </c>
      <c r="B397" s="1" t="s">
        <v>58</v>
      </c>
      <c r="C397" s="27">
        <v>45091</v>
      </c>
      <c r="D397" s="27">
        <v>45055</v>
      </c>
      <c r="E397" s="27">
        <v>45055</v>
      </c>
      <c r="F397" s="27">
        <v>45145</v>
      </c>
      <c r="G397" s="13" t="str">
        <f t="shared" si="153"/>
        <v>000-396/AIB RDC/2023</v>
      </c>
      <c r="H397" s="1">
        <v>0</v>
      </c>
      <c r="I397" s="1" t="s">
        <v>83</v>
      </c>
      <c r="J397" s="29">
        <v>70100024</v>
      </c>
      <c r="K397" s="2" t="s">
        <v>403</v>
      </c>
      <c r="L397" s="1"/>
      <c r="M397" s="1" t="s">
        <v>95</v>
      </c>
      <c r="N397" s="1" t="s">
        <v>146</v>
      </c>
      <c r="O397" s="1" t="s">
        <v>104</v>
      </c>
      <c r="P397" s="1" t="s">
        <v>105</v>
      </c>
      <c r="Q397" s="1" t="s">
        <v>135</v>
      </c>
      <c r="R397" s="1" t="s">
        <v>135</v>
      </c>
      <c r="S397" s="25">
        <f>20000+20000+30912+40528+29968+29968+30912+38160+24000</f>
        <v>264448</v>
      </c>
      <c r="T397" s="25">
        <v>1557.65</v>
      </c>
      <c r="U397" s="25">
        <v>0</v>
      </c>
      <c r="V397" s="25">
        <v>0</v>
      </c>
      <c r="W397" s="25">
        <v>333</v>
      </c>
      <c r="X397" s="25">
        <v>987.04</v>
      </c>
      <c r="Y397" s="25">
        <v>211.21</v>
      </c>
      <c r="Z397" s="17">
        <f t="shared" si="154"/>
        <v>3.7324540174249756E-3</v>
      </c>
      <c r="AA397" s="18">
        <v>0.15</v>
      </c>
      <c r="AB397" s="16">
        <f t="shared" si="148"/>
        <v>148.05599999999998</v>
      </c>
      <c r="AC397" s="16">
        <v>0</v>
      </c>
      <c r="AD397" s="16">
        <v>0</v>
      </c>
      <c r="AE397" s="16">
        <v>0</v>
      </c>
      <c r="AF397" s="16">
        <f t="shared" si="155"/>
        <v>148.05599999999998</v>
      </c>
      <c r="AG397" s="16">
        <f t="shared" ref="AG397:AG403" si="164">16%*AF397</f>
        <v>23.688959999999998</v>
      </c>
      <c r="AH397" s="16">
        <f t="shared" si="156"/>
        <v>171.74495999999999</v>
      </c>
      <c r="AI397" s="16">
        <f t="shared" ref="AI397:AI403" si="165">2%*(AB397+AC397+AD397)</f>
        <v>2.9611199999999998</v>
      </c>
      <c r="AJ397" s="16">
        <v>0</v>
      </c>
      <c r="AK397" s="16">
        <f t="shared" si="158"/>
        <v>2.9611199999999998</v>
      </c>
      <c r="AL397" s="19"/>
      <c r="AM397" s="16">
        <f t="shared" si="159"/>
        <v>145.09487999999999</v>
      </c>
      <c r="AN397" s="16" t="s">
        <v>147</v>
      </c>
      <c r="AO397" s="20">
        <v>0.4</v>
      </c>
      <c r="AP397" s="16">
        <f t="shared" si="160"/>
        <v>58.037951999999997</v>
      </c>
      <c r="AQ397" s="16">
        <v>58.037951999999997</v>
      </c>
      <c r="AR397" s="15">
        <v>45229</v>
      </c>
      <c r="AS397" s="16">
        <f t="shared" si="161"/>
        <v>0</v>
      </c>
      <c r="AT397" s="16"/>
      <c r="AU397" s="16">
        <v>171.74495999999999</v>
      </c>
      <c r="AV397" s="16">
        <f t="shared" si="152"/>
        <v>171.74495999999999</v>
      </c>
      <c r="AW397" s="16">
        <f t="shared" si="162"/>
        <v>0</v>
      </c>
      <c r="AX397" s="16" t="str">
        <f t="shared" si="163"/>
        <v>RAWSUR</v>
      </c>
      <c r="AY397" s="22">
        <v>45099</v>
      </c>
      <c r="AZ397" s="22"/>
      <c r="BA397" s="1" t="s">
        <v>148</v>
      </c>
      <c r="BB397" s="1" t="s">
        <v>104</v>
      </c>
      <c r="BC397" s="1"/>
      <c r="BD397" s="1"/>
      <c r="BE397" s="1"/>
    </row>
    <row r="398" spans="1:57" ht="14.25" hidden="1" customHeight="1">
      <c r="A398" s="2" t="s">
        <v>230</v>
      </c>
      <c r="B398" s="1" t="s">
        <v>58</v>
      </c>
      <c r="C398" s="27">
        <v>45069</v>
      </c>
      <c r="D398" s="27">
        <v>45069</v>
      </c>
      <c r="E398" s="27">
        <v>45069</v>
      </c>
      <c r="F398" s="27">
        <v>45114</v>
      </c>
      <c r="G398" s="13" t="str">
        <f t="shared" si="153"/>
        <v>000-397/AIB RDC/2023</v>
      </c>
      <c r="H398" s="1">
        <v>0</v>
      </c>
      <c r="I398" s="1" t="s">
        <v>83</v>
      </c>
      <c r="J398" s="2" t="s">
        <v>643</v>
      </c>
      <c r="K398" s="1" t="s">
        <v>480</v>
      </c>
      <c r="L398" s="1"/>
      <c r="M398" s="1" t="s">
        <v>95</v>
      </c>
      <c r="N398" s="1" t="s">
        <v>644</v>
      </c>
      <c r="O398" s="1" t="s">
        <v>104</v>
      </c>
      <c r="P398" s="1" t="s">
        <v>105</v>
      </c>
      <c r="Q398" s="1" t="s">
        <v>76</v>
      </c>
      <c r="R398" s="1" t="s">
        <v>76</v>
      </c>
      <c r="S398" s="25">
        <v>357135</v>
      </c>
      <c r="T398" s="25">
        <v>1866.05</v>
      </c>
      <c r="U398" s="25">
        <v>0</v>
      </c>
      <c r="V398" s="25">
        <v>0</v>
      </c>
      <c r="W398" s="25">
        <v>15.71</v>
      </c>
      <c r="X398" s="25">
        <v>1571.39</v>
      </c>
      <c r="Y398" s="25">
        <v>253.94</v>
      </c>
      <c r="Z398" s="17">
        <f t="shared" si="154"/>
        <v>4.3999887997535946E-3</v>
      </c>
      <c r="AA398" s="18">
        <v>0.15</v>
      </c>
      <c r="AB398" s="16">
        <f t="shared" si="148"/>
        <v>235.70850000000002</v>
      </c>
      <c r="AC398" s="16">
        <v>0</v>
      </c>
      <c r="AD398" s="16">
        <v>0</v>
      </c>
      <c r="AE398" s="16">
        <v>0</v>
      </c>
      <c r="AF398" s="16">
        <f t="shared" si="155"/>
        <v>235.70850000000002</v>
      </c>
      <c r="AG398" s="16">
        <f t="shared" si="164"/>
        <v>37.713360000000002</v>
      </c>
      <c r="AH398" s="16">
        <f t="shared" si="156"/>
        <v>273.42186000000004</v>
      </c>
      <c r="AI398" s="16">
        <f t="shared" si="165"/>
        <v>4.7141700000000002</v>
      </c>
      <c r="AJ398" s="16">
        <v>0</v>
      </c>
      <c r="AK398" s="16">
        <f t="shared" si="158"/>
        <v>4.7141700000000002</v>
      </c>
      <c r="AL398" s="19"/>
      <c r="AM398" s="16">
        <f t="shared" si="159"/>
        <v>230.99433000000002</v>
      </c>
      <c r="AN398" s="16"/>
      <c r="AO398" s="20"/>
      <c r="AP398" s="16">
        <f t="shared" si="160"/>
        <v>0</v>
      </c>
      <c r="AQ398" s="16"/>
      <c r="AR398" s="15"/>
      <c r="AS398" s="16">
        <f t="shared" si="161"/>
        <v>0</v>
      </c>
      <c r="AT398" s="16"/>
      <c r="AU398" s="16">
        <v>273.42186000000004</v>
      </c>
      <c r="AV398" s="16">
        <f t="shared" si="152"/>
        <v>273.42186000000004</v>
      </c>
      <c r="AW398" s="16">
        <f t="shared" si="162"/>
        <v>0</v>
      </c>
      <c r="AX398" s="16" t="str">
        <f t="shared" si="163"/>
        <v>ACTIVA</v>
      </c>
      <c r="AY398" s="22">
        <v>45114</v>
      </c>
      <c r="AZ398" s="22"/>
      <c r="BA398" s="1" t="s">
        <v>148</v>
      </c>
      <c r="BB398" s="22" t="str">
        <f t="shared" ref="BB398:BB403" si="166">O398</f>
        <v>MARINE CARGO / GIT</v>
      </c>
      <c r="BC398" s="1"/>
      <c r="BD398" s="1"/>
      <c r="BE398" s="1"/>
    </row>
    <row r="399" spans="1:57" ht="13.5" hidden="1" customHeight="1">
      <c r="A399" s="2" t="s">
        <v>230</v>
      </c>
      <c r="B399" s="1" t="s">
        <v>58</v>
      </c>
      <c r="C399" s="27">
        <v>45065</v>
      </c>
      <c r="D399" s="27">
        <v>45065</v>
      </c>
      <c r="E399" s="27">
        <v>45065</v>
      </c>
      <c r="F399" s="27">
        <v>45095</v>
      </c>
      <c r="G399" s="13" t="str">
        <f t="shared" si="153"/>
        <v>000-398/AIB RDC/2023</v>
      </c>
      <c r="H399" s="1">
        <v>0</v>
      </c>
      <c r="I399" s="1" t="s">
        <v>83</v>
      </c>
      <c r="J399" s="2" t="s">
        <v>645</v>
      </c>
      <c r="K399" s="1" t="s">
        <v>480</v>
      </c>
      <c r="L399" s="1"/>
      <c r="M399" s="1" t="s">
        <v>95</v>
      </c>
      <c r="N399" s="1" t="s">
        <v>644</v>
      </c>
      <c r="O399" s="1" t="s">
        <v>104</v>
      </c>
      <c r="P399" s="1" t="s">
        <v>105</v>
      </c>
      <c r="Q399" s="1" t="s">
        <v>76</v>
      </c>
      <c r="R399" s="1" t="s">
        <v>76</v>
      </c>
      <c r="S399" s="25">
        <v>124622.46</v>
      </c>
      <c r="T399" s="25">
        <v>672.67</v>
      </c>
      <c r="U399" s="25">
        <v>0</v>
      </c>
      <c r="V399" s="25">
        <v>0</v>
      </c>
      <c r="W399" s="25">
        <v>10</v>
      </c>
      <c r="X399" s="25">
        <v>548.34</v>
      </c>
      <c r="Y399" s="25">
        <v>89.33</v>
      </c>
      <c r="Z399" s="17">
        <f t="shared" si="154"/>
        <v>4.4000094365012534E-3</v>
      </c>
      <c r="AA399" s="18">
        <v>0.15</v>
      </c>
      <c r="AB399" s="16">
        <f t="shared" si="148"/>
        <v>82.251000000000005</v>
      </c>
      <c r="AC399" s="16">
        <v>0</v>
      </c>
      <c r="AD399" s="16">
        <v>0</v>
      </c>
      <c r="AE399" s="16">
        <v>0</v>
      </c>
      <c r="AF399" s="16">
        <f t="shared" si="155"/>
        <v>82.251000000000005</v>
      </c>
      <c r="AG399" s="16">
        <f t="shared" si="164"/>
        <v>13.160160000000001</v>
      </c>
      <c r="AH399" s="16">
        <f t="shared" si="156"/>
        <v>95.41116000000001</v>
      </c>
      <c r="AI399" s="16">
        <f t="shared" si="165"/>
        <v>1.6450200000000001</v>
      </c>
      <c r="AJ399" s="16">
        <v>0</v>
      </c>
      <c r="AK399" s="16">
        <f t="shared" si="158"/>
        <v>1.6450200000000001</v>
      </c>
      <c r="AL399" s="19"/>
      <c r="AM399" s="16">
        <f t="shared" si="159"/>
        <v>80.605980000000002</v>
      </c>
      <c r="AN399" s="16"/>
      <c r="AO399" s="20"/>
      <c r="AP399" s="16">
        <f t="shared" si="160"/>
        <v>0</v>
      </c>
      <c r="AQ399" s="16"/>
      <c r="AR399" s="15"/>
      <c r="AS399" s="16">
        <f t="shared" si="161"/>
        <v>0</v>
      </c>
      <c r="AT399" s="16"/>
      <c r="AU399" s="16">
        <v>95.41116000000001</v>
      </c>
      <c r="AV399" s="16">
        <f t="shared" si="152"/>
        <v>95.41116000000001</v>
      </c>
      <c r="AW399" s="16">
        <f t="shared" si="162"/>
        <v>0</v>
      </c>
      <c r="AX399" s="16" t="str">
        <f t="shared" si="163"/>
        <v>ACTIVA</v>
      </c>
      <c r="AY399" s="22">
        <v>45114</v>
      </c>
      <c r="AZ399" s="22"/>
      <c r="BA399" s="1" t="s">
        <v>148</v>
      </c>
      <c r="BB399" s="22" t="str">
        <f t="shared" si="166"/>
        <v>MARINE CARGO / GIT</v>
      </c>
      <c r="BC399" s="1"/>
      <c r="BD399" s="1"/>
      <c r="BE399" s="1"/>
    </row>
    <row r="400" spans="1:57" ht="14.25" hidden="1" customHeight="1">
      <c r="A400" s="2" t="s">
        <v>230</v>
      </c>
      <c r="B400" s="1" t="s">
        <v>58</v>
      </c>
      <c r="C400" s="27">
        <v>45068</v>
      </c>
      <c r="D400" s="27">
        <v>45068</v>
      </c>
      <c r="E400" s="27">
        <v>45068</v>
      </c>
      <c r="F400" s="27">
        <v>45098</v>
      </c>
      <c r="G400" s="13" t="str">
        <f t="shared" si="153"/>
        <v>000-399/AIB RDC/2023</v>
      </c>
      <c r="H400" s="1">
        <v>0</v>
      </c>
      <c r="I400" s="1" t="s">
        <v>83</v>
      </c>
      <c r="J400" s="2" t="s">
        <v>646</v>
      </c>
      <c r="K400" s="2" t="s">
        <v>647</v>
      </c>
      <c r="L400" s="1"/>
      <c r="M400" s="1" t="s">
        <v>95</v>
      </c>
      <c r="N400" s="1" t="s">
        <v>644</v>
      </c>
      <c r="O400" s="1" t="s">
        <v>104</v>
      </c>
      <c r="P400" s="1" t="s">
        <v>105</v>
      </c>
      <c r="Q400" s="1" t="s">
        <v>76</v>
      </c>
      <c r="R400" s="1" t="s">
        <v>76</v>
      </c>
      <c r="S400" s="25">
        <v>23195</v>
      </c>
      <c r="T400" s="25">
        <v>147.59</v>
      </c>
      <c r="U400" s="25">
        <v>0</v>
      </c>
      <c r="V400" s="25">
        <v>0</v>
      </c>
      <c r="W400" s="25">
        <v>10</v>
      </c>
      <c r="X400" s="25">
        <v>95.68</v>
      </c>
      <c r="Y400" s="25">
        <v>16.91</v>
      </c>
      <c r="Z400" s="17">
        <f t="shared" si="154"/>
        <v>4.1250269454623841E-3</v>
      </c>
      <c r="AA400" s="18">
        <v>0.15</v>
      </c>
      <c r="AB400" s="16">
        <f t="shared" si="148"/>
        <v>14.352</v>
      </c>
      <c r="AC400" s="16">
        <v>0</v>
      </c>
      <c r="AD400" s="16">
        <v>0</v>
      </c>
      <c r="AE400" s="16">
        <v>0</v>
      </c>
      <c r="AF400" s="16">
        <f t="shared" si="155"/>
        <v>14.352</v>
      </c>
      <c r="AG400" s="16">
        <f t="shared" si="164"/>
        <v>2.2963200000000001</v>
      </c>
      <c r="AH400" s="16">
        <f t="shared" si="156"/>
        <v>16.648320000000002</v>
      </c>
      <c r="AI400" s="16">
        <f t="shared" si="165"/>
        <v>0.28704000000000002</v>
      </c>
      <c r="AJ400" s="16"/>
      <c r="AK400" s="16">
        <f t="shared" si="158"/>
        <v>0.28704000000000002</v>
      </c>
      <c r="AL400" s="19"/>
      <c r="AM400" s="16">
        <f t="shared" si="159"/>
        <v>14.064960000000001</v>
      </c>
      <c r="AN400" s="16"/>
      <c r="AO400" s="20"/>
      <c r="AP400" s="16">
        <f t="shared" si="160"/>
        <v>0</v>
      </c>
      <c r="AQ400" s="16"/>
      <c r="AR400" s="15"/>
      <c r="AS400" s="16">
        <f t="shared" si="161"/>
        <v>0</v>
      </c>
      <c r="AT400" s="16"/>
      <c r="AU400" s="16">
        <v>16.648320000000002</v>
      </c>
      <c r="AV400" s="16">
        <f t="shared" si="152"/>
        <v>16.648320000000002</v>
      </c>
      <c r="AW400" s="16">
        <f t="shared" si="162"/>
        <v>0</v>
      </c>
      <c r="AX400" s="16" t="str">
        <f t="shared" si="163"/>
        <v>ACTIVA</v>
      </c>
      <c r="AY400" s="22">
        <v>45114</v>
      </c>
      <c r="AZ400" s="22"/>
      <c r="BA400" s="1" t="s">
        <v>148</v>
      </c>
      <c r="BB400" s="22" t="str">
        <f t="shared" si="166"/>
        <v>MARINE CARGO / GIT</v>
      </c>
      <c r="BC400" s="1"/>
      <c r="BD400" s="1"/>
      <c r="BE400" s="1"/>
    </row>
    <row r="401" spans="1:57" ht="14.25" hidden="1" customHeight="1">
      <c r="A401" s="2" t="s">
        <v>230</v>
      </c>
      <c r="B401" s="1" t="s">
        <v>58</v>
      </c>
      <c r="C401" s="27">
        <v>45068</v>
      </c>
      <c r="D401" s="27">
        <v>45068</v>
      </c>
      <c r="E401" s="27">
        <v>45068</v>
      </c>
      <c r="F401" s="27">
        <v>45098</v>
      </c>
      <c r="G401" s="13" t="str">
        <f t="shared" si="153"/>
        <v>000-400/AIB RDC/2023</v>
      </c>
      <c r="H401" s="1">
        <v>0</v>
      </c>
      <c r="I401" s="1" t="s">
        <v>83</v>
      </c>
      <c r="J401" s="2" t="s">
        <v>648</v>
      </c>
      <c r="K401" s="1" t="s">
        <v>480</v>
      </c>
      <c r="L401" s="1"/>
      <c r="M401" s="1" t="s">
        <v>95</v>
      </c>
      <c r="N401" s="1" t="s">
        <v>644</v>
      </c>
      <c r="O401" s="1" t="s">
        <v>104</v>
      </c>
      <c r="P401" s="1" t="s">
        <v>105</v>
      </c>
      <c r="Q401" s="1" t="s">
        <v>76</v>
      </c>
      <c r="R401" s="1" t="s">
        <v>76</v>
      </c>
      <c r="S401" s="25">
        <v>52054.15</v>
      </c>
      <c r="T401" s="25">
        <v>176.99</v>
      </c>
      <c r="U401" s="25">
        <v>0</v>
      </c>
      <c r="V401" s="25">
        <v>0</v>
      </c>
      <c r="W401" s="25">
        <v>10</v>
      </c>
      <c r="X401" s="25">
        <v>121.03</v>
      </c>
      <c r="Y401" s="25">
        <v>20.96</v>
      </c>
      <c r="Z401" s="17">
        <f t="shared" si="154"/>
        <v>2.3250787881465744E-3</v>
      </c>
      <c r="AA401" s="18">
        <v>0.15</v>
      </c>
      <c r="AB401" s="16">
        <f t="shared" si="148"/>
        <v>18.154499999999999</v>
      </c>
      <c r="AC401" s="16">
        <v>0</v>
      </c>
      <c r="AD401" s="16">
        <v>0</v>
      </c>
      <c r="AE401" s="16">
        <v>0</v>
      </c>
      <c r="AF401" s="16">
        <f t="shared" si="155"/>
        <v>18.154499999999999</v>
      </c>
      <c r="AG401" s="16">
        <f t="shared" si="164"/>
        <v>2.9047199999999997</v>
      </c>
      <c r="AH401" s="16">
        <f t="shared" si="156"/>
        <v>21.05922</v>
      </c>
      <c r="AI401" s="16">
        <f t="shared" si="165"/>
        <v>0.36308999999999997</v>
      </c>
      <c r="AJ401" s="16">
        <v>0</v>
      </c>
      <c r="AK401" s="16">
        <f t="shared" si="158"/>
        <v>0.36308999999999997</v>
      </c>
      <c r="AL401" s="19"/>
      <c r="AM401" s="16">
        <f t="shared" si="159"/>
        <v>17.791409999999999</v>
      </c>
      <c r="AN401" s="16"/>
      <c r="AO401" s="20"/>
      <c r="AP401" s="16">
        <f t="shared" si="160"/>
        <v>0</v>
      </c>
      <c r="AQ401" s="16"/>
      <c r="AR401" s="15"/>
      <c r="AS401" s="16">
        <f t="shared" si="161"/>
        <v>0</v>
      </c>
      <c r="AT401" s="16"/>
      <c r="AU401" s="16">
        <v>21.05922</v>
      </c>
      <c r="AV401" s="16">
        <f t="shared" si="152"/>
        <v>21.05922</v>
      </c>
      <c r="AW401" s="16">
        <f t="shared" si="162"/>
        <v>0</v>
      </c>
      <c r="AX401" s="16" t="str">
        <f t="shared" si="163"/>
        <v>ACTIVA</v>
      </c>
      <c r="AY401" s="22">
        <v>45114</v>
      </c>
      <c r="AZ401" s="22"/>
      <c r="BA401" s="1" t="s">
        <v>148</v>
      </c>
      <c r="BB401" s="22" t="str">
        <f t="shared" si="166"/>
        <v>MARINE CARGO / GIT</v>
      </c>
      <c r="BC401" s="1"/>
      <c r="BD401" s="1"/>
      <c r="BE401" s="1"/>
    </row>
    <row r="402" spans="1:57" ht="14.25" hidden="1" customHeight="1">
      <c r="A402" s="2" t="s">
        <v>230</v>
      </c>
      <c r="B402" s="1" t="s">
        <v>58</v>
      </c>
      <c r="C402" s="27">
        <v>45069</v>
      </c>
      <c r="D402" s="27">
        <v>45069</v>
      </c>
      <c r="E402" s="27">
        <v>45069</v>
      </c>
      <c r="F402" s="27">
        <v>45099</v>
      </c>
      <c r="G402" s="13" t="str">
        <f t="shared" si="153"/>
        <v>000-401/AIB RDC/2023</v>
      </c>
      <c r="H402" s="1">
        <v>0</v>
      </c>
      <c r="I402" s="1" t="s">
        <v>83</v>
      </c>
      <c r="J402" s="2" t="s">
        <v>649</v>
      </c>
      <c r="K402" s="1" t="s">
        <v>480</v>
      </c>
      <c r="L402" s="1"/>
      <c r="M402" s="1" t="s">
        <v>95</v>
      </c>
      <c r="N402" s="1" t="s">
        <v>644</v>
      </c>
      <c r="O402" s="1" t="s">
        <v>104</v>
      </c>
      <c r="P402" s="1" t="s">
        <v>105</v>
      </c>
      <c r="Q402" s="1" t="s">
        <v>76</v>
      </c>
      <c r="R402" s="1" t="s">
        <v>76</v>
      </c>
      <c r="S402" s="25">
        <v>682190</v>
      </c>
      <c r="T402" s="25">
        <v>735.94</v>
      </c>
      <c r="U402" s="25">
        <v>0</v>
      </c>
      <c r="V402" s="25">
        <v>0</v>
      </c>
      <c r="W402" s="25">
        <v>10</v>
      </c>
      <c r="X402" s="25">
        <v>602.88</v>
      </c>
      <c r="Y402" s="25">
        <v>98.08</v>
      </c>
      <c r="Z402" s="17">
        <f t="shared" si="154"/>
        <v>8.8374206599334498E-4</v>
      </c>
      <c r="AA402" s="18">
        <v>0.15</v>
      </c>
      <c r="AB402" s="16">
        <f t="shared" si="148"/>
        <v>90.432000000000002</v>
      </c>
      <c r="AC402" s="16">
        <v>0</v>
      </c>
      <c r="AD402" s="16">
        <v>0</v>
      </c>
      <c r="AE402" s="16">
        <v>0</v>
      </c>
      <c r="AF402" s="16">
        <f t="shared" si="155"/>
        <v>90.432000000000002</v>
      </c>
      <c r="AG402" s="16">
        <f t="shared" si="164"/>
        <v>14.46912</v>
      </c>
      <c r="AH402" s="16">
        <f t="shared" si="156"/>
        <v>104.90112000000001</v>
      </c>
      <c r="AI402" s="16">
        <f t="shared" si="165"/>
        <v>1.80864</v>
      </c>
      <c r="AJ402" s="16">
        <v>0</v>
      </c>
      <c r="AK402" s="16">
        <f t="shared" si="158"/>
        <v>1.80864</v>
      </c>
      <c r="AL402" s="19"/>
      <c r="AM402" s="16">
        <f t="shared" si="159"/>
        <v>88.623360000000005</v>
      </c>
      <c r="AN402" s="16"/>
      <c r="AO402" s="20"/>
      <c r="AP402" s="16">
        <f t="shared" si="160"/>
        <v>0</v>
      </c>
      <c r="AQ402" s="16"/>
      <c r="AR402" s="15"/>
      <c r="AS402" s="16">
        <f t="shared" si="161"/>
        <v>0</v>
      </c>
      <c r="AT402" s="16"/>
      <c r="AU402" s="16">
        <v>104.90112000000001</v>
      </c>
      <c r="AV402" s="16">
        <f t="shared" si="152"/>
        <v>104.90112000000001</v>
      </c>
      <c r="AW402" s="16">
        <f t="shared" si="162"/>
        <v>0</v>
      </c>
      <c r="AX402" s="16" t="str">
        <f t="shared" si="163"/>
        <v>ACTIVA</v>
      </c>
      <c r="AY402" s="22">
        <v>45114</v>
      </c>
      <c r="AZ402" s="22"/>
      <c r="BA402" s="1" t="s">
        <v>148</v>
      </c>
      <c r="BB402" s="22" t="str">
        <f t="shared" si="166"/>
        <v>MARINE CARGO / GIT</v>
      </c>
      <c r="BC402" s="1"/>
      <c r="BD402" s="1"/>
      <c r="BE402" s="1"/>
    </row>
    <row r="403" spans="1:57" ht="14.25" hidden="1" customHeight="1">
      <c r="A403" s="2" t="s">
        <v>230</v>
      </c>
      <c r="B403" s="1" t="s">
        <v>58</v>
      </c>
      <c r="C403" s="27">
        <v>45084</v>
      </c>
      <c r="D403" s="27">
        <v>45077</v>
      </c>
      <c r="E403" s="27">
        <v>45077</v>
      </c>
      <c r="F403" s="27">
        <v>45093</v>
      </c>
      <c r="G403" s="13" t="str">
        <f t="shared" si="153"/>
        <v>000-402/AIB RDC/2023</v>
      </c>
      <c r="H403" s="1">
        <v>5</v>
      </c>
      <c r="I403" s="1" t="s">
        <v>59</v>
      </c>
      <c r="J403" s="2" t="s">
        <v>446</v>
      </c>
      <c r="K403" s="2" t="s">
        <v>447</v>
      </c>
      <c r="L403" s="1"/>
      <c r="M403" s="1" t="s">
        <v>95</v>
      </c>
      <c r="N403" s="1" t="s">
        <v>434</v>
      </c>
      <c r="O403" s="1" t="s">
        <v>133</v>
      </c>
      <c r="P403" s="1" t="s">
        <v>134</v>
      </c>
      <c r="Q403" s="1" t="s">
        <v>66</v>
      </c>
      <c r="R403" s="1" t="s">
        <v>66</v>
      </c>
      <c r="S403" s="25">
        <v>15190</v>
      </c>
      <c r="T403" s="25">
        <v>100</v>
      </c>
      <c r="U403" s="25">
        <v>0</v>
      </c>
      <c r="V403" s="25">
        <v>0</v>
      </c>
      <c r="W403" s="25">
        <v>4.87</v>
      </c>
      <c r="X403" s="25">
        <v>81.34</v>
      </c>
      <c r="Y403" s="25">
        <v>13.79</v>
      </c>
      <c r="Z403" s="17">
        <f t="shared" si="154"/>
        <v>5.3548387096774199E-3</v>
      </c>
      <c r="AA403" s="18">
        <v>0.15</v>
      </c>
      <c r="AB403" s="16">
        <f t="shared" si="148"/>
        <v>12.201000000000001</v>
      </c>
      <c r="AC403" s="16">
        <v>0</v>
      </c>
      <c r="AD403" s="16">
        <v>0</v>
      </c>
      <c r="AE403" s="16">
        <v>0</v>
      </c>
      <c r="AF403" s="16">
        <f t="shared" si="155"/>
        <v>12.201000000000001</v>
      </c>
      <c r="AG403" s="16">
        <f t="shared" si="164"/>
        <v>1.9521600000000001</v>
      </c>
      <c r="AH403" s="16">
        <f t="shared" si="156"/>
        <v>14.15316</v>
      </c>
      <c r="AI403" s="16">
        <f t="shared" si="165"/>
        <v>0.24402000000000001</v>
      </c>
      <c r="AJ403" s="16"/>
      <c r="AK403" s="16">
        <f t="shared" si="158"/>
        <v>0.24402000000000001</v>
      </c>
      <c r="AL403" s="19"/>
      <c r="AM403" s="16">
        <f t="shared" si="159"/>
        <v>11.95698</v>
      </c>
      <c r="AN403" s="16"/>
      <c r="AO403" s="20"/>
      <c r="AP403" s="16">
        <f t="shared" si="160"/>
        <v>0</v>
      </c>
      <c r="AQ403" s="16"/>
      <c r="AR403" s="15"/>
      <c r="AS403" s="16">
        <f t="shared" si="161"/>
        <v>0</v>
      </c>
      <c r="AT403" s="16"/>
      <c r="AU403" s="16">
        <v>14.15316</v>
      </c>
      <c r="AV403" s="16">
        <f t="shared" si="152"/>
        <v>14.15316</v>
      </c>
      <c r="AW403" s="16">
        <f t="shared" si="162"/>
        <v>0</v>
      </c>
      <c r="AX403" s="16" t="str">
        <f t="shared" si="163"/>
        <v>SFA</v>
      </c>
      <c r="AY403" s="22">
        <v>45135</v>
      </c>
      <c r="AZ403" s="22"/>
      <c r="BA403" s="1" t="s">
        <v>275</v>
      </c>
      <c r="BB403" s="22" t="str">
        <f t="shared" si="166"/>
        <v>COMP MOTOR</v>
      </c>
      <c r="BC403" s="1"/>
      <c r="BD403" s="1"/>
      <c r="BE403" s="1"/>
    </row>
    <row r="404" spans="1:57" ht="14.25" customHeight="1">
      <c r="A404" s="2" t="s">
        <v>57</v>
      </c>
      <c r="B404" s="1" t="s">
        <v>169</v>
      </c>
      <c r="C404" s="27">
        <v>44910</v>
      </c>
      <c r="D404" s="27">
        <v>44953</v>
      </c>
      <c r="E404" s="27">
        <v>44927</v>
      </c>
      <c r="F404" s="27">
        <v>45291</v>
      </c>
      <c r="G404" s="13" t="str">
        <f t="shared" si="153"/>
        <v>000-403/AIB RDC/2023</v>
      </c>
      <c r="H404" s="1">
        <v>0</v>
      </c>
      <c r="I404" s="1" t="s">
        <v>83</v>
      </c>
      <c r="J404" s="2"/>
      <c r="K404" s="1" t="s">
        <v>419</v>
      </c>
      <c r="L404" s="1" t="s">
        <v>62</v>
      </c>
      <c r="M404" s="1" t="s">
        <v>74</v>
      </c>
      <c r="N404" s="1" t="s">
        <v>75</v>
      </c>
      <c r="O404" s="1" t="s">
        <v>89</v>
      </c>
      <c r="P404" s="1" t="s">
        <v>89</v>
      </c>
      <c r="Q404" s="1" t="s">
        <v>90</v>
      </c>
      <c r="R404" s="1" t="s">
        <v>90</v>
      </c>
      <c r="S404" s="25">
        <v>0</v>
      </c>
      <c r="T404" s="25">
        <v>85391</v>
      </c>
      <c r="U404" s="25">
        <v>0</v>
      </c>
      <c r="V404" s="25">
        <v>0</v>
      </c>
      <c r="W404" s="25">
        <v>0</v>
      </c>
      <c r="X404" s="25">
        <v>85391</v>
      </c>
      <c r="Y404" s="25">
        <v>0</v>
      </c>
      <c r="Z404" s="17" t="e">
        <f t="shared" si="154"/>
        <v>#DIV/0!</v>
      </c>
      <c r="AA404" s="18">
        <v>2.5000000000000001E-2</v>
      </c>
      <c r="AB404" s="16">
        <f t="shared" si="148"/>
        <v>2134.7750000000001</v>
      </c>
      <c r="AC404" s="16">
        <v>0</v>
      </c>
      <c r="AD404" s="16">
        <v>0</v>
      </c>
      <c r="AE404" s="16">
        <v>0</v>
      </c>
      <c r="AF404" s="16">
        <f t="shared" si="155"/>
        <v>2134.7750000000001</v>
      </c>
      <c r="AG404" s="16">
        <v>0</v>
      </c>
      <c r="AH404" s="16">
        <f t="shared" si="156"/>
        <v>2134.7750000000001</v>
      </c>
      <c r="AI404" s="16">
        <f>1%*(AB404+AC404+AD404)</f>
        <v>21.347750000000001</v>
      </c>
      <c r="AJ404" s="16">
        <v>0</v>
      </c>
      <c r="AK404" s="16">
        <f t="shared" si="158"/>
        <v>21.347750000000001</v>
      </c>
      <c r="AL404" s="19"/>
      <c r="AM404" s="16">
        <f t="shared" si="159"/>
        <v>2113.4272500000002</v>
      </c>
      <c r="AN404" s="16"/>
      <c r="AO404" s="20"/>
      <c r="AP404" s="16">
        <f t="shared" si="160"/>
        <v>0</v>
      </c>
      <c r="AQ404" s="16"/>
      <c r="AR404" s="15"/>
      <c r="AS404" s="16">
        <f t="shared" si="161"/>
        <v>0</v>
      </c>
      <c r="AT404" s="16"/>
      <c r="AU404" s="16"/>
      <c r="AV404" s="16">
        <f t="shared" si="152"/>
        <v>2134.7750000000001</v>
      </c>
      <c r="AW404" s="60">
        <f t="shared" si="162"/>
        <v>2134.7750000000001</v>
      </c>
      <c r="AX404" s="16" t="str">
        <f t="shared" si="163"/>
        <v>RAWSUR - LIFE</v>
      </c>
      <c r="AY404" s="22"/>
      <c r="AZ404" s="22"/>
      <c r="BA404" s="1"/>
      <c r="BB404" s="22"/>
      <c r="BC404" s="1"/>
      <c r="BD404" s="1"/>
      <c r="BE404" s="1" t="s">
        <v>827</v>
      </c>
    </row>
    <row r="405" spans="1:57" ht="14.25" hidden="1" customHeight="1">
      <c r="A405" s="2" t="s">
        <v>157</v>
      </c>
      <c r="B405" s="1" t="s">
        <v>58</v>
      </c>
      <c r="C405" s="27">
        <v>44987</v>
      </c>
      <c r="D405" s="27">
        <v>45051</v>
      </c>
      <c r="E405" s="27">
        <v>44977</v>
      </c>
      <c r="F405" s="27">
        <v>45341</v>
      </c>
      <c r="G405" s="13" t="str">
        <f t="shared" si="153"/>
        <v>000-404/AIB RDC/2023</v>
      </c>
      <c r="H405" s="1">
        <v>2</v>
      </c>
      <c r="I405" s="1" t="s">
        <v>68</v>
      </c>
      <c r="J405" s="2" t="s">
        <v>652</v>
      </c>
      <c r="K405" s="2" t="s">
        <v>651</v>
      </c>
      <c r="L405" s="1"/>
      <c r="M405" s="1" t="s">
        <v>99</v>
      </c>
      <c r="N405" s="1" t="s">
        <v>100</v>
      </c>
      <c r="O405" s="1" t="s">
        <v>385</v>
      </c>
      <c r="P405" s="1" t="s">
        <v>112</v>
      </c>
      <c r="Q405" s="1" t="s">
        <v>127</v>
      </c>
      <c r="R405" s="1" t="s">
        <v>127</v>
      </c>
      <c r="S405" s="25">
        <v>500000</v>
      </c>
      <c r="T405" s="25">
        <v>2800.07</v>
      </c>
      <c r="U405" s="16">
        <v>0</v>
      </c>
      <c r="V405" s="16">
        <v>0</v>
      </c>
      <c r="W405" s="25">
        <v>20</v>
      </c>
      <c r="X405" s="25">
        <v>2352.94</v>
      </c>
      <c r="Y405" s="25">
        <v>379.67</v>
      </c>
      <c r="Z405" s="17">
        <f t="shared" si="154"/>
        <v>4.70588E-3</v>
      </c>
      <c r="AA405" s="18">
        <v>0.15</v>
      </c>
      <c r="AB405" s="16">
        <f t="shared" si="148"/>
        <v>352.94099999999997</v>
      </c>
      <c r="AC405" s="16">
        <v>0</v>
      </c>
      <c r="AD405" s="16">
        <v>0</v>
      </c>
      <c r="AE405" s="16">
        <v>0</v>
      </c>
      <c r="AF405" s="16">
        <f t="shared" si="155"/>
        <v>352.94099999999997</v>
      </c>
      <c r="AG405" s="16">
        <f t="shared" ref="AG405:AG436" si="167">16%*AF405</f>
        <v>56.470559999999999</v>
      </c>
      <c r="AH405" s="16">
        <f t="shared" si="156"/>
        <v>409.41155999999995</v>
      </c>
      <c r="AI405" s="16">
        <f t="shared" ref="AI405:AI436" si="168">2%*(AB405+AC405+AD405)</f>
        <v>7.0588199999999999</v>
      </c>
      <c r="AJ405" s="16">
        <v>0</v>
      </c>
      <c r="AK405" s="16">
        <f t="shared" si="158"/>
        <v>7.0588199999999999</v>
      </c>
      <c r="AL405" s="19"/>
      <c r="AM405" s="16">
        <f t="shared" si="159"/>
        <v>345.88217999999995</v>
      </c>
      <c r="AN405" s="16"/>
      <c r="AO405" s="20"/>
      <c r="AP405" s="16">
        <f t="shared" si="160"/>
        <v>0</v>
      </c>
      <c r="AQ405" s="16"/>
      <c r="AR405" s="15"/>
      <c r="AS405" s="16">
        <f t="shared" si="161"/>
        <v>0</v>
      </c>
      <c r="AT405" s="16"/>
      <c r="AU405" s="16">
        <v>409.41155999999995</v>
      </c>
      <c r="AV405" s="16">
        <f t="shared" si="152"/>
        <v>409.41155999999995</v>
      </c>
      <c r="AW405" s="16">
        <f t="shared" si="162"/>
        <v>0</v>
      </c>
      <c r="AX405" s="16" t="str">
        <f t="shared" si="163"/>
        <v>MAYFAIR</v>
      </c>
      <c r="AY405" s="22">
        <v>45106</v>
      </c>
      <c r="AZ405" s="22"/>
      <c r="BA405" s="1"/>
      <c r="BB405" s="22" t="str">
        <f t="shared" ref="BB405:BB436" si="169">O405</f>
        <v>PUBLIC LIABILITY</v>
      </c>
      <c r="BC405" s="1"/>
      <c r="BD405" s="1"/>
      <c r="BE405" s="1"/>
    </row>
    <row r="406" spans="1:57" ht="12.75" hidden="1" customHeight="1">
      <c r="A406" s="2" t="s">
        <v>230</v>
      </c>
      <c r="B406" s="1" t="s">
        <v>58</v>
      </c>
      <c r="C406" s="27">
        <v>44999</v>
      </c>
      <c r="D406" s="27">
        <v>45061</v>
      </c>
      <c r="E406" s="27">
        <v>45051</v>
      </c>
      <c r="F406" s="27">
        <v>45416</v>
      </c>
      <c r="G406" s="13" t="str">
        <f t="shared" si="153"/>
        <v>000-405/AIB RDC/2023</v>
      </c>
      <c r="H406" s="1">
        <v>0</v>
      </c>
      <c r="I406" s="1" t="s">
        <v>83</v>
      </c>
      <c r="J406" s="2" t="s">
        <v>653</v>
      </c>
      <c r="K406" s="2" t="s">
        <v>409</v>
      </c>
      <c r="L406" s="1"/>
      <c r="M406" s="1" t="s">
        <v>99</v>
      </c>
      <c r="N406" s="1" t="s">
        <v>100</v>
      </c>
      <c r="O406" s="1" t="s">
        <v>65</v>
      </c>
      <c r="P406" s="1" t="s">
        <v>65</v>
      </c>
      <c r="Q406" s="1" t="s">
        <v>76</v>
      </c>
      <c r="R406" s="1" t="s">
        <v>76</v>
      </c>
      <c r="S406" s="25">
        <v>0</v>
      </c>
      <c r="T406" s="25">
        <v>4146.79</v>
      </c>
      <c r="U406" s="25">
        <v>0</v>
      </c>
      <c r="V406" s="25">
        <v>0</v>
      </c>
      <c r="W406" s="25">
        <v>40.74</v>
      </c>
      <c r="X406" s="25">
        <v>4074.05</v>
      </c>
      <c r="Y406" s="25">
        <v>0</v>
      </c>
      <c r="Z406" s="17" t="e">
        <f t="shared" si="154"/>
        <v>#DIV/0!</v>
      </c>
      <c r="AA406" s="18">
        <v>0.1</v>
      </c>
      <c r="AB406" s="16">
        <f t="shared" si="148"/>
        <v>407.40500000000003</v>
      </c>
      <c r="AC406" s="16">
        <v>0</v>
      </c>
      <c r="AD406" s="16">
        <v>0</v>
      </c>
      <c r="AE406" s="16">
        <v>0</v>
      </c>
      <c r="AF406" s="16">
        <f t="shared" si="155"/>
        <v>407.40500000000003</v>
      </c>
      <c r="AG406" s="16">
        <f t="shared" si="167"/>
        <v>65.18480000000001</v>
      </c>
      <c r="AH406" s="16">
        <f t="shared" si="156"/>
        <v>472.58980000000003</v>
      </c>
      <c r="AI406" s="16">
        <f t="shared" si="168"/>
        <v>8.1481000000000012</v>
      </c>
      <c r="AJ406" s="16"/>
      <c r="AK406" s="16">
        <f t="shared" si="158"/>
        <v>8.1481000000000012</v>
      </c>
      <c r="AL406" s="19"/>
      <c r="AM406" s="16">
        <f t="shared" si="159"/>
        <v>399.25690000000003</v>
      </c>
      <c r="AN406" s="16"/>
      <c r="AO406" s="20"/>
      <c r="AP406" s="16">
        <f t="shared" si="160"/>
        <v>0</v>
      </c>
      <c r="AQ406" s="16"/>
      <c r="AR406" s="15"/>
      <c r="AS406" s="16">
        <f t="shared" si="161"/>
        <v>0</v>
      </c>
      <c r="AT406" s="16"/>
      <c r="AU406" s="16">
        <v>472.58980000000003</v>
      </c>
      <c r="AV406" s="16">
        <f t="shared" si="152"/>
        <v>472.58980000000003</v>
      </c>
      <c r="AW406" s="16">
        <f t="shared" si="162"/>
        <v>0</v>
      </c>
      <c r="AX406" s="16" t="str">
        <f t="shared" si="163"/>
        <v>ACTIVA</v>
      </c>
      <c r="AY406" s="22">
        <v>45114</v>
      </c>
      <c r="AZ406" s="22"/>
      <c r="BA406" s="1"/>
      <c r="BB406" s="22" t="str">
        <f t="shared" si="169"/>
        <v>MOTOR TPL</v>
      </c>
      <c r="BC406" s="1"/>
      <c r="BD406" s="1"/>
      <c r="BE406" s="1"/>
    </row>
    <row r="407" spans="1:57" ht="14.25" hidden="1" customHeight="1">
      <c r="A407" s="2" t="s">
        <v>230</v>
      </c>
      <c r="B407" s="1" t="s">
        <v>58</v>
      </c>
      <c r="C407" s="27">
        <v>45050</v>
      </c>
      <c r="D407" s="27">
        <v>45056</v>
      </c>
      <c r="E407" s="27">
        <v>45057</v>
      </c>
      <c r="F407" s="27">
        <v>45086</v>
      </c>
      <c r="G407" s="13" t="str">
        <f t="shared" si="153"/>
        <v>000-406/AIB RDC/2023</v>
      </c>
      <c r="H407" s="1">
        <v>0</v>
      </c>
      <c r="I407" s="1" t="s">
        <v>83</v>
      </c>
      <c r="J407" s="2" t="s">
        <v>654</v>
      </c>
      <c r="K407" s="2" t="s">
        <v>655</v>
      </c>
      <c r="L407" s="1"/>
      <c r="M407" s="1" t="s">
        <v>99</v>
      </c>
      <c r="N407" s="1" t="s">
        <v>100</v>
      </c>
      <c r="O407" s="1" t="s">
        <v>133</v>
      </c>
      <c r="P407" s="1" t="s">
        <v>134</v>
      </c>
      <c r="Q407" s="1" t="s">
        <v>66</v>
      </c>
      <c r="R407" s="1" t="s">
        <v>66</v>
      </c>
      <c r="S407" s="25">
        <v>525000</v>
      </c>
      <c r="T407" s="25">
        <v>5993.25</v>
      </c>
      <c r="U407" s="16">
        <v>0</v>
      </c>
      <c r="V407" s="16">
        <v>0</v>
      </c>
      <c r="W407" s="25">
        <v>195.4</v>
      </c>
      <c r="X407" s="25">
        <v>4971.2</v>
      </c>
      <c r="Y407" s="25">
        <v>826.65</v>
      </c>
      <c r="Z407" s="17">
        <f t="shared" si="154"/>
        <v>9.46895238095238E-3</v>
      </c>
      <c r="AA407" s="18">
        <v>0.15</v>
      </c>
      <c r="AB407" s="16">
        <f t="shared" si="148"/>
        <v>745.68</v>
      </c>
      <c r="AC407" s="16">
        <v>0</v>
      </c>
      <c r="AD407" s="16">
        <v>0</v>
      </c>
      <c r="AE407" s="16">
        <v>0</v>
      </c>
      <c r="AF407" s="16">
        <f t="shared" si="155"/>
        <v>745.68</v>
      </c>
      <c r="AG407" s="16">
        <f t="shared" si="167"/>
        <v>119.30879999999999</v>
      </c>
      <c r="AH407" s="16">
        <f t="shared" si="156"/>
        <v>864.98879999999997</v>
      </c>
      <c r="AI407" s="16">
        <f t="shared" si="168"/>
        <v>14.913599999999999</v>
      </c>
      <c r="AJ407" s="16">
        <v>0</v>
      </c>
      <c r="AK407" s="16">
        <f t="shared" si="158"/>
        <v>14.913599999999999</v>
      </c>
      <c r="AL407" s="19"/>
      <c r="AM407" s="16">
        <f t="shared" si="159"/>
        <v>730.76639999999998</v>
      </c>
      <c r="AN407" s="16"/>
      <c r="AO407" s="20"/>
      <c r="AP407" s="16">
        <f t="shared" si="160"/>
        <v>0</v>
      </c>
      <c r="AQ407" s="16"/>
      <c r="AR407" s="15"/>
      <c r="AS407" s="16">
        <f t="shared" si="161"/>
        <v>0</v>
      </c>
      <c r="AT407" s="16"/>
      <c r="AU407" s="16">
        <v>864.98879999999997</v>
      </c>
      <c r="AV407" s="16">
        <f t="shared" si="152"/>
        <v>864.98879999999997</v>
      </c>
      <c r="AW407" s="16">
        <f t="shared" si="162"/>
        <v>0</v>
      </c>
      <c r="AX407" s="16" t="str">
        <f t="shared" si="163"/>
        <v>SFA</v>
      </c>
      <c r="AY407" s="22">
        <v>45100</v>
      </c>
      <c r="AZ407" s="22"/>
      <c r="BA407" s="1" t="s">
        <v>148</v>
      </c>
      <c r="BB407" s="22" t="str">
        <f t="shared" si="169"/>
        <v>COMP MOTOR</v>
      </c>
      <c r="BC407" s="1"/>
      <c r="BD407" s="1"/>
      <c r="BE407" s="1"/>
    </row>
    <row r="408" spans="1:57" ht="14.25" hidden="1" customHeight="1">
      <c r="A408" s="2" t="s">
        <v>230</v>
      </c>
      <c r="B408" s="1" t="s">
        <v>58</v>
      </c>
      <c r="C408" s="27">
        <v>45049</v>
      </c>
      <c r="D408" s="27">
        <v>45057</v>
      </c>
      <c r="E408" s="27">
        <v>45058</v>
      </c>
      <c r="F408" s="27">
        <v>45216</v>
      </c>
      <c r="G408" s="13" t="str">
        <f t="shared" si="153"/>
        <v>000-407/AIB RDC/2023</v>
      </c>
      <c r="H408" s="1">
        <v>4</v>
      </c>
      <c r="I408" s="1" t="s">
        <v>59</v>
      </c>
      <c r="J408" s="2" t="s">
        <v>294</v>
      </c>
      <c r="K408" s="2" t="s">
        <v>295</v>
      </c>
      <c r="L408" s="1"/>
      <c r="M408" s="1" t="s">
        <v>99</v>
      </c>
      <c r="N408" s="1" t="s">
        <v>100</v>
      </c>
      <c r="O408" s="1" t="s">
        <v>65</v>
      </c>
      <c r="P408" s="1" t="s">
        <v>65</v>
      </c>
      <c r="Q408" s="1" t="s">
        <v>66</v>
      </c>
      <c r="R408" s="1" t="s">
        <v>66</v>
      </c>
      <c r="S408" s="25">
        <v>0</v>
      </c>
      <c r="T408" s="25">
        <v>319.55</v>
      </c>
      <c r="U408" s="16">
        <v>0</v>
      </c>
      <c r="V408" s="16">
        <v>0</v>
      </c>
      <c r="W408" s="25">
        <v>11.32</v>
      </c>
      <c r="X408" s="25">
        <v>264.16000000000003</v>
      </c>
      <c r="Y408" s="25">
        <v>44.07</v>
      </c>
      <c r="Z408" s="17" t="e">
        <f t="shared" si="154"/>
        <v>#DIV/0!</v>
      </c>
      <c r="AA408" s="18">
        <v>0.1</v>
      </c>
      <c r="AB408" s="16">
        <f t="shared" si="148"/>
        <v>26.416000000000004</v>
      </c>
      <c r="AC408" s="16">
        <v>0</v>
      </c>
      <c r="AD408" s="16">
        <v>0</v>
      </c>
      <c r="AE408" s="16">
        <v>0</v>
      </c>
      <c r="AF408" s="16">
        <f t="shared" si="155"/>
        <v>26.416000000000004</v>
      </c>
      <c r="AG408" s="16">
        <f t="shared" si="167"/>
        <v>4.226560000000001</v>
      </c>
      <c r="AH408" s="16">
        <f t="shared" si="156"/>
        <v>30.642560000000003</v>
      </c>
      <c r="AI408" s="16">
        <f t="shared" si="168"/>
        <v>0.52832000000000012</v>
      </c>
      <c r="AJ408" s="16">
        <v>0</v>
      </c>
      <c r="AK408" s="16">
        <f t="shared" si="158"/>
        <v>0.52832000000000012</v>
      </c>
      <c r="AL408" s="19"/>
      <c r="AM408" s="16">
        <f t="shared" si="159"/>
        <v>25.887680000000003</v>
      </c>
      <c r="AN408" s="16"/>
      <c r="AO408" s="20"/>
      <c r="AP408" s="16">
        <f t="shared" si="160"/>
        <v>0</v>
      </c>
      <c r="AQ408" s="16"/>
      <c r="AR408" s="15"/>
      <c r="AS408" s="16">
        <f t="shared" si="161"/>
        <v>0</v>
      </c>
      <c r="AT408" s="16"/>
      <c r="AU408" s="16">
        <v>30.642560000000003</v>
      </c>
      <c r="AV408" s="16">
        <f t="shared" si="152"/>
        <v>30.642560000000003</v>
      </c>
      <c r="AW408" s="16">
        <f t="shared" si="162"/>
        <v>0</v>
      </c>
      <c r="AX408" s="16" t="str">
        <f t="shared" si="163"/>
        <v>SFA</v>
      </c>
      <c r="AY408" s="22">
        <v>45100</v>
      </c>
      <c r="AZ408" s="22"/>
      <c r="BA408" s="1"/>
      <c r="BB408" s="22" t="str">
        <f t="shared" si="169"/>
        <v>MOTOR TPL</v>
      </c>
      <c r="BC408" s="1"/>
      <c r="BD408" s="1"/>
      <c r="BE408" s="1"/>
    </row>
    <row r="409" spans="1:57" ht="15.75" hidden="1" customHeight="1">
      <c r="A409" s="2" t="s">
        <v>230</v>
      </c>
      <c r="B409" s="1" t="s">
        <v>58</v>
      </c>
      <c r="C409" s="27">
        <v>45065</v>
      </c>
      <c r="D409" s="27">
        <v>45050</v>
      </c>
      <c r="E409" s="27">
        <v>45050</v>
      </c>
      <c r="F409" s="27">
        <v>45360</v>
      </c>
      <c r="G409" s="13" t="str">
        <f t="shared" si="153"/>
        <v>000-408/AIB RDC/2023</v>
      </c>
      <c r="H409" s="1">
        <v>2</v>
      </c>
      <c r="I409" s="1" t="s">
        <v>59</v>
      </c>
      <c r="J409" s="2" t="s">
        <v>365</v>
      </c>
      <c r="K409" s="2" t="s">
        <v>297</v>
      </c>
      <c r="L409" s="1"/>
      <c r="M409" s="1" t="s">
        <v>99</v>
      </c>
      <c r="N409" s="1" t="s">
        <v>100</v>
      </c>
      <c r="O409" s="1" t="s">
        <v>65</v>
      </c>
      <c r="P409" s="1" t="s">
        <v>65</v>
      </c>
      <c r="Q409" s="1" t="s">
        <v>127</v>
      </c>
      <c r="R409" s="1" t="s">
        <v>127</v>
      </c>
      <c r="S409" s="25">
        <v>0</v>
      </c>
      <c r="T409" s="25">
        <v>448.16</v>
      </c>
      <c r="U409" s="25">
        <v>0</v>
      </c>
      <c r="V409" s="25">
        <v>0</v>
      </c>
      <c r="W409" s="25">
        <v>10</v>
      </c>
      <c r="X409" s="25">
        <v>370</v>
      </c>
      <c r="Y409" s="25">
        <v>60.8</v>
      </c>
      <c r="Z409" s="17" t="e">
        <f t="shared" si="154"/>
        <v>#DIV/0!</v>
      </c>
      <c r="AA409" s="18">
        <v>0.1</v>
      </c>
      <c r="AB409" s="16">
        <f t="shared" si="148"/>
        <v>37</v>
      </c>
      <c r="AC409" s="16">
        <v>0</v>
      </c>
      <c r="AD409" s="16">
        <v>0</v>
      </c>
      <c r="AE409" s="16">
        <v>0</v>
      </c>
      <c r="AF409" s="16">
        <f t="shared" si="155"/>
        <v>37</v>
      </c>
      <c r="AG409" s="16">
        <f t="shared" si="167"/>
        <v>5.92</v>
      </c>
      <c r="AH409" s="16">
        <f t="shared" si="156"/>
        <v>42.92</v>
      </c>
      <c r="AI409" s="16">
        <f t="shared" si="168"/>
        <v>0.74</v>
      </c>
      <c r="AJ409" s="16"/>
      <c r="AK409" s="16">
        <f t="shared" si="158"/>
        <v>0.74</v>
      </c>
      <c r="AL409" s="19"/>
      <c r="AM409" s="16">
        <f t="shared" si="159"/>
        <v>36.26</v>
      </c>
      <c r="AN409" s="16"/>
      <c r="AO409" s="20"/>
      <c r="AP409" s="16">
        <f t="shared" si="160"/>
        <v>0</v>
      </c>
      <c r="AQ409" s="16"/>
      <c r="AR409" s="15"/>
      <c r="AS409" s="16">
        <f t="shared" si="161"/>
        <v>0</v>
      </c>
      <c r="AT409" s="16"/>
      <c r="AU409" s="16">
        <v>42.92</v>
      </c>
      <c r="AV409" s="16">
        <f t="shared" si="152"/>
        <v>42.92</v>
      </c>
      <c r="AW409" s="16">
        <f t="shared" si="162"/>
        <v>0</v>
      </c>
      <c r="AX409" s="16" t="str">
        <f t="shared" si="163"/>
        <v>MAYFAIR</v>
      </c>
      <c r="AY409" s="22">
        <v>45106</v>
      </c>
      <c r="AZ409" s="22"/>
      <c r="BA409" s="1"/>
      <c r="BB409" s="22" t="str">
        <f t="shared" si="169"/>
        <v>MOTOR TPL</v>
      </c>
      <c r="BC409" s="1"/>
      <c r="BD409" s="1"/>
      <c r="BE409" s="1"/>
    </row>
    <row r="410" spans="1:57" ht="14.25" hidden="1" customHeight="1">
      <c r="A410" s="2" t="s">
        <v>230</v>
      </c>
      <c r="B410" s="1" t="s">
        <v>58</v>
      </c>
      <c r="C410" s="27">
        <v>45043</v>
      </c>
      <c r="D410" s="27">
        <v>45056</v>
      </c>
      <c r="E410" s="27">
        <v>45054</v>
      </c>
      <c r="F410" s="27">
        <v>45419</v>
      </c>
      <c r="G410" s="13" t="str">
        <f t="shared" si="153"/>
        <v>000-409/AIB RDC/2023</v>
      </c>
      <c r="H410" s="1">
        <v>0</v>
      </c>
      <c r="I410" s="1" t="s">
        <v>83</v>
      </c>
      <c r="J410" s="2" t="s">
        <v>656</v>
      </c>
      <c r="K410" s="2" t="s">
        <v>657</v>
      </c>
      <c r="L410" s="1"/>
      <c r="M410" s="1" t="s">
        <v>99</v>
      </c>
      <c r="N410" s="1" t="s">
        <v>100</v>
      </c>
      <c r="O410" s="1" t="s">
        <v>107</v>
      </c>
      <c r="P410" s="1" t="s">
        <v>108</v>
      </c>
      <c r="Q410" s="1" t="s">
        <v>66</v>
      </c>
      <c r="R410" s="1" t="s">
        <v>66</v>
      </c>
      <c r="S410" s="25">
        <v>525000</v>
      </c>
      <c r="T410" s="25">
        <v>1131.5999999999999</v>
      </c>
      <c r="U410" s="16">
        <v>0</v>
      </c>
      <c r="V410" s="16">
        <v>0</v>
      </c>
      <c r="W410" s="25">
        <v>39.18</v>
      </c>
      <c r="X410" s="25">
        <v>938.98</v>
      </c>
      <c r="Y410" s="25">
        <v>153.44</v>
      </c>
      <c r="Z410" s="17">
        <f t="shared" si="154"/>
        <v>1.7885333333333333E-3</v>
      </c>
      <c r="AA410" s="18">
        <v>0.1</v>
      </c>
      <c r="AB410" s="16">
        <f t="shared" si="148"/>
        <v>93.89800000000001</v>
      </c>
      <c r="AC410" s="16">
        <v>0</v>
      </c>
      <c r="AD410" s="16">
        <v>0</v>
      </c>
      <c r="AE410" s="16">
        <v>0</v>
      </c>
      <c r="AF410" s="16">
        <f t="shared" si="155"/>
        <v>93.89800000000001</v>
      </c>
      <c r="AG410" s="16">
        <f t="shared" si="167"/>
        <v>15.023680000000002</v>
      </c>
      <c r="AH410" s="16">
        <f t="shared" si="156"/>
        <v>108.92168000000001</v>
      </c>
      <c r="AI410" s="16">
        <f t="shared" si="168"/>
        <v>1.8779600000000003</v>
      </c>
      <c r="AJ410" s="16">
        <v>0</v>
      </c>
      <c r="AK410" s="16">
        <f t="shared" si="158"/>
        <v>1.8779600000000003</v>
      </c>
      <c r="AL410" s="19"/>
      <c r="AM410" s="16">
        <f t="shared" si="159"/>
        <v>92.020040000000009</v>
      </c>
      <c r="AN410" s="16"/>
      <c r="AO410" s="20"/>
      <c r="AP410" s="16">
        <f t="shared" si="160"/>
        <v>0</v>
      </c>
      <c r="AQ410" s="16"/>
      <c r="AR410" s="15"/>
      <c r="AS410" s="16">
        <f t="shared" si="161"/>
        <v>0</v>
      </c>
      <c r="AT410" s="16"/>
      <c r="AU410" s="16">
        <v>108.92168000000001</v>
      </c>
      <c r="AV410" s="16">
        <f t="shared" si="152"/>
        <v>108.92168000000001</v>
      </c>
      <c r="AW410" s="16">
        <f t="shared" si="162"/>
        <v>0</v>
      </c>
      <c r="AX410" s="16" t="str">
        <f t="shared" si="163"/>
        <v>SFA</v>
      </c>
      <c r="AY410" s="22">
        <v>45100</v>
      </c>
      <c r="AZ410" s="22"/>
      <c r="BA410" s="1"/>
      <c r="BB410" s="22" t="str">
        <f t="shared" si="169"/>
        <v>FIRE</v>
      </c>
      <c r="BC410" s="1"/>
      <c r="BD410" s="1"/>
      <c r="BE410" s="1"/>
    </row>
    <row r="411" spans="1:57" ht="14.25" hidden="1" customHeight="1">
      <c r="A411" s="2" t="s">
        <v>230</v>
      </c>
      <c r="B411" s="1" t="s">
        <v>58</v>
      </c>
      <c r="C411" s="27">
        <v>45058</v>
      </c>
      <c r="D411" s="27">
        <v>45058</v>
      </c>
      <c r="E411" s="27">
        <v>45058</v>
      </c>
      <c r="F411" s="27">
        <v>45071</v>
      </c>
      <c r="G411" s="13" t="str">
        <f t="shared" si="153"/>
        <v>000-410/AIB RDC/2023</v>
      </c>
      <c r="H411" s="1">
        <v>0</v>
      </c>
      <c r="I411" s="1" t="s">
        <v>83</v>
      </c>
      <c r="J411" s="2" t="s">
        <v>658</v>
      </c>
      <c r="K411" s="2" t="s">
        <v>191</v>
      </c>
      <c r="L411" s="1"/>
      <c r="M411" s="1" t="s">
        <v>99</v>
      </c>
      <c r="N411" s="1" t="s">
        <v>100</v>
      </c>
      <c r="O411" s="1" t="s">
        <v>133</v>
      </c>
      <c r="P411" s="1" t="s">
        <v>134</v>
      </c>
      <c r="Q411" s="1" t="s">
        <v>66</v>
      </c>
      <c r="R411" s="1" t="s">
        <v>66</v>
      </c>
      <c r="S411" s="25">
        <v>99000</v>
      </c>
      <c r="T411" s="25">
        <v>1159.77</v>
      </c>
      <c r="U411" s="25">
        <v>0</v>
      </c>
      <c r="V411" s="25">
        <v>0</v>
      </c>
      <c r="W411" s="25">
        <v>39.840000000000003</v>
      </c>
      <c r="X411" s="25">
        <v>959.97</v>
      </c>
      <c r="Y411" s="25">
        <v>159.96</v>
      </c>
      <c r="Z411" s="17">
        <f t="shared" si="154"/>
        <v>9.6966666666666677E-3</v>
      </c>
      <c r="AA411" s="18">
        <v>0.15</v>
      </c>
      <c r="AB411" s="16">
        <f t="shared" si="148"/>
        <v>143.99549999999999</v>
      </c>
      <c r="AC411" s="16">
        <v>0</v>
      </c>
      <c r="AD411" s="16">
        <v>0</v>
      </c>
      <c r="AE411" s="16">
        <v>0</v>
      </c>
      <c r="AF411" s="16">
        <f t="shared" si="155"/>
        <v>143.99549999999999</v>
      </c>
      <c r="AG411" s="16">
        <f t="shared" si="167"/>
        <v>23.039279999999998</v>
      </c>
      <c r="AH411" s="16">
        <f t="shared" si="156"/>
        <v>167.03477999999998</v>
      </c>
      <c r="AI411" s="16">
        <f t="shared" si="168"/>
        <v>2.8799099999999997</v>
      </c>
      <c r="AJ411" s="16"/>
      <c r="AK411" s="16">
        <f t="shared" si="158"/>
        <v>2.8799099999999997</v>
      </c>
      <c r="AL411" s="19"/>
      <c r="AM411" s="16">
        <f t="shared" si="159"/>
        <v>141.11559</v>
      </c>
      <c r="AN411" s="16"/>
      <c r="AO411" s="20"/>
      <c r="AP411" s="16">
        <f t="shared" si="160"/>
        <v>0</v>
      </c>
      <c r="AQ411" s="16"/>
      <c r="AR411" s="15"/>
      <c r="AS411" s="16">
        <f t="shared" si="161"/>
        <v>0</v>
      </c>
      <c r="AT411" s="16"/>
      <c r="AU411" s="16">
        <v>167.03477999999998</v>
      </c>
      <c r="AV411" s="16">
        <f t="shared" si="152"/>
        <v>167.03477999999998</v>
      </c>
      <c r="AW411" s="16">
        <f t="shared" si="162"/>
        <v>0</v>
      </c>
      <c r="AX411" s="16" t="str">
        <f t="shared" si="163"/>
        <v>SFA</v>
      </c>
      <c r="AY411" s="22">
        <v>45100</v>
      </c>
      <c r="AZ411" s="22"/>
      <c r="BA411" s="1"/>
      <c r="BB411" s="22" t="str">
        <f t="shared" si="169"/>
        <v>COMP MOTOR</v>
      </c>
      <c r="BC411" s="1"/>
      <c r="BD411" s="1"/>
      <c r="BE411" s="1"/>
    </row>
    <row r="412" spans="1:57" ht="13.5" hidden="1" customHeight="1">
      <c r="A412" s="2" t="s">
        <v>230</v>
      </c>
      <c r="B412" s="1" t="s">
        <v>58</v>
      </c>
      <c r="C412" s="27">
        <v>45058</v>
      </c>
      <c r="D412" s="27">
        <v>45047</v>
      </c>
      <c r="E412" s="27">
        <v>45047</v>
      </c>
      <c r="F412" s="27">
        <v>45412</v>
      </c>
      <c r="G412" s="13" t="str">
        <f t="shared" si="153"/>
        <v>000-411/AIB RDC/2023</v>
      </c>
      <c r="H412" s="1">
        <v>0</v>
      </c>
      <c r="I412" s="1" t="s">
        <v>83</v>
      </c>
      <c r="J412" s="2" t="s">
        <v>659</v>
      </c>
      <c r="K412" s="1" t="s">
        <v>480</v>
      </c>
      <c r="L412" s="1"/>
      <c r="M412" s="1" t="s">
        <v>99</v>
      </c>
      <c r="N412" s="1" t="s">
        <v>100</v>
      </c>
      <c r="O412" s="1" t="s">
        <v>194</v>
      </c>
      <c r="P412" s="1" t="s">
        <v>108</v>
      </c>
      <c r="Q412" s="1" t="s">
        <v>76</v>
      </c>
      <c r="R412" s="1" t="s">
        <v>76</v>
      </c>
      <c r="S412" s="25">
        <v>35000000</v>
      </c>
      <c r="T412" s="25">
        <v>329519.5</v>
      </c>
      <c r="U412" s="16">
        <v>0</v>
      </c>
      <c r="V412" s="16">
        <v>0</v>
      </c>
      <c r="W412" s="25">
        <v>2812.5</v>
      </c>
      <c r="X412" s="25">
        <v>281250</v>
      </c>
      <c r="Y412" s="25">
        <v>45450</v>
      </c>
      <c r="Z412" s="17">
        <f t="shared" si="154"/>
        <v>8.0357142857142849E-3</v>
      </c>
      <c r="AA412" s="18">
        <v>0.15</v>
      </c>
      <c r="AB412" s="16">
        <f t="shared" si="148"/>
        <v>42187.5</v>
      </c>
      <c r="AC412" s="16">
        <v>0</v>
      </c>
      <c r="AD412" s="16">
        <v>0</v>
      </c>
      <c r="AE412" s="16">
        <v>0</v>
      </c>
      <c r="AF412" s="16">
        <f t="shared" si="155"/>
        <v>42187.5</v>
      </c>
      <c r="AG412" s="16">
        <f t="shared" si="167"/>
        <v>6750</v>
      </c>
      <c r="AH412" s="16">
        <f t="shared" si="156"/>
        <v>48937.5</v>
      </c>
      <c r="AI412" s="16">
        <f t="shared" si="168"/>
        <v>843.75</v>
      </c>
      <c r="AJ412" s="16">
        <v>0</v>
      </c>
      <c r="AK412" s="16">
        <f t="shared" si="158"/>
        <v>843.75</v>
      </c>
      <c r="AL412" s="19"/>
      <c r="AM412" s="16">
        <f t="shared" si="159"/>
        <v>41343.75</v>
      </c>
      <c r="AN412" s="16" t="s">
        <v>481</v>
      </c>
      <c r="AO412" s="20"/>
      <c r="AP412" s="16">
        <f t="shared" si="160"/>
        <v>0</v>
      </c>
      <c r="AQ412" s="16"/>
      <c r="AR412" s="15"/>
      <c r="AS412" s="16">
        <f t="shared" si="161"/>
        <v>0</v>
      </c>
      <c r="AT412" s="16"/>
      <c r="AU412" s="16">
        <v>48937.5</v>
      </c>
      <c r="AV412" s="16">
        <f t="shared" si="152"/>
        <v>48937.5</v>
      </c>
      <c r="AW412" s="16">
        <f t="shared" si="162"/>
        <v>0</v>
      </c>
      <c r="AX412" s="16" t="str">
        <f t="shared" si="163"/>
        <v>ACTIVA</v>
      </c>
      <c r="AY412" s="22">
        <v>45170</v>
      </c>
      <c r="AZ412" s="22"/>
      <c r="BA412" s="1"/>
      <c r="BB412" s="22" t="str">
        <f t="shared" si="169"/>
        <v>PROPERTY DAMAGE &amp; BI</v>
      </c>
      <c r="BC412" s="1"/>
      <c r="BD412" s="1"/>
      <c r="BE412" s="1"/>
    </row>
    <row r="413" spans="1:57" ht="15.75" customHeight="1">
      <c r="A413" s="2" t="s">
        <v>1005</v>
      </c>
      <c r="B413" s="1" t="s">
        <v>169</v>
      </c>
      <c r="C413" s="27">
        <v>45056</v>
      </c>
      <c r="D413" s="27">
        <v>45203</v>
      </c>
      <c r="E413" s="27">
        <v>45204</v>
      </c>
      <c r="F413" s="27">
        <v>45569</v>
      </c>
      <c r="G413" s="13" t="str">
        <f t="shared" si="153"/>
        <v>000-412/AIB RDC/2023</v>
      </c>
      <c r="H413" s="1">
        <v>1</v>
      </c>
      <c r="I413" s="1" t="s">
        <v>68</v>
      </c>
      <c r="J413" s="29" t="s">
        <v>1114</v>
      </c>
      <c r="K413" s="2" t="s">
        <v>334</v>
      </c>
      <c r="L413" s="1" t="s">
        <v>335</v>
      </c>
      <c r="M413" s="1" t="s">
        <v>63</v>
      </c>
      <c r="N413" s="1" t="s">
        <v>71</v>
      </c>
      <c r="O413" s="1" t="s">
        <v>111</v>
      </c>
      <c r="P413" s="1" t="s">
        <v>112</v>
      </c>
      <c r="Q413" s="1" t="s">
        <v>117</v>
      </c>
      <c r="R413" s="1" t="s">
        <v>117</v>
      </c>
      <c r="S413" s="25">
        <v>41316000</v>
      </c>
      <c r="T413" s="25">
        <v>18364.830000000002</v>
      </c>
      <c r="U413" s="25">
        <v>0</v>
      </c>
      <c r="V413" s="25">
        <v>0</v>
      </c>
      <c r="W413" s="25">
        <v>156.75</v>
      </c>
      <c r="X413" s="25">
        <v>15675</v>
      </c>
      <c r="Y413" s="25">
        <v>2533.08</v>
      </c>
      <c r="Z413" s="17">
        <f t="shared" si="154"/>
        <v>3.7939297124600641E-4</v>
      </c>
      <c r="AA413" s="18">
        <v>0.1</v>
      </c>
      <c r="AB413" s="16">
        <f t="shared" si="148"/>
        <v>1567.5</v>
      </c>
      <c r="AC413" s="16">
        <f>30%*U413</f>
        <v>0</v>
      </c>
      <c r="AD413" s="16">
        <v>0</v>
      </c>
      <c r="AE413" s="16">
        <v>0</v>
      </c>
      <c r="AF413" s="16">
        <f t="shared" si="155"/>
        <v>1567.5</v>
      </c>
      <c r="AG413" s="16">
        <f t="shared" si="167"/>
        <v>250.8</v>
      </c>
      <c r="AH413" s="16">
        <f t="shared" si="156"/>
        <v>1818.3</v>
      </c>
      <c r="AI413" s="16">
        <f t="shared" si="168"/>
        <v>31.35</v>
      </c>
      <c r="AJ413" s="16">
        <v>0</v>
      </c>
      <c r="AK413" s="16">
        <f t="shared" si="158"/>
        <v>31.35</v>
      </c>
      <c r="AL413" s="19"/>
      <c r="AM413" s="16">
        <f t="shared" si="159"/>
        <v>1536.15</v>
      </c>
      <c r="AN413" s="16" t="s">
        <v>228</v>
      </c>
      <c r="AO413" s="20"/>
      <c r="AP413" s="16">
        <f t="shared" si="160"/>
        <v>0</v>
      </c>
      <c r="AQ413" s="16"/>
      <c r="AR413" s="15"/>
      <c r="AS413" s="16">
        <f t="shared" si="161"/>
        <v>0</v>
      </c>
      <c r="AT413" s="16"/>
      <c r="AU413" s="16"/>
      <c r="AV413" s="16">
        <f t="shared" si="152"/>
        <v>1818.3</v>
      </c>
      <c r="AW413" s="60">
        <f t="shared" si="162"/>
        <v>1818.3</v>
      </c>
      <c r="AX413" s="16" t="str">
        <f t="shared" si="163"/>
        <v>SUNU</v>
      </c>
      <c r="AY413" s="22"/>
      <c r="BA413" s="1"/>
      <c r="BB413" s="22" t="str">
        <f t="shared" si="169"/>
        <v>GENERAL LIABILITY</v>
      </c>
      <c r="BC413" s="1"/>
      <c r="BD413" s="1"/>
      <c r="BE413" s="1"/>
    </row>
    <row r="414" spans="1:57" ht="15" customHeight="1">
      <c r="A414" s="2" t="s">
        <v>871</v>
      </c>
      <c r="B414" s="1" t="s">
        <v>169</v>
      </c>
      <c r="C414" s="27">
        <v>45056</v>
      </c>
      <c r="D414" s="27"/>
      <c r="E414" s="27">
        <v>45139</v>
      </c>
      <c r="F414" s="27">
        <v>44934</v>
      </c>
      <c r="G414" s="13" t="str">
        <f t="shared" si="153"/>
        <v>000-413/AIB RDC/2023</v>
      </c>
      <c r="H414" s="1">
        <v>3</v>
      </c>
      <c r="I414" s="1" t="s">
        <v>59</v>
      </c>
      <c r="J414" s="29" t="s">
        <v>1110</v>
      </c>
      <c r="K414" s="2" t="s">
        <v>1111</v>
      </c>
      <c r="L414" s="1" t="s">
        <v>116</v>
      </c>
      <c r="M414" s="1" t="s">
        <v>63</v>
      </c>
      <c r="N414" s="1" t="s">
        <v>64</v>
      </c>
      <c r="O414" s="1" t="s">
        <v>250</v>
      </c>
      <c r="P414" s="1" t="s">
        <v>251</v>
      </c>
      <c r="Q414" s="1" t="s">
        <v>66</v>
      </c>
      <c r="R414" s="1" t="s">
        <v>1112</v>
      </c>
      <c r="S414" s="25">
        <v>0</v>
      </c>
      <c r="T414" s="25">
        <v>-174457.97</v>
      </c>
      <c r="U414" s="25">
        <v>-8757.0300000000007</v>
      </c>
      <c r="V414" s="25">
        <v>0</v>
      </c>
      <c r="W414" s="25">
        <v>-100</v>
      </c>
      <c r="X414" s="25">
        <v>-141537</v>
      </c>
      <c r="Y414" s="25">
        <v>-24063.17</v>
      </c>
      <c r="Z414" s="17" t="e">
        <f t="shared" si="154"/>
        <v>#DIV/0!</v>
      </c>
      <c r="AA414" s="18">
        <v>0</v>
      </c>
      <c r="AB414" s="16">
        <f t="shared" si="148"/>
        <v>0</v>
      </c>
      <c r="AC414" s="16">
        <f>30%*U414</f>
        <v>-2627.1089999999999</v>
      </c>
      <c r="AD414" s="16">
        <v>0</v>
      </c>
      <c r="AE414" s="16">
        <v>0</v>
      </c>
      <c r="AF414" s="16">
        <f t="shared" si="155"/>
        <v>-2627.1089999999999</v>
      </c>
      <c r="AG414" s="16">
        <f t="shared" si="167"/>
        <v>-420.33744000000002</v>
      </c>
      <c r="AH414" s="16">
        <f t="shared" si="156"/>
        <v>-3047.4464399999997</v>
      </c>
      <c r="AI414" s="16">
        <f t="shared" si="168"/>
        <v>-52.542180000000002</v>
      </c>
      <c r="AJ414" s="16">
        <v>0</v>
      </c>
      <c r="AK414" s="16">
        <f t="shared" si="158"/>
        <v>-52.542180000000002</v>
      </c>
      <c r="AL414" s="19"/>
      <c r="AM414" s="16">
        <f t="shared" si="159"/>
        <v>-2574.56682</v>
      </c>
      <c r="AN414" s="16" t="s">
        <v>228</v>
      </c>
      <c r="AO414" s="20"/>
      <c r="AP414" s="16">
        <f t="shared" si="160"/>
        <v>0</v>
      </c>
      <c r="AQ414" s="16"/>
      <c r="AR414" s="15"/>
      <c r="AS414" s="16">
        <f t="shared" si="161"/>
        <v>0</v>
      </c>
      <c r="AT414" s="16"/>
      <c r="AU414" s="16"/>
      <c r="AV414" s="16">
        <f t="shared" si="152"/>
        <v>-3047.4464399999997</v>
      </c>
      <c r="AW414" s="60">
        <f t="shared" si="162"/>
        <v>-3047.4464399999997</v>
      </c>
      <c r="AX414" s="16" t="str">
        <f t="shared" si="163"/>
        <v>SFA</v>
      </c>
      <c r="AY414" s="22"/>
      <c r="BA414" s="1"/>
      <c r="BB414" s="22" t="str">
        <f t="shared" si="169"/>
        <v>AVIATION HULL ALL RISK</v>
      </c>
      <c r="BC414" s="1"/>
      <c r="BD414" s="1"/>
      <c r="BE414" s="1"/>
    </row>
    <row r="415" spans="1:57" ht="15.75" hidden="1" customHeight="1">
      <c r="A415" s="2" t="s">
        <v>230</v>
      </c>
      <c r="B415" s="1" t="s">
        <v>58</v>
      </c>
      <c r="C415" s="27">
        <v>45065</v>
      </c>
      <c r="D415" s="27">
        <v>45066</v>
      </c>
      <c r="E415" s="27">
        <v>45066</v>
      </c>
      <c r="F415" s="27">
        <v>45216</v>
      </c>
      <c r="G415" s="13" t="str">
        <f t="shared" si="153"/>
        <v>000-414/AIB RDC/2023</v>
      </c>
      <c r="H415" s="1">
        <v>5</v>
      </c>
      <c r="I415" s="1" t="s">
        <v>59</v>
      </c>
      <c r="J415" s="2" t="s">
        <v>294</v>
      </c>
      <c r="K415" s="2" t="s">
        <v>295</v>
      </c>
      <c r="L415" s="1"/>
      <c r="M415" s="1" t="s">
        <v>99</v>
      </c>
      <c r="N415" s="1" t="s">
        <v>100</v>
      </c>
      <c r="O415" s="1" t="s">
        <v>65</v>
      </c>
      <c r="P415" s="1" t="s">
        <v>65</v>
      </c>
      <c r="Q415" s="1" t="s">
        <v>66</v>
      </c>
      <c r="R415" s="1" t="s">
        <v>66</v>
      </c>
      <c r="S415" s="25">
        <v>0</v>
      </c>
      <c r="T415" s="25">
        <v>1346.43</v>
      </c>
      <c r="U415" s="16">
        <v>0</v>
      </c>
      <c r="V415" s="16">
        <v>0</v>
      </c>
      <c r="W415" s="25">
        <v>53.11</v>
      </c>
      <c r="X415" s="25">
        <v>1107.6099999999999</v>
      </c>
      <c r="Y415" s="25">
        <v>185.71</v>
      </c>
      <c r="Z415" s="17" t="e">
        <f t="shared" si="154"/>
        <v>#DIV/0!</v>
      </c>
      <c r="AA415" s="18">
        <v>0.1</v>
      </c>
      <c r="AB415" s="16">
        <f t="shared" si="148"/>
        <v>110.761</v>
      </c>
      <c r="AC415" s="16">
        <v>0</v>
      </c>
      <c r="AD415" s="16">
        <v>0</v>
      </c>
      <c r="AE415" s="16">
        <v>0</v>
      </c>
      <c r="AF415" s="16">
        <f t="shared" si="155"/>
        <v>110.761</v>
      </c>
      <c r="AG415" s="16">
        <f t="shared" si="167"/>
        <v>17.72176</v>
      </c>
      <c r="AH415" s="16">
        <f t="shared" si="156"/>
        <v>128.48275999999998</v>
      </c>
      <c r="AI415" s="16">
        <f t="shared" si="168"/>
        <v>2.21522</v>
      </c>
      <c r="AJ415" s="16">
        <v>0</v>
      </c>
      <c r="AK415" s="16">
        <f t="shared" si="158"/>
        <v>2.21522</v>
      </c>
      <c r="AL415" s="19"/>
      <c r="AM415" s="16">
        <f t="shared" si="159"/>
        <v>108.54577999999999</v>
      </c>
      <c r="AN415" s="16"/>
      <c r="AO415" s="20"/>
      <c r="AP415" s="16">
        <f t="shared" si="160"/>
        <v>0</v>
      </c>
      <c r="AQ415" s="16"/>
      <c r="AR415" s="15"/>
      <c r="AS415" s="16">
        <f t="shared" si="161"/>
        <v>0</v>
      </c>
      <c r="AT415" s="16"/>
      <c r="AU415" s="16">
        <v>128.48275999999998</v>
      </c>
      <c r="AV415" s="16">
        <f t="shared" si="152"/>
        <v>128.48275999999998</v>
      </c>
      <c r="AW415" s="16">
        <f t="shared" si="162"/>
        <v>0</v>
      </c>
      <c r="AX415" s="16" t="str">
        <f t="shared" si="163"/>
        <v>SFA</v>
      </c>
      <c r="AY415" s="22">
        <v>45100</v>
      </c>
      <c r="AZ415" s="22"/>
      <c r="BA415" s="1"/>
      <c r="BB415" s="22" t="str">
        <f t="shared" si="169"/>
        <v>MOTOR TPL</v>
      </c>
      <c r="BC415" s="1"/>
      <c r="BD415" s="1"/>
      <c r="BE415" s="1"/>
    </row>
    <row r="416" spans="1:57" ht="14.25" hidden="1" customHeight="1">
      <c r="A416" s="2" t="s">
        <v>212</v>
      </c>
      <c r="B416" s="1" t="s">
        <v>58</v>
      </c>
      <c r="C416" s="27">
        <v>45069</v>
      </c>
      <c r="D416" s="27">
        <v>45076</v>
      </c>
      <c r="E416" s="27">
        <v>45086</v>
      </c>
      <c r="F416" s="27">
        <v>45451</v>
      </c>
      <c r="G416" s="13" t="str">
        <f t="shared" si="153"/>
        <v>000-415/AIB RDC/2023</v>
      </c>
      <c r="H416" s="1">
        <v>1</v>
      </c>
      <c r="I416" s="1" t="s">
        <v>68</v>
      </c>
      <c r="J416" s="2" t="s">
        <v>661</v>
      </c>
      <c r="K416" s="2" t="s">
        <v>662</v>
      </c>
      <c r="L416" s="1"/>
      <c r="M416" s="1" t="s">
        <v>99</v>
      </c>
      <c r="N416" s="1" t="s">
        <v>100</v>
      </c>
      <c r="O416" s="1" t="s">
        <v>133</v>
      </c>
      <c r="P416" s="1" t="s">
        <v>134</v>
      </c>
      <c r="Q416" s="1" t="s">
        <v>127</v>
      </c>
      <c r="R416" s="1" t="s">
        <v>127</v>
      </c>
      <c r="S416" s="25">
        <v>35000</v>
      </c>
      <c r="T416" s="25">
        <v>1751.12</v>
      </c>
      <c r="U416" s="25">
        <v>0</v>
      </c>
      <c r="V416" s="16">
        <v>0</v>
      </c>
      <c r="W416" s="25">
        <v>10</v>
      </c>
      <c r="X416" s="25">
        <v>1474</v>
      </c>
      <c r="Y416" s="25">
        <v>237.44</v>
      </c>
      <c r="Z416" s="17">
        <f t="shared" si="154"/>
        <v>4.2114285714285715E-2</v>
      </c>
      <c r="AA416" s="18">
        <v>0.15</v>
      </c>
      <c r="AB416" s="16">
        <f t="shared" si="148"/>
        <v>221.1</v>
      </c>
      <c r="AC416" s="16">
        <v>0</v>
      </c>
      <c r="AD416" s="16">
        <v>0</v>
      </c>
      <c r="AE416" s="16">
        <v>0</v>
      </c>
      <c r="AF416" s="16">
        <f t="shared" si="155"/>
        <v>221.1</v>
      </c>
      <c r="AG416" s="16">
        <f t="shared" si="167"/>
        <v>35.375999999999998</v>
      </c>
      <c r="AH416" s="16">
        <f t="shared" si="156"/>
        <v>256.476</v>
      </c>
      <c r="AI416" s="16">
        <f t="shared" si="168"/>
        <v>4.4219999999999997</v>
      </c>
      <c r="AJ416" s="16">
        <v>0</v>
      </c>
      <c r="AK416" s="16">
        <f t="shared" si="158"/>
        <v>4.4219999999999997</v>
      </c>
      <c r="AL416" s="19"/>
      <c r="AM416" s="16">
        <f t="shared" si="159"/>
        <v>216.678</v>
      </c>
      <c r="AN416" s="16"/>
      <c r="AO416" s="20"/>
      <c r="AP416" s="16">
        <f t="shared" si="160"/>
        <v>0</v>
      </c>
      <c r="AQ416" s="16"/>
      <c r="AR416" s="15"/>
      <c r="AS416" s="16">
        <f t="shared" si="161"/>
        <v>0</v>
      </c>
      <c r="AT416" s="16"/>
      <c r="AU416" s="16">
        <v>256.476</v>
      </c>
      <c r="AV416" s="16">
        <f t="shared" si="152"/>
        <v>256.476</v>
      </c>
      <c r="AW416" s="16">
        <f t="shared" si="162"/>
        <v>0</v>
      </c>
      <c r="AX416" s="16" t="str">
        <f t="shared" si="163"/>
        <v>MAYFAIR</v>
      </c>
      <c r="AY416" s="22">
        <v>45106</v>
      </c>
      <c r="AZ416" s="22"/>
      <c r="BA416" s="1"/>
      <c r="BB416" s="22" t="str">
        <f t="shared" si="169"/>
        <v>COMP MOTOR</v>
      </c>
      <c r="BC416" s="1"/>
      <c r="BD416" s="1"/>
      <c r="BE416" s="1"/>
    </row>
    <row r="417" spans="1:57" ht="15.75" hidden="1" customHeight="1">
      <c r="A417" s="2" t="s">
        <v>230</v>
      </c>
      <c r="B417" s="1" t="s">
        <v>58</v>
      </c>
      <c r="C417" s="27">
        <v>45071</v>
      </c>
      <c r="D417" s="27">
        <v>45096</v>
      </c>
      <c r="E417" s="27">
        <v>45077</v>
      </c>
      <c r="F417" s="27">
        <v>45442</v>
      </c>
      <c r="G417" s="13" t="str">
        <f t="shared" si="153"/>
        <v>000-416/AIB RDC/2023</v>
      </c>
      <c r="H417" s="1">
        <v>0</v>
      </c>
      <c r="I417" s="1" t="s">
        <v>83</v>
      </c>
      <c r="J417" s="2" t="s">
        <v>663</v>
      </c>
      <c r="K417" s="2" t="s">
        <v>664</v>
      </c>
      <c r="L417" s="1"/>
      <c r="M417" s="1" t="s">
        <v>99</v>
      </c>
      <c r="N417" s="1" t="s">
        <v>100</v>
      </c>
      <c r="O417" s="1" t="s">
        <v>111</v>
      </c>
      <c r="P417" s="1" t="s">
        <v>112</v>
      </c>
      <c r="Q417" s="1" t="s">
        <v>117</v>
      </c>
      <c r="R417" s="1" t="s">
        <v>665</v>
      </c>
      <c r="S417" s="25">
        <v>997526</v>
      </c>
      <c r="T417" s="25">
        <v>2810.93</v>
      </c>
      <c r="U417" s="25">
        <v>359.88</v>
      </c>
      <c r="V417" s="16">
        <v>0</v>
      </c>
      <c r="W417" s="25">
        <v>23.99</v>
      </c>
      <c r="X417" s="25">
        <v>2039.34</v>
      </c>
      <c r="Y417" s="25">
        <v>387.72</v>
      </c>
      <c r="Z417" s="17">
        <f t="shared" si="154"/>
        <v>2.044397840256795E-3</v>
      </c>
      <c r="AA417" s="18">
        <v>0</v>
      </c>
      <c r="AB417" s="16">
        <f t="shared" si="148"/>
        <v>0</v>
      </c>
      <c r="AC417" s="16">
        <f>30%*U417</f>
        <v>107.964</v>
      </c>
      <c r="AD417" s="16">
        <v>344.83</v>
      </c>
      <c r="AE417" s="16">
        <v>0</v>
      </c>
      <c r="AF417" s="16">
        <f t="shared" si="155"/>
        <v>452.79399999999998</v>
      </c>
      <c r="AG417" s="16">
        <f t="shared" si="167"/>
        <v>72.447040000000001</v>
      </c>
      <c r="AH417" s="16">
        <f t="shared" si="156"/>
        <v>525.24104</v>
      </c>
      <c r="AI417" s="16">
        <f t="shared" si="168"/>
        <v>9.0558800000000002</v>
      </c>
      <c r="AJ417" s="16">
        <v>0</v>
      </c>
      <c r="AK417" s="16">
        <f t="shared" si="158"/>
        <v>9.0558800000000002</v>
      </c>
      <c r="AL417" s="19"/>
      <c r="AM417" s="16">
        <f t="shared" si="159"/>
        <v>443.73811999999998</v>
      </c>
      <c r="AN417" s="16" t="s">
        <v>77</v>
      </c>
      <c r="AO417" s="20">
        <v>0.35</v>
      </c>
      <c r="AP417" s="16">
        <f t="shared" si="160"/>
        <v>155.30834199999998</v>
      </c>
      <c r="AQ417" s="16"/>
      <c r="AR417" s="15"/>
      <c r="AS417" s="16">
        <f t="shared" si="161"/>
        <v>155.30834199999998</v>
      </c>
      <c r="AT417" s="16"/>
      <c r="AU417" s="16">
        <v>525.24104</v>
      </c>
      <c r="AV417" s="16">
        <f t="shared" si="152"/>
        <v>525.24104</v>
      </c>
      <c r="AW417" s="16">
        <f t="shared" si="162"/>
        <v>0</v>
      </c>
      <c r="AX417" s="16" t="str">
        <f t="shared" si="163"/>
        <v>SUNU</v>
      </c>
      <c r="AY417" s="22">
        <v>45166</v>
      </c>
      <c r="AZ417" s="22"/>
      <c r="BA417" s="1"/>
      <c r="BB417" s="22" t="str">
        <f t="shared" si="169"/>
        <v>GENERAL LIABILITY</v>
      </c>
      <c r="BC417" s="1"/>
      <c r="BD417" s="1"/>
      <c r="BE417" s="1" t="s">
        <v>156</v>
      </c>
    </row>
    <row r="418" spans="1:57" ht="14.25" hidden="1" customHeight="1">
      <c r="A418" s="2" t="s">
        <v>230</v>
      </c>
      <c r="B418" s="1" t="s">
        <v>58</v>
      </c>
      <c r="C418" s="27">
        <v>45070</v>
      </c>
      <c r="D418" s="27">
        <v>45099</v>
      </c>
      <c r="E418" s="27">
        <v>45061</v>
      </c>
      <c r="F418" s="27">
        <v>45412</v>
      </c>
      <c r="G418" s="13" t="str">
        <f t="shared" si="153"/>
        <v>000-417/AIB RDC/2023</v>
      </c>
      <c r="H418" s="1">
        <v>0</v>
      </c>
      <c r="I418" s="1" t="s">
        <v>83</v>
      </c>
      <c r="J418" s="2" t="s">
        <v>666</v>
      </c>
      <c r="K418" s="2" t="s">
        <v>193</v>
      </c>
      <c r="L418" s="1"/>
      <c r="M418" s="1" t="s">
        <v>99</v>
      </c>
      <c r="N418" s="1" t="s">
        <v>100</v>
      </c>
      <c r="O418" s="1" t="s">
        <v>309</v>
      </c>
      <c r="P418" s="1" t="s">
        <v>234</v>
      </c>
      <c r="Q418" s="1" t="s">
        <v>127</v>
      </c>
      <c r="R418" s="1" t="s">
        <v>127</v>
      </c>
      <c r="S418" s="25">
        <v>0</v>
      </c>
      <c r="T418" s="25">
        <v>13095.35</v>
      </c>
      <c r="U418" s="16">
        <v>0</v>
      </c>
      <c r="V418" s="16">
        <v>0</v>
      </c>
      <c r="W418" s="25">
        <v>100</v>
      </c>
      <c r="X418" s="25">
        <v>10997.75</v>
      </c>
      <c r="Y418" s="25">
        <v>1775.64</v>
      </c>
      <c r="Z418" s="17" t="e">
        <f t="shared" si="154"/>
        <v>#DIV/0!</v>
      </c>
      <c r="AA418" s="18">
        <v>0.15</v>
      </c>
      <c r="AB418" s="16">
        <f t="shared" si="148"/>
        <v>1649.6624999999999</v>
      </c>
      <c r="AC418" s="16">
        <v>0</v>
      </c>
      <c r="AD418" s="16">
        <v>0</v>
      </c>
      <c r="AE418" s="16">
        <v>0</v>
      </c>
      <c r="AF418" s="16">
        <f t="shared" si="155"/>
        <v>1649.6624999999999</v>
      </c>
      <c r="AG418" s="16">
        <f t="shared" si="167"/>
        <v>263.94599999999997</v>
      </c>
      <c r="AH418" s="16">
        <f t="shared" si="156"/>
        <v>1913.6084999999998</v>
      </c>
      <c r="AI418" s="16">
        <f t="shared" si="168"/>
        <v>32.993249999999996</v>
      </c>
      <c r="AJ418" s="16">
        <v>0</v>
      </c>
      <c r="AK418" s="16">
        <f t="shared" si="158"/>
        <v>32.993249999999996</v>
      </c>
      <c r="AL418" s="19"/>
      <c r="AM418" s="16">
        <f t="shared" si="159"/>
        <v>1616.6692499999999</v>
      </c>
      <c r="AN418" s="16" t="s">
        <v>195</v>
      </c>
      <c r="AO418" s="20"/>
      <c r="AP418" s="16">
        <f t="shared" si="160"/>
        <v>0</v>
      </c>
      <c r="AQ418" s="16"/>
      <c r="AR418" s="15"/>
      <c r="AS418" s="16">
        <f t="shared" si="161"/>
        <v>0</v>
      </c>
      <c r="AT418" s="16"/>
      <c r="AU418" s="16">
        <v>1913.6084999999998</v>
      </c>
      <c r="AV418" s="16">
        <f t="shared" si="152"/>
        <v>1913.6084999999998</v>
      </c>
      <c r="AW418" s="44">
        <f t="shared" si="162"/>
        <v>0</v>
      </c>
      <c r="AX418" s="16" t="str">
        <f t="shared" si="163"/>
        <v>MAYFAIR</v>
      </c>
      <c r="AY418" s="22">
        <v>45146</v>
      </c>
      <c r="AZ418" s="22"/>
      <c r="BA418" s="1"/>
      <c r="BB418" s="22" t="str">
        <f t="shared" si="169"/>
        <v>TRC</v>
      </c>
      <c r="BC418" s="1"/>
      <c r="BD418" s="1"/>
      <c r="BE418" s="1"/>
    </row>
    <row r="419" spans="1:57" ht="14.25" hidden="1" customHeight="1">
      <c r="A419" s="2" t="s">
        <v>230</v>
      </c>
      <c r="B419" s="1" t="s">
        <v>58</v>
      </c>
      <c r="C419" s="27">
        <v>45070</v>
      </c>
      <c r="D419" s="27">
        <v>45099</v>
      </c>
      <c r="E419" s="27">
        <v>45061</v>
      </c>
      <c r="F419" s="27">
        <v>45412</v>
      </c>
      <c r="G419" s="13" t="str">
        <f t="shared" si="153"/>
        <v>000-418/AIB RDC/2023</v>
      </c>
      <c r="H419" s="1">
        <v>0</v>
      </c>
      <c r="I419" s="1" t="s">
        <v>83</v>
      </c>
      <c r="J419" s="2" t="s">
        <v>667</v>
      </c>
      <c r="K419" s="2" t="s">
        <v>193</v>
      </c>
      <c r="L419" s="1"/>
      <c r="M419" s="1" t="s">
        <v>99</v>
      </c>
      <c r="N419" s="1" t="s">
        <v>100</v>
      </c>
      <c r="O419" s="1" t="s">
        <v>309</v>
      </c>
      <c r="P419" s="1" t="s">
        <v>234</v>
      </c>
      <c r="Q419" s="1" t="s">
        <v>127</v>
      </c>
      <c r="R419" s="1" t="s">
        <v>127</v>
      </c>
      <c r="S419" s="25">
        <v>0</v>
      </c>
      <c r="T419" s="25">
        <v>26030.43</v>
      </c>
      <c r="U419" s="16">
        <v>0</v>
      </c>
      <c r="V419" s="16">
        <v>0</v>
      </c>
      <c r="W419" s="25">
        <v>100</v>
      </c>
      <c r="X419" s="25">
        <v>21959.72</v>
      </c>
      <c r="Y419" s="25">
        <v>3529.56</v>
      </c>
      <c r="Z419" s="17" t="e">
        <f t="shared" si="154"/>
        <v>#DIV/0!</v>
      </c>
      <c r="AA419" s="18">
        <v>0.15</v>
      </c>
      <c r="AB419" s="16">
        <f t="shared" si="148"/>
        <v>3293.9580000000001</v>
      </c>
      <c r="AC419" s="16">
        <v>0</v>
      </c>
      <c r="AD419" s="16">
        <v>0</v>
      </c>
      <c r="AE419" s="16">
        <v>0</v>
      </c>
      <c r="AF419" s="16">
        <f t="shared" si="155"/>
        <v>3293.9580000000001</v>
      </c>
      <c r="AG419" s="16">
        <f t="shared" si="167"/>
        <v>527.03327999999999</v>
      </c>
      <c r="AH419" s="16">
        <f t="shared" si="156"/>
        <v>3820.9912800000002</v>
      </c>
      <c r="AI419" s="16">
        <f t="shared" si="168"/>
        <v>65.879159999999999</v>
      </c>
      <c r="AJ419" s="16">
        <v>0</v>
      </c>
      <c r="AK419" s="16">
        <f t="shared" si="158"/>
        <v>65.879159999999999</v>
      </c>
      <c r="AL419" s="19"/>
      <c r="AM419" s="16">
        <f t="shared" si="159"/>
        <v>3228.0788400000001</v>
      </c>
      <c r="AN419" s="16" t="s">
        <v>195</v>
      </c>
      <c r="AO419" s="20"/>
      <c r="AP419" s="16">
        <f t="shared" si="160"/>
        <v>0</v>
      </c>
      <c r="AQ419" s="16"/>
      <c r="AR419" s="15"/>
      <c r="AS419" s="16">
        <f t="shared" si="161"/>
        <v>0</v>
      </c>
      <c r="AT419" s="16"/>
      <c r="AU419" s="16">
        <v>3820.9912800000002</v>
      </c>
      <c r="AV419" s="16">
        <f t="shared" si="152"/>
        <v>3820.9912800000002</v>
      </c>
      <c r="AW419" s="44">
        <f t="shared" si="162"/>
        <v>0</v>
      </c>
      <c r="AX419" s="16" t="str">
        <f t="shared" si="163"/>
        <v>MAYFAIR</v>
      </c>
      <c r="AY419" s="22">
        <v>45146</v>
      </c>
      <c r="AZ419" s="22"/>
      <c r="BA419" s="1"/>
      <c r="BB419" s="22" t="str">
        <f t="shared" si="169"/>
        <v>TRC</v>
      </c>
      <c r="BC419" s="1"/>
      <c r="BD419" s="1"/>
      <c r="BE419" s="1"/>
    </row>
    <row r="420" spans="1:57" ht="12.75" hidden="1" customHeight="1">
      <c r="A420" s="2" t="s">
        <v>230</v>
      </c>
      <c r="B420" s="1" t="s">
        <v>58</v>
      </c>
      <c r="C420" s="27">
        <v>45075</v>
      </c>
      <c r="D420" s="27">
        <v>45075</v>
      </c>
      <c r="E420" s="27">
        <v>45075</v>
      </c>
      <c r="F420" s="27">
        <v>45165</v>
      </c>
      <c r="G420" s="13" t="str">
        <f t="shared" si="153"/>
        <v>000-419/AIB RDC/2023</v>
      </c>
      <c r="H420" s="1">
        <v>0</v>
      </c>
      <c r="I420" s="1" t="s">
        <v>83</v>
      </c>
      <c r="J420" s="2" t="s">
        <v>668</v>
      </c>
      <c r="K420" s="2" t="s">
        <v>370</v>
      </c>
      <c r="L420" s="1"/>
      <c r="M420" s="1" t="s">
        <v>99</v>
      </c>
      <c r="N420" s="1" t="s">
        <v>100</v>
      </c>
      <c r="O420" s="1" t="s">
        <v>104</v>
      </c>
      <c r="P420" s="1" t="s">
        <v>105</v>
      </c>
      <c r="Q420" s="1" t="s">
        <v>66</v>
      </c>
      <c r="R420" s="1" t="s">
        <v>66</v>
      </c>
      <c r="S420" s="25">
        <v>6358.81</v>
      </c>
      <c r="T420" s="25">
        <v>49.85</v>
      </c>
      <c r="U420" s="25">
        <v>0</v>
      </c>
      <c r="V420" s="25">
        <v>0</v>
      </c>
      <c r="W420" s="25">
        <v>6.42</v>
      </c>
      <c r="X420" s="25">
        <v>15</v>
      </c>
      <c r="Y420" s="25">
        <v>3.43</v>
      </c>
      <c r="Z420" s="17">
        <f t="shared" si="154"/>
        <v>2.3589319385230881E-3</v>
      </c>
      <c r="AA420" s="18">
        <v>0.15</v>
      </c>
      <c r="AB420" s="16">
        <f t="shared" si="148"/>
        <v>2.25</v>
      </c>
      <c r="AC420" s="16">
        <v>0</v>
      </c>
      <c r="AD420" s="16">
        <v>0</v>
      </c>
      <c r="AE420" s="16">
        <v>0</v>
      </c>
      <c r="AF420" s="16">
        <f t="shared" si="155"/>
        <v>2.25</v>
      </c>
      <c r="AG420" s="16">
        <f t="shared" si="167"/>
        <v>0.36</v>
      </c>
      <c r="AH420" s="16">
        <f t="shared" si="156"/>
        <v>2.61</v>
      </c>
      <c r="AI420" s="16">
        <f t="shared" si="168"/>
        <v>4.4999999999999998E-2</v>
      </c>
      <c r="AJ420" s="16">
        <v>0</v>
      </c>
      <c r="AK420" s="16">
        <f t="shared" si="158"/>
        <v>4.4999999999999998E-2</v>
      </c>
      <c r="AL420" s="19"/>
      <c r="AM420" s="16">
        <f t="shared" si="159"/>
        <v>2.2050000000000001</v>
      </c>
      <c r="AN420" s="16"/>
      <c r="AO420" s="20"/>
      <c r="AP420" s="16">
        <f t="shared" si="160"/>
        <v>0</v>
      </c>
      <c r="AQ420" s="16"/>
      <c r="AR420" s="15"/>
      <c r="AS420" s="16">
        <f t="shared" si="161"/>
        <v>0</v>
      </c>
      <c r="AT420" s="16"/>
      <c r="AU420" s="16">
        <v>2.61</v>
      </c>
      <c r="AV420" s="16">
        <f t="shared" si="152"/>
        <v>2.61</v>
      </c>
      <c r="AW420" s="16">
        <f t="shared" si="162"/>
        <v>0</v>
      </c>
      <c r="AX420" s="16" t="str">
        <f t="shared" si="163"/>
        <v>SFA</v>
      </c>
      <c r="AY420" s="22">
        <v>45135</v>
      </c>
      <c r="AZ420" s="22"/>
      <c r="BA420" s="1"/>
      <c r="BB420" s="22" t="str">
        <f t="shared" si="169"/>
        <v>MARINE CARGO / GIT</v>
      </c>
      <c r="BC420" s="1"/>
      <c r="BD420" s="1"/>
      <c r="BE420" s="1"/>
    </row>
    <row r="421" spans="1:57" ht="16.5" hidden="1" customHeight="1">
      <c r="A421" s="2" t="s">
        <v>212</v>
      </c>
      <c r="B421" s="1" t="s">
        <v>58</v>
      </c>
      <c r="C421" s="27">
        <v>44995</v>
      </c>
      <c r="D421" s="27">
        <v>45058</v>
      </c>
      <c r="E421" s="27">
        <v>45078</v>
      </c>
      <c r="F421" s="27">
        <v>45443</v>
      </c>
      <c r="G421" s="13" t="str">
        <f t="shared" si="153"/>
        <v>000-420/AIB RDC/2023</v>
      </c>
      <c r="H421" s="1">
        <v>0</v>
      </c>
      <c r="I421" s="1" t="s">
        <v>83</v>
      </c>
      <c r="J421" s="2" t="s">
        <v>669</v>
      </c>
      <c r="K421" s="2" t="s">
        <v>70</v>
      </c>
      <c r="L421" s="1" t="s">
        <v>62</v>
      </c>
      <c r="M421" s="1" t="s">
        <v>63</v>
      </c>
      <c r="N421" s="1" t="s">
        <v>64</v>
      </c>
      <c r="O421" s="1" t="s">
        <v>104</v>
      </c>
      <c r="P421" s="1" t="s">
        <v>105</v>
      </c>
      <c r="Q421" s="1" t="s">
        <v>66</v>
      </c>
      <c r="R421" s="1" t="s">
        <v>66</v>
      </c>
      <c r="S421" s="25">
        <v>50000000</v>
      </c>
      <c r="T421" s="25">
        <v>83266.05</v>
      </c>
      <c r="U421" s="25">
        <v>0</v>
      </c>
      <c r="V421" s="25">
        <v>0</v>
      </c>
      <c r="W421" s="25">
        <v>2454.11</v>
      </c>
      <c r="X421" s="25">
        <v>69521.63</v>
      </c>
      <c r="Y421" s="25">
        <v>11290.31</v>
      </c>
      <c r="Z421" s="17">
        <f t="shared" si="154"/>
        <v>1.3904326E-3</v>
      </c>
      <c r="AA421" s="18">
        <v>0.15</v>
      </c>
      <c r="AB421" s="16">
        <f t="shared" si="148"/>
        <v>10428.244500000001</v>
      </c>
      <c r="AC421" s="16">
        <v>0</v>
      </c>
      <c r="AD421" s="16">
        <v>0</v>
      </c>
      <c r="AE421" s="16">
        <v>0</v>
      </c>
      <c r="AF421" s="16">
        <f t="shared" si="155"/>
        <v>10428.244500000001</v>
      </c>
      <c r="AG421" s="16">
        <f t="shared" si="167"/>
        <v>1668.5191200000002</v>
      </c>
      <c r="AH421" s="16">
        <f t="shared" si="156"/>
        <v>12096.763620000002</v>
      </c>
      <c r="AI421" s="16">
        <f t="shared" si="168"/>
        <v>208.56489000000002</v>
      </c>
      <c r="AJ421" s="16">
        <v>0</v>
      </c>
      <c r="AK421" s="16">
        <f t="shared" si="158"/>
        <v>208.56489000000002</v>
      </c>
      <c r="AL421" s="19"/>
      <c r="AM421" s="16">
        <f t="shared" si="159"/>
        <v>10219.679610000001</v>
      </c>
      <c r="AN421" s="16" t="s">
        <v>319</v>
      </c>
      <c r="AO421" s="20"/>
      <c r="AP421" s="16">
        <f t="shared" si="160"/>
        <v>0</v>
      </c>
      <c r="AQ421" s="16"/>
      <c r="AR421" s="15"/>
      <c r="AS421" s="16">
        <f t="shared" si="161"/>
        <v>0</v>
      </c>
      <c r="AT421" s="16"/>
      <c r="AU421" s="16">
        <v>12096.763620000002</v>
      </c>
      <c r="AV421" s="16">
        <f t="shared" ref="AV421:AV452" si="170">AH421</f>
        <v>12096.763620000002</v>
      </c>
      <c r="AW421" s="16">
        <f t="shared" si="162"/>
        <v>0</v>
      </c>
      <c r="AX421" s="16" t="str">
        <f t="shared" si="163"/>
        <v>SFA</v>
      </c>
      <c r="AY421" s="22">
        <v>45100</v>
      </c>
      <c r="AZ421" s="22"/>
      <c r="BA421" s="1"/>
      <c r="BB421" s="22" t="str">
        <f t="shared" si="169"/>
        <v>MARINE CARGO / GIT</v>
      </c>
      <c r="BC421" s="1"/>
      <c r="BD421" s="1"/>
      <c r="BE421" s="1"/>
    </row>
    <row r="422" spans="1:57" ht="15" hidden="1" customHeight="1">
      <c r="A422" s="2" t="s">
        <v>230</v>
      </c>
      <c r="B422" s="1" t="s">
        <v>58</v>
      </c>
      <c r="C422" s="27">
        <v>45057</v>
      </c>
      <c r="D422" s="27">
        <v>45064</v>
      </c>
      <c r="E422" s="27">
        <v>45064</v>
      </c>
      <c r="F422" s="27">
        <v>45175</v>
      </c>
      <c r="G422" s="13" t="str">
        <f t="shared" si="153"/>
        <v>000-421/AIB RDC/2023</v>
      </c>
      <c r="H422" s="1">
        <v>2</v>
      </c>
      <c r="I422" s="1" t="s">
        <v>59</v>
      </c>
      <c r="J422" s="38" t="s">
        <v>213</v>
      </c>
      <c r="K422" s="2" t="s">
        <v>214</v>
      </c>
      <c r="L422" s="1" t="s">
        <v>62</v>
      </c>
      <c r="M422" s="1" t="s">
        <v>63</v>
      </c>
      <c r="N422" s="1" t="s">
        <v>64</v>
      </c>
      <c r="O422" s="1" t="s">
        <v>133</v>
      </c>
      <c r="P422" s="1" t="s">
        <v>134</v>
      </c>
      <c r="Q422" s="1" t="s">
        <v>66</v>
      </c>
      <c r="R422" s="1" t="s">
        <v>66</v>
      </c>
      <c r="S422" s="25">
        <v>183300</v>
      </c>
      <c r="T422" s="25">
        <v>2904.61</v>
      </c>
      <c r="U422" s="25">
        <v>0</v>
      </c>
      <c r="V422" s="25">
        <v>0</v>
      </c>
      <c r="W422" s="25">
        <v>91.14</v>
      </c>
      <c r="X422" s="25">
        <v>2412.84</v>
      </c>
      <c r="Y422" s="25">
        <v>400.63</v>
      </c>
      <c r="Z422" s="17">
        <f t="shared" si="154"/>
        <v>1.3163338788870705E-2</v>
      </c>
      <c r="AA422" s="18">
        <v>0.15</v>
      </c>
      <c r="AB422" s="16">
        <f t="shared" si="148"/>
        <v>361.92599999999999</v>
      </c>
      <c r="AC422" s="16">
        <v>0</v>
      </c>
      <c r="AD422" s="16">
        <v>0</v>
      </c>
      <c r="AE422" s="16">
        <v>0</v>
      </c>
      <c r="AF422" s="16">
        <f t="shared" si="155"/>
        <v>361.92599999999999</v>
      </c>
      <c r="AG422" s="16">
        <f t="shared" si="167"/>
        <v>57.908160000000002</v>
      </c>
      <c r="AH422" s="16">
        <f t="shared" si="156"/>
        <v>419.83416</v>
      </c>
      <c r="AI422" s="16">
        <f t="shared" si="168"/>
        <v>7.2385200000000003</v>
      </c>
      <c r="AJ422" s="16">
        <v>0</v>
      </c>
      <c r="AK422" s="16">
        <f t="shared" si="158"/>
        <v>7.2385200000000003</v>
      </c>
      <c r="AL422" s="19"/>
      <c r="AM422" s="16">
        <f t="shared" si="159"/>
        <v>354.68747999999999</v>
      </c>
      <c r="AN422" s="16" t="s">
        <v>215</v>
      </c>
      <c r="AO422" s="20">
        <v>0.5</v>
      </c>
      <c r="AP422" s="16">
        <f t="shared" si="160"/>
        <v>177.34374</v>
      </c>
      <c r="AQ422" s="16">
        <v>177.34</v>
      </c>
      <c r="AR422" s="15">
        <v>45222</v>
      </c>
      <c r="AS422" s="16">
        <f t="shared" si="161"/>
        <v>3.7399999999934153E-3</v>
      </c>
      <c r="AT422" s="16"/>
      <c r="AU422" s="16">
        <v>419.83416</v>
      </c>
      <c r="AV422" s="16">
        <f t="shared" si="170"/>
        <v>419.83416</v>
      </c>
      <c r="AW422" s="16">
        <f t="shared" si="162"/>
        <v>0</v>
      </c>
      <c r="AX422" s="16" t="str">
        <f t="shared" si="163"/>
        <v>SFA</v>
      </c>
      <c r="AY422" s="22">
        <v>45100</v>
      </c>
      <c r="AZ422" s="22"/>
      <c r="BA422" s="1"/>
      <c r="BB422" s="22" t="str">
        <f t="shared" si="169"/>
        <v>COMP MOTOR</v>
      </c>
      <c r="BC422" s="1"/>
      <c r="BD422" s="1"/>
      <c r="BE422" s="1"/>
    </row>
    <row r="423" spans="1:57" ht="14.25" customHeight="1">
      <c r="A423" s="2" t="s">
        <v>871</v>
      </c>
      <c r="B423" s="1" t="s">
        <v>169</v>
      </c>
      <c r="C423" s="27">
        <v>45056</v>
      </c>
      <c r="D423" s="27"/>
      <c r="E423" s="27">
        <v>45139</v>
      </c>
      <c r="F423" s="27">
        <v>44934</v>
      </c>
      <c r="G423" s="13" t="str">
        <f t="shared" si="153"/>
        <v>000-422/AIB RDC/2023</v>
      </c>
      <c r="H423" s="1">
        <v>1</v>
      </c>
      <c r="I423" s="1" t="s">
        <v>918</v>
      </c>
      <c r="J423" s="29"/>
      <c r="K423" s="2" t="s">
        <v>1111</v>
      </c>
      <c r="L423" s="1" t="s">
        <v>116</v>
      </c>
      <c r="M423" s="1" t="s">
        <v>63</v>
      </c>
      <c r="N423" s="1" t="s">
        <v>64</v>
      </c>
      <c r="O423" s="1" t="s">
        <v>250</v>
      </c>
      <c r="P423" s="1" t="s">
        <v>251</v>
      </c>
      <c r="Q423" s="1" t="s">
        <v>66</v>
      </c>
      <c r="R423" s="1" t="s">
        <v>1112</v>
      </c>
      <c r="S423" s="25">
        <v>0</v>
      </c>
      <c r="T423" s="25">
        <v>-691453.4</v>
      </c>
      <c r="U423" s="25">
        <v>-34725.199999999997</v>
      </c>
      <c r="V423" s="25">
        <v>0</v>
      </c>
      <c r="W423" s="25">
        <v>-100</v>
      </c>
      <c r="X423" s="25">
        <v>-561255.31999999995</v>
      </c>
      <c r="Y423" s="25">
        <v>-95372.88</v>
      </c>
      <c r="Z423" s="17" t="e">
        <f t="shared" si="154"/>
        <v>#DIV/0!</v>
      </c>
      <c r="AA423" s="18">
        <v>0</v>
      </c>
      <c r="AB423" s="16">
        <f t="shared" si="148"/>
        <v>0</v>
      </c>
      <c r="AC423" s="16">
        <f>30%*U423</f>
        <v>-10417.56</v>
      </c>
      <c r="AD423" s="16">
        <v>0</v>
      </c>
      <c r="AE423" s="16">
        <v>0</v>
      </c>
      <c r="AF423" s="16">
        <f t="shared" si="155"/>
        <v>-10417.56</v>
      </c>
      <c r="AG423" s="16">
        <f t="shared" si="167"/>
        <v>-1666.8096</v>
      </c>
      <c r="AH423" s="16">
        <f t="shared" si="156"/>
        <v>-12084.3696</v>
      </c>
      <c r="AI423" s="16">
        <f t="shared" si="168"/>
        <v>-208.35120000000001</v>
      </c>
      <c r="AJ423" s="16">
        <v>0</v>
      </c>
      <c r="AK423" s="16">
        <f t="shared" si="158"/>
        <v>-208.35120000000001</v>
      </c>
      <c r="AL423" s="19"/>
      <c r="AM423" s="16">
        <f t="shared" si="159"/>
        <v>-10209.2088</v>
      </c>
      <c r="AN423" s="16" t="s">
        <v>228</v>
      </c>
      <c r="AO423" s="20"/>
      <c r="AP423" s="16">
        <f t="shared" si="160"/>
        <v>0</v>
      </c>
      <c r="AQ423" s="16"/>
      <c r="AR423" s="15"/>
      <c r="AS423" s="16">
        <f t="shared" si="161"/>
        <v>0</v>
      </c>
      <c r="AT423" s="16"/>
      <c r="AU423" s="16"/>
      <c r="AV423" s="16">
        <f t="shared" si="170"/>
        <v>-12084.3696</v>
      </c>
      <c r="AW423" s="60">
        <f t="shared" si="162"/>
        <v>-12084.3696</v>
      </c>
      <c r="AX423" s="16" t="str">
        <f t="shared" si="163"/>
        <v>SFA</v>
      </c>
      <c r="AY423" s="22"/>
      <c r="BA423" s="1"/>
      <c r="BB423" s="22" t="str">
        <f t="shared" si="169"/>
        <v>AVIATION HULL ALL RISK</v>
      </c>
      <c r="BC423" s="1"/>
      <c r="BD423" s="1"/>
      <c r="BE423" s="1"/>
    </row>
    <row r="424" spans="1:57" ht="14.25" hidden="1" customHeight="1">
      <c r="A424" s="2" t="s">
        <v>57</v>
      </c>
      <c r="B424" s="1" t="s">
        <v>58</v>
      </c>
      <c r="C424" s="27">
        <v>44922</v>
      </c>
      <c r="D424" s="27">
        <v>45142</v>
      </c>
      <c r="E424" s="27">
        <v>44927</v>
      </c>
      <c r="F424" s="27">
        <v>45291</v>
      </c>
      <c r="G424" s="13" t="str">
        <f t="shared" si="153"/>
        <v>000-423/AIB RDC/2023</v>
      </c>
      <c r="H424" s="1">
        <v>0</v>
      </c>
      <c r="I424" s="1" t="s">
        <v>83</v>
      </c>
      <c r="J424" s="2" t="s">
        <v>671</v>
      </c>
      <c r="K424" s="2" t="s">
        <v>119</v>
      </c>
      <c r="L424" s="1" t="s">
        <v>120</v>
      </c>
      <c r="M424" s="1" t="s">
        <v>63</v>
      </c>
      <c r="N424" s="1" t="s">
        <v>64</v>
      </c>
      <c r="O424" s="1" t="s">
        <v>107</v>
      </c>
      <c r="P424" s="1" t="s">
        <v>108</v>
      </c>
      <c r="Q424" s="1" t="s">
        <v>66</v>
      </c>
      <c r="R424" s="1" t="s">
        <v>66</v>
      </c>
      <c r="S424" s="25">
        <v>21508509.5</v>
      </c>
      <c r="T424" s="25">
        <v>29289.73</v>
      </c>
      <c r="U424" s="25">
        <v>0</v>
      </c>
      <c r="V424" s="25">
        <v>0</v>
      </c>
      <c r="W424" s="25">
        <v>133.44</v>
      </c>
      <c r="X424" s="25">
        <v>24688.36</v>
      </c>
      <c r="Y424" s="25">
        <v>3971.49</v>
      </c>
      <c r="Z424" s="17">
        <f t="shared" si="154"/>
        <v>1.1478415089618368E-3</v>
      </c>
      <c r="AA424" s="18">
        <v>0.1</v>
      </c>
      <c r="AB424" s="16">
        <f t="shared" si="148"/>
        <v>2468.8360000000002</v>
      </c>
      <c r="AC424" s="16">
        <v>0</v>
      </c>
      <c r="AD424" s="16">
        <v>0</v>
      </c>
      <c r="AE424" s="16">
        <v>0</v>
      </c>
      <c r="AF424" s="16">
        <f t="shared" si="155"/>
        <v>2468.8360000000002</v>
      </c>
      <c r="AG424" s="16">
        <f t="shared" si="167"/>
        <v>395.01376000000005</v>
      </c>
      <c r="AH424" s="16">
        <f t="shared" si="156"/>
        <v>2863.8497600000001</v>
      </c>
      <c r="AI424" s="16">
        <f t="shared" si="168"/>
        <v>49.376720000000006</v>
      </c>
      <c r="AJ424" s="16"/>
      <c r="AK424" s="16">
        <f t="shared" si="158"/>
        <v>49.376720000000006</v>
      </c>
      <c r="AL424" s="19"/>
      <c r="AM424" s="16">
        <f t="shared" si="159"/>
        <v>2419.45928</v>
      </c>
      <c r="AN424" s="16" t="s">
        <v>77</v>
      </c>
      <c r="AO424" s="20">
        <v>0.35</v>
      </c>
      <c r="AP424" s="16">
        <f t="shared" si="160"/>
        <v>846.81074799999999</v>
      </c>
      <c r="AQ424" s="16"/>
      <c r="AR424" s="15"/>
      <c r="AS424" s="16">
        <f t="shared" si="161"/>
        <v>846.81074799999999</v>
      </c>
      <c r="AT424" s="16"/>
      <c r="AU424" s="16">
        <v>2863.8497600000001</v>
      </c>
      <c r="AV424" s="16">
        <f t="shared" si="170"/>
        <v>2863.8497600000001</v>
      </c>
      <c r="AW424" s="16">
        <f t="shared" si="162"/>
        <v>0</v>
      </c>
      <c r="AX424" s="16" t="str">
        <f t="shared" si="163"/>
        <v>SFA</v>
      </c>
      <c r="AY424" s="22">
        <v>45197</v>
      </c>
      <c r="AZ424" t="s">
        <v>155</v>
      </c>
      <c r="BA424" s="1"/>
      <c r="BB424" s="22" t="str">
        <f t="shared" si="169"/>
        <v>FIRE</v>
      </c>
      <c r="BC424" s="1"/>
      <c r="BD424" s="1"/>
      <c r="BE424" s="1" t="s">
        <v>672</v>
      </c>
    </row>
    <row r="425" spans="1:57" ht="14.25" hidden="1" customHeight="1">
      <c r="A425" s="2" t="s">
        <v>165</v>
      </c>
      <c r="B425" s="1" t="s">
        <v>58</v>
      </c>
      <c r="C425" s="27">
        <v>45079</v>
      </c>
      <c r="D425" s="27">
        <v>45005</v>
      </c>
      <c r="E425" s="27">
        <v>44992</v>
      </c>
      <c r="F425" s="27">
        <v>45356</v>
      </c>
      <c r="G425" s="13" t="str">
        <f t="shared" si="153"/>
        <v>000-424/AIB RDC/2023</v>
      </c>
      <c r="H425" s="1">
        <v>0</v>
      </c>
      <c r="I425" s="1" t="s">
        <v>83</v>
      </c>
      <c r="J425" s="14" t="s">
        <v>673</v>
      </c>
      <c r="K425" s="1" t="s">
        <v>197</v>
      </c>
      <c r="L425" s="1"/>
      <c r="M425" s="1" t="s">
        <v>95</v>
      </c>
      <c r="N425" s="1" t="s">
        <v>146</v>
      </c>
      <c r="O425" s="1" t="s">
        <v>104</v>
      </c>
      <c r="P425" s="1" t="s">
        <v>105</v>
      </c>
      <c r="Q425" s="1" t="s">
        <v>66</v>
      </c>
      <c r="R425" s="1" t="s">
        <v>66</v>
      </c>
      <c r="S425" s="25">
        <v>27069</v>
      </c>
      <c r="T425" s="25">
        <v>92.36</v>
      </c>
      <c r="U425" s="25">
        <v>0</v>
      </c>
      <c r="V425" s="25">
        <v>0</v>
      </c>
      <c r="W425" s="25">
        <v>2.81</v>
      </c>
      <c r="X425" s="25">
        <v>54.28</v>
      </c>
      <c r="Y425" s="25">
        <v>9.1300000000000008</v>
      </c>
      <c r="Z425" s="17">
        <f t="shared" si="154"/>
        <v>2.0052458531899958E-3</v>
      </c>
      <c r="AA425" s="18">
        <v>0.15</v>
      </c>
      <c r="AB425" s="16">
        <f t="shared" si="148"/>
        <v>8.1419999999999995</v>
      </c>
      <c r="AC425" s="16">
        <v>0</v>
      </c>
      <c r="AD425" s="16">
        <v>0</v>
      </c>
      <c r="AE425" s="16">
        <v>0</v>
      </c>
      <c r="AF425" s="16">
        <f t="shared" si="155"/>
        <v>8.1419999999999995</v>
      </c>
      <c r="AG425" s="16">
        <f t="shared" si="167"/>
        <v>1.3027199999999999</v>
      </c>
      <c r="AH425" s="16">
        <f t="shared" si="156"/>
        <v>9.4447200000000002</v>
      </c>
      <c r="AI425" s="16">
        <f t="shared" si="168"/>
        <v>0.16283999999999998</v>
      </c>
      <c r="AJ425" s="16">
        <v>0</v>
      </c>
      <c r="AK425" s="16">
        <f t="shared" si="158"/>
        <v>0.16283999999999998</v>
      </c>
      <c r="AL425" s="19"/>
      <c r="AM425" s="16">
        <f t="shared" si="159"/>
        <v>7.9791599999999994</v>
      </c>
      <c r="AN425" s="16" t="s">
        <v>147</v>
      </c>
      <c r="AO425" s="20">
        <v>0.4</v>
      </c>
      <c r="AP425" s="16">
        <f t="shared" si="160"/>
        <v>3.1916639999999998</v>
      </c>
      <c r="AQ425" s="16">
        <v>3.1916639999999998</v>
      </c>
      <c r="AR425" s="15">
        <v>45229</v>
      </c>
      <c r="AS425" s="16">
        <f t="shared" si="161"/>
        <v>0</v>
      </c>
      <c r="AT425" s="16"/>
      <c r="AU425" s="16">
        <v>9.4447200000000002</v>
      </c>
      <c r="AV425" s="16">
        <f t="shared" si="170"/>
        <v>9.4447200000000002</v>
      </c>
      <c r="AW425" s="16">
        <f t="shared" si="162"/>
        <v>0</v>
      </c>
      <c r="AX425" s="16" t="str">
        <f t="shared" si="163"/>
        <v>SFA</v>
      </c>
      <c r="AY425" s="22">
        <v>45070</v>
      </c>
      <c r="AZ425" s="22"/>
      <c r="BA425" s="1" t="s">
        <v>148</v>
      </c>
      <c r="BB425" s="22" t="str">
        <f t="shared" si="169"/>
        <v>MARINE CARGO / GIT</v>
      </c>
      <c r="BC425" s="1"/>
      <c r="BD425" s="1"/>
      <c r="BE425" s="1"/>
    </row>
    <row r="426" spans="1:57" ht="14.25" hidden="1" customHeight="1">
      <c r="A426" s="2" t="s">
        <v>230</v>
      </c>
      <c r="B426" s="1" t="s">
        <v>58</v>
      </c>
      <c r="C426" s="27">
        <v>45056</v>
      </c>
      <c r="D426" s="27">
        <v>45057</v>
      </c>
      <c r="E426" s="27">
        <v>45057</v>
      </c>
      <c r="F426" s="27">
        <v>45117</v>
      </c>
      <c r="G426" s="13" t="str">
        <f t="shared" si="153"/>
        <v>000-425/AIB RDC/2023</v>
      </c>
      <c r="H426" s="1">
        <v>0</v>
      </c>
      <c r="I426" s="1" t="s">
        <v>83</v>
      </c>
      <c r="J426" s="2" t="s">
        <v>674</v>
      </c>
      <c r="K426" s="2" t="s">
        <v>501</v>
      </c>
      <c r="L426" s="1" t="s">
        <v>123</v>
      </c>
      <c r="M426" s="1" t="s">
        <v>63</v>
      </c>
      <c r="N426" s="1" t="s">
        <v>64</v>
      </c>
      <c r="O426" s="1" t="s">
        <v>104</v>
      </c>
      <c r="P426" s="1" t="s">
        <v>105</v>
      </c>
      <c r="Q426" s="1" t="s">
        <v>117</v>
      </c>
      <c r="R426" s="1" t="s">
        <v>117</v>
      </c>
      <c r="S426" s="25">
        <v>46927</v>
      </c>
      <c r="T426" s="25">
        <v>305.54000000000002</v>
      </c>
      <c r="U426" s="25">
        <v>0</v>
      </c>
      <c r="V426" s="25">
        <v>0</v>
      </c>
      <c r="W426" s="25">
        <v>10</v>
      </c>
      <c r="X426" s="25">
        <v>253.4</v>
      </c>
      <c r="Y426" s="25">
        <v>42.14</v>
      </c>
      <c r="Z426" s="17">
        <f t="shared" si="154"/>
        <v>5.3998764037760782E-3</v>
      </c>
      <c r="AA426" s="18">
        <v>0.15</v>
      </c>
      <c r="AB426" s="16">
        <f t="shared" si="148"/>
        <v>38.01</v>
      </c>
      <c r="AC426" s="16">
        <v>0</v>
      </c>
      <c r="AD426" s="16">
        <v>0</v>
      </c>
      <c r="AE426" s="16">
        <v>0</v>
      </c>
      <c r="AF426" s="16">
        <f t="shared" si="155"/>
        <v>38.01</v>
      </c>
      <c r="AG426" s="16">
        <f t="shared" si="167"/>
        <v>6.0815999999999999</v>
      </c>
      <c r="AH426" s="16">
        <f t="shared" si="156"/>
        <v>44.0916</v>
      </c>
      <c r="AI426" s="16">
        <f t="shared" si="168"/>
        <v>0.76019999999999999</v>
      </c>
      <c r="AJ426" s="16"/>
      <c r="AK426" s="16">
        <f t="shared" si="158"/>
        <v>0.76019999999999999</v>
      </c>
      <c r="AL426" s="19"/>
      <c r="AM426" s="16">
        <f t="shared" si="159"/>
        <v>37.2498</v>
      </c>
      <c r="AN426" s="16" t="s">
        <v>319</v>
      </c>
      <c r="AO426" s="20"/>
      <c r="AP426" s="16">
        <f t="shared" si="160"/>
        <v>0</v>
      </c>
      <c r="AQ426" s="16"/>
      <c r="AR426" s="15"/>
      <c r="AS426" s="16">
        <f t="shared" si="161"/>
        <v>0</v>
      </c>
      <c r="AT426" s="16"/>
      <c r="AU426" s="16">
        <v>44.0916</v>
      </c>
      <c r="AV426" s="16">
        <f t="shared" si="170"/>
        <v>44.0916</v>
      </c>
      <c r="AW426" s="16">
        <f t="shared" si="162"/>
        <v>0</v>
      </c>
      <c r="AX426" s="16" t="str">
        <f t="shared" si="163"/>
        <v>SUNU</v>
      </c>
      <c r="AY426" s="22">
        <v>45117</v>
      </c>
      <c r="AZ426" s="22"/>
      <c r="BA426" s="1"/>
      <c r="BB426" s="22" t="str">
        <f t="shared" si="169"/>
        <v>MARINE CARGO / GIT</v>
      </c>
      <c r="BC426" s="1"/>
      <c r="BD426" s="1"/>
      <c r="BE426" s="1"/>
    </row>
    <row r="427" spans="1:57" ht="14.25" hidden="1" customHeight="1">
      <c r="A427" s="2" t="s">
        <v>230</v>
      </c>
      <c r="B427" s="1" t="s">
        <v>58</v>
      </c>
      <c r="C427" s="27">
        <v>45056</v>
      </c>
      <c r="D427" s="27">
        <v>45057</v>
      </c>
      <c r="E427" s="27">
        <v>45057</v>
      </c>
      <c r="F427" s="27">
        <v>45117</v>
      </c>
      <c r="G427" s="13" t="str">
        <f t="shared" si="153"/>
        <v>000-426/AIB RDC/2023</v>
      </c>
      <c r="H427" s="1">
        <v>0</v>
      </c>
      <c r="I427" s="1" t="s">
        <v>83</v>
      </c>
      <c r="J427" s="2" t="s">
        <v>675</v>
      </c>
      <c r="K427" s="2" t="s">
        <v>501</v>
      </c>
      <c r="L427" s="1" t="s">
        <v>123</v>
      </c>
      <c r="M427" s="1" t="s">
        <v>63</v>
      </c>
      <c r="N427" s="1" t="s">
        <v>64</v>
      </c>
      <c r="O427" s="1" t="s">
        <v>104</v>
      </c>
      <c r="P427" s="1" t="s">
        <v>105</v>
      </c>
      <c r="Q427" s="1" t="s">
        <v>117</v>
      </c>
      <c r="R427" s="1" t="s">
        <v>117</v>
      </c>
      <c r="S427" s="25">
        <v>37247</v>
      </c>
      <c r="T427" s="25">
        <v>244.76</v>
      </c>
      <c r="U427" s="25">
        <v>0</v>
      </c>
      <c r="V427" s="25">
        <v>0</v>
      </c>
      <c r="W427" s="25">
        <v>10</v>
      </c>
      <c r="X427" s="25">
        <v>201</v>
      </c>
      <c r="Y427" s="25">
        <v>33.76</v>
      </c>
      <c r="Z427" s="17">
        <f t="shared" si="154"/>
        <v>5.3964077643837089E-3</v>
      </c>
      <c r="AA427" s="18">
        <v>0.15</v>
      </c>
      <c r="AB427" s="16">
        <f t="shared" si="148"/>
        <v>30.15</v>
      </c>
      <c r="AC427" s="16">
        <v>0</v>
      </c>
      <c r="AD427" s="16">
        <v>0</v>
      </c>
      <c r="AE427" s="16">
        <v>0</v>
      </c>
      <c r="AF427" s="16">
        <f t="shared" si="155"/>
        <v>30.15</v>
      </c>
      <c r="AG427" s="16">
        <f t="shared" si="167"/>
        <v>4.8239999999999998</v>
      </c>
      <c r="AH427" s="16">
        <f t="shared" si="156"/>
        <v>34.973999999999997</v>
      </c>
      <c r="AI427" s="16">
        <f t="shared" si="168"/>
        <v>0.60299999999999998</v>
      </c>
      <c r="AJ427" s="16"/>
      <c r="AK427" s="16">
        <f t="shared" si="158"/>
        <v>0.60299999999999998</v>
      </c>
      <c r="AL427" s="19"/>
      <c r="AM427" s="16">
        <f t="shared" si="159"/>
        <v>29.546999999999997</v>
      </c>
      <c r="AN427" s="16" t="s">
        <v>319</v>
      </c>
      <c r="AO427" s="20"/>
      <c r="AP427" s="16">
        <f t="shared" si="160"/>
        <v>0</v>
      </c>
      <c r="AQ427" s="16"/>
      <c r="AR427" s="15"/>
      <c r="AS427" s="16">
        <f t="shared" si="161"/>
        <v>0</v>
      </c>
      <c r="AT427" s="16"/>
      <c r="AU427" s="16">
        <v>34.973999999999997</v>
      </c>
      <c r="AV427" s="16">
        <f t="shared" si="170"/>
        <v>34.973999999999997</v>
      </c>
      <c r="AW427" s="16">
        <f t="shared" si="162"/>
        <v>0</v>
      </c>
      <c r="AX427" s="16" t="str">
        <f t="shared" si="163"/>
        <v>SUNU</v>
      </c>
      <c r="AY427" s="22">
        <v>45117</v>
      </c>
      <c r="AZ427" s="22"/>
      <c r="BA427" s="1"/>
      <c r="BB427" s="22" t="str">
        <f t="shared" si="169"/>
        <v>MARINE CARGO / GIT</v>
      </c>
      <c r="BC427" s="1"/>
      <c r="BD427" s="1"/>
      <c r="BE427" s="1"/>
    </row>
    <row r="428" spans="1:57" ht="14.25" hidden="1" customHeight="1">
      <c r="A428" s="2" t="s">
        <v>230</v>
      </c>
      <c r="B428" s="1" t="s">
        <v>58</v>
      </c>
      <c r="C428" s="27">
        <v>45070</v>
      </c>
      <c r="D428" s="27">
        <v>45072</v>
      </c>
      <c r="E428" s="27">
        <v>45071</v>
      </c>
      <c r="F428" s="27">
        <v>45070</v>
      </c>
      <c r="G428" s="13" t="str">
        <f t="shared" si="153"/>
        <v>000-427/AIB RDC/2023</v>
      </c>
      <c r="H428" s="1">
        <v>0</v>
      </c>
      <c r="I428" s="1" t="s">
        <v>83</v>
      </c>
      <c r="J428" s="2" t="s">
        <v>676</v>
      </c>
      <c r="K428" s="2" t="s">
        <v>677</v>
      </c>
      <c r="L428" s="1"/>
      <c r="M428" s="1" t="s">
        <v>63</v>
      </c>
      <c r="N428" s="1" t="s">
        <v>71</v>
      </c>
      <c r="O428" s="1" t="s">
        <v>65</v>
      </c>
      <c r="P428" s="1" t="s">
        <v>65</v>
      </c>
      <c r="Q428" s="1" t="s">
        <v>117</v>
      </c>
      <c r="R428" s="1" t="s">
        <v>117</v>
      </c>
      <c r="S428" s="25">
        <v>0</v>
      </c>
      <c r="T428" s="25">
        <v>247.08</v>
      </c>
      <c r="U428" s="25">
        <v>0</v>
      </c>
      <c r="V428" s="25">
        <v>0</v>
      </c>
      <c r="W428" s="25">
        <v>10</v>
      </c>
      <c r="X428" s="25">
        <v>203</v>
      </c>
      <c r="Y428" s="25">
        <v>34.08</v>
      </c>
      <c r="Z428" s="17" t="e">
        <f t="shared" si="154"/>
        <v>#DIV/0!</v>
      </c>
      <c r="AA428" s="18">
        <v>0.125</v>
      </c>
      <c r="AB428" s="16">
        <f t="shared" si="148"/>
        <v>25.375</v>
      </c>
      <c r="AC428" s="16"/>
      <c r="AD428" s="16"/>
      <c r="AE428" s="16">
        <v>0</v>
      </c>
      <c r="AF428" s="16">
        <f t="shared" si="155"/>
        <v>25.375</v>
      </c>
      <c r="AG428" s="16">
        <f t="shared" si="167"/>
        <v>4.0600000000000005</v>
      </c>
      <c r="AH428" s="16">
        <f t="shared" si="156"/>
        <v>29.435000000000002</v>
      </c>
      <c r="AI428" s="16">
        <f t="shared" si="168"/>
        <v>0.50750000000000006</v>
      </c>
      <c r="AJ428" s="16"/>
      <c r="AK428" s="16">
        <f t="shared" si="158"/>
        <v>0.50750000000000006</v>
      </c>
      <c r="AL428" s="19"/>
      <c r="AM428" s="16">
        <f t="shared" si="159"/>
        <v>24.8675</v>
      </c>
      <c r="AN428" s="16" t="s">
        <v>319</v>
      </c>
      <c r="AO428" s="20"/>
      <c r="AP428" s="16">
        <f t="shared" si="160"/>
        <v>0</v>
      </c>
      <c r="AQ428" s="16"/>
      <c r="AR428" s="15"/>
      <c r="AS428" s="16">
        <f t="shared" si="161"/>
        <v>0</v>
      </c>
      <c r="AT428" s="16"/>
      <c r="AU428" s="16">
        <v>29.435000000000002</v>
      </c>
      <c r="AV428" s="16">
        <f t="shared" si="170"/>
        <v>29.435000000000002</v>
      </c>
      <c r="AW428" s="16">
        <f t="shared" si="162"/>
        <v>0</v>
      </c>
      <c r="AX428" s="16" t="str">
        <f t="shared" si="163"/>
        <v>SUNU</v>
      </c>
      <c r="AY428" s="22">
        <v>45117</v>
      </c>
      <c r="AZ428" s="22"/>
      <c r="BA428" s="1"/>
      <c r="BB428" s="22" t="str">
        <f t="shared" si="169"/>
        <v>MOTOR TPL</v>
      </c>
      <c r="BC428" s="1"/>
      <c r="BD428" s="1"/>
      <c r="BE428" s="1"/>
    </row>
    <row r="429" spans="1:57" ht="12.75" hidden="1" customHeight="1">
      <c r="A429" s="2" t="s">
        <v>212</v>
      </c>
      <c r="B429" s="1" t="s">
        <v>58</v>
      </c>
      <c r="C429" s="27">
        <v>45072</v>
      </c>
      <c r="D429" s="27">
        <v>45071</v>
      </c>
      <c r="E429" s="27">
        <v>45107</v>
      </c>
      <c r="F429" s="27">
        <v>45136</v>
      </c>
      <c r="G429" s="13" t="str">
        <f t="shared" si="153"/>
        <v>000-428/AIB RDC/2023</v>
      </c>
      <c r="H429" s="1">
        <v>0</v>
      </c>
      <c r="I429" s="1" t="s">
        <v>83</v>
      </c>
      <c r="J429" s="29" t="s">
        <v>678</v>
      </c>
      <c r="K429" s="2" t="s">
        <v>679</v>
      </c>
      <c r="L429" s="1"/>
      <c r="M429" s="1" t="s">
        <v>63</v>
      </c>
      <c r="N429" s="1" t="s">
        <v>71</v>
      </c>
      <c r="O429" s="1" t="s">
        <v>302</v>
      </c>
      <c r="P429" s="1" t="s">
        <v>81</v>
      </c>
      <c r="Q429" s="1" t="s">
        <v>117</v>
      </c>
      <c r="R429" s="1" t="s">
        <v>117</v>
      </c>
      <c r="S429" s="25">
        <v>0</v>
      </c>
      <c r="T429" s="25">
        <v>112.14</v>
      </c>
      <c r="U429" s="25">
        <v>0</v>
      </c>
      <c r="V429" s="25">
        <v>0</v>
      </c>
      <c r="W429" s="25">
        <v>0.56999999999999995</v>
      </c>
      <c r="X429" s="25">
        <v>96.1</v>
      </c>
      <c r="Y429" s="25">
        <f>16%*(W429+X429)</f>
        <v>15.467199999999998</v>
      </c>
      <c r="Z429" s="17" t="e">
        <f t="shared" si="154"/>
        <v>#DIV/0!</v>
      </c>
      <c r="AA429" s="18">
        <v>0.2</v>
      </c>
      <c r="AB429" s="16">
        <f t="shared" si="148"/>
        <v>19.22</v>
      </c>
      <c r="AC429" s="16">
        <v>0</v>
      </c>
      <c r="AD429" s="16">
        <v>0</v>
      </c>
      <c r="AE429" s="16">
        <v>0</v>
      </c>
      <c r="AF429" s="16">
        <f t="shared" si="155"/>
        <v>19.22</v>
      </c>
      <c r="AG429" s="16">
        <f t="shared" si="167"/>
        <v>3.0751999999999997</v>
      </c>
      <c r="AH429" s="16">
        <f t="shared" si="156"/>
        <v>22.295199999999998</v>
      </c>
      <c r="AI429" s="16">
        <f t="shared" si="168"/>
        <v>0.38439999999999996</v>
      </c>
      <c r="AJ429" s="16"/>
      <c r="AK429" s="16">
        <f t="shared" si="158"/>
        <v>0.38439999999999996</v>
      </c>
      <c r="AL429" s="19"/>
      <c r="AM429" s="16">
        <f t="shared" si="159"/>
        <v>18.835599999999999</v>
      </c>
      <c r="AN429" s="16" t="s">
        <v>319</v>
      </c>
      <c r="AO429" s="20"/>
      <c r="AP429" s="16">
        <f t="shared" si="160"/>
        <v>0</v>
      </c>
      <c r="AQ429" s="16"/>
      <c r="AR429" s="15"/>
      <c r="AS429" s="16">
        <f t="shared" si="161"/>
        <v>0</v>
      </c>
      <c r="AT429" s="16"/>
      <c r="AU429" s="16">
        <v>22.295199999999998</v>
      </c>
      <c r="AV429" s="16">
        <f t="shared" si="170"/>
        <v>22.295199999999998</v>
      </c>
      <c r="AW429" s="16">
        <f t="shared" si="162"/>
        <v>0</v>
      </c>
      <c r="AX429" s="16" t="str">
        <f t="shared" si="163"/>
        <v>SUNU</v>
      </c>
      <c r="AY429" s="22">
        <v>45117</v>
      </c>
      <c r="AZ429" s="22"/>
      <c r="BA429" s="1"/>
      <c r="BB429" s="22" t="str">
        <f t="shared" si="169"/>
        <v>TRAVEL</v>
      </c>
      <c r="BC429" s="1"/>
      <c r="BD429" s="1"/>
      <c r="BE429" s="1"/>
    </row>
    <row r="430" spans="1:57" ht="14.25" hidden="1" customHeight="1">
      <c r="A430" s="2" t="s">
        <v>230</v>
      </c>
      <c r="B430" s="1" t="s">
        <v>58</v>
      </c>
      <c r="C430" s="27">
        <v>45089</v>
      </c>
      <c r="D430" s="27">
        <v>45087</v>
      </c>
      <c r="E430" s="27">
        <v>45076</v>
      </c>
      <c r="F430" s="27">
        <v>45440</v>
      </c>
      <c r="G430" s="13" t="str">
        <f t="shared" si="153"/>
        <v>000-429/AIB RDC/2023</v>
      </c>
      <c r="H430" s="1">
        <v>0</v>
      </c>
      <c r="I430" s="1" t="s">
        <v>83</v>
      </c>
      <c r="J430" s="2" t="s">
        <v>680</v>
      </c>
      <c r="K430" s="1" t="s">
        <v>197</v>
      </c>
      <c r="L430" s="1"/>
      <c r="M430" s="1" t="s">
        <v>95</v>
      </c>
      <c r="N430" s="1" t="s">
        <v>146</v>
      </c>
      <c r="O430" s="1" t="s">
        <v>104</v>
      </c>
      <c r="P430" s="1" t="s">
        <v>105</v>
      </c>
      <c r="Q430" s="1" t="s">
        <v>66</v>
      </c>
      <c r="R430" s="1" t="s">
        <v>66</v>
      </c>
      <c r="S430" s="25">
        <v>37046.800000000003</v>
      </c>
      <c r="T430" s="25">
        <v>100.48</v>
      </c>
      <c r="U430" s="25">
        <v>0</v>
      </c>
      <c r="V430" s="25">
        <v>0</v>
      </c>
      <c r="W430" s="25">
        <v>7.28</v>
      </c>
      <c r="X430" s="25">
        <v>57.79</v>
      </c>
      <c r="Y430" s="25">
        <v>10.41</v>
      </c>
      <c r="Z430" s="17">
        <f t="shared" si="154"/>
        <v>1.5599188054028956E-3</v>
      </c>
      <c r="AA430" s="18">
        <v>0.15</v>
      </c>
      <c r="AB430" s="16">
        <f t="shared" si="148"/>
        <v>8.6684999999999999</v>
      </c>
      <c r="AC430" s="16">
        <v>0</v>
      </c>
      <c r="AD430" s="16">
        <v>0</v>
      </c>
      <c r="AE430" s="16">
        <v>0</v>
      </c>
      <c r="AF430" s="16">
        <f t="shared" si="155"/>
        <v>8.6684999999999999</v>
      </c>
      <c r="AG430" s="16">
        <f t="shared" si="167"/>
        <v>1.38696</v>
      </c>
      <c r="AH430" s="16">
        <f t="shared" si="156"/>
        <v>10.05546</v>
      </c>
      <c r="AI430" s="16">
        <f t="shared" si="168"/>
        <v>0.17337</v>
      </c>
      <c r="AJ430" s="16">
        <v>0</v>
      </c>
      <c r="AK430" s="16">
        <f t="shared" si="158"/>
        <v>0.17337</v>
      </c>
      <c r="AL430" s="19"/>
      <c r="AM430" s="16">
        <f t="shared" si="159"/>
        <v>8.4951299999999996</v>
      </c>
      <c r="AN430" s="16" t="s">
        <v>147</v>
      </c>
      <c r="AO430" s="20">
        <v>0.4</v>
      </c>
      <c r="AP430" s="16">
        <f t="shared" si="160"/>
        <v>3.3980519999999999</v>
      </c>
      <c r="AQ430" s="16">
        <v>3.3980519999999999</v>
      </c>
      <c r="AR430" s="15">
        <v>45229</v>
      </c>
      <c r="AS430" s="16">
        <f t="shared" si="161"/>
        <v>0</v>
      </c>
      <c r="AT430" s="16"/>
      <c r="AU430" s="16">
        <v>10.05546</v>
      </c>
      <c r="AV430" s="16">
        <f t="shared" si="170"/>
        <v>10.05546</v>
      </c>
      <c r="AW430" s="16">
        <f t="shared" si="162"/>
        <v>0</v>
      </c>
      <c r="AX430" s="16" t="str">
        <f t="shared" si="163"/>
        <v>SFA</v>
      </c>
      <c r="AY430" s="22">
        <v>45135</v>
      </c>
      <c r="AZ430" s="22"/>
      <c r="BA430" s="1" t="s">
        <v>148</v>
      </c>
      <c r="BB430" s="22" t="str">
        <f t="shared" si="169"/>
        <v>MARINE CARGO / GIT</v>
      </c>
      <c r="BC430" s="1"/>
      <c r="BD430" s="1"/>
      <c r="BE430" s="1"/>
    </row>
    <row r="431" spans="1:57" ht="15" hidden="1" customHeight="1">
      <c r="A431" s="2" t="s">
        <v>230</v>
      </c>
      <c r="B431" s="1" t="s">
        <v>58</v>
      </c>
      <c r="C431" s="27">
        <v>45089</v>
      </c>
      <c r="D431" s="27">
        <v>45087</v>
      </c>
      <c r="E431" s="27">
        <v>45076</v>
      </c>
      <c r="F431" s="27">
        <v>45440</v>
      </c>
      <c r="G431" s="13" t="str">
        <f t="shared" si="153"/>
        <v>000-430/AIB RDC/2023</v>
      </c>
      <c r="H431" s="1">
        <v>0</v>
      </c>
      <c r="I431" s="1" t="s">
        <v>83</v>
      </c>
      <c r="J431" s="2" t="s">
        <v>681</v>
      </c>
      <c r="K431" s="1" t="s">
        <v>197</v>
      </c>
      <c r="L431" s="1"/>
      <c r="M431" s="1" t="s">
        <v>95</v>
      </c>
      <c r="N431" s="1" t="s">
        <v>146</v>
      </c>
      <c r="O431" s="1" t="s">
        <v>104</v>
      </c>
      <c r="P431" s="1" t="s">
        <v>105</v>
      </c>
      <c r="Q431" s="1" t="s">
        <v>66</v>
      </c>
      <c r="R431" s="1" t="s">
        <v>66</v>
      </c>
      <c r="S431" s="25">
        <v>37370</v>
      </c>
      <c r="T431" s="25">
        <v>101.08</v>
      </c>
      <c r="U431" s="25">
        <v>0</v>
      </c>
      <c r="V431" s="25">
        <v>0</v>
      </c>
      <c r="W431" s="25">
        <v>7.29</v>
      </c>
      <c r="X431" s="25">
        <v>58.3</v>
      </c>
      <c r="Y431" s="25">
        <v>10.49</v>
      </c>
      <c r="Z431" s="17">
        <f t="shared" si="154"/>
        <v>1.5600749264115599E-3</v>
      </c>
      <c r="AA431" s="18">
        <v>0.15</v>
      </c>
      <c r="AB431" s="16">
        <f t="shared" si="148"/>
        <v>8.7449999999999992</v>
      </c>
      <c r="AC431" s="16">
        <v>0</v>
      </c>
      <c r="AD431" s="16">
        <v>0</v>
      </c>
      <c r="AE431" s="16">
        <v>0</v>
      </c>
      <c r="AF431" s="16">
        <f t="shared" si="155"/>
        <v>8.7449999999999992</v>
      </c>
      <c r="AG431" s="16">
        <f t="shared" si="167"/>
        <v>1.3992</v>
      </c>
      <c r="AH431" s="16">
        <f t="shared" si="156"/>
        <v>10.1442</v>
      </c>
      <c r="AI431" s="16">
        <f t="shared" si="168"/>
        <v>0.1749</v>
      </c>
      <c r="AJ431" s="16">
        <v>0</v>
      </c>
      <c r="AK431" s="16">
        <f t="shared" si="158"/>
        <v>0.1749</v>
      </c>
      <c r="AL431" s="19"/>
      <c r="AM431" s="16">
        <f t="shared" si="159"/>
        <v>8.5701000000000001</v>
      </c>
      <c r="AN431" s="16" t="s">
        <v>147</v>
      </c>
      <c r="AO431" s="20">
        <v>0.4</v>
      </c>
      <c r="AP431" s="16">
        <f t="shared" si="160"/>
        <v>3.4280400000000002</v>
      </c>
      <c r="AQ431" s="16">
        <v>3.4280400000000002</v>
      </c>
      <c r="AR431" s="15">
        <v>45229</v>
      </c>
      <c r="AS431" s="16">
        <f t="shared" si="161"/>
        <v>0</v>
      </c>
      <c r="AT431" s="16"/>
      <c r="AU431" s="16">
        <v>10.1442</v>
      </c>
      <c r="AV431" s="16">
        <f t="shared" si="170"/>
        <v>10.1442</v>
      </c>
      <c r="AW431" s="16">
        <f t="shared" si="162"/>
        <v>0</v>
      </c>
      <c r="AX431" s="16" t="str">
        <f t="shared" si="163"/>
        <v>SFA</v>
      </c>
      <c r="AY431" s="22">
        <v>45135</v>
      </c>
      <c r="AZ431" s="22"/>
      <c r="BA431" s="1" t="s">
        <v>148</v>
      </c>
      <c r="BB431" s="22" t="str">
        <f t="shared" si="169"/>
        <v>MARINE CARGO / GIT</v>
      </c>
      <c r="BC431" s="1"/>
      <c r="BD431" s="1"/>
      <c r="BE431" s="1"/>
    </row>
    <row r="432" spans="1:57" ht="14.25" hidden="1" customHeight="1">
      <c r="A432" s="2" t="s">
        <v>406</v>
      </c>
      <c r="B432" s="1" t="s">
        <v>58</v>
      </c>
      <c r="C432" s="27">
        <v>45044</v>
      </c>
      <c r="D432" s="27">
        <v>45044</v>
      </c>
      <c r="E432" s="27">
        <v>45044</v>
      </c>
      <c r="F432" s="27">
        <v>45404</v>
      </c>
      <c r="G432" s="13" t="str">
        <f t="shared" si="153"/>
        <v>000-431/AIB RDC/2023</v>
      </c>
      <c r="H432" s="1">
        <v>2</v>
      </c>
      <c r="I432" s="1" t="s">
        <v>59</v>
      </c>
      <c r="J432" s="2" t="s">
        <v>459</v>
      </c>
      <c r="K432" s="2" t="s">
        <v>419</v>
      </c>
      <c r="L432" s="1" t="s">
        <v>62</v>
      </c>
      <c r="M432" s="1" t="s">
        <v>63</v>
      </c>
      <c r="N432" s="1" t="s">
        <v>71</v>
      </c>
      <c r="O432" s="1" t="s">
        <v>65</v>
      </c>
      <c r="P432" s="1" t="s">
        <v>65</v>
      </c>
      <c r="Q432" s="1" t="s">
        <v>66</v>
      </c>
      <c r="R432" s="1" t="s">
        <v>66</v>
      </c>
      <c r="S432" s="25">
        <v>0</v>
      </c>
      <c r="T432" s="25">
        <v>1338.46</v>
      </c>
      <c r="U432" s="25">
        <v>0</v>
      </c>
      <c r="V432" s="25">
        <v>0</v>
      </c>
      <c r="W432" s="25">
        <v>49.92</v>
      </c>
      <c r="X432" s="25">
        <v>1132.3499999999999</v>
      </c>
      <c r="Y432" s="25">
        <v>189.16</v>
      </c>
      <c r="Z432" s="17" t="e">
        <f t="shared" si="154"/>
        <v>#DIV/0!</v>
      </c>
      <c r="AA432" s="18">
        <v>0.1</v>
      </c>
      <c r="AB432" s="16">
        <f t="shared" si="148"/>
        <v>113.235</v>
      </c>
      <c r="AC432" s="16">
        <v>0</v>
      </c>
      <c r="AD432" s="16">
        <v>0</v>
      </c>
      <c r="AE432" s="16">
        <v>0</v>
      </c>
      <c r="AF432" s="16">
        <f t="shared" si="155"/>
        <v>113.235</v>
      </c>
      <c r="AG432" s="16">
        <f t="shared" si="167"/>
        <v>18.117599999999999</v>
      </c>
      <c r="AH432" s="16">
        <f t="shared" si="156"/>
        <v>131.3526</v>
      </c>
      <c r="AI432" s="16">
        <f t="shared" si="168"/>
        <v>2.2646999999999999</v>
      </c>
      <c r="AJ432" s="16"/>
      <c r="AK432" s="16">
        <f t="shared" si="158"/>
        <v>2.2646999999999999</v>
      </c>
      <c r="AL432" s="19"/>
      <c r="AM432" s="16">
        <f t="shared" si="159"/>
        <v>110.97029999999999</v>
      </c>
      <c r="AN432" s="16" t="s">
        <v>319</v>
      </c>
      <c r="AO432" s="20"/>
      <c r="AP432" s="16">
        <f t="shared" si="160"/>
        <v>0</v>
      </c>
      <c r="AQ432" s="16"/>
      <c r="AR432" s="15"/>
      <c r="AS432" s="16">
        <f t="shared" si="161"/>
        <v>0</v>
      </c>
      <c r="AT432" s="16"/>
      <c r="AU432" s="16">
        <v>131.3526</v>
      </c>
      <c r="AV432" s="16">
        <f t="shared" si="170"/>
        <v>131.3526</v>
      </c>
      <c r="AW432" s="16">
        <f t="shared" si="162"/>
        <v>0</v>
      </c>
      <c r="AX432" s="16" t="str">
        <f t="shared" si="163"/>
        <v>SFA</v>
      </c>
      <c r="AY432" s="22">
        <v>45135</v>
      </c>
      <c r="AZ432" s="22"/>
      <c r="BA432" s="1"/>
      <c r="BB432" s="22" t="str">
        <f t="shared" si="169"/>
        <v>MOTOR TPL</v>
      </c>
      <c r="BC432" s="1"/>
      <c r="BD432" s="1"/>
      <c r="BE432" s="1"/>
    </row>
    <row r="433" spans="1:57" ht="13.5" hidden="1" customHeight="1">
      <c r="A433" s="2" t="s">
        <v>230</v>
      </c>
      <c r="B433" s="1" t="s">
        <v>58</v>
      </c>
      <c r="C433" s="27">
        <v>45062</v>
      </c>
      <c r="D433" s="27">
        <v>45068</v>
      </c>
      <c r="E433" s="27">
        <v>45068</v>
      </c>
      <c r="F433" s="27">
        <v>45404</v>
      </c>
      <c r="G433" s="13" t="str">
        <f t="shared" si="153"/>
        <v>000-432/AIB RDC/2023</v>
      </c>
      <c r="H433" s="1">
        <v>3</v>
      </c>
      <c r="I433" s="1" t="s">
        <v>59</v>
      </c>
      <c r="J433" s="2" t="s">
        <v>459</v>
      </c>
      <c r="K433" s="2" t="s">
        <v>419</v>
      </c>
      <c r="L433" s="1" t="s">
        <v>62</v>
      </c>
      <c r="M433" s="1" t="s">
        <v>63</v>
      </c>
      <c r="N433" s="1" t="s">
        <v>71</v>
      </c>
      <c r="O433" s="1" t="s">
        <v>65</v>
      </c>
      <c r="P433" s="1" t="s">
        <v>65</v>
      </c>
      <c r="Q433" s="1" t="s">
        <v>66</v>
      </c>
      <c r="R433" s="1" t="s">
        <v>66</v>
      </c>
      <c r="S433" s="25">
        <v>0</v>
      </c>
      <c r="T433" s="25">
        <v>91236.38</v>
      </c>
      <c r="U433" s="25">
        <v>0</v>
      </c>
      <c r="V433" s="25">
        <v>0</v>
      </c>
      <c r="W433" s="25">
        <v>3034.5</v>
      </c>
      <c r="X433" s="25">
        <v>75617.55</v>
      </c>
      <c r="Y433" s="25">
        <v>12584.33</v>
      </c>
      <c r="Z433" s="17" t="e">
        <f t="shared" si="154"/>
        <v>#DIV/0!</v>
      </c>
      <c r="AA433" s="18">
        <v>0.1</v>
      </c>
      <c r="AB433" s="16">
        <f t="shared" si="148"/>
        <v>7561.755000000001</v>
      </c>
      <c r="AC433" s="16">
        <v>0</v>
      </c>
      <c r="AD433" s="16">
        <v>0</v>
      </c>
      <c r="AE433" s="16">
        <v>0</v>
      </c>
      <c r="AF433" s="16">
        <f t="shared" si="155"/>
        <v>7561.755000000001</v>
      </c>
      <c r="AG433" s="16">
        <f t="shared" si="167"/>
        <v>1209.8808000000001</v>
      </c>
      <c r="AH433" s="16">
        <f t="shared" si="156"/>
        <v>8771.6358000000018</v>
      </c>
      <c r="AI433" s="16">
        <f t="shared" si="168"/>
        <v>151.23510000000002</v>
      </c>
      <c r="AJ433" s="16"/>
      <c r="AK433" s="16">
        <f t="shared" si="158"/>
        <v>151.23510000000002</v>
      </c>
      <c r="AL433" s="19"/>
      <c r="AM433" s="16">
        <f t="shared" si="159"/>
        <v>7410.5199000000011</v>
      </c>
      <c r="AN433" s="16" t="s">
        <v>319</v>
      </c>
      <c r="AO433" s="20"/>
      <c r="AP433" s="16">
        <f t="shared" si="160"/>
        <v>0</v>
      </c>
      <c r="AQ433" s="16"/>
      <c r="AR433" s="15"/>
      <c r="AS433" s="16">
        <f t="shared" si="161"/>
        <v>0</v>
      </c>
      <c r="AT433" s="16"/>
      <c r="AU433" s="16">
        <v>8771.6358000000018</v>
      </c>
      <c r="AV433" s="16">
        <f t="shared" si="170"/>
        <v>8771.6358000000018</v>
      </c>
      <c r="AW433" s="16">
        <f t="shared" si="162"/>
        <v>0</v>
      </c>
      <c r="AX433" s="16" t="str">
        <f t="shared" si="163"/>
        <v>SFA</v>
      </c>
      <c r="AY433" s="22">
        <v>45135</v>
      </c>
      <c r="AZ433" s="22"/>
      <c r="BA433" s="1"/>
      <c r="BB433" s="22" t="str">
        <f t="shared" si="169"/>
        <v>MOTOR TPL</v>
      </c>
      <c r="BC433" s="1"/>
      <c r="BD433" s="1"/>
      <c r="BE433" s="1"/>
    </row>
    <row r="434" spans="1:57" ht="16.5" hidden="1" customHeight="1">
      <c r="A434" s="2" t="s">
        <v>230</v>
      </c>
      <c r="B434" s="1" t="s">
        <v>58</v>
      </c>
      <c r="C434" s="27">
        <v>45064</v>
      </c>
      <c r="D434" s="27">
        <v>45068</v>
      </c>
      <c r="E434" s="27">
        <v>45068</v>
      </c>
      <c r="F434" s="27">
        <v>45404</v>
      </c>
      <c r="G434" s="13" t="str">
        <f t="shared" si="153"/>
        <v>000-433/AIB RDC/2023</v>
      </c>
      <c r="H434" s="1">
        <v>4</v>
      </c>
      <c r="I434" s="1" t="s">
        <v>59</v>
      </c>
      <c r="J434" s="2" t="s">
        <v>459</v>
      </c>
      <c r="K434" s="2" t="s">
        <v>419</v>
      </c>
      <c r="L434" s="1" t="s">
        <v>682</v>
      </c>
      <c r="M434" s="1" t="s">
        <v>63</v>
      </c>
      <c r="N434" s="1" t="s">
        <v>71</v>
      </c>
      <c r="O434" s="1" t="s">
        <v>133</v>
      </c>
      <c r="P434" s="1" t="s">
        <v>65</v>
      </c>
      <c r="Q434" s="1" t="s">
        <v>66</v>
      </c>
      <c r="R434" s="1" t="s">
        <v>66</v>
      </c>
      <c r="S434" s="25">
        <v>0</v>
      </c>
      <c r="T434" s="25">
        <v>506.49</v>
      </c>
      <c r="U434" s="25">
        <v>0</v>
      </c>
      <c r="V434" s="25">
        <v>0</v>
      </c>
      <c r="W434" s="25">
        <v>16.809999999999999</v>
      </c>
      <c r="X434" s="25">
        <v>419.82</v>
      </c>
      <c r="Y434" s="25">
        <v>69.86</v>
      </c>
      <c r="Z434" s="17" t="e">
        <f t="shared" si="154"/>
        <v>#DIV/0!</v>
      </c>
      <c r="AA434" s="18">
        <v>0.1</v>
      </c>
      <c r="AB434" s="16">
        <f t="shared" si="148"/>
        <v>41.981999999999999</v>
      </c>
      <c r="AC434" s="16">
        <v>0</v>
      </c>
      <c r="AD434" s="16">
        <v>0</v>
      </c>
      <c r="AE434" s="16">
        <v>0</v>
      </c>
      <c r="AF434" s="16">
        <f t="shared" si="155"/>
        <v>41.981999999999999</v>
      </c>
      <c r="AG434" s="16">
        <f t="shared" si="167"/>
        <v>6.7171200000000004</v>
      </c>
      <c r="AH434" s="16">
        <f t="shared" si="156"/>
        <v>48.699120000000001</v>
      </c>
      <c r="AI434" s="16">
        <f t="shared" si="168"/>
        <v>0.83964000000000005</v>
      </c>
      <c r="AJ434" s="16"/>
      <c r="AK434" s="16">
        <f t="shared" si="158"/>
        <v>0.83964000000000005</v>
      </c>
      <c r="AL434" s="19"/>
      <c r="AM434" s="16">
        <f t="shared" si="159"/>
        <v>41.142359999999996</v>
      </c>
      <c r="AN434" s="16" t="s">
        <v>319</v>
      </c>
      <c r="AO434" s="20"/>
      <c r="AP434" s="16">
        <f t="shared" si="160"/>
        <v>0</v>
      </c>
      <c r="AQ434" s="16"/>
      <c r="AR434" s="15"/>
      <c r="AS434" s="16">
        <f t="shared" si="161"/>
        <v>0</v>
      </c>
      <c r="AT434" s="16"/>
      <c r="AU434" s="16">
        <v>48.699120000000001</v>
      </c>
      <c r="AV434" s="16">
        <f t="shared" si="170"/>
        <v>48.699120000000001</v>
      </c>
      <c r="AW434" s="16">
        <f t="shared" si="162"/>
        <v>0</v>
      </c>
      <c r="AX434" s="16" t="str">
        <f t="shared" si="163"/>
        <v>SFA</v>
      </c>
      <c r="AY434" s="22">
        <v>45135</v>
      </c>
      <c r="AZ434" s="22"/>
      <c r="BA434" s="1"/>
      <c r="BB434" s="22" t="str">
        <f t="shared" si="169"/>
        <v>COMP MOTOR</v>
      </c>
      <c r="BC434" s="1"/>
      <c r="BD434" s="1"/>
      <c r="BE434" s="1"/>
    </row>
    <row r="435" spans="1:57" ht="15" hidden="1" customHeight="1">
      <c r="A435" s="2" t="s">
        <v>230</v>
      </c>
      <c r="B435" s="1" t="s">
        <v>58</v>
      </c>
      <c r="C435" s="27">
        <v>45055</v>
      </c>
      <c r="D435" s="27">
        <v>45091</v>
      </c>
      <c r="E435" s="27">
        <v>45047</v>
      </c>
      <c r="F435" s="27">
        <v>45412</v>
      </c>
      <c r="G435" s="13" t="str">
        <f t="shared" si="153"/>
        <v>000-434/AIB RDC/2023</v>
      </c>
      <c r="H435" s="1">
        <v>0</v>
      </c>
      <c r="I435" s="1" t="s">
        <v>83</v>
      </c>
      <c r="J435" s="2" t="s">
        <v>683</v>
      </c>
      <c r="K435" s="2" t="s">
        <v>684</v>
      </c>
      <c r="L435" s="1" t="s">
        <v>62</v>
      </c>
      <c r="M435" s="1" t="s">
        <v>64</v>
      </c>
      <c r="N435" s="1" t="s">
        <v>64</v>
      </c>
      <c r="O435" s="1" t="s">
        <v>194</v>
      </c>
      <c r="P435" s="1" t="s">
        <v>108</v>
      </c>
      <c r="Q435" s="1" t="s">
        <v>66</v>
      </c>
      <c r="R435" s="1" t="s">
        <v>247</v>
      </c>
      <c r="S435" s="25">
        <v>250000000</v>
      </c>
      <c r="T435" s="25">
        <v>3542557.15</v>
      </c>
      <c r="U435" s="25">
        <v>447057.15</v>
      </c>
      <c r="V435" s="25">
        <v>0</v>
      </c>
      <c r="W435" s="25">
        <v>73547.570000000007</v>
      </c>
      <c r="X435" s="25">
        <v>2533323.86</v>
      </c>
      <c r="Y435" s="25">
        <v>488628.57</v>
      </c>
      <c r="Z435" s="17">
        <f t="shared" si="154"/>
        <v>1.0133295439999999E-2</v>
      </c>
      <c r="AA435" s="18">
        <v>1.8E-3</v>
      </c>
      <c r="AB435" s="16">
        <f t="shared" si="148"/>
        <v>4559.9829479999999</v>
      </c>
      <c r="AC435" s="16">
        <f>30%*U435</f>
        <v>134117.14499999999</v>
      </c>
      <c r="AD435" s="16">
        <v>0</v>
      </c>
      <c r="AE435" s="16">
        <v>0</v>
      </c>
      <c r="AF435" s="16">
        <f t="shared" si="155"/>
        <v>138677.12794799998</v>
      </c>
      <c r="AG435" s="16">
        <f t="shared" si="167"/>
        <v>22188.340471679996</v>
      </c>
      <c r="AH435" s="16">
        <f t="shared" si="156"/>
        <v>160865.46841967996</v>
      </c>
      <c r="AI435" s="16">
        <f t="shared" si="168"/>
        <v>2773.5425589599995</v>
      </c>
      <c r="AJ435" s="16"/>
      <c r="AK435" s="16">
        <f t="shared" si="158"/>
        <v>2773.5425589599995</v>
      </c>
      <c r="AL435" s="19"/>
      <c r="AM435" s="16">
        <f t="shared" si="159"/>
        <v>135903.58538903997</v>
      </c>
      <c r="AN435" s="16" t="s">
        <v>247</v>
      </c>
      <c r="AO435" s="20">
        <v>0</v>
      </c>
      <c r="AP435" s="16">
        <f t="shared" si="160"/>
        <v>0</v>
      </c>
      <c r="AQ435" s="16"/>
      <c r="AR435" s="15"/>
      <c r="AS435" s="16">
        <f t="shared" si="161"/>
        <v>0</v>
      </c>
      <c r="AT435" s="16"/>
      <c r="AU435" s="16">
        <v>160865.46841967996</v>
      </c>
      <c r="AV435" s="16">
        <f t="shared" si="170"/>
        <v>160865.46841967996</v>
      </c>
      <c r="AW435" s="16">
        <f t="shared" si="162"/>
        <v>0</v>
      </c>
      <c r="AX435" s="16" t="str">
        <f t="shared" si="163"/>
        <v>SFA</v>
      </c>
      <c r="AY435" s="22">
        <v>45135</v>
      </c>
      <c r="AZ435" s="22"/>
      <c r="BA435" s="1"/>
      <c r="BB435" s="22" t="str">
        <f t="shared" si="169"/>
        <v>PROPERTY DAMAGE &amp; BI</v>
      </c>
      <c r="BC435" s="1"/>
      <c r="BD435" s="1"/>
      <c r="BE435" s="1"/>
    </row>
    <row r="436" spans="1:57" ht="14.25" hidden="1" customHeight="1">
      <c r="A436" s="2" t="s">
        <v>406</v>
      </c>
      <c r="B436" s="1" t="s">
        <v>58</v>
      </c>
      <c r="C436" s="27">
        <v>45058</v>
      </c>
      <c r="D436" s="27">
        <v>45069</v>
      </c>
      <c r="E436" s="27">
        <v>45017</v>
      </c>
      <c r="F436" s="27">
        <v>45382</v>
      </c>
      <c r="G436" s="13" t="str">
        <f t="shared" si="153"/>
        <v>000-435/AIB RDC/2023</v>
      </c>
      <c r="H436" s="1">
        <v>0</v>
      </c>
      <c r="I436" s="1" t="s">
        <v>83</v>
      </c>
      <c r="J436" s="2" t="s">
        <v>685</v>
      </c>
      <c r="K436" s="2" t="s">
        <v>686</v>
      </c>
      <c r="L436" s="1"/>
      <c r="M436" s="1" t="s">
        <v>64</v>
      </c>
      <c r="N436" s="1" t="s">
        <v>71</v>
      </c>
      <c r="O436" s="1" t="s">
        <v>107</v>
      </c>
      <c r="P436" s="1" t="s">
        <v>108</v>
      </c>
      <c r="Q436" s="1" t="s">
        <v>117</v>
      </c>
      <c r="R436" s="1" t="s">
        <v>117</v>
      </c>
      <c r="S436" s="25">
        <v>19700000</v>
      </c>
      <c r="T436" s="25">
        <v>19931.259999999998</v>
      </c>
      <c r="U436" s="25">
        <v>0</v>
      </c>
      <c r="V436" s="25">
        <v>0</v>
      </c>
      <c r="W436" s="25">
        <v>170.12</v>
      </c>
      <c r="X436" s="25">
        <v>17012</v>
      </c>
      <c r="Y436" s="25">
        <v>2749.14</v>
      </c>
      <c r="Z436" s="17">
        <f t="shared" si="154"/>
        <v>8.6355329949238584E-4</v>
      </c>
      <c r="AA436" s="18">
        <v>0.1</v>
      </c>
      <c r="AB436" s="16">
        <f t="shared" si="148"/>
        <v>1701.2</v>
      </c>
      <c r="AC436" s="16"/>
      <c r="AD436" s="16"/>
      <c r="AE436" s="16">
        <v>0</v>
      </c>
      <c r="AF436" s="16">
        <f t="shared" si="155"/>
        <v>1701.2</v>
      </c>
      <c r="AG436" s="16">
        <f t="shared" si="167"/>
        <v>272.19200000000001</v>
      </c>
      <c r="AH436" s="16">
        <f t="shared" si="156"/>
        <v>1973.3920000000001</v>
      </c>
      <c r="AI436" s="16">
        <f t="shared" si="168"/>
        <v>34.024000000000001</v>
      </c>
      <c r="AJ436" s="16"/>
      <c r="AK436" s="16">
        <f t="shared" si="158"/>
        <v>34.024000000000001</v>
      </c>
      <c r="AL436" s="19"/>
      <c r="AM436" s="16">
        <f t="shared" si="159"/>
        <v>1667.1759999999999</v>
      </c>
      <c r="AN436" s="16" t="s">
        <v>77</v>
      </c>
      <c r="AO436" s="20">
        <v>0.35</v>
      </c>
      <c r="AP436" s="16">
        <f t="shared" si="160"/>
        <v>583.51159999999993</v>
      </c>
      <c r="AQ436" s="16"/>
      <c r="AR436" s="15"/>
      <c r="AS436" s="16">
        <f t="shared" si="161"/>
        <v>583.51159999999993</v>
      </c>
      <c r="AT436" s="16"/>
      <c r="AU436" s="16">
        <v>1973.3920000000001</v>
      </c>
      <c r="AV436" s="16">
        <f t="shared" si="170"/>
        <v>1973.3920000000001</v>
      </c>
      <c r="AW436" s="16">
        <f t="shared" si="162"/>
        <v>0</v>
      </c>
      <c r="AX436" s="16" t="str">
        <f t="shared" si="163"/>
        <v>SUNU</v>
      </c>
      <c r="AY436" s="22">
        <v>45117</v>
      </c>
      <c r="AZ436" s="22"/>
      <c r="BA436" s="1"/>
      <c r="BB436" s="22" t="str">
        <f t="shared" si="169"/>
        <v>FIRE</v>
      </c>
      <c r="BC436" s="1"/>
      <c r="BD436" s="1"/>
      <c r="BE436" s="1"/>
    </row>
    <row r="437" spans="1:57" ht="16.5" hidden="1" customHeight="1">
      <c r="A437" s="1" t="s">
        <v>165</v>
      </c>
      <c r="B437" s="1" t="s">
        <v>58</v>
      </c>
      <c r="C437" s="21">
        <v>44959</v>
      </c>
      <c r="D437" s="21">
        <v>44995</v>
      </c>
      <c r="E437" s="21">
        <v>44995</v>
      </c>
      <c r="F437" s="21">
        <v>45359</v>
      </c>
      <c r="G437" s="13" t="str">
        <f t="shared" si="153"/>
        <v>000-436/AIB RDC/2023</v>
      </c>
      <c r="H437" s="1">
        <v>0</v>
      </c>
      <c r="I437" s="1" t="s">
        <v>83</v>
      </c>
      <c r="J437" s="14" t="s">
        <v>687</v>
      </c>
      <c r="K437" s="1" t="s">
        <v>167</v>
      </c>
      <c r="L437" s="15"/>
      <c r="M437" s="1" t="s">
        <v>95</v>
      </c>
      <c r="N437" s="1" t="s">
        <v>146</v>
      </c>
      <c r="O437" s="1" t="s">
        <v>104</v>
      </c>
      <c r="P437" s="1" t="s">
        <v>105</v>
      </c>
      <c r="Q437" s="1" t="s">
        <v>66</v>
      </c>
      <c r="R437" s="1" t="s">
        <v>66</v>
      </c>
      <c r="S437" s="16">
        <v>13936.48</v>
      </c>
      <c r="T437" s="16">
        <v>65</v>
      </c>
      <c r="U437" s="16">
        <v>0</v>
      </c>
      <c r="V437" s="16">
        <v>0</v>
      </c>
      <c r="W437" s="16">
        <v>0.81</v>
      </c>
      <c r="X437" s="16">
        <v>54.28</v>
      </c>
      <c r="Y437" s="16">
        <v>8.81</v>
      </c>
      <c r="Z437" s="17">
        <f t="shared" si="154"/>
        <v>3.8948141855045179E-3</v>
      </c>
      <c r="AA437" s="18">
        <v>0.15</v>
      </c>
      <c r="AB437" s="16">
        <f t="shared" si="148"/>
        <v>8.1419999999999995</v>
      </c>
      <c r="AC437" s="16">
        <v>0</v>
      </c>
      <c r="AD437" s="16">
        <v>0</v>
      </c>
      <c r="AE437" s="16">
        <v>0</v>
      </c>
      <c r="AF437" s="16">
        <f t="shared" si="155"/>
        <v>8.1419999999999995</v>
      </c>
      <c r="AG437" s="16">
        <f t="shared" ref="AG437:AG468" si="171">16%*AF437</f>
        <v>1.3027199999999999</v>
      </c>
      <c r="AH437" s="16">
        <f t="shared" si="156"/>
        <v>9.4447200000000002</v>
      </c>
      <c r="AI437" s="16">
        <f t="shared" ref="AI437:AI468" si="172">2%*(AB437+AC437+AD437)</f>
        <v>0.16283999999999998</v>
      </c>
      <c r="AJ437" s="16">
        <v>0</v>
      </c>
      <c r="AK437" s="16">
        <f t="shared" si="158"/>
        <v>0.16283999999999998</v>
      </c>
      <c r="AL437" s="19"/>
      <c r="AM437" s="16">
        <f t="shared" si="159"/>
        <v>7.9791599999999994</v>
      </c>
      <c r="AN437" s="16" t="s">
        <v>147</v>
      </c>
      <c r="AO437" s="20">
        <v>0.4</v>
      </c>
      <c r="AP437" s="16">
        <f t="shared" si="160"/>
        <v>3.1916639999999998</v>
      </c>
      <c r="AQ437" s="16">
        <v>3.1916639999999998</v>
      </c>
      <c r="AR437" s="15">
        <v>45229</v>
      </c>
      <c r="AS437" s="16">
        <f t="shared" si="161"/>
        <v>0</v>
      </c>
      <c r="AT437" s="16"/>
      <c r="AU437" s="16">
        <v>9.4447200000000002</v>
      </c>
      <c r="AV437" s="16">
        <f t="shared" si="170"/>
        <v>9.4447200000000002</v>
      </c>
      <c r="AW437" s="16">
        <f t="shared" si="162"/>
        <v>0</v>
      </c>
      <c r="AX437" s="16" t="str">
        <f t="shared" si="163"/>
        <v>SFA</v>
      </c>
      <c r="AY437" s="22">
        <v>45070</v>
      </c>
      <c r="AZ437" s="22"/>
      <c r="BA437" s="1" t="s">
        <v>148</v>
      </c>
      <c r="BB437" s="22" t="str">
        <f t="shared" ref="BB437:BB459" si="173">O437</f>
        <v>MARINE CARGO / GIT</v>
      </c>
      <c r="BC437" s="22"/>
      <c r="BD437" s="22"/>
      <c r="BE437" s="22"/>
    </row>
    <row r="438" spans="1:57" ht="15.75" hidden="1" customHeight="1">
      <c r="A438" s="2" t="s">
        <v>230</v>
      </c>
      <c r="B438" s="1" t="s">
        <v>58</v>
      </c>
      <c r="C438" s="27">
        <v>45068</v>
      </c>
      <c r="D438" s="27">
        <v>45069</v>
      </c>
      <c r="E438" s="27">
        <v>45069</v>
      </c>
      <c r="F438" s="27">
        <v>45129</v>
      </c>
      <c r="G438" s="13" t="str">
        <f t="shared" si="153"/>
        <v>000-437/AIB RDC/2023</v>
      </c>
      <c r="H438" s="1">
        <v>0</v>
      </c>
      <c r="I438" s="1" t="s">
        <v>83</v>
      </c>
      <c r="J438" s="2" t="s">
        <v>688</v>
      </c>
      <c r="K438" s="2" t="s">
        <v>501</v>
      </c>
      <c r="L438" s="1" t="s">
        <v>123</v>
      </c>
      <c r="M438" s="1" t="s">
        <v>64</v>
      </c>
      <c r="N438" s="1" t="s">
        <v>71</v>
      </c>
      <c r="O438" s="1" t="s">
        <v>104</v>
      </c>
      <c r="P438" s="1" t="s">
        <v>105</v>
      </c>
      <c r="Q438" s="1" t="s">
        <v>117</v>
      </c>
      <c r="R438" s="1" t="s">
        <v>117</v>
      </c>
      <c r="S438" s="25">
        <v>57104</v>
      </c>
      <c r="T438" s="25">
        <v>206.2</v>
      </c>
      <c r="U438" s="25">
        <v>0</v>
      </c>
      <c r="V438" s="25">
        <v>0</v>
      </c>
      <c r="W438" s="25">
        <v>35</v>
      </c>
      <c r="X438" s="25">
        <v>142.76</v>
      </c>
      <c r="Y438" s="25">
        <v>28.44</v>
      </c>
      <c r="Z438" s="17">
        <f t="shared" si="154"/>
        <v>2.5000000000000001E-3</v>
      </c>
      <c r="AA438" s="18">
        <v>0.15</v>
      </c>
      <c r="AB438" s="16">
        <f t="shared" si="148"/>
        <v>21.413999999999998</v>
      </c>
      <c r="AC438" s="16">
        <v>0</v>
      </c>
      <c r="AD438" s="16">
        <v>0</v>
      </c>
      <c r="AE438" s="16">
        <v>0</v>
      </c>
      <c r="AF438" s="16">
        <f t="shared" si="155"/>
        <v>21.413999999999998</v>
      </c>
      <c r="AG438" s="16">
        <f t="shared" si="171"/>
        <v>3.42624</v>
      </c>
      <c r="AH438" s="16">
        <f t="shared" si="156"/>
        <v>24.840239999999998</v>
      </c>
      <c r="AI438" s="16">
        <f t="shared" si="172"/>
        <v>0.42827999999999999</v>
      </c>
      <c r="AJ438" s="16"/>
      <c r="AK438" s="16">
        <f t="shared" si="158"/>
        <v>0.42827999999999999</v>
      </c>
      <c r="AL438" s="19"/>
      <c r="AM438" s="16">
        <f t="shared" si="159"/>
        <v>20.985719999999997</v>
      </c>
      <c r="AN438" s="16" t="s">
        <v>319</v>
      </c>
      <c r="AO438" s="20"/>
      <c r="AP438" s="16">
        <f t="shared" si="160"/>
        <v>0</v>
      </c>
      <c r="AQ438" s="16"/>
      <c r="AR438" s="15"/>
      <c r="AS438" s="16">
        <f t="shared" si="161"/>
        <v>0</v>
      </c>
      <c r="AT438" s="16"/>
      <c r="AU438" s="16">
        <v>24.840239999999998</v>
      </c>
      <c r="AV438" s="16">
        <f t="shared" si="170"/>
        <v>24.840239999999998</v>
      </c>
      <c r="AW438" s="16">
        <f t="shared" si="162"/>
        <v>0</v>
      </c>
      <c r="AX438" s="16" t="str">
        <f t="shared" si="163"/>
        <v>SUNU</v>
      </c>
      <c r="AY438" s="22">
        <v>45117</v>
      </c>
      <c r="AZ438" s="22"/>
      <c r="BA438" s="1"/>
      <c r="BB438" s="22" t="str">
        <f t="shared" si="173"/>
        <v>MARINE CARGO / GIT</v>
      </c>
      <c r="BC438" s="1"/>
      <c r="BD438" s="1"/>
      <c r="BE438" s="1"/>
    </row>
    <row r="439" spans="1:57" ht="15.75" hidden="1" customHeight="1">
      <c r="A439" s="2" t="s">
        <v>230</v>
      </c>
      <c r="B439" s="1" t="s">
        <v>58</v>
      </c>
      <c r="C439" s="27">
        <v>45068</v>
      </c>
      <c r="D439" s="27">
        <v>45069</v>
      </c>
      <c r="E439" s="27">
        <v>45069</v>
      </c>
      <c r="F439" s="27">
        <v>45129</v>
      </c>
      <c r="G439" s="13" t="str">
        <f t="shared" si="153"/>
        <v>000-438/AIB RDC/2023</v>
      </c>
      <c r="H439" s="1">
        <v>0</v>
      </c>
      <c r="I439" s="1" t="s">
        <v>83</v>
      </c>
      <c r="J439" s="2" t="s">
        <v>689</v>
      </c>
      <c r="K439" s="2" t="s">
        <v>501</v>
      </c>
      <c r="L439" s="1" t="s">
        <v>123</v>
      </c>
      <c r="M439" s="1" t="s">
        <v>63</v>
      </c>
      <c r="N439" s="1" t="s">
        <v>71</v>
      </c>
      <c r="O439" s="1" t="s">
        <v>104</v>
      </c>
      <c r="P439" s="1" t="s">
        <v>105</v>
      </c>
      <c r="Q439" s="1" t="s">
        <v>117</v>
      </c>
      <c r="R439" s="1" t="s">
        <v>117</v>
      </c>
      <c r="S439" s="25">
        <v>102786</v>
      </c>
      <c r="T439" s="25">
        <v>338.69</v>
      </c>
      <c r="U439" s="25">
        <v>0</v>
      </c>
      <c r="V439" s="25">
        <v>0</v>
      </c>
      <c r="W439" s="25">
        <v>35</v>
      </c>
      <c r="X439" s="25">
        <v>256.97000000000003</v>
      </c>
      <c r="Y439" s="25">
        <v>46.72</v>
      </c>
      <c r="Z439" s="17">
        <f t="shared" si="154"/>
        <v>2.5000486447570684E-3</v>
      </c>
      <c r="AA439" s="18">
        <v>0.15</v>
      </c>
      <c r="AB439" s="16">
        <f t="shared" si="148"/>
        <v>38.545500000000004</v>
      </c>
      <c r="AC439" s="16">
        <v>0</v>
      </c>
      <c r="AD439" s="16">
        <v>0</v>
      </c>
      <c r="AE439" s="16">
        <v>0</v>
      </c>
      <c r="AF439" s="16">
        <f t="shared" si="155"/>
        <v>38.545500000000004</v>
      </c>
      <c r="AG439" s="16">
        <f t="shared" si="171"/>
        <v>6.1672800000000008</v>
      </c>
      <c r="AH439" s="16">
        <f t="shared" si="156"/>
        <v>44.712780000000002</v>
      </c>
      <c r="AI439" s="16">
        <f t="shared" si="172"/>
        <v>0.7709100000000001</v>
      </c>
      <c r="AJ439" s="16"/>
      <c r="AK439" s="16">
        <f t="shared" si="158"/>
        <v>0.7709100000000001</v>
      </c>
      <c r="AL439" s="19"/>
      <c r="AM439" s="16">
        <f t="shared" si="159"/>
        <v>37.774590000000003</v>
      </c>
      <c r="AN439" s="16" t="s">
        <v>319</v>
      </c>
      <c r="AO439" s="20"/>
      <c r="AP439" s="16">
        <f t="shared" si="160"/>
        <v>0</v>
      </c>
      <c r="AQ439" s="16"/>
      <c r="AR439" s="15"/>
      <c r="AS439" s="16">
        <f t="shared" si="161"/>
        <v>0</v>
      </c>
      <c r="AT439" s="16"/>
      <c r="AU439" s="16">
        <v>44.712780000000002</v>
      </c>
      <c r="AV439" s="16">
        <f t="shared" si="170"/>
        <v>44.712780000000002</v>
      </c>
      <c r="AW439" s="16">
        <f t="shared" si="162"/>
        <v>0</v>
      </c>
      <c r="AX439" s="16" t="str">
        <f t="shared" si="163"/>
        <v>SUNU</v>
      </c>
      <c r="AY439" s="22">
        <v>45117</v>
      </c>
      <c r="AZ439" s="22"/>
      <c r="BA439" s="1"/>
      <c r="BB439" s="22" t="str">
        <f t="shared" si="173"/>
        <v>MARINE CARGO / GIT</v>
      </c>
      <c r="BC439" s="1"/>
      <c r="BD439" s="1"/>
      <c r="BE439" s="1"/>
    </row>
    <row r="440" spans="1:57" ht="15.75" hidden="1" customHeight="1">
      <c r="A440" s="2" t="s">
        <v>230</v>
      </c>
      <c r="B440" s="1" t="s">
        <v>58</v>
      </c>
      <c r="C440" s="27">
        <v>45068</v>
      </c>
      <c r="D440" s="27">
        <v>45069</v>
      </c>
      <c r="E440" s="27">
        <v>45069</v>
      </c>
      <c r="F440" s="27">
        <v>45129</v>
      </c>
      <c r="G440" s="13" t="str">
        <f t="shared" si="153"/>
        <v>000-439/AIB RDC/2023</v>
      </c>
      <c r="H440" s="1">
        <v>0</v>
      </c>
      <c r="I440" s="1" t="s">
        <v>83</v>
      </c>
      <c r="J440" s="2" t="s">
        <v>690</v>
      </c>
      <c r="K440" s="2" t="s">
        <v>501</v>
      </c>
      <c r="L440" s="1" t="s">
        <v>123</v>
      </c>
      <c r="M440" s="1" t="s">
        <v>63</v>
      </c>
      <c r="N440" s="1" t="s">
        <v>71</v>
      </c>
      <c r="O440" s="1" t="s">
        <v>104</v>
      </c>
      <c r="P440" s="1" t="s">
        <v>105</v>
      </c>
      <c r="Q440" s="1" t="s">
        <v>117</v>
      </c>
      <c r="R440" s="1" t="s">
        <v>117</v>
      </c>
      <c r="S440" s="25">
        <v>51378</v>
      </c>
      <c r="T440" s="25">
        <v>189.6</v>
      </c>
      <c r="U440" s="25">
        <v>0</v>
      </c>
      <c r="V440" s="25">
        <v>0</v>
      </c>
      <c r="W440" s="25">
        <v>35</v>
      </c>
      <c r="X440" s="25">
        <v>128.44999999999999</v>
      </c>
      <c r="Y440" s="25">
        <v>26.15</v>
      </c>
      <c r="Z440" s="17">
        <f t="shared" si="154"/>
        <v>2.500097317918175E-3</v>
      </c>
      <c r="AA440" s="18">
        <v>0.15</v>
      </c>
      <c r="AB440" s="16">
        <f t="shared" si="148"/>
        <v>19.267499999999998</v>
      </c>
      <c r="AC440" s="16">
        <v>0</v>
      </c>
      <c r="AD440" s="16">
        <v>0</v>
      </c>
      <c r="AE440" s="16">
        <v>0</v>
      </c>
      <c r="AF440" s="16">
        <f t="shared" si="155"/>
        <v>19.267499999999998</v>
      </c>
      <c r="AG440" s="16">
        <f t="shared" si="171"/>
        <v>3.0827999999999998</v>
      </c>
      <c r="AH440" s="16">
        <f t="shared" si="156"/>
        <v>22.350299999999997</v>
      </c>
      <c r="AI440" s="16">
        <f t="shared" si="172"/>
        <v>0.38534999999999997</v>
      </c>
      <c r="AJ440" s="16"/>
      <c r="AK440" s="16">
        <f t="shared" si="158"/>
        <v>0.38534999999999997</v>
      </c>
      <c r="AL440" s="19"/>
      <c r="AM440" s="16">
        <f t="shared" si="159"/>
        <v>18.882149999999999</v>
      </c>
      <c r="AN440" s="16" t="s">
        <v>319</v>
      </c>
      <c r="AO440" s="20"/>
      <c r="AP440" s="16">
        <f t="shared" si="160"/>
        <v>0</v>
      </c>
      <c r="AQ440" s="16"/>
      <c r="AR440" s="15"/>
      <c r="AS440" s="16">
        <f t="shared" si="161"/>
        <v>0</v>
      </c>
      <c r="AT440" s="16"/>
      <c r="AU440" s="16">
        <v>22.350299999999997</v>
      </c>
      <c r="AV440" s="16">
        <f t="shared" si="170"/>
        <v>22.350299999999997</v>
      </c>
      <c r="AW440" s="16">
        <f t="shared" si="162"/>
        <v>0</v>
      </c>
      <c r="AX440" s="16" t="str">
        <f t="shared" si="163"/>
        <v>SUNU</v>
      </c>
      <c r="AY440" s="22">
        <v>45117</v>
      </c>
      <c r="AZ440" s="22"/>
      <c r="BA440" s="1"/>
      <c r="BB440" s="22" t="str">
        <f t="shared" si="173"/>
        <v>MARINE CARGO / GIT</v>
      </c>
      <c r="BC440" s="1"/>
      <c r="BD440" s="1"/>
      <c r="BE440" s="1"/>
    </row>
    <row r="441" spans="1:57" ht="15.75" hidden="1" customHeight="1">
      <c r="A441" s="2" t="s">
        <v>230</v>
      </c>
      <c r="B441" s="1" t="s">
        <v>58</v>
      </c>
      <c r="C441" s="27">
        <v>45068</v>
      </c>
      <c r="D441" s="27">
        <v>45069</v>
      </c>
      <c r="E441" s="27">
        <v>45069</v>
      </c>
      <c r="F441" s="27">
        <v>45129</v>
      </c>
      <c r="G441" s="13" t="str">
        <f t="shared" si="153"/>
        <v>000-440/AIB RDC/2023</v>
      </c>
      <c r="H441" s="1">
        <v>0</v>
      </c>
      <c r="I441" s="1" t="s">
        <v>83</v>
      </c>
      <c r="J441" s="2" t="s">
        <v>691</v>
      </c>
      <c r="K441" s="2" t="s">
        <v>501</v>
      </c>
      <c r="L441" s="1" t="s">
        <v>123</v>
      </c>
      <c r="M441" s="1" t="s">
        <v>63</v>
      </c>
      <c r="N441" s="1" t="s">
        <v>71</v>
      </c>
      <c r="O441" s="1" t="s">
        <v>104</v>
      </c>
      <c r="P441" s="1" t="s">
        <v>105</v>
      </c>
      <c r="Q441" s="1" t="s">
        <v>117</v>
      </c>
      <c r="R441" s="1" t="s">
        <v>117</v>
      </c>
      <c r="S441" s="25">
        <v>70774</v>
      </c>
      <c r="T441" s="25">
        <v>245.84</v>
      </c>
      <c r="U441" s="25">
        <v>0</v>
      </c>
      <c r="V441" s="25">
        <v>0</v>
      </c>
      <c r="W441" s="25">
        <v>35</v>
      </c>
      <c r="X441" s="25">
        <v>176.93</v>
      </c>
      <c r="Y441" s="25">
        <v>33.909999999999997</v>
      </c>
      <c r="Z441" s="17">
        <f t="shared" si="154"/>
        <v>2.4999293525871085E-3</v>
      </c>
      <c r="AA441" s="18">
        <v>0.15</v>
      </c>
      <c r="AB441" s="16">
        <f t="shared" si="148"/>
        <v>26.5395</v>
      </c>
      <c r="AC441" s="16">
        <v>0</v>
      </c>
      <c r="AD441" s="16">
        <v>0</v>
      </c>
      <c r="AE441" s="16">
        <v>0</v>
      </c>
      <c r="AF441" s="16">
        <f t="shared" si="155"/>
        <v>26.5395</v>
      </c>
      <c r="AG441" s="16">
        <f t="shared" si="171"/>
        <v>4.2463199999999999</v>
      </c>
      <c r="AH441" s="16">
        <f t="shared" si="156"/>
        <v>30.785820000000001</v>
      </c>
      <c r="AI441" s="16">
        <f t="shared" si="172"/>
        <v>0.53078999999999998</v>
      </c>
      <c r="AJ441" s="16"/>
      <c r="AK441" s="16">
        <f t="shared" si="158"/>
        <v>0.53078999999999998</v>
      </c>
      <c r="AL441" s="19"/>
      <c r="AM441" s="16">
        <f t="shared" si="159"/>
        <v>26.008710000000001</v>
      </c>
      <c r="AN441" s="16" t="s">
        <v>319</v>
      </c>
      <c r="AO441" s="20"/>
      <c r="AP441" s="16">
        <f t="shared" si="160"/>
        <v>0</v>
      </c>
      <c r="AQ441" s="16"/>
      <c r="AR441" s="15"/>
      <c r="AS441" s="16">
        <f t="shared" si="161"/>
        <v>0</v>
      </c>
      <c r="AT441" s="16"/>
      <c r="AU441" s="16">
        <v>30.785820000000001</v>
      </c>
      <c r="AV441" s="16">
        <f t="shared" si="170"/>
        <v>30.785820000000001</v>
      </c>
      <c r="AW441" s="16">
        <f t="shared" si="162"/>
        <v>0</v>
      </c>
      <c r="AX441" s="16" t="str">
        <f t="shared" si="163"/>
        <v>SUNU</v>
      </c>
      <c r="AY441" s="22">
        <v>45117</v>
      </c>
      <c r="AZ441" s="22"/>
      <c r="BA441" s="1"/>
      <c r="BB441" s="22" t="str">
        <f t="shared" si="173"/>
        <v>MARINE CARGO / GIT</v>
      </c>
      <c r="BC441" s="1"/>
      <c r="BD441" s="1"/>
      <c r="BE441" s="1"/>
    </row>
    <row r="442" spans="1:57" ht="15" hidden="1" customHeight="1">
      <c r="A442" s="2" t="s">
        <v>406</v>
      </c>
      <c r="B442" s="1" t="s">
        <v>58</v>
      </c>
      <c r="C442" s="27">
        <v>45028</v>
      </c>
      <c r="D442" s="27">
        <v>45017</v>
      </c>
      <c r="E442" s="27">
        <v>45017</v>
      </c>
      <c r="F442" s="27">
        <v>45382</v>
      </c>
      <c r="G442" s="13" t="str">
        <f t="shared" si="153"/>
        <v>000-441/AIB RDC/2023</v>
      </c>
      <c r="H442" s="1">
        <v>1</v>
      </c>
      <c r="I442" s="1" t="s">
        <v>68</v>
      </c>
      <c r="J442" s="2" t="s">
        <v>692</v>
      </c>
      <c r="K442" s="2" t="s">
        <v>240</v>
      </c>
      <c r="L442" s="1" t="s">
        <v>139</v>
      </c>
      <c r="M442" s="1" t="s">
        <v>63</v>
      </c>
      <c r="N442" s="1" t="s">
        <v>64</v>
      </c>
      <c r="O442" s="1" t="s">
        <v>194</v>
      </c>
      <c r="P442" s="1" t="s">
        <v>108</v>
      </c>
      <c r="Q442" s="1" t="s">
        <v>76</v>
      </c>
      <c r="R442" s="1" t="s">
        <v>76</v>
      </c>
      <c r="S442" s="25">
        <v>15852740</v>
      </c>
      <c r="T442" s="25">
        <v>15454.32</v>
      </c>
      <c r="U442" s="25">
        <v>0</v>
      </c>
      <c r="V442" s="25">
        <v>0</v>
      </c>
      <c r="W442" s="25">
        <v>131.91</v>
      </c>
      <c r="X442" s="25">
        <v>13190.78</v>
      </c>
      <c r="Y442" s="25">
        <v>2131.63</v>
      </c>
      <c r="Z442" s="17">
        <f t="shared" si="154"/>
        <v>8.3208202493701409E-4</v>
      </c>
      <c r="AA442" s="18">
        <v>0.08</v>
      </c>
      <c r="AB442" s="16">
        <f t="shared" si="148"/>
        <v>1055.2624000000001</v>
      </c>
      <c r="AC442" s="16">
        <v>0</v>
      </c>
      <c r="AD442" s="16">
        <v>0</v>
      </c>
      <c r="AE442" s="16">
        <v>0</v>
      </c>
      <c r="AF442" s="16">
        <f t="shared" si="155"/>
        <v>1055.2624000000001</v>
      </c>
      <c r="AG442" s="16">
        <f t="shared" si="171"/>
        <v>168.84198400000002</v>
      </c>
      <c r="AH442" s="16">
        <f t="shared" si="156"/>
        <v>1224.1043840000002</v>
      </c>
      <c r="AI442" s="16">
        <f t="shared" si="172"/>
        <v>21.105248000000003</v>
      </c>
      <c r="AJ442" s="16">
        <v>0</v>
      </c>
      <c r="AK442" s="16">
        <f t="shared" si="158"/>
        <v>21.105248000000003</v>
      </c>
      <c r="AL442" s="19"/>
      <c r="AM442" s="16">
        <f t="shared" si="159"/>
        <v>1034.157152</v>
      </c>
      <c r="AN442" s="16" t="s">
        <v>77</v>
      </c>
      <c r="AO442" s="20"/>
      <c r="AP442" s="16">
        <f t="shared" si="160"/>
        <v>0</v>
      </c>
      <c r="AQ442" s="16"/>
      <c r="AR442" s="15"/>
      <c r="AS442" s="16">
        <f t="shared" si="161"/>
        <v>0</v>
      </c>
      <c r="AT442" s="16"/>
      <c r="AU442" s="16">
        <v>1224.1043840000002</v>
      </c>
      <c r="AV442" s="16">
        <f t="shared" si="170"/>
        <v>1224.1043840000002</v>
      </c>
      <c r="AW442" s="16">
        <f t="shared" si="162"/>
        <v>0</v>
      </c>
      <c r="AX442" s="16" t="str">
        <f t="shared" si="163"/>
        <v>ACTIVA</v>
      </c>
      <c r="AY442" s="22">
        <v>45170</v>
      </c>
      <c r="AZ442" s="22"/>
      <c r="BA442" s="1"/>
      <c r="BB442" s="22" t="str">
        <f t="shared" si="173"/>
        <v>PROPERTY DAMAGE &amp; BI</v>
      </c>
      <c r="BC442" s="1"/>
      <c r="BD442" s="1"/>
      <c r="BE442" s="1" t="s">
        <v>672</v>
      </c>
    </row>
    <row r="443" spans="1:57" ht="18" hidden="1" customHeight="1">
      <c r="A443" s="2" t="s">
        <v>406</v>
      </c>
      <c r="B443" s="1" t="s">
        <v>58</v>
      </c>
      <c r="C443" s="27">
        <v>45028</v>
      </c>
      <c r="D443" s="27"/>
      <c r="E443" s="27">
        <v>45017</v>
      </c>
      <c r="F443" s="27">
        <v>45382</v>
      </c>
      <c r="G443" s="13" t="str">
        <f t="shared" si="153"/>
        <v>000-442/AIB RDC/2023</v>
      </c>
      <c r="H443" s="1">
        <v>1</v>
      </c>
      <c r="I443" s="1" t="s">
        <v>68</v>
      </c>
      <c r="J443" s="2" t="s">
        <v>693</v>
      </c>
      <c r="K443" s="2" t="s">
        <v>694</v>
      </c>
      <c r="L443" s="1"/>
      <c r="M443" s="1" t="s">
        <v>63</v>
      </c>
      <c r="N443" s="1" t="s">
        <v>64</v>
      </c>
      <c r="O443" s="1" t="s">
        <v>194</v>
      </c>
      <c r="P443" s="1" t="s">
        <v>108</v>
      </c>
      <c r="Q443" s="1" t="s">
        <v>76</v>
      </c>
      <c r="R443" s="1" t="s">
        <v>76</v>
      </c>
      <c r="S443" s="25">
        <v>55654559</v>
      </c>
      <c r="T443" s="25">
        <v>54255.82</v>
      </c>
      <c r="U443" s="25">
        <v>0</v>
      </c>
      <c r="V443" s="25">
        <v>0</v>
      </c>
      <c r="W443" s="25">
        <v>463.09</v>
      </c>
      <c r="X443" s="25">
        <v>46309.16</v>
      </c>
      <c r="Y443" s="25">
        <v>7483.56</v>
      </c>
      <c r="Z443" s="17">
        <f t="shared" si="154"/>
        <v>8.3208205818322998E-4</v>
      </c>
      <c r="AA443" s="18">
        <v>0.1</v>
      </c>
      <c r="AB443" s="16">
        <f t="shared" ref="AB443:AB506" si="174">AA443*X443</f>
        <v>4630.9160000000002</v>
      </c>
      <c r="AC443" s="16">
        <v>0</v>
      </c>
      <c r="AD443" s="16">
        <v>0</v>
      </c>
      <c r="AE443" s="16">
        <v>0</v>
      </c>
      <c r="AF443" s="16">
        <f t="shared" si="155"/>
        <v>4630.9160000000002</v>
      </c>
      <c r="AG443" s="16">
        <f t="shared" si="171"/>
        <v>740.94656000000009</v>
      </c>
      <c r="AH443" s="16">
        <f t="shared" si="156"/>
        <v>5371.8625600000005</v>
      </c>
      <c r="AI443" s="16">
        <f t="shared" si="172"/>
        <v>92.618320000000011</v>
      </c>
      <c r="AJ443" s="16">
        <v>0</v>
      </c>
      <c r="AK443" s="16">
        <f t="shared" si="158"/>
        <v>92.618320000000011</v>
      </c>
      <c r="AL443" s="19"/>
      <c r="AM443" s="16">
        <f t="shared" si="159"/>
        <v>4538.2976800000006</v>
      </c>
      <c r="AN443" s="16" t="s">
        <v>77</v>
      </c>
      <c r="AO443" s="20"/>
      <c r="AP443" s="16">
        <f t="shared" si="160"/>
        <v>0</v>
      </c>
      <c r="AQ443" s="16"/>
      <c r="AR443" s="15"/>
      <c r="AS443" s="16">
        <f t="shared" si="161"/>
        <v>0</v>
      </c>
      <c r="AT443" s="16"/>
      <c r="AU443" s="16">
        <v>5371.8625600000005</v>
      </c>
      <c r="AV443" s="16">
        <f t="shared" si="170"/>
        <v>5371.8625600000005</v>
      </c>
      <c r="AW443" s="16">
        <f t="shared" si="162"/>
        <v>0</v>
      </c>
      <c r="AX443" s="16" t="str">
        <f t="shared" si="163"/>
        <v>ACTIVA</v>
      </c>
      <c r="AY443" s="22">
        <v>45170</v>
      </c>
      <c r="AZ443" s="22"/>
      <c r="BA443" s="1"/>
      <c r="BB443" s="22" t="str">
        <f t="shared" si="173"/>
        <v>PROPERTY DAMAGE &amp; BI</v>
      </c>
      <c r="BC443" s="1"/>
      <c r="BD443" s="1"/>
      <c r="BE443" s="1" t="s">
        <v>672</v>
      </c>
    </row>
    <row r="444" spans="1:57" ht="14.25" hidden="1" customHeight="1">
      <c r="A444" s="2" t="s">
        <v>406</v>
      </c>
      <c r="B444" s="1" t="s">
        <v>58</v>
      </c>
      <c r="C444" s="27">
        <v>45028</v>
      </c>
      <c r="D444" s="27"/>
      <c r="E444" s="27">
        <v>45017</v>
      </c>
      <c r="F444" s="27">
        <v>45382</v>
      </c>
      <c r="G444" s="13" t="str">
        <f t="shared" si="153"/>
        <v>000-443/AIB RDC/2023</v>
      </c>
      <c r="H444" s="1">
        <v>1</v>
      </c>
      <c r="I444" s="1" t="s">
        <v>68</v>
      </c>
      <c r="J444" s="2" t="s">
        <v>692</v>
      </c>
      <c r="K444" s="2" t="s">
        <v>695</v>
      </c>
      <c r="L444" s="1"/>
      <c r="M444" s="1" t="s">
        <v>63</v>
      </c>
      <c r="N444" s="1" t="s">
        <v>64</v>
      </c>
      <c r="O444" s="1" t="s">
        <v>194</v>
      </c>
      <c r="P444" s="1" t="s">
        <v>108</v>
      </c>
      <c r="Q444" s="1" t="s">
        <v>76</v>
      </c>
      <c r="R444" s="1" t="s">
        <v>76</v>
      </c>
      <c r="S444" s="25">
        <v>240262</v>
      </c>
      <c r="T444" s="25">
        <v>234.22</v>
      </c>
      <c r="U444" s="25">
        <v>0</v>
      </c>
      <c r="V444" s="25">
        <v>0</v>
      </c>
      <c r="W444" s="25">
        <v>2</v>
      </c>
      <c r="X444" s="25">
        <v>199.92</v>
      </c>
      <c r="Y444" s="25">
        <v>32.31</v>
      </c>
      <c r="Z444" s="17">
        <f t="shared" si="154"/>
        <v>8.3209163330031375E-4</v>
      </c>
      <c r="AA444" s="18">
        <v>0.08</v>
      </c>
      <c r="AB444" s="16">
        <f t="shared" si="174"/>
        <v>15.993599999999999</v>
      </c>
      <c r="AC444" s="16">
        <v>0</v>
      </c>
      <c r="AD444" s="16">
        <v>0</v>
      </c>
      <c r="AE444" s="16">
        <v>0</v>
      </c>
      <c r="AF444" s="16">
        <f t="shared" si="155"/>
        <v>15.993599999999999</v>
      </c>
      <c r="AG444" s="16">
        <f t="shared" si="171"/>
        <v>2.5589759999999999</v>
      </c>
      <c r="AH444" s="16">
        <f t="shared" si="156"/>
        <v>18.552575999999998</v>
      </c>
      <c r="AI444" s="16">
        <f t="shared" si="172"/>
        <v>0.31987199999999999</v>
      </c>
      <c r="AJ444" s="16">
        <v>0</v>
      </c>
      <c r="AK444" s="16">
        <f t="shared" si="158"/>
        <v>0.31987199999999999</v>
      </c>
      <c r="AL444" s="19"/>
      <c r="AM444" s="16">
        <f t="shared" si="159"/>
        <v>15.673727999999999</v>
      </c>
      <c r="AN444" s="16" t="s">
        <v>77</v>
      </c>
      <c r="AO444" s="20"/>
      <c r="AP444" s="16">
        <f t="shared" si="160"/>
        <v>0</v>
      </c>
      <c r="AQ444" s="16"/>
      <c r="AR444" s="15"/>
      <c r="AS444" s="16">
        <f t="shared" si="161"/>
        <v>0</v>
      </c>
      <c r="AT444" s="16"/>
      <c r="AU444" s="16">
        <v>18.552575999999998</v>
      </c>
      <c r="AV444" s="16">
        <f t="shared" si="170"/>
        <v>18.552575999999998</v>
      </c>
      <c r="AW444" s="16">
        <f t="shared" si="162"/>
        <v>0</v>
      </c>
      <c r="AX444" s="16" t="str">
        <f t="shared" si="163"/>
        <v>ACTIVA</v>
      </c>
      <c r="AY444" s="22">
        <v>45170</v>
      </c>
      <c r="AZ444" s="22"/>
      <c r="BA444" s="1"/>
      <c r="BB444" s="22" t="str">
        <f t="shared" si="173"/>
        <v>PROPERTY DAMAGE &amp; BI</v>
      </c>
      <c r="BC444" s="1"/>
      <c r="BD444" s="1"/>
      <c r="BE444" s="1" t="s">
        <v>156</v>
      </c>
    </row>
    <row r="445" spans="1:57" ht="18" hidden="1" customHeight="1">
      <c r="A445" s="2" t="s">
        <v>212</v>
      </c>
      <c r="B445" s="1" t="s">
        <v>58</v>
      </c>
      <c r="C445" s="27">
        <v>45092</v>
      </c>
      <c r="D445" s="27">
        <v>45058</v>
      </c>
      <c r="E445" s="27">
        <v>45086</v>
      </c>
      <c r="F445" s="27">
        <v>45119</v>
      </c>
      <c r="G445" s="13" t="str">
        <f t="shared" si="153"/>
        <v>000-444/AIB RDC/2023</v>
      </c>
      <c r="H445" s="1">
        <v>0</v>
      </c>
      <c r="I445" s="1" t="s">
        <v>83</v>
      </c>
      <c r="J445" s="29" t="s">
        <v>696</v>
      </c>
      <c r="K445" s="2" t="s">
        <v>697</v>
      </c>
      <c r="L445" s="1"/>
      <c r="M445" s="1" t="s">
        <v>64</v>
      </c>
      <c r="N445" s="1" t="s">
        <v>71</v>
      </c>
      <c r="O445" s="1" t="s">
        <v>302</v>
      </c>
      <c r="P445" s="1" t="s">
        <v>81</v>
      </c>
      <c r="Q445" s="1" t="s">
        <v>117</v>
      </c>
      <c r="R445" s="1" t="s">
        <v>117</v>
      </c>
      <c r="S445" s="25">
        <v>0</v>
      </c>
      <c r="T445" s="25">
        <v>50.12</v>
      </c>
      <c r="U445" s="25">
        <v>0</v>
      </c>
      <c r="V445" s="25">
        <v>0</v>
      </c>
      <c r="W445" s="25">
        <v>1.05</v>
      </c>
      <c r="X445" s="25">
        <v>42.17</v>
      </c>
      <c r="Y445" s="25">
        <f>16%*(W445+X445)</f>
        <v>6.9151999999999996</v>
      </c>
      <c r="Z445" s="17" t="e">
        <f t="shared" si="154"/>
        <v>#DIV/0!</v>
      </c>
      <c r="AA445" s="18">
        <v>0.2</v>
      </c>
      <c r="AB445" s="16">
        <f t="shared" si="174"/>
        <v>8.4340000000000011</v>
      </c>
      <c r="AC445" s="16">
        <v>0</v>
      </c>
      <c r="AD445" s="16">
        <v>0</v>
      </c>
      <c r="AE445" s="16">
        <v>0</v>
      </c>
      <c r="AF445" s="16">
        <f t="shared" si="155"/>
        <v>8.4340000000000011</v>
      </c>
      <c r="AG445" s="16">
        <f t="shared" si="171"/>
        <v>1.3494400000000002</v>
      </c>
      <c r="AH445" s="16">
        <f t="shared" si="156"/>
        <v>9.7834400000000006</v>
      </c>
      <c r="AI445" s="16">
        <f t="shared" si="172"/>
        <v>0.16868000000000002</v>
      </c>
      <c r="AJ445" s="16"/>
      <c r="AK445" s="16">
        <f t="shared" si="158"/>
        <v>0.16868000000000002</v>
      </c>
      <c r="AL445" s="19"/>
      <c r="AM445" s="16">
        <f t="shared" si="159"/>
        <v>8.2653200000000009</v>
      </c>
      <c r="AN445" s="16" t="s">
        <v>319</v>
      </c>
      <c r="AO445" s="20"/>
      <c r="AP445" s="16">
        <f t="shared" si="160"/>
        <v>0</v>
      </c>
      <c r="AQ445" s="16"/>
      <c r="AR445" s="15"/>
      <c r="AS445" s="16">
        <f t="shared" si="161"/>
        <v>0</v>
      </c>
      <c r="AT445" s="16"/>
      <c r="AU445" s="16">
        <v>9.7834400000000006</v>
      </c>
      <c r="AV445" s="16">
        <f t="shared" si="170"/>
        <v>9.7834400000000006</v>
      </c>
      <c r="AW445" s="16">
        <f t="shared" si="162"/>
        <v>0</v>
      </c>
      <c r="AX445" s="16" t="str">
        <f t="shared" si="163"/>
        <v>SUNU</v>
      </c>
      <c r="AY445" s="22">
        <v>45117</v>
      </c>
      <c r="AZ445" s="22"/>
      <c r="BA445" s="1"/>
      <c r="BB445" s="22" t="str">
        <f t="shared" si="173"/>
        <v>TRAVEL</v>
      </c>
      <c r="BC445" s="1"/>
      <c r="BD445" s="1"/>
      <c r="BE445" s="1"/>
    </row>
    <row r="446" spans="1:57" ht="16.5" hidden="1" customHeight="1">
      <c r="A446" s="2" t="s">
        <v>230</v>
      </c>
      <c r="B446" s="1" t="s">
        <v>58</v>
      </c>
      <c r="C446" s="27">
        <v>45089</v>
      </c>
      <c r="D446" s="27">
        <v>45087</v>
      </c>
      <c r="E446" s="27">
        <v>45076</v>
      </c>
      <c r="F446" s="27">
        <v>45440</v>
      </c>
      <c r="G446" s="13" t="str">
        <f t="shared" si="153"/>
        <v>000-445/AIB RDC/2023</v>
      </c>
      <c r="H446" s="1">
        <v>0</v>
      </c>
      <c r="I446" s="1" t="s">
        <v>83</v>
      </c>
      <c r="J446" s="2" t="s">
        <v>698</v>
      </c>
      <c r="K446" s="1" t="s">
        <v>197</v>
      </c>
      <c r="L446" s="1"/>
      <c r="M446" s="1" t="s">
        <v>95</v>
      </c>
      <c r="N446" s="1" t="s">
        <v>146</v>
      </c>
      <c r="O446" s="1" t="s">
        <v>104</v>
      </c>
      <c r="P446" s="1" t="s">
        <v>105</v>
      </c>
      <c r="Q446" s="1" t="s">
        <v>66</v>
      </c>
      <c r="R446" s="1" t="s">
        <v>66</v>
      </c>
      <c r="S446" s="25">
        <v>39181.879999999997</v>
      </c>
      <c r="T446" s="25">
        <v>135.01</v>
      </c>
      <c r="U446" s="25">
        <v>0</v>
      </c>
      <c r="V446" s="25">
        <v>0</v>
      </c>
      <c r="W446" s="25">
        <v>7.86</v>
      </c>
      <c r="X446" s="25">
        <v>86.98</v>
      </c>
      <c r="Y446" s="25">
        <v>15.17</v>
      </c>
      <c r="Z446" s="17">
        <f t="shared" si="154"/>
        <v>2.2199036901751528E-3</v>
      </c>
      <c r="AA446" s="18">
        <v>0.15</v>
      </c>
      <c r="AB446" s="16">
        <f t="shared" si="174"/>
        <v>13.047000000000001</v>
      </c>
      <c r="AC446" s="16">
        <v>0</v>
      </c>
      <c r="AD446" s="16">
        <v>0</v>
      </c>
      <c r="AE446" s="16">
        <v>0</v>
      </c>
      <c r="AF446" s="16">
        <f t="shared" si="155"/>
        <v>13.047000000000001</v>
      </c>
      <c r="AG446" s="16">
        <f t="shared" si="171"/>
        <v>2.08752</v>
      </c>
      <c r="AH446" s="16">
        <f t="shared" si="156"/>
        <v>15.13452</v>
      </c>
      <c r="AI446" s="16">
        <f t="shared" si="172"/>
        <v>0.26094000000000001</v>
      </c>
      <c r="AJ446" s="16">
        <v>0</v>
      </c>
      <c r="AK446" s="16">
        <f t="shared" si="158"/>
        <v>0.26094000000000001</v>
      </c>
      <c r="AL446" s="19"/>
      <c r="AM446" s="16">
        <f t="shared" si="159"/>
        <v>12.786060000000001</v>
      </c>
      <c r="AN446" s="16" t="s">
        <v>147</v>
      </c>
      <c r="AO446" s="20">
        <v>0.4</v>
      </c>
      <c r="AP446" s="16">
        <f t="shared" si="160"/>
        <v>5.1144240000000005</v>
      </c>
      <c r="AQ446" s="16">
        <v>5.1144240000000005</v>
      </c>
      <c r="AR446" s="15">
        <v>45229</v>
      </c>
      <c r="AS446" s="16">
        <f t="shared" si="161"/>
        <v>0</v>
      </c>
      <c r="AT446" s="16"/>
      <c r="AU446" s="16">
        <v>15.13452</v>
      </c>
      <c r="AV446" s="16">
        <f t="shared" si="170"/>
        <v>15.13452</v>
      </c>
      <c r="AW446" s="16">
        <f t="shared" si="162"/>
        <v>0</v>
      </c>
      <c r="AX446" s="16" t="str">
        <f t="shared" si="163"/>
        <v>SFA</v>
      </c>
      <c r="AY446" s="22">
        <v>45135</v>
      </c>
      <c r="AZ446" s="22"/>
      <c r="BA446" s="1" t="s">
        <v>148</v>
      </c>
      <c r="BB446" s="22" t="str">
        <f t="shared" si="173"/>
        <v>MARINE CARGO / GIT</v>
      </c>
      <c r="BC446" s="1"/>
      <c r="BD446" s="1"/>
      <c r="BE446" s="1"/>
    </row>
    <row r="447" spans="1:57" ht="15.75" hidden="1" customHeight="1">
      <c r="A447" s="2" t="s">
        <v>212</v>
      </c>
      <c r="B447" s="1" t="s">
        <v>58</v>
      </c>
      <c r="C447" s="27">
        <v>45090</v>
      </c>
      <c r="D447" s="27">
        <v>45087</v>
      </c>
      <c r="E447" s="27">
        <v>45087</v>
      </c>
      <c r="F447" s="27">
        <v>45451</v>
      </c>
      <c r="G447" s="13" t="str">
        <f t="shared" si="153"/>
        <v>000-446/AIB RDC/2023</v>
      </c>
      <c r="H447" s="1">
        <v>0</v>
      </c>
      <c r="I447" s="1" t="s">
        <v>83</v>
      </c>
      <c r="J447" s="2" t="s">
        <v>699</v>
      </c>
      <c r="K447" s="1" t="s">
        <v>197</v>
      </c>
      <c r="L447" s="1"/>
      <c r="M447" s="1" t="s">
        <v>95</v>
      </c>
      <c r="N447" s="1" t="s">
        <v>146</v>
      </c>
      <c r="O447" s="1" t="s">
        <v>104</v>
      </c>
      <c r="P447" s="1" t="s">
        <v>105</v>
      </c>
      <c r="Q447" s="1" t="s">
        <v>66</v>
      </c>
      <c r="R447" s="1" t="s">
        <v>66</v>
      </c>
      <c r="S447" s="25">
        <v>38415.61</v>
      </c>
      <c r="T447" s="25">
        <v>143.91</v>
      </c>
      <c r="U447" s="25">
        <v>0</v>
      </c>
      <c r="V447" s="25">
        <v>0</v>
      </c>
      <c r="W447" s="25">
        <v>8.01</v>
      </c>
      <c r="X447" s="25">
        <v>94.5</v>
      </c>
      <c r="Y447" s="25">
        <v>16.399999999999999</v>
      </c>
      <c r="Z447" s="17">
        <f t="shared" si="154"/>
        <v>2.4599375097779262E-3</v>
      </c>
      <c r="AA447" s="18">
        <v>0.15</v>
      </c>
      <c r="AB447" s="16">
        <f t="shared" si="174"/>
        <v>14.174999999999999</v>
      </c>
      <c r="AC447" s="16">
        <v>0</v>
      </c>
      <c r="AD447" s="16">
        <v>0</v>
      </c>
      <c r="AE447" s="16">
        <v>0</v>
      </c>
      <c r="AF447" s="16">
        <f t="shared" si="155"/>
        <v>14.174999999999999</v>
      </c>
      <c r="AG447" s="16">
        <f t="shared" si="171"/>
        <v>2.2679999999999998</v>
      </c>
      <c r="AH447" s="16">
        <f t="shared" si="156"/>
        <v>16.442999999999998</v>
      </c>
      <c r="AI447" s="16">
        <f t="shared" si="172"/>
        <v>0.28349999999999997</v>
      </c>
      <c r="AJ447" s="16">
        <v>0</v>
      </c>
      <c r="AK447" s="16">
        <f t="shared" si="158"/>
        <v>0.28349999999999997</v>
      </c>
      <c r="AL447" s="19"/>
      <c r="AM447" s="16">
        <f t="shared" si="159"/>
        <v>13.891499999999999</v>
      </c>
      <c r="AN447" s="16" t="s">
        <v>147</v>
      </c>
      <c r="AO447" s="20">
        <v>0.4</v>
      </c>
      <c r="AP447" s="16">
        <f t="shared" si="160"/>
        <v>5.5565999999999995</v>
      </c>
      <c r="AQ447" s="16">
        <v>5.5565999999999995</v>
      </c>
      <c r="AR447" s="15">
        <v>45229</v>
      </c>
      <c r="AS447" s="16">
        <f t="shared" si="161"/>
        <v>0</v>
      </c>
      <c r="AT447" s="16"/>
      <c r="AU447" s="16">
        <v>16.442999999999998</v>
      </c>
      <c r="AV447" s="16">
        <f t="shared" si="170"/>
        <v>16.442999999999998</v>
      </c>
      <c r="AW447" s="16">
        <f t="shared" si="162"/>
        <v>0</v>
      </c>
      <c r="AX447" s="16" t="str">
        <f t="shared" si="163"/>
        <v>SFA</v>
      </c>
      <c r="AY447" s="22">
        <v>45135</v>
      </c>
      <c r="AZ447" s="22"/>
      <c r="BA447" s="1" t="s">
        <v>148</v>
      </c>
      <c r="BB447" s="22" t="str">
        <f t="shared" si="173"/>
        <v>MARINE CARGO / GIT</v>
      </c>
      <c r="BC447" s="1"/>
      <c r="BD447" s="1"/>
      <c r="BE447" s="1"/>
    </row>
    <row r="448" spans="1:57" ht="15.75" hidden="1" customHeight="1">
      <c r="A448" s="2" t="s">
        <v>212</v>
      </c>
      <c r="B448" s="1" t="s">
        <v>58</v>
      </c>
      <c r="C448" s="27">
        <v>45090</v>
      </c>
      <c r="D448" s="27">
        <v>45087</v>
      </c>
      <c r="E448" s="27">
        <v>45087</v>
      </c>
      <c r="F448" s="27">
        <v>45451</v>
      </c>
      <c r="G448" s="13" t="str">
        <f t="shared" si="153"/>
        <v>000-447/AIB RDC/2023</v>
      </c>
      <c r="H448" s="1">
        <v>0</v>
      </c>
      <c r="I448" s="1" t="s">
        <v>83</v>
      </c>
      <c r="J448" s="2" t="s">
        <v>700</v>
      </c>
      <c r="K448" s="1" t="s">
        <v>197</v>
      </c>
      <c r="L448" s="1"/>
      <c r="M448" s="1" t="s">
        <v>95</v>
      </c>
      <c r="N448" s="1" t="s">
        <v>146</v>
      </c>
      <c r="O448" s="1" t="s">
        <v>104</v>
      </c>
      <c r="P448" s="1" t="s">
        <v>105</v>
      </c>
      <c r="Q448" s="1" t="s">
        <v>66</v>
      </c>
      <c r="R448" s="1" t="s">
        <v>66</v>
      </c>
      <c r="S448" s="25">
        <v>203400</v>
      </c>
      <c r="T448" s="25">
        <v>742.53</v>
      </c>
      <c r="U448" s="25">
        <v>0</v>
      </c>
      <c r="V448" s="25">
        <v>0</v>
      </c>
      <c r="W448" s="25">
        <v>18.13</v>
      </c>
      <c r="X448" s="25">
        <v>600.42999999999995</v>
      </c>
      <c r="Y448" s="25">
        <v>98.97</v>
      </c>
      <c r="Z448" s="17">
        <f t="shared" si="154"/>
        <v>2.9519665683382496E-3</v>
      </c>
      <c r="AA448" s="18">
        <v>0.15</v>
      </c>
      <c r="AB448" s="16">
        <f t="shared" si="174"/>
        <v>90.064499999999995</v>
      </c>
      <c r="AC448" s="16">
        <v>0</v>
      </c>
      <c r="AD448" s="16">
        <v>0</v>
      </c>
      <c r="AE448" s="16">
        <v>0</v>
      </c>
      <c r="AF448" s="16">
        <f t="shared" si="155"/>
        <v>90.064499999999995</v>
      </c>
      <c r="AG448" s="16">
        <f t="shared" si="171"/>
        <v>14.410319999999999</v>
      </c>
      <c r="AH448" s="16">
        <f t="shared" si="156"/>
        <v>104.47481999999999</v>
      </c>
      <c r="AI448" s="16">
        <f t="shared" si="172"/>
        <v>1.8012899999999998</v>
      </c>
      <c r="AJ448" s="16">
        <v>0</v>
      </c>
      <c r="AK448" s="16">
        <f t="shared" si="158"/>
        <v>1.8012899999999998</v>
      </c>
      <c r="AL448" s="19"/>
      <c r="AM448" s="16">
        <f t="shared" si="159"/>
        <v>88.263210000000001</v>
      </c>
      <c r="AN448" s="16" t="s">
        <v>147</v>
      </c>
      <c r="AO448" s="20">
        <v>0.4</v>
      </c>
      <c r="AP448" s="16">
        <f t="shared" si="160"/>
        <v>35.305284</v>
      </c>
      <c r="AQ448" s="16">
        <v>35.305284</v>
      </c>
      <c r="AR448" s="15">
        <v>45229</v>
      </c>
      <c r="AS448" s="16">
        <f t="shared" si="161"/>
        <v>0</v>
      </c>
      <c r="AT448" s="16"/>
      <c r="AU448" s="16">
        <v>104.47481999999999</v>
      </c>
      <c r="AV448" s="16">
        <f t="shared" si="170"/>
        <v>104.47481999999999</v>
      </c>
      <c r="AW448" s="16">
        <f t="shared" si="162"/>
        <v>0</v>
      </c>
      <c r="AX448" s="16" t="str">
        <f t="shared" si="163"/>
        <v>SFA</v>
      </c>
      <c r="AY448" s="22">
        <v>45135</v>
      </c>
      <c r="AZ448" s="22"/>
      <c r="BA448" s="1" t="s">
        <v>148</v>
      </c>
      <c r="BB448" s="22" t="str">
        <f t="shared" si="173"/>
        <v>MARINE CARGO / GIT</v>
      </c>
      <c r="BC448" s="1"/>
      <c r="BD448" s="1"/>
      <c r="BE448" s="1"/>
    </row>
    <row r="449" spans="1:57" ht="15.75" hidden="1" customHeight="1">
      <c r="A449" s="2" t="s">
        <v>406</v>
      </c>
      <c r="B449" s="1" t="s">
        <v>58</v>
      </c>
      <c r="C449" s="27">
        <v>45090</v>
      </c>
      <c r="D449" s="27">
        <v>45076</v>
      </c>
      <c r="E449" s="27">
        <v>45042</v>
      </c>
      <c r="F449" s="27">
        <v>45102</v>
      </c>
      <c r="G449" s="13" t="str">
        <f t="shared" si="153"/>
        <v>000-448/AIB RDC/2023</v>
      </c>
      <c r="H449" s="1">
        <v>0</v>
      </c>
      <c r="I449" s="1" t="s">
        <v>83</v>
      </c>
      <c r="J449" s="2">
        <v>70100032</v>
      </c>
      <c r="K449" s="1" t="s">
        <v>197</v>
      </c>
      <c r="L449" s="1"/>
      <c r="M449" s="1" t="s">
        <v>95</v>
      </c>
      <c r="N449" s="1" t="s">
        <v>146</v>
      </c>
      <c r="O449" s="1" t="s">
        <v>104</v>
      </c>
      <c r="P449" s="1" t="s">
        <v>105</v>
      </c>
      <c r="Q449" s="1" t="s">
        <v>135</v>
      </c>
      <c r="R449" s="1" t="s">
        <v>135</v>
      </c>
      <c r="S449" s="25">
        <v>27127</v>
      </c>
      <c r="T449" s="25">
        <v>171.7</v>
      </c>
      <c r="U449" s="25">
        <v>0</v>
      </c>
      <c r="V449" s="25">
        <v>0</v>
      </c>
      <c r="W449" s="25">
        <v>37</v>
      </c>
      <c r="X449" s="25">
        <v>108.51</v>
      </c>
      <c r="Y449" s="25">
        <v>23.28</v>
      </c>
      <c r="Z449" s="17">
        <f t="shared" si="154"/>
        <v>4.0000737272827816E-3</v>
      </c>
      <c r="AA449" s="18">
        <v>0.15</v>
      </c>
      <c r="AB449" s="16">
        <f t="shared" si="174"/>
        <v>16.276499999999999</v>
      </c>
      <c r="AC449" s="16">
        <v>0</v>
      </c>
      <c r="AD449" s="16">
        <v>0</v>
      </c>
      <c r="AE449" s="16">
        <v>0</v>
      </c>
      <c r="AF449" s="16">
        <f t="shared" si="155"/>
        <v>16.276499999999999</v>
      </c>
      <c r="AG449" s="16">
        <f t="shared" si="171"/>
        <v>2.6042399999999999</v>
      </c>
      <c r="AH449" s="16">
        <f t="shared" si="156"/>
        <v>18.880739999999999</v>
      </c>
      <c r="AI449" s="16">
        <f t="shared" si="172"/>
        <v>0.32552999999999999</v>
      </c>
      <c r="AJ449" s="16">
        <v>0</v>
      </c>
      <c r="AK449" s="16">
        <f t="shared" si="158"/>
        <v>0.32552999999999999</v>
      </c>
      <c r="AL449" s="19"/>
      <c r="AM449" s="16">
        <f t="shared" si="159"/>
        <v>15.950969999999998</v>
      </c>
      <c r="AN449" s="16" t="s">
        <v>147</v>
      </c>
      <c r="AO449" s="20">
        <v>0.4</v>
      </c>
      <c r="AP449" s="16">
        <f t="shared" si="160"/>
        <v>6.3803879999999999</v>
      </c>
      <c r="AQ449" s="16">
        <v>6.3803879999999999</v>
      </c>
      <c r="AR449" s="15">
        <v>45229</v>
      </c>
      <c r="AS449" s="16">
        <f t="shared" si="161"/>
        <v>0</v>
      </c>
      <c r="AT449" s="16"/>
      <c r="AU449" s="16">
        <v>18.880739999999999</v>
      </c>
      <c r="AV449" s="16">
        <f t="shared" si="170"/>
        <v>18.880739999999999</v>
      </c>
      <c r="AW449" s="16">
        <f t="shared" si="162"/>
        <v>0</v>
      </c>
      <c r="AX449" s="16" t="str">
        <f t="shared" si="163"/>
        <v>RAWSUR</v>
      </c>
      <c r="AY449" s="22">
        <v>45099</v>
      </c>
      <c r="AZ449" s="22"/>
      <c r="BA449" s="1" t="s">
        <v>148</v>
      </c>
      <c r="BB449" s="22" t="str">
        <f t="shared" si="173"/>
        <v>MARINE CARGO / GIT</v>
      </c>
      <c r="BC449" s="1"/>
      <c r="BD449" s="1"/>
      <c r="BE449" s="1"/>
    </row>
    <row r="450" spans="1:57" ht="14.25" hidden="1" customHeight="1">
      <c r="A450" s="2" t="s">
        <v>406</v>
      </c>
      <c r="B450" s="1" t="s">
        <v>58</v>
      </c>
      <c r="C450" s="27">
        <v>45090</v>
      </c>
      <c r="D450" s="27">
        <v>45076</v>
      </c>
      <c r="E450" s="27">
        <v>45042</v>
      </c>
      <c r="F450" s="27">
        <v>45102</v>
      </c>
      <c r="G450" s="13" t="str">
        <f t="shared" si="153"/>
        <v>000-449/AIB RDC/2023</v>
      </c>
      <c r="H450" s="1">
        <v>0</v>
      </c>
      <c r="I450" s="1" t="s">
        <v>83</v>
      </c>
      <c r="J450" s="2">
        <v>70100031</v>
      </c>
      <c r="K450" s="1" t="s">
        <v>197</v>
      </c>
      <c r="L450" s="1"/>
      <c r="M450" s="1" t="s">
        <v>95</v>
      </c>
      <c r="N450" s="1" t="s">
        <v>146</v>
      </c>
      <c r="O450" s="1" t="s">
        <v>104</v>
      </c>
      <c r="P450" s="1" t="s">
        <v>105</v>
      </c>
      <c r="Q450" s="1" t="s">
        <v>135</v>
      </c>
      <c r="R450" s="1" t="s">
        <v>135</v>
      </c>
      <c r="S450" s="25">
        <v>25872</v>
      </c>
      <c r="T450" s="25">
        <v>165.78</v>
      </c>
      <c r="U450" s="25">
        <v>0</v>
      </c>
      <c r="V450" s="25">
        <v>0</v>
      </c>
      <c r="W450" s="25">
        <v>37</v>
      </c>
      <c r="X450" s="25">
        <v>103.49</v>
      </c>
      <c r="Y450" s="25">
        <v>22.48</v>
      </c>
      <c r="Z450" s="17">
        <f t="shared" si="154"/>
        <v>4.0000773036487323E-3</v>
      </c>
      <c r="AA450" s="18">
        <v>0.15</v>
      </c>
      <c r="AB450" s="16">
        <f t="shared" si="174"/>
        <v>15.523499999999999</v>
      </c>
      <c r="AC450" s="16">
        <v>0</v>
      </c>
      <c r="AD450" s="16">
        <v>0</v>
      </c>
      <c r="AE450" s="16">
        <v>0</v>
      </c>
      <c r="AF450" s="16">
        <f t="shared" si="155"/>
        <v>15.523499999999999</v>
      </c>
      <c r="AG450" s="16">
        <f t="shared" si="171"/>
        <v>2.4837599999999997</v>
      </c>
      <c r="AH450" s="16">
        <f t="shared" si="156"/>
        <v>18.007259999999999</v>
      </c>
      <c r="AI450" s="16">
        <f t="shared" si="172"/>
        <v>0.31046999999999997</v>
      </c>
      <c r="AJ450" s="16">
        <v>0</v>
      </c>
      <c r="AK450" s="16">
        <f t="shared" si="158"/>
        <v>0.31046999999999997</v>
      </c>
      <c r="AL450" s="19"/>
      <c r="AM450" s="16">
        <f t="shared" si="159"/>
        <v>15.213029999999998</v>
      </c>
      <c r="AN450" s="16" t="s">
        <v>147</v>
      </c>
      <c r="AO450" s="20">
        <v>0.4</v>
      </c>
      <c r="AP450" s="16">
        <f t="shared" si="160"/>
        <v>6.0852119999999994</v>
      </c>
      <c r="AQ450" s="16">
        <v>6.0852119999999994</v>
      </c>
      <c r="AR450" s="15">
        <v>45229</v>
      </c>
      <c r="AS450" s="16">
        <f t="shared" si="161"/>
        <v>0</v>
      </c>
      <c r="AT450" s="16"/>
      <c r="AU450" s="16">
        <v>18.007259999999999</v>
      </c>
      <c r="AV450" s="16">
        <f t="shared" si="170"/>
        <v>18.007259999999999</v>
      </c>
      <c r="AW450" s="16">
        <f t="shared" si="162"/>
        <v>0</v>
      </c>
      <c r="AX450" s="16" t="str">
        <f t="shared" si="163"/>
        <v>RAWSUR</v>
      </c>
      <c r="AY450" s="22">
        <v>45099</v>
      </c>
      <c r="AZ450" s="22"/>
      <c r="BA450" s="1" t="s">
        <v>148</v>
      </c>
      <c r="BB450" s="22" t="str">
        <f t="shared" si="173"/>
        <v>MARINE CARGO / GIT</v>
      </c>
      <c r="BC450" s="1"/>
      <c r="BD450" s="1"/>
      <c r="BE450" s="1"/>
    </row>
    <row r="451" spans="1:57" ht="14.25" hidden="1" customHeight="1">
      <c r="A451" s="2" t="s">
        <v>406</v>
      </c>
      <c r="B451" s="1" t="s">
        <v>58</v>
      </c>
      <c r="C451" s="27">
        <v>45090</v>
      </c>
      <c r="D451" s="27">
        <v>45076</v>
      </c>
      <c r="E451" s="27">
        <v>45042</v>
      </c>
      <c r="F451" s="27">
        <v>45102</v>
      </c>
      <c r="G451" s="13" t="str">
        <f t="shared" si="153"/>
        <v>000-450/AIB RDC/2023</v>
      </c>
      <c r="H451" s="1">
        <v>0</v>
      </c>
      <c r="I451" s="1" t="s">
        <v>83</v>
      </c>
      <c r="J451" s="2">
        <v>70100030</v>
      </c>
      <c r="K451" s="1" t="s">
        <v>197</v>
      </c>
      <c r="L451" s="1"/>
      <c r="M451" s="1" t="s">
        <v>95</v>
      </c>
      <c r="N451" s="1" t="s">
        <v>146</v>
      </c>
      <c r="O451" s="1" t="s">
        <v>104</v>
      </c>
      <c r="P451" s="1" t="s">
        <v>105</v>
      </c>
      <c r="Q451" s="1" t="s">
        <v>135</v>
      </c>
      <c r="R451" s="1" t="s">
        <v>135</v>
      </c>
      <c r="S451" s="25">
        <v>20759</v>
      </c>
      <c r="T451" s="25">
        <v>161.66</v>
      </c>
      <c r="U451" s="25">
        <v>0</v>
      </c>
      <c r="V451" s="25">
        <v>0</v>
      </c>
      <c r="W451" s="25">
        <v>37</v>
      </c>
      <c r="X451" s="25">
        <v>100</v>
      </c>
      <c r="Y451" s="25">
        <v>21.92</v>
      </c>
      <c r="Z451" s="17">
        <f t="shared" si="154"/>
        <v>4.8171877258056748E-3</v>
      </c>
      <c r="AA451" s="18">
        <v>0.15</v>
      </c>
      <c r="AB451" s="16">
        <f t="shared" si="174"/>
        <v>15</v>
      </c>
      <c r="AC451" s="16">
        <v>0</v>
      </c>
      <c r="AD451" s="16">
        <v>0</v>
      </c>
      <c r="AE451" s="16">
        <v>0</v>
      </c>
      <c r="AF451" s="16">
        <f t="shared" si="155"/>
        <v>15</v>
      </c>
      <c r="AG451" s="16">
        <f t="shared" si="171"/>
        <v>2.4</v>
      </c>
      <c r="AH451" s="16">
        <f t="shared" si="156"/>
        <v>17.399999999999999</v>
      </c>
      <c r="AI451" s="16">
        <f t="shared" si="172"/>
        <v>0.3</v>
      </c>
      <c r="AJ451" s="16">
        <v>0</v>
      </c>
      <c r="AK451" s="16">
        <f t="shared" si="158"/>
        <v>0.3</v>
      </c>
      <c r="AL451" s="19"/>
      <c r="AM451" s="16">
        <f t="shared" si="159"/>
        <v>14.7</v>
      </c>
      <c r="AN451" s="16" t="s">
        <v>147</v>
      </c>
      <c r="AO451" s="20">
        <v>0.4</v>
      </c>
      <c r="AP451" s="16">
        <f t="shared" si="160"/>
        <v>5.88</v>
      </c>
      <c r="AQ451" s="16">
        <v>5.88</v>
      </c>
      <c r="AR451" s="15">
        <v>45229</v>
      </c>
      <c r="AS451" s="16">
        <f t="shared" si="161"/>
        <v>0</v>
      </c>
      <c r="AT451" s="16"/>
      <c r="AU451" s="16">
        <v>17.399999999999999</v>
      </c>
      <c r="AV451" s="16">
        <f t="shared" si="170"/>
        <v>17.399999999999999</v>
      </c>
      <c r="AW451" s="16">
        <f t="shared" si="162"/>
        <v>0</v>
      </c>
      <c r="AX451" s="16" t="str">
        <f t="shared" si="163"/>
        <v>RAWSUR</v>
      </c>
      <c r="AY451" s="22">
        <v>45099</v>
      </c>
      <c r="AZ451" s="22"/>
      <c r="BA451" s="1" t="s">
        <v>148</v>
      </c>
      <c r="BB451" s="22" t="str">
        <f t="shared" si="173"/>
        <v>MARINE CARGO / GIT</v>
      </c>
      <c r="BC451" s="1"/>
      <c r="BD451" s="1"/>
      <c r="BE451" s="1"/>
    </row>
    <row r="452" spans="1:57" ht="14.25" hidden="1" customHeight="1">
      <c r="A452" s="2" t="s">
        <v>230</v>
      </c>
      <c r="B452" s="1" t="s">
        <v>58</v>
      </c>
      <c r="C452" s="27">
        <v>45090</v>
      </c>
      <c r="D452" s="27">
        <v>45077</v>
      </c>
      <c r="E452" s="27">
        <v>45077</v>
      </c>
      <c r="F452" s="27">
        <v>45168</v>
      </c>
      <c r="G452" s="13" t="str">
        <f t="shared" si="153"/>
        <v>000-451/AIB RDC/2023</v>
      </c>
      <c r="H452" s="1">
        <v>0</v>
      </c>
      <c r="I452" s="1" t="s">
        <v>83</v>
      </c>
      <c r="J452" s="2">
        <v>70100034</v>
      </c>
      <c r="K452" s="1" t="s">
        <v>197</v>
      </c>
      <c r="L452" s="1"/>
      <c r="M452" s="1" t="s">
        <v>95</v>
      </c>
      <c r="N452" s="1" t="s">
        <v>146</v>
      </c>
      <c r="O452" s="1" t="s">
        <v>104</v>
      </c>
      <c r="P452" s="1" t="s">
        <v>105</v>
      </c>
      <c r="Q452" s="1" t="s">
        <v>135</v>
      </c>
      <c r="R452" s="1" t="s">
        <v>135</v>
      </c>
      <c r="S452" s="25">
        <f>25310+26340+22890+4250+31875+30438+43384+27027+41269+37976</f>
        <v>290759</v>
      </c>
      <c r="T452" s="25">
        <v>1916.89</v>
      </c>
      <c r="U452" s="25">
        <v>0</v>
      </c>
      <c r="V452" s="25">
        <v>0</v>
      </c>
      <c r="W452" s="25">
        <v>370</v>
      </c>
      <c r="X452" s="25">
        <v>1254.48</v>
      </c>
      <c r="Y452" s="25">
        <v>259.92</v>
      </c>
      <c r="Z452" s="17">
        <f t="shared" si="154"/>
        <v>4.3145010128663262E-3</v>
      </c>
      <c r="AA452" s="18">
        <v>0.15</v>
      </c>
      <c r="AB452" s="16">
        <f t="shared" si="174"/>
        <v>188.172</v>
      </c>
      <c r="AC452" s="16">
        <v>0</v>
      </c>
      <c r="AD452" s="16">
        <v>0</v>
      </c>
      <c r="AE452" s="16">
        <v>0</v>
      </c>
      <c r="AF452" s="16">
        <f t="shared" si="155"/>
        <v>188.172</v>
      </c>
      <c r="AG452" s="16">
        <f t="shared" si="171"/>
        <v>30.107520000000001</v>
      </c>
      <c r="AH452" s="16">
        <f t="shared" si="156"/>
        <v>218.27951999999999</v>
      </c>
      <c r="AI452" s="16">
        <f t="shared" si="172"/>
        <v>3.7634400000000001</v>
      </c>
      <c r="AJ452" s="16">
        <v>0</v>
      </c>
      <c r="AK452" s="16">
        <f t="shared" si="158"/>
        <v>3.7634400000000001</v>
      </c>
      <c r="AL452" s="19"/>
      <c r="AM452" s="16">
        <f t="shared" si="159"/>
        <v>184.40855999999999</v>
      </c>
      <c r="AN452" s="16" t="s">
        <v>147</v>
      </c>
      <c r="AO452" s="20">
        <v>0.4</v>
      </c>
      <c r="AP452" s="16">
        <f t="shared" si="160"/>
        <v>73.763424000000001</v>
      </c>
      <c r="AQ452" s="16">
        <v>73.763424000000001</v>
      </c>
      <c r="AR452" s="15">
        <v>45229</v>
      </c>
      <c r="AS452" s="16">
        <f t="shared" si="161"/>
        <v>0</v>
      </c>
      <c r="AT452" s="16"/>
      <c r="AU452" s="16">
        <v>218.27951999999999</v>
      </c>
      <c r="AV452" s="16">
        <f t="shared" si="170"/>
        <v>218.27951999999999</v>
      </c>
      <c r="AW452" s="16">
        <f t="shared" si="162"/>
        <v>0</v>
      </c>
      <c r="AX452" s="16" t="str">
        <f t="shared" si="163"/>
        <v>RAWSUR</v>
      </c>
      <c r="AY452" s="22">
        <v>45099</v>
      </c>
      <c r="AZ452" s="22"/>
      <c r="BA452" s="1" t="s">
        <v>148</v>
      </c>
      <c r="BB452" s="22" t="str">
        <f t="shared" si="173"/>
        <v>MARINE CARGO / GIT</v>
      </c>
      <c r="BC452" s="1"/>
      <c r="BD452" s="1"/>
      <c r="BE452" s="1"/>
    </row>
    <row r="453" spans="1:57" ht="14.25" hidden="1" customHeight="1">
      <c r="A453" s="2" t="s">
        <v>230</v>
      </c>
      <c r="B453" s="1" t="s">
        <v>58</v>
      </c>
      <c r="C453" s="27">
        <v>45090</v>
      </c>
      <c r="D453" s="27">
        <v>45013</v>
      </c>
      <c r="E453" s="27">
        <v>45013</v>
      </c>
      <c r="F453" s="27">
        <v>45104</v>
      </c>
      <c r="G453" s="13" t="str">
        <f t="shared" si="153"/>
        <v>000-452/AIB RDC/2023</v>
      </c>
      <c r="H453" s="1">
        <v>0</v>
      </c>
      <c r="I453" s="1" t="s">
        <v>83</v>
      </c>
      <c r="J453" s="2">
        <v>70100018</v>
      </c>
      <c r="K453" s="1" t="s">
        <v>197</v>
      </c>
      <c r="L453" s="1"/>
      <c r="M453" s="1" t="s">
        <v>95</v>
      </c>
      <c r="N453" s="1" t="s">
        <v>146</v>
      </c>
      <c r="O453" s="1" t="s">
        <v>104</v>
      </c>
      <c r="P453" s="1" t="s">
        <v>105</v>
      </c>
      <c r="Q453" s="1" t="s">
        <v>135</v>
      </c>
      <c r="R453" s="1" t="s">
        <v>135</v>
      </c>
      <c r="S453" s="25">
        <f>27068+32926+29260+29761+4250</f>
        <v>123265</v>
      </c>
      <c r="T453" s="25">
        <v>898.05</v>
      </c>
      <c r="U453" s="25">
        <v>0</v>
      </c>
      <c r="V453" s="25">
        <v>0</v>
      </c>
      <c r="W453" s="25">
        <f>37*5</f>
        <v>185</v>
      </c>
      <c r="X453" s="25">
        <f>108.27+131.7+117.04+119.04+100</f>
        <v>576.04999999999995</v>
      </c>
      <c r="Y453" s="25">
        <f>23.24+26.99+24.65+24.97+21.92</f>
        <v>121.77</v>
      </c>
      <c r="Z453" s="17">
        <f t="shared" si="154"/>
        <v>4.6732649170486348E-3</v>
      </c>
      <c r="AA453" s="18">
        <v>0.15</v>
      </c>
      <c r="AB453" s="16">
        <f t="shared" si="174"/>
        <v>86.407499999999985</v>
      </c>
      <c r="AC453" s="16">
        <v>0</v>
      </c>
      <c r="AD453" s="16">
        <v>0</v>
      </c>
      <c r="AE453" s="16">
        <v>0</v>
      </c>
      <c r="AF453" s="16">
        <f t="shared" si="155"/>
        <v>86.407499999999985</v>
      </c>
      <c r="AG453" s="16">
        <f t="shared" si="171"/>
        <v>13.825199999999997</v>
      </c>
      <c r="AH453" s="16">
        <f t="shared" si="156"/>
        <v>100.23269999999998</v>
      </c>
      <c r="AI453" s="16">
        <f t="shared" si="172"/>
        <v>1.7281499999999996</v>
      </c>
      <c r="AJ453" s="16">
        <v>0</v>
      </c>
      <c r="AK453" s="16">
        <f t="shared" si="158"/>
        <v>1.7281499999999996</v>
      </c>
      <c r="AL453" s="19"/>
      <c r="AM453" s="16">
        <f t="shared" si="159"/>
        <v>84.679349999999985</v>
      </c>
      <c r="AN453" s="16" t="s">
        <v>147</v>
      </c>
      <c r="AO453" s="20">
        <v>0.4</v>
      </c>
      <c r="AP453" s="16">
        <f t="shared" si="160"/>
        <v>33.871739999999996</v>
      </c>
      <c r="AQ453" s="16">
        <v>33.871739999999996</v>
      </c>
      <c r="AR453" s="15">
        <v>45229</v>
      </c>
      <c r="AS453" s="16">
        <f t="shared" si="161"/>
        <v>0</v>
      </c>
      <c r="AT453" s="16"/>
      <c r="AU453" s="16">
        <v>100.23269999999998</v>
      </c>
      <c r="AV453" s="16">
        <f t="shared" ref="AV453:AV483" si="175">AH453</f>
        <v>100.23269999999998</v>
      </c>
      <c r="AW453" s="16">
        <f t="shared" si="162"/>
        <v>0</v>
      </c>
      <c r="AX453" s="16" t="str">
        <f t="shared" si="163"/>
        <v>RAWSUR</v>
      </c>
      <c r="AY453" s="22">
        <v>45099</v>
      </c>
      <c r="AZ453" s="22"/>
      <c r="BA453" s="1" t="s">
        <v>148</v>
      </c>
      <c r="BB453" s="22" t="str">
        <f t="shared" si="173"/>
        <v>MARINE CARGO / GIT</v>
      </c>
      <c r="BC453" s="1"/>
      <c r="BD453" s="1"/>
      <c r="BE453" s="1"/>
    </row>
    <row r="454" spans="1:57" ht="14.25" hidden="1" customHeight="1">
      <c r="A454" s="2" t="s">
        <v>230</v>
      </c>
      <c r="B454" s="1" t="s">
        <v>58</v>
      </c>
      <c r="C454" s="27">
        <v>45090</v>
      </c>
      <c r="D454" s="27">
        <v>45076</v>
      </c>
      <c r="E454" s="27">
        <v>45076</v>
      </c>
      <c r="F454" s="27">
        <v>45136</v>
      </c>
      <c r="G454" s="13" t="str">
        <f t="shared" ref="G454:G517" si="176">TEXT(ROW(G454)-1,"000-000") &amp; "/AIB RDC/2023"</f>
        <v>000-453/AIB RDC/2023</v>
      </c>
      <c r="H454" s="1">
        <v>0</v>
      </c>
      <c r="I454" s="1" t="s">
        <v>83</v>
      </c>
      <c r="J454" s="2">
        <v>70100033</v>
      </c>
      <c r="K454" s="1" t="s">
        <v>197</v>
      </c>
      <c r="L454" s="1"/>
      <c r="M454" s="1" t="s">
        <v>95</v>
      </c>
      <c r="N454" s="1" t="s">
        <v>146</v>
      </c>
      <c r="O454" s="1" t="s">
        <v>104</v>
      </c>
      <c r="P454" s="1" t="s">
        <v>105</v>
      </c>
      <c r="Q454" s="1" t="s">
        <v>135</v>
      </c>
      <c r="R454" s="1" t="s">
        <v>135</v>
      </c>
      <c r="S454" s="25">
        <f>21000+26700+26361+25949+26946+33880+29414+29244+27088</f>
        <v>246582</v>
      </c>
      <c r="T454" s="25">
        <v>1575.71</v>
      </c>
      <c r="U454" s="25">
        <v>0</v>
      </c>
      <c r="V454" s="25">
        <v>0</v>
      </c>
      <c r="W454" s="25">
        <v>333</v>
      </c>
      <c r="X454" s="25">
        <v>1002.33</v>
      </c>
      <c r="Y454" s="25">
        <v>213.66</v>
      </c>
      <c r="Z454" s="17">
        <f t="shared" ref="Z454:Z517" si="177">X454/S454</f>
        <v>4.0648952478283089E-3</v>
      </c>
      <c r="AA454" s="18">
        <v>0.15</v>
      </c>
      <c r="AB454" s="16">
        <f t="shared" si="174"/>
        <v>150.34950000000001</v>
      </c>
      <c r="AC454" s="16">
        <v>0</v>
      </c>
      <c r="AD454" s="16">
        <v>0</v>
      </c>
      <c r="AE454" s="16">
        <v>0</v>
      </c>
      <c r="AF454" s="16">
        <f t="shared" ref="AF454:AF517" si="178">SUM(AB454:AE454)</f>
        <v>150.34950000000001</v>
      </c>
      <c r="AG454" s="16">
        <f t="shared" si="171"/>
        <v>24.05592</v>
      </c>
      <c r="AH454" s="16">
        <f t="shared" ref="AH454:AH517" si="179">AF454+AG454</f>
        <v>174.40541999999999</v>
      </c>
      <c r="AI454" s="16">
        <f t="shared" si="172"/>
        <v>3.0069900000000001</v>
      </c>
      <c r="AJ454" s="16">
        <v>0</v>
      </c>
      <c r="AK454" s="16">
        <f t="shared" ref="AK454:AK517" si="180">AI454-AJ454</f>
        <v>3.0069900000000001</v>
      </c>
      <c r="AL454" s="19"/>
      <c r="AM454" s="16">
        <f t="shared" ref="AM454:AM475" si="181">AF454-AI454</f>
        <v>147.34251</v>
      </c>
      <c r="AN454" s="16" t="s">
        <v>147</v>
      </c>
      <c r="AO454" s="20">
        <v>0.4</v>
      </c>
      <c r="AP454" s="16">
        <f t="shared" ref="AP454:AP517" si="182">AO454*AM454</f>
        <v>58.937004000000002</v>
      </c>
      <c r="AQ454" s="16">
        <v>58.937004000000002</v>
      </c>
      <c r="AR454" s="15">
        <v>45229</v>
      </c>
      <c r="AS454" s="16">
        <f t="shared" ref="AS454:AS517" si="183">AP454-AQ454</f>
        <v>0</v>
      </c>
      <c r="AT454" s="16"/>
      <c r="AU454" s="16">
        <v>174.40541999999999</v>
      </c>
      <c r="AV454" s="16">
        <f t="shared" si="175"/>
        <v>174.40541999999999</v>
      </c>
      <c r="AW454" s="16">
        <f t="shared" ref="AW454:AW517" si="184">AV454-AU454</f>
        <v>0</v>
      </c>
      <c r="AX454" s="16" t="str">
        <f t="shared" si="163"/>
        <v>RAWSUR</v>
      </c>
      <c r="AY454" s="22">
        <v>45099</v>
      </c>
      <c r="AZ454" s="22"/>
      <c r="BA454" s="1" t="s">
        <v>148</v>
      </c>
      <c r="BB454" s="22" t="str">
        <f t="shared" si="173"/>
        <v>MARINE CARGO / GIT</v>
      </c>
      <c r="BC454" s="1"/>
      <c r="BD454" s="1"/>
      <c r="BE454" s="1"/>
    </row>
    <row r="455" spans="1:57" ht="14.25" hidden="1" customHeight="1">
      <c r="A455" s="2" t="s">
        <v>406</v>
      </c>
      <c r="B455" s="1" t="s">
        <v>58</v>
      </c>
      <c r="C455" s="27">
        <v>45090</v>
      </c>
      <c r="D455" s="27">
        <v>45047</v>
      </c>
      <c r="E455" s="27">
        <v>45044</v>
      </c>
      <c r="F455" s="27">
        <v>45104</v>
      </c>
      <c r="G455" s="13" t="str">
        <f t="shared" si="176"/>
        <v>000-454/AIB RDC/2023</v>
      </c>
      <c r="H455" s="1">
        <v>0</v>
      </c>
      <c r="I455" s="1" t="s">
        <v>83</v>
      </c>
      <c r="J455" s="2">
        <v>70100022</v>
      </c>
      <c r="K455" s="1" t="s">
        <v>197</v>
      </c>
      <c r="L455" s="1"/>
      <c r="M455" s="1" t="s">
        <v>95</v>
      </c>
      <c r="N455" s="1" t="s">
        <v>146</v>
      </c>
      <c r="O455" s="1" t="s">
        <v>104</v>
      </c>
      <c r="P455" s="1" t="s">
        <v>105</v>
      </c>
      <c r="Q455" s="1" t="s">
        <v>135</v>
      </c>
      <c r="R455" s="1" t="s">
        <v>135</v>
      </c>
      <c r="S455" s="25">
        <v>18690</v>
      </c>
      <c r="T455" s="25">
        <v>161.66</v>
      </c>
      <c r="U455" s="25">
        <v>0</v>
      </c>
      <c r="V455" s="25">
        <v>0</v>
      </c>
      <c r="W455" s="25">
        <v>37</v>
      </c>
      <c r="X455" s="25">
        <v>100</v>
      </c>
      <c r="Y455" s="25">
        <v>21.92</v>
      </c>
      <c r="Z455" s="17">
        <f t="shared" si="177"/>
        <v>5.3504547886570357E-3</v>
      </c>
      <c r="AA455" s="18">
        <v>0.15</v>
      </c>
      <c r="AB455" s="16">
        <f t="shared" si="174"/>
        <v>15</v>
      </c>
      <c r="AC455" s="16">
        <v>0</v>
      </c>
      <c r="AD455" s="16">
        <v>0</v>
      </c>
      <c r="AE455" s="16">
        <v>0</v>
      </c>
      <c r="AF455" s="16">
        <f t="shared" si="178"/>
        <v>15</v>
      </c>
      <c r="AG455" s="16">
        <f t="shared" si="171"/>
        <v>2.4</v>
      </c>
      <c r="AH455" s="16">
        <f t="shared" si="179"/>
        <v>17.399999999999999</v>
      </c>
      <c r="AI455" s="16">
        <f t="shared" si="172"/>
        <v>0.3</v>
      </c>
      <c r="AJ455" s="16">
        <v>0</v>
      </c>
      <c r="AK455" s="16">
        <f t="shared" si="180"/>
        <v>0.3</v>
      </c>
      <c r="AL455" s="19"/>
      <c r="AM455" s="16">
        <f t="shared" si="181"/>
        <v>14.7</v>
      </c>
      <c r="AN455" s="16" t="s">
        <v>147</v>
      </c>
      <c r="AO455" s="20">
        <v>0.4</v>
      </c>
      <c r="AP455" s="16">
        <f t="shared" si="182"/>
        <v>5.88</v>
      </c>
      <c r="AQ455" s="16">
        <v>5.88</v>
      </c>
      <c r="AR455" s="15">
        <v>45229</v>
      </c>
      <c r="AS455" s="16">
        <f t="shared" si="183"/>
        <v>0</v>
      </c>
      <c r="AT455" s="16"/>
      <c r="AU455" s="16">
        <v>17.399999999999999</v>
      </c>
      <c r="AV455" s="16">
        <f t="shared" si="175"/>
        <v>17.399999999999999</v>
      </c>
      <c r="AW455" s="16">
        <f t="shared" si="184"/>
        <v>0</v>
      </c>
      <c r="AX455" s="16" t="str">
        <f t="shared" ref="AX455:AX518" si="185">Q455</f>
        <v>RAWSUR</v>
      </c>
      <c r="AY455" s="22">
        <v>45099</v>
      </c>
      <c r="AZ455" s="22"/>
      <c r="BA455" s="1" t="s">
        <v>148</v>
      </c>
      <c r="BB455" s="22" t="str">
        <f t="shared" si="173"/>
        <v>MARINE CARGO / GIT</v>
      </c>
      <c r="BC455" s="1"/>
      <c r="BD455" s="1"/>
      <c r="BE455" s="1"/>
    </row>
    <row r="456" spans="1:57" ht="14.25" hidden="1" customHeight="1">
      <c r="A456" s="2" t="s">
        <v>230</v>
      </c>
      <c r="B456" s="1" t="s">
        <v>58</v>
      </c>
      <c r="C456" s="27">
        <v>45090</v>
      </c>
      <c r="D456" s="27">
        <v>45058</v>
      </c>
      <c r="E456" s="27">
        <v>45059</v>
      </c>
      <c r="F456" s="27">
        <v>45150</v>
      </c>
      <c r="G456" s="13" t="str">
        <f t="shared" si="176"/>
        <v>000-455/AIB RDC/2023</v>
      </c>
      <c r="H456" s="1">
        <v>0</v>
      </c>
      <c r="I456" s="1" t="s">
        <v>83</v>
      </c>
      <c r="J456" s="2">
        <v>70100025</v>
      </c>
      <c r="K456" s="1" t="s">
        <v>197</v>
      </c>
      <c r="L456" s="1"/>
      <c r="M456" s="1" t="s">
        <v>95</v>
      </c>
      <c r="N456" s="1" t="s">
        <v>146</v>
      </c>
      <c r="O456" s="1" t="s">
        <v>104</v>
      </c>
      <c r="P456" s="1" t="s">
        <v>105</v>
      </c>
      <c r="Q456" s="1" t="s">
        <v>135</v>
      </c>
      <c r="R456" s="1" t="s">
        <v>135</v>
      </c>
      <c r="S456" s="25"/>
      <c r="T456" s="25">
        <v>1707.07</v>
      </c>
      <c r="U456" s="25">
        <v>0</v>
      </c>
      <c r="V456" s="25">
        <v>0</v>
      </c>
      <c r="W456" s="25">
        <v>333</v>
      </c>
      <c r="X456" s="25">
        <v>1113.6600000000001</v>
      </c>
      <c r="Y456" s="25">
        <v>231.47</v>
      </c>
      <c r="Z456" s="17" t="e">
        <f t="shared" si="177"/>
        <v>#DIV/0!</v>
      </c>
      <c r="AA456" s="18">
        <v>0.15</v>
      </c>
      <c r="AB456" s="16">
        <f t="shared" si="174"/>
        <v>167.04900000000001</v>
      </c>
      <c r="AC456" s="16">
        <v>0</v>
      </c>
      <c r="AD456" s="16">
        <v>0</v>
      </c>
      <c r="AE456" s="16">
        <v>0</v>
      </c>
      <c r="AF456" s="16">
        <f t="shared" si="178"/>
        <v>167.04900000000001</v>
      </c>
      <c r="AG456" s="16">
        <f t="shared" si="171"/>
        <v>26.72784</v>
      </c>
      <c r="AH456" s="16">
        <f t="shared" si="179"/>
        <v>193.77683999999999</v>
      </c>
      <c r="AI456" s="16">
        <f t="shared" si="172"/>
        <v>3.3409800000000001</v>
      </c>
      <c r="AJ456" s="16">
        <v>0</v>
      </c>
      <c r="AK456" s="16">
        <f t="shared" si="180"/>
        <v>3.3409800000000001</v>
      </c>
      <c r="AL456" s="19"/>
      <c r="AM456" s="16">
        <f t="shared" si="181"/>
        <v>163.70802</v>
      </c>
      <c r="AN456" s="16" t="s">
        <v>147</v>
      </c>
      <c r="AO456" s="20">
        <v>0.4</v>
      </c>
      <c r="AP456" s="16">
        <f t="shared" si="182"/>
        <v>65.483208000000005</v>
      </c>
      <c r="AQ456" s="16">
        <v>65.483208000000005</v>
      </c>
      <c r="AR456" s="15">
        <v>45229</v>
      </c>
      <c r="AS456" s="16">
        <f t="shared" si="183"/>
        <v>0</v>
      </c>
      <c r="AT456" s="16"/>
      <c r="AU456" s="16">
        <v>193.77683999999999</v>
      </c>
      <c r="AV456" s="16">
        <f t="shared" si="175"/>
        <v>193.77683999999999</v>
      </c>
      <c r="AW456" s="16">
        <f t="shared" si="184"/>
        <v>0</v>
      </c>
      <c r="AX456" s="16" t="str">
        <f t="shared" si="185"/>
        <v>RAWSUR</v>
      </c>
      <c r="AY456" s="22">
        <v>45099</v>
      </c>
      <c r="AZ456" s="22"/>
      <c r="BA456" s="1" t="s">
        <v>148</v>
      </c>
      <c r="BB456" s="22" t="str">
        <f t="shared" si="173"/>
        <v>MARINE CARGO / GIT</v>
      </c>
      <c r="BC456" s="1"/>
      <c r="BD456" s="1"/>
      <c r="BE456" s="1"/>
    </row>
    <row r="457" spans="1:57" ht="14.25" hidden="1" customHeight="1">
      <c r="A457" s="2" t="s">
        <v>406</v>
      </c>
      <c r="B457" s="1" t="s">
        <v>58</v>
      </c>
      <c r="C457" s="27">
        <v>45090</v>
      </c>
      <c r="D457" s="27">
        <v>45047</v>
      </c>
      <c r="E457" s="27">
        <v>45044</v>
      </c>
      <c r="F457" s="27">
        <v>45104</v>
      </c>
      <c r="G457" s="13" t="str">
        <f t="shared" si="176"/>
        <v>000-456/AIB RDC/2023</v>
      </c>
      <c r="H457" s="1">
        <v>0</v>
      </c>
      <c r="I457" s="1" t="s">
        <v>83</v>
      </c>
      <c r="J457" s="2">
        <v>70100023</v>
      </c>
      <c r="K457" s="2" t="s">
        <v>163</v>
      </c>
      <c r="L457" s="1"/>
      <c r="M457" s="1" t="s">
        <v>95</v>
      </c>
      <c r="N457" s="1" t="s">
        <v>146</v>
      </c>
      <c r="O457" s="1" t="s">
        <v>104</v>
      </c>
      <c r="P457" s="1" t="s">
        <v>105</v>
      </c>
      <c r="Q457" s="1" t="s">
        <v>135</v>
      </c>
      <c r="R457" s="1" t="s">
        <v>135</v>
      </c>
      <c r="S457" s="25">
        <v>11558</v>
      </c>
      <c r="T457" s="25">
        <v>161.66</v>
      </c>
      <c r="U457" s="25">
        <v>0</v>
      </c>
      <c r="V457" s="25">
        <v>0</v>
      </c>
      <c r="W457" s="25">
        <v>37</v>
      </c>
      <c r="X457" s="25">
        <v>100</v>
      </c>
      <c r="Y457" s="25">
        <v>21.92</v>
      </c>
      <c r="Z457" s="17">
        <f t="shared" si="177"/>
        <v>8.6520159197092921E-3</v>
      </c>
      <c r="AA457" s="18">
        <v>0.15</v>
      </c>
      <c r="AB457" s="16">
        <f t="shared" si="174"/>
        <v>15</v>
      </c>
      <c r="AC457" s="16">
        <v>0</v>
      </c>
      <c r="AD457" s="16">
        <v>0</v>
      </c>
      <c r="AE457" s="16">
        <v>0</v>
      </c>
      <c r="AF457" s="16">
        <f t="shared" si="178"/>
        <v>15</v>
      </c>
      <c r="AG457" s="16">
        <f t="shared" si="171"/>
        <v>2.4</v>
      </c>
      <c r="AH457" s="16">
        <f t="shared" si="179"/>
        <v>17.399999999999999</v>
      </c>
      <c r="AI457" s="16">
        <f t="shared" si="172"/>
        <v>0.3</v>
      </c>
      <c r="AJ457" s="16">
        <v>0</v>
      </c>
      <c r="AK457" s="16">
        <f t="shared" si="180"/>
        <v>0.3</v>
      </c>
      <c r="AL457" s="19"/>
      <c r="AM457" s="16">
        <f t="shared" si="181"/>
        <v>14.7</v>
      </c>
      <c r="AN457" s="16" t="s">
        <v>147</v>
      </c>
      <c r="AO457" s="20">
        <v>0.4</v>
      </c>
      <c r="AP457" s="16">
        <f t="shared" si="182"/>
        <v>5.88</v>
      </c>
      <c r="AQ457" s="16">
        <v>5.88</v>
      </c>
      <c r="AR457" s="15">
        <v>45229</v>
      </c>
      <c r="AS457" s="16">
        <f t="shared" si="183"/>
        <v>0</v>
      </c>
      <c r="AT457" s="16"/>
      <c r="AU457" s="16">
        <v>17.399999999999999</v>
      </c>
      <c r="AV457" s="16">
        <f t="shared" si="175"/>
        <v>17.399999999999999</v>
      </c>
      <c r="AW457" s="16">
        <f t="shared" si="184"/>
        <v>0</v>
      </c>
      <c r="AX457" s="16" t="str">
        <f t="shared" si="185"/>
        <v>RAWSUR</v>
      </c>
      <c r="AY457" s="22">
        <v>45099</v>
      </c>
      <c r="AZ457" s="22"/>
      <c r="BA457" s="1" t="s">
        <v>148</v>
      </c>
      <c r="BB457" s="22" t="str">
        <f t="shared" si="173"/>
        <v>MARINE CARGO / GIT</v>
      </c>
      <c r="BC457" s="1"/>
      <c r="BD457" s="1"/>
      <c r="BE457" s="1"/>
    </row>
    <row r="458" spans="1:57" ht="14.25" hidden="1" customHeight="1">
      <c r="A458" s="2" t="s">
        <v>230</v>
      </c>
      <c r="B458" s="1" t="s">
        <v>58</v>
      </c>
      <c r="C458" s="27">
        <v>45090</v>
      </c>
      <c r="D458" s="27">
        <v>45072</v>
      </c>
      <c r="E458" s="27">
        <v>45052</v>
      </c>
      <c r="F458" s="27">
        <v>45143</v>
      </c>
      <c r="G458" s="13" t="str">
        <f t="shared" si="176"/>
        <v>000-457/AIB RDC/2023</v>
      </c>
      <c r="H458" s="1">
        <v>0</v>
      </c>
      <c r="I458" s="1" t="s">
        <v>83</v>
      </c>
      <c r="J458" s="2">
        <v>70100027</v>
      </c>
      <c r="K458" s="2" t="s">
        <v>163</v>
      </c>
      <c r="L458" s="1"/>
      <c r="M458" s="1" t="s">
        <v>95</v>
      </c>
      <c r="N458" s="1" t="s">
        <v>146</v>
      </c>
      <c r="O458" s="1" t="s">
        <v>104</v>
      </c>
      <c r="P458" s="1" t="s">
        <v>105</v>
      </c>
      <c r="Q458" s="1" t="s">
        <v>135</v>
      </c>
      <c r="R458" s="1" t="s">
        <v>135</v>
      </c>
      <c r="S458" s="25">
        <v>911198.77</v>
      </c>
      <c r="T458" s="25">
        <v>4526.1899999999996</v>
      </c>
      <c r="U458" s="25">
        <v>0</v>
      </c>
      <c r="V458" s="25">
        <v>0</v>
      </c>
      <c r="W458" s="25">
        <v>259</v>
      </c>
      <c r="X458" s="25">
        <v>3576.77</v>
      </c>
      <c r="Y458" s="25">
        <v>613.72</v>
      </c>
      <c r="Z458" s="17">
        <f t="shared" si="177"/>
        <v>3.9253455094106415E-3</v>
      </c>
      <c r="AA458" s="18">
        <v>0.15</v>
      </c>
      <c r="AB458" s="16">
        <f t="shared" si="174"/>
        <v>536.51549999999997</v>
      </c>
      <c r="AC458" s="16">
        <v>0</v>
      </c>
      <c r="AD458" s="16">
        <v>0</v>
      </c>
      <c r="AE458" s="16">
        <v>0</v>
      </c>
      <c r="AF458" s="16">
        <f t="shared" si="178"/>
        <v>536.51549999999997</v>
      </c>
      <c r="AG458" s="16">
        <f t="shared" si="171"/>
        <v>85.842479999999995</v>
      </c>
      <c r="AH458" s="16">
        <f t="shared" si="179"/>
        <v>622.35798</v>
      </c>
      <c r="AI458" s="16">
        <f t="shared" si="172"/>
        <v>10.730309999999999</v>
      </c>
      <c r="AJ458" s="16">
        <v>0</v>
      </c>
      <c r="AK458" s="16">
        <f t="shared" si="180"/>
        <v>10.730309999999999</v>
      </c>
      <c r="AL458" s="19"/>
      <c r="AM458" s="16">
        <f t="shared" si="181"/>
        <v>525.78518999999994</v>
      </c>
      <c r="AN458" s="16" t="s">
        <v>147</v>
      </c>
      <c r="AO458" s="20">
        <v>0.4</v>
      </c>
      <c r="AP458" s="16">
        <f t="shared" si="182"/>
        <v>210.314076</v>
      </c>
      <c r="AQ458" s="16">
        <v>210.314076</v>
      </c>
      <c r="AR458" s="15">
        <v>45229</v>
      </c>
      <c r="AS458" s="16">
        <f t="shared" si="183"/>
        <v>0</v>
      </c>
      <c r="AT458" s="16"/>
      <c r="AU458" s="16">
        <v>622.35798</v>
      </c>
      <c r="AV458" s="16">
        <f t="shared" si="175"/>
        <v>622.35798</v>
      </c>
      <c r="AW458" s="16">
        <f t="shared" si="184"/>
        <v>0</v>
      </c>
      <c r="AX458" s="16" t="str">
        <f t="shared" si="185"/>
        <v>RAWSUR</v>
      </c>
      <c r="AY458" s="22">
        <v>45099</v>
      </c>
      <c r="AZ458" s="22"/>
      <c r="BA458" s="1" t="s">
        <v>148</v>
      </c>
      <c r="BB458" s="22" t="str">
        <f t="shared" si="173"/>
        <v>MARINE CARGO / GIT</v>
      </c>
      <c r="BC458" s="1"/>
      <c r="BD458" s="1"/>
      <c r="BE458" s="1"/>
    </row>
    <row r="459" spans="1:57" ht="14.25" hidden="1" customHeight="1">
      <c r="A459" s="2" t="s">
        <v>230</v>
      </c>
      <c r="B459" s="1" t="s">
        <v>58</v>
      </c>
      <c r="C459" s="27">
        <v>45090</v>
      </c>
      <c r="D459" s="27">
        <v>45051</v>
      </c>
      <c r="E459" s="27">
        <v>45075</v>
      </c>
      <c r="F459" s="27">
        <v>45135</v>
      </c>
      <c r="G459" s="13" t="str">
        <f t="shared" si="176"/>
        <v>000-458/AIB RDC/2023</v>
      </c>
      <c r="H459" s="1">
        <v>0</v>
      </c>
      <c r="I459" s="1" t="s">
        <v>83</v>
      </c>
      <c r="J459" s="2">
        <v>70100029</v>
      </c>
      <c r="K459" s="2" t="s">
        <v>163</v>
      </c>
      <c r="L459" s="1"/>
      <c r="M459" s="1" t="s">
        <v>95</v>
      </c>
      <c r="N459" s="1" t="s">
        <v>146</v>
      </c>
      <c r="O459" s="1" t="s">
        <v>104</v>
      </c>
      <c r="P459" s="1" t="s">
        <v>105</v>
      </c>
      <c r="Q459" s="1" t="s">
        <v>135</v>
      </c>
      <c r="R459" s="1" t="s">
        <v>135</v>
      </c>
      <c r="S459" s="25">
        <v>2656167.48</v>
      </c>
      <c r="T459" s="25">
        <v>12930.06</v>
      </c>
      <c r="U459" s="25">
        <v>0</v>
      </c>
      <c r="V459" s="25">
        <v>0</v>
      </c>
      <c r="W459" s="25">
        <v>333</v>
      </c>
      <c r="X459" s="25">
        <v>10624.68</v>
      </c>
      <c r="Y459" s="25">
        <v>1753.23</v>
      </c>
      <c r="Z459" s="17">
        <f t="shared" si="177"/>
        <v>4.0000037949414246E-3</v>
      </c>
      <c r="AA459" s="18">
        <v>0.15</v>
      </c>
      <c r="AB459" s="16">
        <f t="shared" si="174"/>
        <v>1593.702</v>
      </c>
      <c r="AC459" s="16">
        <v>0</v>
      </c>
      <c r="AD459" s="16">
        <v>0</v>
      </c>
      <c r="AE459" s="16">
        <v>0</v>
      </c>
      <c r="AF459" s="16">
        <f t="shared" si="178"/>
        <v>1593.702</v>
      </c>
      <c r="AG459" s="16">
        <f t="shared" si="171"/>
        <v>254.99232000000001</v>
      </c>
      <c r="AH459" s="16">
        <f t="shared" si="179"/>
        <v>1848.6943200000001</v>
      </c>
      <c r="AI459" s="16">
        <f t="shared" si="172"/>
        <v>31.874040000000001</v>
      </c>
      <c r="AJ459" s="16">
        <v>0</v>
      </c>
      <c r="AK459" s="16">
        <f t="shared" si="180"/>
        <v>31.874040000000001</v>
      </c>
      <c r="AL459" s="19"/>
      <c r="AM459" s="16">
        <f t="shared" si="181"/>
        <v>1561.8279600000001</v>
      </c>
      <c r="AN459" s="16" t="s">
        <v>147</v>
      </c>
      <c r="AO459" s="20">
        <v>0.4</v>
      </c>
      <c r="AP459" s="16">
        <f t="shared" si="182"/>
        <v>624.7311840000001</v>
      </c>
      <c r="AQ459" s="16">
        <v>624.7311840000001</v>
      </c>
      <c r="AR459" s="15">
        <v>45229</v>
      </c>
      <c r="AS459" s="16">
        <f t="shared" si="183"/>
        <v>0</v>
      </c>
      <c r="AT459" s="16"/>
      <c r="AU459" s="16">
        <v>1848.6943200000001</v>
      </c>
      <c r="AV459" s="16">
        <f t="shared" si="175"/>
        <v>1848.6943200000001</v>
      </c>
      <c r="AW459" s="16">
        <f t="shared" si="184"/>
        <v>0</v>
      </c>
      <c r="AX459" s="16" t="str">
        <f t="shared" si="185"/>
        <v>RAWSUR</v>
      </c>
      <c r="AY459" s="22">
        <v>45099</v>
      </c>
      <c r="AZ459" s="22"/>
      <c r="BA459" s="1" t="s">
        <v>148</v>
      </c>
      <c r="BB459" s="22" t="str">
        <f t="shared" si="173"/>
        <v>MARINE CARGO / GIT</v>
      </c>
      <c r="BC459" s="1"/>
      <c r="BD459" s="1"/>
      <c r="BE459" s="1"/>
    </row>
    <row r="460" spans="1:57" ht="14.25" hidden="1" customHeight="1">
      <c r="A460" s="2" t="s">
        <v>230</v>
      </c>
      <c r="B460" s="1" t="s">
        <v>58</v>
      </c>
      <c r="C460" s="27">
        <v>45091</v>
      </c>
      <c r="D460" s="27">
        <v>45075</v>
      </c>
      <c r="E460" s="27">
        <v>45076</v>
      </c>
      <c r="F460" s="27">
        <v>45167</v>
      </c>
      <c r="G460" s="13" t="str">
        <f t="shared" si="176"/>
        <v>000-459/AIB RDC/2023</v>
      </c>
      <c r="H460" s="1">
        <v>0</v>
      </c>
      <c r="I460" s="1" t="s">
        <v>83</v>
      </c>
      <c r="J460" s="29">
        <v>70100028</v>
      </c>
      <c r="K460" s="2" t="s">
        <v>403</v>
      </c>
      <c r="L460" s="1"/>
      <c r="M460" s="1" t="s">
        <v>95</v>
      </c>
      <c r="N460" s="1" t="s">
        <v>146</v>
      </c>
      <c r="O460" s="1" t="s">
        <v>104</v>
      </c>
      <c r="P460" s="1" t="s">
        <v>105</v>
      </c>
      <c r="Q460" s="1" t="s">
        <v>135</v>
      </c>
      <c r="R460" s="1" t="s">
        <v>135</v>
      </c>
      <c r="S460" s="25">
        <v>372446.4</v>
      </c>
      <c r="T460" s="25">
        <v>2543.4299999999998</v>
      </c>
      <c r="U460" s="25">
        <v>0</v>
      </c>
      <c r="V460" s="25">
        <v>0</v>
      </c>
      <c r="W460" s="25">
        <v>518</v>
      </c>
      <c r="X460" s="25">
        <v>1637.47</v>
      </c>
      <c r="Y460" s="25">
        <v>344.86</v>
      </c>
      <c r="Z460" s="17">
        <f t="shared" si="177"/>
        <v>4.3965252449748469E-3</v>
      </c>
      <c r="AA460" s="18">
        <v>0.15</v>
      </c>
      <c r="AB460" s="16">
        <f t="shared" si="174"/>
        <v>245.62049999999999</v>
      </c>
      <c r="AC460" s="16">
        <v>0</v>
      </c>
      <c r="AD460" s="16">
        <v>0</v>
      </c>
      <c r="AE460" s="16">
        <v>0</v>
      </c>
      <c r="AF460" s="16">
        <f t="shared" si="178"/>
        <v>245.62049999999999</v>
      </c>
      <c r="AG460" s="16">
        <f t="shared" si="171"/>
        <v>39.299280000000003</v>
      </c>
      <c r="AH460" s="16">
        <f t="shared" si="179"/>
        <v>284.91978</v>
      </c>
      <c r="AI460" s="16">
        <f t="shared" si="172"/>
        <v>4.9124100000000004</v>
      </c>
      <c r="AJ460" s="16">
        <v>0</v>
      </c>
      <c r="AK460" s="16">
        <f t="shared" si="180"/>
        <v>4.9124100000000004</v>
      </c>
      <c r="AL460" s="19"/>
      <c r="AM460" s="16">
        <f t="shared" si="181"/>
        <v>240.70809</v>
      </c>
      <c r="AN460" s="16" t="s">
        <v>147</v>
      </c>
      <c r="AO460" s="20">
        <v>0.4</v>
      </c>
      <c r="AP460" s="16">
        <f t="shared" si="182"/>
        <v>96.283236000000002</v>
      </c>
      <c r="AQ460" s="16">
        <v>96.283236000000002</v>
      </c>
      <c r="AR460" s="15">
        <v>45229</v>
      </c>
      <c r="AS460" s="16">
        <f t="shared" si="183"/>
        <v>0</v>
      </c>
      <c r="AT460" s="16"/>
      <c r="AU460" s="16">
        <v>284.91978</v>
      </c>
      <c r="AV460" s="16">
        <f t="shared" si="175"/>
        <v>284.91978</v>
      </c>
      <c r="AW460" s="16">
        <f t="shared" si="184"/>
        <v>0</v>
      </c>
      <c r="AX460" s="16" t="str">
        <f t="shared" si="185"/>
        <v>RAWSUR</v>
      </c>
      <c r="AY460" s="22">
        <v>45099</v>
      </c>
      <c r="AZ460" s="22"/>
      <c r="BA460" s="1" t="s">
        <v>148</v>
      </c>
      <c r="BB460" s="1" t="s">
        <v>104</v>
      </c>
      <c r="BC460" s="1"/>
      <c r="BD460" s="1"/>
      <c r="BE460" s="1"/>
    </row>
    <row r="461" spans="1:57" ht="15.75" hidden="1" customHeight="1">
      <c r="A461" s="2" t="s">
        <v>165</v>
      </c>
      <c r="B461" s="1" t="s">
        <v>58</v>
      </c>
      <c r="C461" s="27">
        <v>45092</v>
      </c>
      <c r="D461" s="27">
        <v>45006</v>
      </c>
      <c r="E461" s="27">
        <v>45008</v>
      </c>
      <c r="F461" s="27">
        <v>45373</v>
      </c>
      <c r="G461" s="13" t="str">
        <f t="shared" si="176"/>
        <v>000-460/AIB RDC/2023</v>
      </c>
      <c r="H461" s="1">
        <v>1</v>
      </c>
      <c r="I461" s="1" t="s">
        <v>68</v>
      </c>
      <c r="J461" s="29" t="s">
        <v>701</v>
      </c>
      <c r="K461" s="1" t="s">
        <v>424</v>
      </c>
      <c r="L461" s="1" t="s">
        <v>139</v>
      </c>
      <c r="M461" s="1" t="s">
        <v>63</v>
      </c>
      <c r="N461" s="1" t="s">
        <v>71</v>
      </c>
      <c r="O461" s="1" t="s">
        <v>107</v>
      </c>
      <c r="P461" s="1" t="s">
        <v>108</v>
      </c>
      <c r="Q461" s="1" t="s">
        <v>117</v>
      </c>
      <c r="R461" s="1" t="s">
        <v>117</v>
      </c>
      <c r="S461" s="25">
        <v>0</v>
      </c>
      <c r="T461" s="25">
        <v>1641.21</v>
      </c>
      <c r="U461" s="25">
        <v>0</v>
      </c>
      <c r="V461" s="25">
        <v>0</v>
      </c>
      <c r="W461" s="25">
        <v>14</v>
      </c>
      <c r="X461" s="25">
        <v>1400.84</v>
      </c>
      <c r="Y461" s="25">
        <f>16%*(W461+X461)</f>
        <v>226.37439999999998</v>
      </c>
      <c r="Z461" s="17" t="e">
        <f t="shared" si="177"/>
        <v>#DIV/0!</v>
      </c>
      <c r="AA461" s="18">
        <v>0.1</v>
      </c>
      <c r="AB461" s="16">
        <f t="shared" si="174"/>
        <v>140.084</v>
      </c>
      <c r="AC461" s="16">
        <v>0</v>
      </c>
      <c r="AD461" s="16">
        <v>0</v>
      </c>
      <c r="AE461" s="16">
        <v>0</v>
      </c>
      <c r="AF461" s="16">
        <f t="shared" si="178"/>
        <v>140.084</v>
      </c>
      <c r="AG461" s="16">
        <f t="shared" si="171"/>
        <v>22.413440000000001</v>
      </c>
      <c r="AH461" s="16">
        <f t="shared" si="179"/>
        <v>162.49744000000001</v>
      </c>
      <c r="AI461" s="16">
        <f t="shared" si="172"/>
        <v>2.8016800000000002</v>
      </c>
      <c r="AJ461" s="16">
        <v>0</v>
      </c>
      <c r="AK461" s="16">
        <f t="shared" si="180"/>
        <v>2.8016800000000002</v>
      </c>
      <c r="AL461" s="19"/>
      <c r="AM461" s="16">
        <f t="shared" si="181"/>
        <v>137.28232</v>
      </c>
      <c r="AN461" s="40" t="s">
        <v>206</v>
      </c>
      <c r="AO461" s="20">
        <v>0.5</v>
      </c>
      <c r="AP461" s="16">
        <f t="shared" si="182"/>
        <v>68.641159999999999</v>
      </c>
      <c r="AQ461" s="16">
        <v>68.64</v>
      </c>
      <c r="AR461" s="15">
        <v>45219</v>
      </c>
      <c r="AS461" s="16">
        <f t="shared" si="183"/>
        <v>1.1599999999987176E-3</v>
      </c>
      <c r="AT461" s="16"/>
      <c r="AU461" s="16">
        <v>162.49744000000001</v>
      </c>
      <c r="AV461" s="16">
        <f t="shared" si="175"/>
        <v>162.49744000000001</v>
      </c>
      <c r="AW461" s="16">
        <f t="shared" si="184"/>
        <v>0</v>
      </c>
      <c r="AX461" s="16" t="str">
        <f t="shared" si="185"/>
        <v>SUNU</v>
      </c>
      <c r="AY461" s="22">
        <v>45117</v>
      </c>
      <c r="AZ461" s="22"/>
      <c r="BA461" s="1"/>
      <c r="BB461" s="1" t="s">
        <v>107</v>
      </c>
      <c r="BC461" s="1"/>
      <c r="BD461" s="1"/>
      <c r="BE461" s="1"/>
    </row>
    <row r="462" spans="1:57" ht="14.25" hidden="1" customHeight="1">
      <c r="A462" s="2" t="s">
        <v>406</v>
      </c>
      <c r="B462" s="1" t="s">
        <v>58</v>
      </c>
      <c r="C462" s="27">
        <v>45092</v>
      </c>
      <c r="D462" s="27">
        <v>45041</v>
      </c>
      <c r="E462" s="27">
        <v>45041</v>
      </c>
      <c r="F462" s="27">
        <v>45341</v>
      </c>
      <c r="G462" s="13" t="str">
        <f t="shared" si="176"/>
        <v>000-461/AIB RDC/2023</v>
      </c>
      <c r="H462" s="1">
        <v>2</v>
      </c>
      <c r="I462" s="1" t="s">
        <v>59</v>
      </c>
      <c r="J462" s="2" t="s">
        <v>359</v>
      </c>
      <c r="K462" s="1" t="s">
        <v>93</v>
      </c>
      <c r="L462" s="1" t="s">
        <v>94</v>
      </c>
      <c r="M462" s="2" t="s">
        <v>95</v>
      </c>
      <c r="N462" s="1" t="s">
        <v>434</v>
      </c>
      <c r="O462" s="1" t="s">
        <v>133</v>
      </c>
      <c r="P462" s="1" t="s">
        <v>134</v>
      </c>
      <c r="Q462" s="1" t="s">
        <v>117</v>
      </c>
      <c r="R462" s="1" t="s">
        <v>117</v>
      </c>
      <c r="S462" s="25">
        <v>17559.04</v>
      </c>
      <c r="T462" s="25">
        <v>1239.3599999999999</v>
      </c>
      <c r="U462" s="25">
        <v>0</v>
      </c>
      <c r="V462" s="25">
        <v>0</v>
      </c>
      <c r="W462" s="25">
        <v>10.58</v>
      </c>
      <c r="X462" s="25">
        <v>1058.4000000000001</v>
      </c>
      <c r="Y462" s="25">
        <v>170.96</v>
      </c>
      <c r="Z462" s="17">
        <f t="shared" si="177"/>
        <v>6.0276643825630562E-2</v>
      </c>
      <c r="AA462" s="18">
        <v>0.15</v>
      </c>
      <c r="AB462" s="16">
        <f t="shared" si="174"/>
        <v>158.76000000000002</v>
      </c>
      <c r="AC462" s="16">
        <v>0</v>
      </c>
      <c r="AD462" s="16">
        <v>0</v>
      </c>
      <c r="AE462" s="16">
        <v>0</v>
      </c>
      <c r="AF462" s="16">
        <f t="shared" si="178"/>
        <v>158.76000000000002</v>
      </c>
      <c r="AG462" s="16">
        <f t="shared" si="171"/>
        <v>25.401600000000002</v>
      </c>
      <c r="AH462" s="16">
        <f t="shared" si="179"/>
        <v>184.16160000000002</v>
      </c>
      <c r="AI462" s="16">
        <f t="shared" si="172"/>
        <v>3.1752000000000002</v>
      </c>
      <c r="AJ462" s="16">
        <v>0</v>
      </c>
      <c r="AK462" s="16">
        <f t="shared" si="180"/>
        <v>3.1752000000000002</v>
      </c>
      <c r="AL462" s="19"/>
      <c r="AM462" s="16">
        <f t="shared" si="181"/>
        <v>155.58480000000003</v>
      </c>
      <c r="AN462" s="16" t="s">
        <v>77</v>
      </c>
      <c r="AO462" s="20"/>
      <c r="AP462" s="16">
        <f t="shared" si="182"/>
        <v>0</v>
      </c>
      <c r="AQ462" s="16"/>
      <c r="AR462" s="15"/>
      <c r="AS462" s="16">
        <f t="shared" si="183"/>
        <v>0</v>
      </c>
      <c r="AT462" s="16"/>
      <c r="AU462" s="16">
        <v>184.16160000000002</v>
      </c>
      <c r="AV462" s="16">
        <f t="shared" si="175"/>
        <v>184.16160000000002</v>
      </c>
      <c r="AW462" s="16">
        <f t="shared" si="184"/>
        <v>0</v>
      </c>
      <c r="AX462" s="16" t="str">
        <f t="shared" si="185"/>
        <v>SUNU</v>
      </c>
      <c r="AY462" s="22">
        <v>45117</v>
      </c>
      <c r="AZ462" s="22"/>
      <c r="BA462" s="1"/>
      <c r="BB462" s="1" t="s">
        <v>133</v>
      </c>
      <c r="BC462" s="1"/>
      <c r="BD462" s="1"/>
      <c r="BE462" s="1"/>
    </row>
    <row r="463" spans="1:57" ht="14.25" hidden="1" customHeight="1">
      <c r="A463" s="2" t="s">
        <v>230</v>
      </c>
      <c r="B463" s="1" t="s">
        <v>58</v>
      </c>
      <c r="C463" s="27">
        <v>45093</v>
      </c>
      <c r="D463" s="27">
        <v>45069</v>
      </c>
      <c r="E463" s="27">
        <v>45068</v>
      </c>
      <c r="F463" s="27">
        <v>45432</v>
      </c>
      <c r="G463" s="13" t="str">
        <f t="shared" si="176"/>
        <v>000-462/AIB RDC/2023</v>
      </c>
      <c r="H463" s="1">
        <v>0</v>
      </c>
      <c r="I463" s="1" t="s">
        <v>83</v>
      </c>
      <c r="J463" s="2" t="s">
        <v>702</v>
      </c>
      <c r="K463" s="2" t="s">
        <v>209</v>
      </c>
      <c r="L463" s="1"/>
      <c r="M463" s="2" t="s">
        <v>95</v>
      </c>
      <c r="N463" s="2" t="s">
        <v>146</v>
      </c>
      <c r="O463" s="2" t="s">
        <v>104</v>
      </c>
      <c r="P463" s="2" t="s">
        <v>105</v>
      </c>
      <c r="Q463" s="2" t="s">
        <v>66</v>
      </c>
      <c r="R463" s="2" t="s">
        <v>66</v>
      </c>
      <c r="S463" s="25">
        <v>182006.31</v>
      </c>
      <c r="T463" s="25">
        <v>435.23</v>
      </c>
      <c r="U463" s="25">
        <v>0</v>
      </c>
      <c r="V463" s="25">
        <v>0</v>
      </c>
      <c r="W463" s="25">
        <v>12.93</v>
      </c>
      <c r="X463" s="25">
        <v>340.72</v>
      </c>
      <c r="Y463" s="25">
        <v>56.58</v>
      </c>
      <c r="Z463" s="17">
        <f t="shared" si="177"/>
        <v>1.8720230084330594E-3</v>
      </c>
      <c r="AA463" s="18">
        <v>0.15</v>
      </c>
      <c r="AB463" s="16">
        <f t="shared" si="174"/>
        <v>51.108000000000004</v>
      </c>
      <c r="AC463" s="16">
        <v>0</v>
      </c>
      <c r="AD463" s="16">
        <v>0</v>
      </c>
      <c r="AE463" s="16">
        <v>0</v>
      </c>
      <c r="AF463" s="16">
        <f t="shared" si="178"/>
        <v>51.108000000000004</v>
      </c>
      <c r="AG463" s="16">
        <f t="shared" si="171"/>
        <v>8.1772800000000014</v>
      </c>
      <c r="AH463" s="16">
        <f t="shared" si="179"/>
        <v>59.285280000000007</v>
      </c>
      <c r="AI463" s="16">
        <f t="shared" si="172"/>
        <v>1.0221600000000002</v>
      </c>
      <c r="AJ463" s="16">
        <v>0</v>
      </c>
      <c r="AK463" s="16">
        <f t="shared" si="180"/>
        <v>1.0221600000000002</v>
      </c>
      <c r="AL463" s="19"/>
      <c r="AM463" s="16">
        <f t="shared" si="181"/>
        <v>50.085840000000005</v>
      </c>
      <c r="AN463" s="16" t="s">
        <v>147</v>
      </c>
      <c r="AO463" s="20">
        <v>0.4</v>
      </c>
      <c r="AP463" s="16">
        <f t="shared" si="182"/>
        <v>20.034336000000003</v>
      </c>
      <c r="AQ463" s="16">
        <v>20.034336000000003</v>
      </c>
      <c r="AR463" s="15">
        <v>45229</v>
      </c>
      <c r="AS463" s="16">
        <f t="shared" si="183"/>
        <v>0</v>
      </c>
      <c r="AT463" s="16"/>
      <c r="AU463" s="16">
        <v>59.285280000000007</v>
      </c>
      <c r="AV463" s="16">
        <f t="shared" si="175"/>
        <v>59.285280000000007</v>
      </c>
      <c r="AW463" s="16">
        <f t="shared" si="184"/>
        <v>0</v>
      </c>
      <c r="AX463" s="16" t="str">
        <f t="shared" si="185"/>
        <v>SFA</v>
      </c>
      <c r="AY463" s="22">
        <v>45100</v>
      </c>
      <c r="AZ463" s="22"/>
      <c r="BA463" s="1" t="s">
        <v>148</v>
      </c>
      <c r="BB463" s="22" t="str">
        <f t="shared" ref="BB463:BB471" si="186">O463</f>
        <v>MARINE CARGO / GIT</v>
      </c>
      <c r="BC463" s="1"/>
      <c r="BD463" s="1"/>
      <c r="BE463" s="1"/>
    </row>
    <row r="464" spans="1:57" ht="14.25" hidden="1" customHeight="1">
      <c r="A464" s="2" t="s">
        <v>230</v>
      </c>
      <c r="B464" s="1" t="s">
        <v>58</v>
      </c>
      <c r="C464" s="27">
        <v>45093</v>
      </c>
      <c r="D464" s="27">
        <v>45070</v>
      </c>
      <c r="E464" s="27">
        <v>45068</v>
      </c>
      <c r="F464" s="27">
        <v>45432</v>
      </c>
      <c r="G464" s="13" t="str">
        <f t="shared" si="176"/>
        <v>000-463/AIB RDC/2023</v>
      </c>
      <c r="H464" s="1">
        <v>0</v>
      </c>
      <c r="I464" s="1" t="s">
        <v>83</v>
      </c>
      <c r="J464" s="2" t="s">
        <v>703</v>
      </c>
      <c r="K464" s="2" t="s">
        <v>209</v>
      </c>
      <c r="L464" s="1"/>
      <c r="M464" s="2" t="s">
        <v>95</v>
      </c>
      <c r="N464" s="2" t="s">
        <v>146</v>
      </c>
      <c r="O464" s="2" t="s">
        <v>104</v>
      </c>
      <c r="P464" s="2" t="s">
        <v>105</v>
      </c>
      <c r="Q464" s="2" t="s">
        <v>66</v>
      </c>
      <c r="R464" s="2" t="s">
        <v>66</v>
      </c>
      <c r="S464" s="25">
        <v>85078.51</v>
      </c>
      <c r="T464" s="25">
        <v>220.54</v>
      </c>
      <c r="U464" s="25">
        <v>0</v>
      </c>
      <c r="V464" s="25">
        <v>0</v>
      </c>
      <c r="W464" s="25">
        <v>9.31</v>
      </c>
      <c r="X464" s="25">
        <v>159.26</v>
      </c>
      <c r="Y464" s="25">
        <v>26.97</v>
      </c>
      <c r="Z464" s="17">
        <f t="shared" si="177"/>
        <v>1.8719180672063956E-3</v>
      </c>
      <c r="AA464" s="18">
        <v>0.15</v>
      </c>
      <c r="AB464" s="16">
        <f t="shared" si="174"/>
        <v>23.888999999999999</v>
      </c>
      <c r="AC464" s="16">
        <v>0</v>
      </c>
      <c r="AD464" s="16">
        <v>0</v>
      </c>
      <c r="AE464" s="16">
        <v>0</v>
      </c>
      <c r="AF464" s="16">
        <f t="shared" si="178"/>
        <v>23.888999999999999</v>
      </c>
      <c r="AG464" s="16">
        <f t="shared" si="171"/>
        <v>3.8222399999999999</v>
      </c>
      <c r="AH464" s="16">
        <f t="shared" si="179"/>
        <v>27.71124</v>
      </c>
      <c r="AI464" s="16">
        <f t="shared" si="172"/>
        <v>0.47777999999999998</v>
      </c>
      <c r="AJ464" s="16">
        <v>0</v>
      </c>
      <c r="AK464" s="16">
        <f t="shared" si="180"/>
        <v>0.47777999999999998</v>
      </c>
      <c r="AL464" s="19"/>
      <c r="AM464" s="16">
        <f t="shared" si="181"/>
        <v>23.41122</v>
      </c>
      <c r="AN464" s="16" t="s">
        <v>147</v>
      </c>
      <c r="AO464" s="20">
        <v>0.4</v>
      </c>
      <c r="AP464" s="16">
        <f t="shared" si="182"/>
        <v>9.3644879999999997</v>
      </c>
      <c r="AQ464" s="16">
        <v>9.3644879999999997</v>
      </c>
      <c r="AR464" s="15">
        <v>45229</v>
      </c>
      <c r="AS464" s="16">
        <f t="shared" si="183"/>
        <v>0</v>
      </c>
      <c r="AT464" s="16"/>
      <c r="AU464" s="16">
        <v>27.71124</v>
      </c>
      <c r="AV464" s="16">
        <f t="shared" si="175"/>
        <v>27.71124</v>
      </c>
      <c r="AW464" s="16">
        <f t="shared" si="184"/>
        <v>0</v>
      </c>
      <c r="AX464" s="16" t="str">
        <f t="shared" si="185"/>
        <v>SFA</v>
      </c>
      <c r="AY464" s="22">
        <v>45100</v>
      </c>
      <c r="AZ464" s="22"/>
      <c r="BA464" s="1" t="s">
        <v>148</v>
      </c>
      <c r="BB464" s="22" t="str">
        <f t="shared" si="186"/>
        <v>MARINE CARGO / GIT</v>
      </c>
      <c r="BC464" s="1"/>
      <c r="BD464" s="1"/>
      <c r="BE464" s="1"/>
    </row>
    <row r="465" spans="1:57" ht="14.25" hidden="1" customHeight="1">
      <c r="A465" s="2" t="s">
        <v>230</v>
      </c>
      <c r="B465" s="1" t="s">
        <v>58</v>
      </c>
      <c r="C465" s="27">
        <v>45093</v>
      </c>
      <c r="D465" s="27">
        <v>45070</v>
      </c>
      <c r="E465" s="27">
        <v>45068</v>
      </c>
      <c r="F465" s="27">
        <v>45432</v>
      </c>
      <c r="G465" s="13" t="str">
        <f t="shared" si="176"/>
        <v>000-464/AIB RDC/2023</v>
      </c>
      <c r="H465" s="1">
        <v>0</v>
      </c>
      <c r="I465" s="1" t="s">
        <v>83</v>
      </c>
      <c r="J465" s="2" t="s">
        <v>704</v>
      </c>
      <c r="K465" s="2" t="s">
        <v>209</v>
      </c>
      <c r="L465" s="1"/>
      <c r="M465" s="2" t="s">
        <v>95</v>
      </c>
      <c r="N465" s="2" t="s">
        <v>146</v>
      </c>
      <c r="O465" s="2" t="s">
        <v>104</v>
      </c>
      <c r="P465" s="2" t="s">
        <v>105</v>
      </c>
      <c r="Q465" s="2" t="s">
        <v>66</v>
      </c>
      <c r="R465" s="2" t="s">
        <v>66</v>
      </c>
      <c r="S465" s="25">
        <v>138116.82</v>
      </c>
      <c r="T465" s="25">
        <v>325.44</v>
      </c>
      <c r="U465" s="25">
        <v>0</v>
      </c>
      <c r="V465" s="25">
        <v>0</v>
      </c>
      <c r="W465" s="25">
        <v>10.39</v>
      </c>
      <c r="X465" s="25">
        <v>248.61</v>
      </c>
      <c r="Y465" s="25">
        <v>41.44</v>
      </c>
      <c r="Z465" s="17">
        <f t="shared" si="177"/>
        <v>1.7999980016916114E-3</v>
      </c>
      <c r="AA465" s="18">
        <v>0.15</v>
      </c>
      <c r="AB465" s="16">
        <f t="shared" si="174"/>
        <v>37.291499999999999</v>
      </c>
      <c r="AC465" s="16">
        <v>0</v>
      </c>
      <c r="AD465" s="16">
        <v>0</v>
      </c>
      <c r="AE465" s="16">
        <v>0</v>
      </c>
      <c r="AF465" s="16">
        <f t="shared" si="178"/>
        <v>37.291499999999999</v>
      </c>
      <c r="AG465" s="16">
        <f t="shared" si="171"/>
        <v>5.9666399999999999</v>
      </c>
      <c r="AH465" s="16">
        <f t="shared" si="179"/>
        <v>43.258139999999997</v>
      </c>
      <c r="AI465" s="16">
        <f t="shared" si="172"/>
        <v>0.74582999999999999</v>
      </c>
      <c r="AJ465" s="16">
        <v>0</v>
      </c>
      <c r="AK465" s="16">
        <f t="shared" si="180"/>
        <v>0.74582999999999999</v>
      </c>
      <c r="AL465" s="19"/>
      <c r="AM465" s="16">
        <f t="shared" si="181"/>
        <v>36.545670000000001</v>
      </c>
      <c r="AN465" s="16" t="s">
        <v>147</v>
      </c>
      <c r="AO465" s="20">
        <v>0.4</v>
      </c>
      <c r="AP465" s="16">
        <f t="shared" si="182"/>
        <v>14.618268</v>
      </c>
      <c r="AQ465" s="16">
        <v>14.618268</v>
      </c>
      <c r="AR465" s="15">
        <v>45229</v>
      </c>
      <c r="AS465" s="16">
        <f t="shared" si="183"/>
        <v>0</v>
      </c>
      <c r="AT465" s="16"/>
      <c r="AU465" s="16">
        <v>43.258139999999997</v>
      </c>
      <c r="AV465" s="16">
        <f t="shared" si="175"/>
        <v>43.258139999999997</v>
      </c>
      <c r="AW465" s="16">
        <f t="shared" si="184"/>
        <v>0</v>
      </c>
      <c r="AX465" s="16" t="str">
        <f t="shared" si="185"/>
        <v>SFA</v>
      </c>
      <c r="AY465" s="22">
        <v>45100</v>
      </c>
      <c r="AZ465" s="22"/>
      <c r="BA465" s="1" t="s">
        <v>148</v>
      </c>
      <c r="BB465" s="22" t="str">
        <f t="shared" si="186"/>
        <v>MARINE CARGO / GIT</v>
      </c>
      <c r="BC465" s="1"/>
      <c r="BD465" s="1"/>
      <c r="BE465" s="1"/>
    </row>
    <row r="466" spans="1:57" ht="14.25" hidden="1" customHeight="1">
      <c r="A466" s="2" t="s">
        <v>230</v>
      </c>
      <c r="B466" s="1" t="s">
        <v>58</v>
      </c>
      <c r="C466" s="27">
        <v>45093</v>
      </c>
      <c r="D466" s="27">
        <v>45070</v>
      </c>
      <c r="E466" s="27">
        <v>45068</v>
      </c>
      <c r="F466" s="27">
        <v>45432</v>
      </c>
      <c r="G466" s="13" t="str">
        <f t="shared" si="176"/>
        <v>000-465/AIB RDC/2023</v>
      </c>
      <c r="H466" s="1">
        <v>0</v>
      </c>
      <c r="I466" s="1" t="s">
        <v>83</v>
      </c>
      <c r="J466" s="2" t="s">
        <v>705</v>
      </c>
      <c r="K466" s="2" t="s">
        <v>209</v>
      </c>
      <c r="L466" s="1"/>
      <c r="M466" s="2" t="s">
        <v>95</v>
      </c>
      <c r="N466" s="2" t="s">
        <v>146</v>
      </c>
      <c r="O466" s="2" t="s">
        <v>104</v>
      </c>
      <c r="P466" s="2" t="s">
        <v>105</v>
      </c>
      <c r="Q466" s="2" t="s">
        <v>66</v>
      </c>
      <c r="R466" s="2" t="s">
        <v>66</v>
      </c>
      <c r="S466" s="25">
        <v>214464.23</v>
      </c>
      <c r="T466" s="25">
        <v>428.06</v>
      </c>
      <c r="U466" s="25">
        <v>0</v>
      </c>
      <c r="V466" s="25">
        <v>0</v>
      </c>
      <c r="W466" s="25">
        <v>7.02</v>
      </c>
      <c r="X466" s="25">
        <v>334.56</v>
      </c>
      <c r="Y466" s="25">
        <v>54.65</v>
      </c>
      <c r="Z466" s="17">
        <f t="shared" si="177"/>
        <v>1.5599804219099847E-3</v>
      </c>
      <c r="AA466" s="18">
        <v>0.15</v>
      </c>
      <c r="AB466" s="16">
        <f t="shared" si="174"/>
        <v>50.183999999999997</v>
      </c>
      <c r="AC466" s="16">
        <v>0</v>
      </c>
      <c r="AD466" s="16">
        <v>0</v>
      </c>
      <c r="AE466" s="16">
        <v>0</v>
      </c>
      <c r="AF466" s="16">
        <f t="shared" si="178"/>
        <v>50.183999999999997</v>
      </c>
      <c r="AG466" s="16">
        <f t="shared" si="171"/>
        <v>8.0294399999999992</v>
      </c>
      <c r="AH466" s="16">
        <f t="shared" si="179"/>
        <v>58.213439999999999</v>
      </c>
      <c r="AI466" s="16">
        <f t="shared" si="172"/>
        <v>1.0036799999999999</v>
      </c>
      <c r="AJ466" s="16">
        <v>0</v>
      </c>
      <c r="AK466" s="16">
        <f t="shared" si="180"/>
        <v>1.0036799999999999</v>
      </c>
      <c r="AL466" s="19"/>
      <c r="AM466" s="16">
        <f t="shared" si="181"/>
        <v>49.180319999999995</v>
      </c>
      <c r="AN466" s="16" t="s">
        <v>147</v>
      </c>
      <c r="AO466" s="20">
        <v>0.4</v>
      </c>
      <c r="AP466" s="16">
        <f t="shared" si="182"/>
        <v>19.672128000000001</v>
      </c>
      <c r="AQ466" s="16">
        <v>19.672128000000001</v>
      </c>
      <c r="AR466" s="15">
        <v>45229</v>
      </c>
      <c r="AS466" s="16">
        <f t="shared" si="183"/>
        <v>0</v>
      </c>
      <c r="AT466" s="16"/>
      <c r="AU466" s="16">
        <v>58.213439999999999</v>
      </c>
      <c r="AV466" s="16">
        <f t="shared" si="175"/>
        <v>58.213439999999999</v>
      </c>
      <c r="AW466" s="16">
        <f t="shared" si="184"/>
        <v>0</v>
      </c>
      <c r="AX466" s="16" t="str">
        <f t="shared" si="185"/>
        <v>SFA</v>
      </c>
      <c r="AY466" s="22">
        <v>45100</v>
      </c>
      <c r="AZ466" s="22"/>
      <c r="BA466" s="1" t="s">
        <v>148</v>
      </c>
      <c r="BB466" s="22" t="str">
        <f t="shared" si="186"/>
        <v>MARINE CARGO / GIT</v>
      </c>
      <c r="BC466" s="1"/>
      <c r="BD466" s="1"/>
      <c r="BE466" s="1"/>
    </row>
    <row r="467" spans="1:57" ht="14.25" hidden="1" customHeight="1">
      <c r="A467" s="2" t="s">
        <v>230</v>
      </c>
      <c r="B467" s="1" t="s">
        <v>58</v>
      </c>
      <c r="C467" s="27">
        <v>45093</v>
      </c>
      <c r="D467" s="27">
        <v>45070</v>
      </c>
      <c r="E467" s="27">
        <v>45068</v>
      </c>
      <c r="F467" s="27">
        <v>45432</v>
      </c>
      <c r="G467" s="13" t="str">
        <f t="shared" si="176"/>
        <v>000-466/AIB RDC/2023</v>
      </c>
      <c r="H467" s="1">
        <v>0</v>
      </c>
      <c r="I467" s="1" t="s">
        <v>83</v>
      </c>
      <c r="J467" s="2" t="s">
        <v>706</v>
      </c>
      <c r="K467" s="2" t="s">
        <v>209</v>
      </c>
      <c r="L467" s="1"/>
      <c r="M467" s="2" t="s">
        <v>95</v>
      </c>
      <c r="N467" s="2" t="s">
        <v>146</v>
      </c>
      <c r="O467" s="2" t="s">
        <v>104</v>
      </c>
      <c r="P467" s="2" t="s">
        <v>105</v>
      </c>
      <c r="Q467" s="2" t="s">
        <v>66</v>
      </c>
      <c r="R467" s="2" t="s">
        <v>66</v>
      </c>
      <c r="S467" s="25">
        <v>528989.29</v>
      </c>
      <c r="T467" s="25">
        <v>858.3</v>
      </c>
      <c r="U467" s="25">
        <v>0</v>
      </c>
      <c r="V467" s="25">
        <v>0</v>
      </c>
      <c r="W467" s="25">
        <v>20.09</v>
      </c>
      <c r="X467" s="25">
        <v>698.27</v>
      </c>
      <c r="Y467" s="25">
        <v>114.94</v>
      </c>
      <c r="Z467" s="17">
        <f t="shared" si="177"/>
        <v>1.3200078209522918E-3</v>
      </c>
      <c r="AA467" s="18">
        <v>0.15</v>
      </c>
      <c r="AB467" s="16">
        <f t="shared" si="174"/>
        <v>104.7405</v>
      </c>
      <c r="AC467" s="16">
        <v>0</v>
      </c>
      <c r="AD467" s="16">
        <v>0</v>
      </c>
      <c r="AE467" s="16">
        <v>0</v>
      </c>
      <c r="AF467" s="16">
        <f t="shared" si="178"/>
        <v>104.7405</v>
      </c>
      <c r="AG467" s="16">
        <f t="shared" si="171"/>
        <v>16.758479999999999</v>
      </c>
      <c r="AH467" s="16">
        <f t="shared" si="179"/>
        <v>121.49897999999999</v>
      </c>
      <c r="AI467" s="16">
        <f t="shared" si="172"/>
        <v>2.0948099999999998</v>
      </c>
      <c r="AJ467" s="16">
        <v>0</v>
      </c>
      <c r="AK467" s="16">
        <f t="shared" si="180"/>
        <v>2.0948099999999998</v>
      </c>
      <c r="AL467" s="19"/>
      <c r="AM467" s="16">
        <f t="shared" si="181"/>
        <v>102.64569</v>
      </c>
      <c r="AN467" s="16" t="s">
        <v>147</v>
      </c>
      <c r="AO467" s="20">
        <v>0.4</v>
      </c>
      <c r="AP467" s="16">
        <f t="shared" si="182"/>
        <v>41.058276000000006</v>
      </c>
      <c r="AQ467" s="16">
        <v>41.058276000000006</v>
      </c>
      <c r="AR467" s="15">
        <v>45229</v>
      </c>
      <c r="AS467" s="16">
        <f t="shared" si="183"/>
        <v>0</v>
      </c>
      <c r="AT467" s="16"/>
      <c r="AU467" s="16">
        <v>121.49897999999999</v>
      </c>
      <c r="AV467" s="16">
        <f t="shared" si="175"/>
        <v>121.49897999999999</v>
      </c>
      <c r="AW467" s="16">
        <f t="shared" si="184"/>
        <v>0</v>
      </c>
      <c r="AX467" s="16" t="str">
        <f t="shared" si="185"/>
        <v>SFA</v>
      </c>
      <c r="AY467" s="22">
        <v>45100</v>
      </c>
      <c r="AZ467" s="22"/>
      <c r="BA467" s="1" t="s">
        <v>148</v>
      </c>
      <c r="BB467" s="22" t="str">
        <f t="shared" si="186"/>
        <v>MARINE CARGO / GIT</v>
      </c>
      <c r="BC467" s="1"/>
      <c r="BD467" s="1"/>
      <c r="BE467" s="1"/>
    </row>
    <row r="468" spans="1:57" ht="14.25" hidden="1" customHeight="1">
      <c r="A468" s="2" t="s">
        <v>230</v>
      </c>
      <c r="B468" s="1" t="s">
        <v>58</v>
      </c>
      <c r="C468" s="27">
        <v>45093</v>
      </c>
      <c r="D468" s="27">
        <v>45070</v>
      </c>
      <c r="E468" s="27">
        <v>45068</v>
      </c>
      <c r="F468" s="27">
        <v>45432</v>
      </c>
      <c r="G468" s="13" t="str">
        <f t="shared" si="176"/>
        <v>000-467/AIB RDC/2023</v>
      </c>
      <c r="H468" s="1">
        <v>0</v>
      </c>
      <c r="I468" s="1" t="s">
        <v>83</v>
      </c>
      <c r="J468" s="2" t="s">
        <v>707</v>
      </c>
      <c r="K468" s="2" t="s">
        <v>209</v>
      </c>
      <c r="L468" s="1"/>
      <c r="M468" s="2" t="s">
        <v>95</v>
      </c>
      <c r="N468" s="2" t="s">
        <v>146</v>
      </c>
      <c r="O468" s="2" t="s">
        <v>104</v>
      </c>
      <c r="P468" s="2" t="s">
        <v>105</v>
      </c>
      <c r="Q468" s="2" t="s">
        <v>66</v>
      </c>
      <c r="R468" s="2" t="s">
        <v>66</v>
      </c>
      <c r="S468" s="25">
        <v>90103.15</v>
      </c>
      <c r="T468" s="25">
        <v>223.46</v>
      </c>
      <c r="U468" s="25">
        <v>0</v>
      </c>
      <c r="V468" s="25">
        <v>0</v>
      </c>
      <c r="W468" s="25">
        <v>8.9</v>
      </c>
      <c r="X468" s="25">
        <v>162.19</v>
      </c>
      <c r="Y468" s="25">
        <v>27.37</v>
      </c>
      <c r="Z468" s="17">
        <f t="shared" si="177"/>
        <v>1.8000480560335572E-3</v>
      </c>
      <c r="AA468" s="18">
        <v>0.15</v>
      </c>
      <c r="AB468" s="16">
        <f t="shared" si="174"/>
        <v>24.328499999999998</v>
      </c>
      <c r="AC468" s="16">
        <v>0</v>
      </c>
      <c r="AD468" s="16">
        <v>0</v>
      </c>
      <c r="AE468" s="16">
        <v>0</v>
      </c>
      <c r="AF468" s="16">
        <f t="shared" si="178"/>
        <v>24.328499999999998</v>
      </c>
      <c r="AG468" s="16">
        <f t="shared" si="171"/>
        <v>3.89256</v>
      </c>
      <c r="AH468" s="16">
        <f t="shared" si="179"/>
        <v>28.221059999999998</v>
      </c>
      <c r="AI468" s="16">
        <f t="shared" si="172"/>
        <v>0.48657</v>
      </c>
      <c r="AJ468" s="16">
        <v>0</v>
      </c>
      <c r="AK468" s="16">
        <f t="shared" si="180"/>
        <v>0.48657</v>
      </c>
      <c r="AL468" s="19"/>
      <c r="AM468" s="16">
        <f t="shared" si="181"/>
        <v>23.841929999999998</v>
      </c>
      <c r="AN468" s="16" t="s">
        <v>147</v>
      </c>
      <c r="AO468" s="20">
        <v>0.4</v>
      </c>
      <c r="AP468" s="16">
        <f t="shared" si="182"/>
        <v>9.5367719999999991</v>
      </c>
      <c r="AQ468" s="16">
        <v>9.5367719999999991</v>
      </c>
      <c r="AR468" s="15">
        <v>45229</v>
      </c>
      <c r="AS468" s="16">
        <f t="shared" si="183"/>
        <v>0</v>
      </c>
      <c r="AT468" s="16"/>
      <c r="AU468" s="16">
        <v>28.221059999999998</v>
      </c>
      <c r="AV468" s="16">
        <f t="shared" si="175"/>
        <v>28.221059999999998</v>
      </c>
      <c r="AW468" s="16">
        <f t="shared" si="184"/>
        <v>0</v>
      </c>
      <c r="AX468" s="16" t="str">
        <f t="shared" si="185"/>
        <v>SFA</v>
      </c>
      <c r="AY468" s="22">
        <v>45100</v>
      </c>
      <c r="AZ468" s="22"/>
      <c r="BA468" s="1" t="s">
        <v>148</v>
      </c>
      <c r="BB468" s="22" t="str">
        <f t="shared" si="186"/>
        <v>MARINE CARGO / GIT</v>
      </c>
      <c r="BC468" s="1"/>
      <c r="BD468" s="1"/>
      <c r="BE468" s="1"/>
    </row>
    <row r="469" spans="1:57" ht="14.25" hidden="1" customHeight="1">
      <c r="A469" s="2" t="s">
        <v>230</v>
      </c>
      <c r="B469" s="1" t="s">
        <v>58</v>
      </c>
      <c r="C469" s="27">
        <v>45093</v>
      </c>
      <c r="D469" s="27">
        <v>45070</v>
      </c>
      <c r="E469" s="27">
        <v>45068</v>
      </c>
      <c r="F469" s="27">
        <v>45432</v>
      </c>
      <c r="G469" s="13" t="str">
        <f t="shared" si="176"/>
        <v>000-468/AIB RDC/2023</v>
      </c>
      <c r="H469" s="1">
        <v>0</v>
      </c>
      <c r="I469" s="1" t="s">
        <v>83</v>
      </c>
      <c r="J469" s="2" t="s">
        <v>708</v>
      </c>
      <c r="K469" s="2" t="s">
        <v>209</v>
      </c>
      <c r="L469" s="1"/>
      <c r="M469" s="2" t="s">
        <v>95</v>
      </c>
      <c r="N469" s="2" t="s">
        <v>146</v>
      </c>
      <c r="O469" s="2" t="s">
        <v>104</v>
      </c>
      <c r="P469" s="2" t="s">
        <v>105</v>
      </c>
      <c r="Q469" s="2" t="s">
        <v>66</v>
      </c>
      <c r="R469" s="2" t="s">
        <v>66</v>
      </c>
      <c r="S469" s="25">
        <v>1848.88</v>
      </c>
      <c r="T469" s="25">
        <v>65</v>
      </c>
      <c r="U469" s="25">
        <v>0</v>
      </c>
      <c r="V469" s="25">
        <v>0</v>
      </c>
      <c r="W469" s="25">
        <v>1.91</v>
      </c>
      <c r="X469" s="25">
        <v>54.28</v>
      </c>
      <c r="Y469" s="25">
        <v>8.81</v>
      </c>
      <c r="Z469" s="17">
        <f t="shared" si="177"/>
        <v>2.9358314222664533E-2</v>
      </c>
      <c r="AA469" s="18">
        <v>0.15</v>
      </c>
      <c r="AB469" s="16">
        <f t="shared" si="174"/>
        <v>8.1419999999999995</v>
      </c>
      <c r="AC469" s="16">
        <v>0</v>
      </c>
      <c r="AD469" s="16">
        <v>0</v>
      </c>
      <c r="AE469" s="16">
        <v>0</v>
      </c>
      <c r="AF469" s="16">
        <f t="shared" si="178"/>
        <v>8.1419999999999995</v>
      </c>
      <c r="AG469" s="16">
        <f t="shared" ref="AG469:AG500" si="187">16%*AF469</f>
        <v>1.3027199999999999</v>
      </c>
      <c r="AH469" s="16">
        <f t="shared" si="179"/>
        <v>9.4447200000000002</v>
      </c>
      <c r="AI469" s="16">
        <f t="shared" ref="AI469:AI500" si="188">2%*(AB469+AC469+AD469)</f>
        <v>0.16283999999999998</v>
      </c>
      <c r="AJ469" s="16">
        <v>0</v>
      </c>
      <c r="AK469" s="16">
        <f t="shared" si="180"/>
        <v>0.16283999999999998</v>
      </c>
      <c r="AL469" s="19"/>
      <c r="AM469" s="16">
        <f t="shared" si="181"/>
        <v>7.9791599999999994</v>
      </c>
      <c r="AN469" s="16" t="s">
        <v>147</v>
      </c>
      <c r="AO469" s="20">
        <v>0.4</v>
      </c>
      <c r="AP469" s="16">
        <f t="shared" si="182"/>
        <v>3.1916639999999998</v>
      </c>
      <c r="AQ469" s="16">
        <v>3.1916639999999998</v>
      </c>
      <c r="AR469" s="15">
        <v>45229</v>
      </c>
      <c r="AS469" s="16">
        <f t="shared" si="183"/>
        <v>0</v>
      </c>
      <c r="AT469" s="16"/>
      <c r="AU469" s="16">
        <v>9.4447200000000002</v>
      </c>
      <c r="AV469" s="16">
        <f t="shared" si="175"/>
        <v>9.4447200000000002</v>
      </c>
      <c r="AW469" s="16">
        <f t="shared" si="184"/>
        <v>0</v>
      </c>
      <c r="AX469" s="16" t="str">
        <f t="shared" si="185"/>
        <v>SFA</v>
      </c>
      <c r="AY469" s="22">
        <v>45100</v>
      </c>
      <c r="AZ469" s="22"/>
      <c r="BA469" s="1" t="s">
        <v>148</v>
      </c>
      <c r="BB469" s="22" t="str">
        <f t="shared" si="186"/>
        <v>MARINE CARGO / GIT</v>
      </c>
      <c r="BC469" s="1"/>
      <c r="BD469" s="1"/>
      <c r="BE469" s="1"/>
    </row>
    <row r="470" spans="1:57" ht="14.25" hidden="1" customHeight="1">
      <c r="A470" s="2" t="s">
        <v>165</v>
      </c>
      <c r="B470" s="1" t="s">
        <v>58</v>
      </c>
      <c r="C470" s="27">
        <v>45093</v>
      </c>
      <c r="D470" s="27">
        <v>45056</v>
      </c>
      <c r="E470" s="27">
        <v>45013</v>
      </c>
      <c r="F470" s="27">
        <v>45377</v>
      </c>
      <c r="G470" s="13" t="str">
        <f t="shared" si="176"/>
        <v>000-469/AIB RDC/2023</v>
      </c>
      <c r="H470" s="1">
        <v>0</v>
      </c>
      <c r="I470" s="1" t="s">
        <v>83</v>
      </c>
      <c r="J470" s="2" t="s">
        <v>709</v>
      </c>
      <c r="K470" s="1" t="s">
        <v>573</v>
      </c>
      <c r="L470" s="1"/>
      <c r="M470" s="1" t="s">
        <v>95</v>
      </c>
      <c r="N470" s="1" t="s">
        <v>146</v>
      </c>
      <c r="O470" s="1" t="s">
        <v>104</v>
      </c>
      <c r="P470" s="1" t="s">
        <v>105</v>
      </c>
      <c r="Q470" s="1" t="s">
        <v>66</v>
      </c>
      <c r="R470" s="1" t="s">
        <v>66</v>
      </c>
      <c r="S470" s="25">
        <v>375275.94</v>
      </c>
      <c r="T470" s="25">
        <v>1367.46</v>
      </c>
      <c r="U470" s="25">
        <v>0</v>
      </c>
      <c r="V470" s="25">
        <v>0</v>
      </c>
      <c r="W470" s="25">
        <v>38.39</v>
      </c>
      <c r="X470" s="25">
        <v>1118.9000000000001</v>
      </c>
      <c r="Y470" s="25">
        <v>185.17</v>
      </c>
      <c r="Z470" s="17">
        <f t="shared" si="177"/>
        <v>2.9815393973831633E-3</v>
      </c>
      <c r="AA470" s="18">
        <v>0.15</v>
      </c>
      <c r="AB470" s="16">
        <f t="shared" si="174"/>
        <v>167.83500000000001</v>
      </c>
      <c r="AC470" s="16">
        <v>0</v>
      </c>
      <c r="AD470" s="16">
        <v>0</v>
      </c>
      <c r="AE470" s="16">
        <v>0</v>
      </c>
      <c r="AF470" s="16">
        <f t="shared" si="178"/>
        <v>167.83500000000001</v>
      </c>
      <c r="AG470" s="16">
        <f t="shared" si="187"/>
        <v>26.8536</v>
      </c>
      <c r="AH470" s="16">
        <f t="shared" si="179"/>
        <v>194.68860000000001</v>
      </c>
      <c r="AI470" s="16">
        <f t="shared" si="188"/>
        <v>3.3567</v>
      </c>
      <c r="AJ470" s="16">
        <v>0</v>
      </c>
      <c r="AK470" s="16">
        <f t="shared" si="180"/>
        <v>3.3567</v>
      </c>
      <c r="AL470" s="19"/>
      <c r="AM470" s="16">
        <f t="shared" si="181"/>
        <v>164.47830000000002</v>
      </c>
      <c r="AN470" s="16" t="s">
        <v>147</v>
      </c>
      <c r="AO470" s="20">
        <v>0.4</v>
      </c>
      <c r="AP470" s="16">
        <f t="shared" si="182"/>
        <v>65.791320000000013</v>
      </c>
      <c r="AQ470" s="16">
        <v>65.791320000000013</v>
      </c>
      <c r="AR470" s="15">
        <v>45229</v>
      </c>
      <c r="AS470" s="16">
        <f t="shared" si="183"/>
        <v>0</v>
      </c>
      <c r="AT470" s="16"/>
      <c r="AU470" s="16">
        <v>194.68860000000001</v>
      </c>
      <c r="AV470" s="16">
        <f t="shared" si="175"/>
        <v>194.68860000000001</v>
      </c>
      <c r="AW470" s="16">
        <f t="shared" si="184"/>
        <v>0</v>
      </c>
      <c r="AX470" s="16" t="str">
        <f t="shared" si="185"/>
        <v>SFA</v>
      </c>
      <c r="AY470" s="22">
        <v>45100</v>
      </c>
      <c r="AZ470" s="22"/>
      <c r="BA470" s="1" t="s">
        <v>148</v>
      </c>
      <c r="BB470" s="22" t="str">
        <f t="shared" si="186"/>
        <v>MARINE CARGO / GIT</v>
      </c>
      <c r="BC470" s="1"/>
      <c r="BD470" s="1"/>
      <c r="BE470" s="1"/>
    </row>
    <row r="471" spans="1:57" ht="14.25" hidden="1" customHeight="1">
      <c r="A471" s="2" t="s">
        <v>157</v>
      </c>
      <c r="B471" s="1" t="s">
        <v>58</v>
      </c>
      <c r="C471" s="27">
        <v>45000</v>
      </c>
      <c r="D471" s="27">
        <v>45051</v>
      </c>
      <c r="E471" s="27">
        <v>44977</v>
      </c>
      <c r="F471" s="27">
        <v>45341</v>
      </c>
      <c r="G471" s="13" t="str">
        <f t="shared" si="176"/>
        <v>000-470/AIB RDC/2023</v>
      </c>
      <c r="H471" s="1">
        <v>2</v>
      </c>
      <c r="I471" s="1" t="s">
        <v>68</v>
      </c>
      <c r="J471" s="2" t="s">
        <v>710</v>
      </c>
      <c r="K471" s="2" t="s">
        <v>651</v>
      </c>
      <c r="L471" s="1"/>
      <c r="M471" s="1" t="s">
        <v>99</v>
      </c>
      <c r="N471" s="1" t="s">
        <v>100</v>
      </c>
      <c r="O471" s="1" t="s">
        <v>194</v>
      </c>
      <c r="P471" s="1" t="s">
        <v>108</v>
      </c>
      <c r="Q471" s="1" t="s">
        <v>127</v>
      </c>
      <c r="R471" s="1" t="s">
        <v>127</v>
      </c>
      <c r="S471" s="25">
        <v>7380069.1799999997</v>
      </c>
      <c r="T471" s="25">
        <v>11629.25</v>
      </c>
      <c r="U471" s="16">
        <v>0</v>
      </c>
      <c r="V471" s="16">
        <v>0</v>
      </c>
      <c r="W471" s="25">
        <v>20</v>
      </c>
      <c r="X471" s="25">
        <v>9835.2900000000009</v>
      </c>
      <c r="Y471" s="25">
        <v>1576.85</v>
      </c>
      <c r="Z471" s="17">
        <f t="shared" si="177"/>
        <v>1.3326826294059212E-3</v>
      </c>
      <c r="AA471" s="18">
        <v>0.15</v>
      </c>
      <c r="AB471" s="16">
        <f t="shared" si="174"/>
        <v>1475.2935</v>
      </c>
      <c r="AC471" s="16">
        <v>0</v>
      </c>
      <c r="AD471" s="16">
        <v>0</v>
      </c>
      <c r="AE471" s="16">
        <v>0</v>
      </c>
      <c r="AF471" s="16">
        <f t="shared" si="178"/>
        <v>1475.2935</v>
      </c>
      <c r="AG471" s="16">
        <f t="shared" si="187"/>
        <v>236.04696000000001</v>
      </c>
      <c r="AH471" s="16">
        <f t="shared" si="179"/>
        <v>1711.3404599999999</v>
      </c>
      <c r="AI471" s="16">
        <f t="shared" si="188"/>
        <v>29.505870000000002</v>
      </c>
      <c r="AJ471" s="16">
        <v>0</v>
      </c>
      <c r="AK471" s="16">
        <f t="shared" si="180"/>
        <v>29.505870000000002</v>
      </c>
      <c r="AL471" s="19"/>
      <c r="AM471" s="16">
        <f t="shared" si="181"/>
        <v>1445.78763</v>
      </c>
      <c r="AN471" s="16"/>
      <c r="AO471" s="20"/>
      <c r="AP471" s="16">
        <f t="shared" si="182"/>
        <v>0</v>
      </c>
      <c r="AQ471" s="16"/>
      <c r="AR471" s="15"/>
      <c r="AS471" s="16">
        <f t="shared" si="183"/>
        <v>0</v>
      </c>
      <c r="AT471" s="16"/>
      <c r="AU471" s="16">
        <v>1711.3404599999999</v>
      </c>
      <c r="AV471" s="16">
        <f t="shared" si="175"/>
        <v>1711.3404599999999</v>
      </c>
      <c r="AW471" s="16">
        <f t="shared" si="184"/>
        <v>0</v>
      </c>
      <c r="AX471" s="16" t="str">
        <f t="shared" si="185"/>
        <v>MAYFAIR</v>
      </c>
      <c r="AY471" s="22">
        <v>45106</v>
      </c>
      <c r="AZ471" s="22"/>
      <c r="BA471" s="1"/>
      <c r="BB471" s="22" t="str">
        <f t="shared" si="186"/>
        <v>PROPERTY DAMAGE &amp; BI</v>
      </c>
      <c r="BC471" s="1"/>
      <c r="BD471" s="1"/>
      <c r="BE471" s="1"/>
    </row>
    <row r="472" spans="1:57" ht="14.25" hidden="1" customHeight="1">
      <c r="A472" s="2" t="s">
        <v>230</v>
      </c>
      <c r="B472" s="1" t="s">
        <v>58</v>
      </c>
      <c r="C472" s="27">
        <v>45093</v>
      </c>
      <c r="D472" s="27">
        <v>45058</v>
      </c>
      <c r="E472" s="27">
        <v>45055</v>
      </c>
      <c r="F472" s="27">
        <v>45419</v>
      </c>
      <c r="G472" s="13" t="str">
        <f t="shared" si="176"/>
        <v>000-471/AIB RDC/2023</v>
      </c>
      <c r="H472" s="1">
        <v>0</v>
      </c>
      <c r="I472" s="1" t="s">
        <v>83</v>
      </c>
      <c r="J472" s="2" t="s">
        <v>711</v>
      </c>
      <c r="K472" s="2" t="s">
        <v>403</v>
      </c>
      <c r="L472" s="1"/>
      <c r="M472" s="1" t="s">
        <v>95</v>
      </c>
      <c r="N472" s="1" t="s">
        <v>146</v>
      </c>
      <c r="O472" s="1" t="s">
        <v>104</v>
      </c>
      <c r="P472" s="1" t="s">
        <v>105</v>
      </c>
      <c r="Q472" s="1" t="s">
        <v>66</v>
      </c>
      <c r="R472" s="1" t="s">
        <v>66</v>
      </c>
      <c r="S472" s="25">
        <v>1118087</v>
      </c>
      <c r="T472" s="25">
        <v>3731.53</v>
      </c>
      <c r="U472" s="25">
        <v>0</v>
      </c>
      <c r="V472" s="25">
        <v>0</v>
      </c>
      <c r="W472" s="25">
        <v>109.69</v>
      </c>
      <c r="X472" s="25">
        <v>3107.15</v>
      </c>
      <c r="Y472" s="25">
        <v>514.69000000000005</v>
      </c>
      <c r="Z472" s="17">
        <f t="shared" si="177"/>
        <v>2.77898768163837E-3</v>
      </c>
      <c r="AA472" s="18">
        <v>0.15</v>
      </c>
      <c r="AB472" s="16">
        <f t="shared" si="174"/>
        <v>466.07249999999999</v>
      </c>
      <c r="AC472" s="16">
        <v>0</v>
      </c>
      <c r="AD472" s="16">
        <v>0</v>
      </c>
      <c r="AE472" s="16">
        <v>0</v>
      </c>
      <c r="AF472" s="16">
        <f t="shared" si="178"/>
        <v>466.07249999999999</v>
      </c>
      <c r="AG472" s="16">
        <f t="shared" si="187"/>
        <v>74.571600000000004</v>
      </c>
      <c r="AH472" s="16">
        <f t="shared" si="179"/>
        <v>540.64409999999998</v>
      </c>
      <c r="AI472" s="16">
        <f t="shared" si="188"/>
        <v>9.3214500000000005</v>
      </c>
      <c r="AJ472" s="16">
        <v>0</v>
      </c>
      <c r="AK472" s="16">
        <f t="shared" si="180"/>
        <v>9.3214500000000005</v>
      </c>
      <c r="AL472" s="19"/>
      <c r="AM472" s="16">
        <f t="shared" si="181"/>
        <v>456.75104999999996</v>
      </c>
      <c r="AN472" s="16" t="s">
        <v>147</v>
      </c>
      <c r="AO472" s="20">
        <v>0.4</v>
      </c>
      <c r="AP472" s="16">
        <f t="shared" si="182"/>
        <v>182.70042000000001</v>
      </c>
      <c r="AQ472" s="16">
        <v>182.70042000000001</v>
      </c>
      <c r="AR472" s="15">
        <v>45229</v>
      </c>
      <c r="AS472" s="16">
        <f t="shared" si="183"/>
        <v>0</v>
      </c>
      <c r="AT472" s="16"/>
      <c r="AU472" s="16">
        <v>540.64409999999998</v>
      </c>
      <c r="AV472" s="16">
        <f t="shared" si="175"/>
        <v>540.64409999999998</v>
      </c>
      <c r="AW472" s="16">
        <f t="shared" si="184"/>
        <v>0</v>
      </c>
      <c r="AX472" s="16" t="str">
        <f t="shared" si="185"/>
        <v>SFA</v>
      </c>
      <c r="AY472" s="22">
        <v>45100</v>
      </c>
      <c r="AZ472" s="22"/>
      <c r="BA472" s="1" t="s">
        <v>148</v>
      </c>
      <c r="BB472" s="1" t="s">
        <v>104</v>
      </c>
      <c r="BC472" s="1"/>
      <c r="BD472" s="1"/>
      <c r="BE472" s="1"/>
    </row>
    <row r="473" spans="1:57" ht="15.75" hidden="1" customHeight="1">
      <c r="A473" s="2" t="s">
        <v>57</v>
      </c>
      <c r="B473" s="1" t="s">
        <v>58</v>
      </c>
      <c r="C473" s="27">
        <v>45093</v>
      </c>
      <c r="D473" s="27">
        <v>45068</v>
      </c>
      <c r="E473" s="27">
        <v>44934</v>
      </c>
      <c r="F473" s="27">
        <v>45299</v>
      </c>
      <c r="G473" s="13" t="str">
        <f t="shared" si="176"/>
        <v>000-472/AIB RDC/2023</v>
      </c>
      <c r="H473" s="1">
        <v>1</v>
      </c>
      <c r="I473" s="1" t="s">
        <v>443</v>
      </c>
      <c r="J473" s="38" t="s">
        <v>248</v>
      </c>
      <c r="K473" s="1" t="s">
        <v>249</v>
      </c>
      <c r="L473" s="1" t="s">
        <v>116</v>
      </c>
      <c r="M473" s="1" t="s">
        <v>63</v>
      </c>
      <c r="N473" s="1" t="s">
        <v>64</v>
      </c>
      <c r="O473" s="1" t="s">
        <v>250</v>
      </c>
      <c r="P473" s="1" t="s">
        <v>251</v>
      </c>
      <c r="Q473" s="1" t="s">
        <v>66</v>
      </c>
      <c r="R473" s="1" t="s">
        <v>252</v>
      </c>
      <c r="S473" s="25">
        <v>0</v>
      </c>
      <c r="T473" s="25">
        <v>-109841.71</v>
      </c>
      <c r="U473" s="25">
        <v>-5511.41</v>
      </c>
      <c r="V473" s="25">
        <v>0</v>
      </c>
      <c r="W473" s="25"/>
      <c r="X473" s="25">
        <v>-89079.72</v>
      </c>
      <c r="Y473" s="25">
        <v>-15150.58</v>
      </c>
      <c r="Z473" s="17" t="e">
        <f t="shared" si="177"/>
        <v>#DIV/0!</v>
      </c>
      <c r="AA473" s="18">
        <v>0</v>
      </c>
      <c r="AB473" s="16">
        <f t="shared" si="174"/>
        <v>0</v>
      </c>
      <c r="AC473" s="16">
        <f>30%*U473</f>
        <v>-1653.423</v>
      </c>
      <c r="AD473" s="16">
        <v>0</v>
      </c>
      <c r="AE473" s="16">
        <v>0</v>
      </c>
      <c r="AF473" s="16">
        <f t="shared" si="178"/>
        <v>-1653.423</v>
      </c>
      <c r="AG473" s="16">
        <f t="shared" si="187"/>
        <v>-264.54768000000001</v>
      </c>
      <c r="AH473" s="16">
        <f t="shared" si="179"/>
        <v>-1917.9706799999999</v>
      </c>
      <c r="AI473" s="16">
        <f t="shared" si="188"/>
        <v>-33.068460000000002</v>
      </c>
      <c r="AJ473" s="16">
        <v>0</v>
      </c>
      <c r="AK473" s="16">
        <f t="shared" si="180"/>
        <v>-33.068460000000002</v>
      </c>
      <c r="AL473" s="19"/>
      <c r="AM473" s="16">
        <f t="shared" si="181"/>
        <v>-1620.35454</v>
      </c>
      <c r="AN473" s="16" t="s">
        <v>228</v>
      </c>
      <c r="AO473" s="20"/>
      <c r="AP473" s="16">
        <f t="shared" si="182"/>
        <v>0</v>
      </c>
      <c r="AQ473" s="16"/>
      <c r="AR473" s="15"/>
      <c r="AS473" s="16">
        <f t="shared" si="183"/>
        <v>0</v>
      </c>
      <c r="AT473" s="16"/>
      <c r="AU473" s="16">
        <v>-1917.9706799999999</v>
      </c>
      <c r="AV473" s="16">
        <f t="shared" si="175"/>
        <v>-1917.9706799999999</v>
      </c>
      <c r="AW473" s="16">
        <f t="shared" si="184"/>
        <v>0</v>
      </c>
      <c r="AX473" s="16" t="str">
        <f t="shared" si="185"/>
        <v>SFA</v>
      </c>
      <c r="AY473" s="22">
        <v>45100</v>
      </c>
      <c r="AZ473" s="22"/>
      <c r="BA473" s="1"/>
      <c r="BB473" s="1" t="s">
        <v>250</v>
      </c>
      <c r="BC473" s="1"/>
      <c r="BD473" s="1"/>
      <c r="BE473" s="1"/>
    </row>
    <row r="474" spans="1:57" ht="15.75" hidden="1" customHeight="1">
      <c r="A474" s="2" t="s">
        <v>406</v>
      </c>
      <c r="B474" s="1" t="s">
        <v>58</v>
      </c>
      <c r="C474" s="27">
        <v>45093</v>
      </c>
      <c r="D474" s="27">
        <v>45042</v>
      </c>
      <c r="E474" s="27">
        <v>45041</v>
      </c>
      <c r="F474" s="27">
        <v>45175</v>
      </c>
      <c r="G474" s="13" t="str">
        <f t="shared" si="176"/>
        <v>000-473/AIB RDC/2023</v>
      </c>
      <c r="H474" s="1">
        <v>4</v>
      </c>
      <c r="I474" s="1" t="s">
        <v>59</v>
      </c>
      <c r="J474" s="29" t="s">
        <v>449</v>
      </c>
      <c r="K474" s="24" t="s">
        <v>450</v>
      </c>
      <c r="L474" s="1" t="s">
        <v>62</v>
      </c>
      <c r="M474" s="1" t="s">
        <v>63</v>
      </c>
      <c r="N474" s="1" t="s">
        <v>71</v>
      </c>
      <c r="O474" s="1" t="s">
        <v>65</v>
      </c>
      <c r="P474" s="1" t="s">
        <v>65</v>
      </c>
      <c r="Q474" s="1" t="s">
        <v>66</v>
      </c>
      <c r="R474" s="1" t="s">
        <v>66</v>
      </c>
      <c r="S474" s="25">
        <v>0</v>
      </c>
      <c r="T474" s="25">
        <v>1564.26</v>
      </c>
      <c r="U474" s="25">
        <v>0</v>
      </c>
      <c r="V474" s="25">
        <v>0</v>
      </c>
      <c r="W474" s="25">
        <v>33.369999999999997</v>
      </c>
      <c r="X474" s="25">
        <v>1292.3</v>
      </c>
      <c r="Y474" s="25">
        <v>212.11</v>
      </c>
      <c r="Z474" s="17" t="e">
        <f t="shared" si="177"/>
        <v>#DIV/0!</v>
      </c>
      <c r="AA474" s="18">
        <v>0.1</v>
      </c>
      <c r="AB474" s="16">
        <f t="shared" si="174"/>
        <v>129.22999999999999</v>
      </c>
      <c r="AC474" s="16">
        <v>0</v>
      </c>
      <c r="AD474" s="16">
        <v>0</v>
      </c>
      <c r="AE474" s="16">
        <v>0</v>
      </c>
      <c r="AF474" s="16">
        <f t="shared" si="178"/>
        <v>129.22999999999999</v>
      </c>
      <c r="AG474" s="16">
        <f t="shared" si="187"/>
        <v>20.6768</v>
      </c>
      <c r="AH474" s="16">
        <f t="shared" si="179"/>
        <v>149.90679999999998</v>
      </c>
      <c r="AI474" s="16">
        <f t="shared" si="188"/>
        <v>2.5846</v>
      </c>
      <c r="AJ474" s="16">
        <v>0</v>
      </c>
      <c r="AK474" s="16">
        <f t="shared" si="180"/>
        <v>2.5846</v>
      </c>
      <c r="AL474" s="19"/>
      <c r="AM474" s="16">
        <f t="shared" si="181"/>
        <v>126.6454</v>
      </c>
      <c r="AN474" s="16" t="s">
        <v>206</v>
      </c>
      <c r="AO474" s="20">
        <v>0.5</v>
      </c>
      <c r="AP474" s="16">
        <f t="shared" si="182"/>
        <v>63.322699999999998</v>
      </c>
      <c r="AQ474" s="16">
        <v>63.32</v>
      </c>
      <c r="AR474" s="15">
        <v>45219</v>
      </c>
      <c r="AS474" s="16">
        <f t="shared" si="183"/>
        <v>2.6999999999972601E-3</v>
      </c>
      <c r="AT474" s="16"/>
      <c r="AU474" s="16">
        <v>149.90679999999998</v>
      </c>
      <c r="AV474" s="16">
        <f t="shared" si="175"/>
        <v>149.90679999999998</v>
      </c>
      <c r="AW474" s="16">
        <f t="shared" si="184"/>
        <v>0</v>
      </c>
      <c r="AX474" s="16" t="str">
        <f t="shared" si="185"/>
        <v>SFA</v>
      </c>
      <c r="AY474" s="22">
        <v>45100</v>
      </c>
      <c r="AZ474" s="22"/>
      <c r="BA474" s="1"/>
      <c r="BB474" s="1" t="s">
        <v>65</v>
      </c>
      <c r="BC474" s="1"/>
      <c r="BD474" s="1"/>
      <c r="BE474" s="1"/>
    </row>
    <row r="475" spans="1:57" ht="15.75" hidden="1" customHeight="1">
      <c r="A475" s="2" t="s">
        <v>230</v>
      </c>
      <c r="B475" s="1" t="s">
        <v>58</v>
      </c>
      <c r="C475" s="27">
        <v>45093</v>
      </c>
      <c r="D475" s="27">
        <v>45054</v>
      </c>
      <c r="E475" s="27">
        <v>45054</v>
      </c>
      <c r="F475" s="27">
        <v>45175</v>
      </c>
      <c r="G475" s="13" t="str">
        <f t="shared" si="176"/>
        <v>000-474/AIB RDC/2023</v>
      </c>
      <c r="H475" s="1">
        <v>5</v>
      </c>
      <c r="I475" s="1" t="s">
        <v>59</v>
      </c>
      <c r="J475" s="29" t="s">
        <v>449</v>
      </c>
      <c r="K475" s="24" t="s">
        <v>450</v>
      </c>
      <c r="L475" s="1" t="s">
        <v>62</v>
      </c>
      <c r="M475" s="1" t="s">
        <v>63</v>
      </c>
      <c r="N475" s="1" t="s">
        <v>71</v>
      </c>
      <c r="O475" s="1" t="s">
        <v>65</v>
      </c>
      <c r="P475" s="1" t="s">
        <v>65</v>
      </c>
      <c r="Q475" s="1" t="s">
        <v>66</v>
      </c>
      <c r="R475" s="1" t="s">
        <v>66</v>
      </c>
      <c r="S475" s="25">
        <v>0</v>
      </c>
      <c r="T475" s="25">
        <v>366.93</v>
      </c>
      <c r="U475" s="25">
        <v>0</v>
      </c>
      <c r="V475" s="25">
        <v>0</v>
      </c>
      <c r="W475" s="25">
        <v>4.4400000000000004</v>
      </c>
      <c r="X475" s="25">
        <v>297.83999999999997</v>
      </c>
      <c r="Y475" s="25">
        <v>50.61</v>
      </c>
      <c r="Z475" s="17" t="e">
        <f t="shared" si="177"/>
        <v>#DIV/0!</v>
      </c>
      <c r="AA475" s="18">
        <v>0.1</v>
      </c>
      <c r="AB475" s="16">
        <f t="shared" si="174"/>
        <v>29.783999999999999</v>
      </c>
      <c r="AC475" s="16">
        <v>0</v>
      </c>
      <c r="AD475" s="16">
        <v>0</v>
      </c>
      <c r="AE475" s="16">
        <v>0</v>
      </c>
      <c r="AF475" s="16">
        <f t="shared" si="178"/>
        <v>29.783999999999999</v>
      </c>
      <c r="AG475" s="16">
        <f t="shared" si="187"/>
        <v>4.7654399999999999</v>
      </c>
      <c r="AH475" s="16">
        <f t="shared" si="179"/>
        <v>34.549439999999997</v>
      </c>
      <c r="AI475" s="16">
        <f t="shared" si="188"/>
        <v>0.59567999999999999</v>
      </c>
      <c r="AJ475" s="16">
        <v>0</v>
      </c>
      <c r="AK475" s="16">
        <f t="shared" si="180"/>
        <v>0.59567999999999999</v>
      </c>
      <c r="AL475" s="19"/>
      <c r="AM475" s="16">
        <f t="shared" si="181"/>
        <v>29.188319999999997</v>
      </c>
      <c r="AN475" s="16" t="s">
        <v>206</v>
      </c>
      <c r="AO475" s="20">
        <v>0.5</v>
      </c>
      <c r="AP475" s="16">
        <f t="shared" si="182"/>
        <v>14.594159999999999</v>
      </c>
      <c r="AQ475" s="16">
        <v>14.59</v>
      </c>
      <c r="AR475" s="15">
        <v>45219</v>
      </c>
      <c r="AS475" s="16">
        <f t="shared" si="183"/>
        <v>4.1599999999988313E-3</v>
      </c>
      <c r="AT475" s="16"/>
      <c r="AU475" s="16">
        <v>34.549439999999997</v>
      </c>
      <c r="AV475" s="16">
        <f t="shared" si="175"/>
        <v>34.549439999999997</v>
      </c>
      <c r="AW475" s="16">
        <f t="shared" si="184"/>
        <v>0</v>
      </c>
      <c r="AX475" s="16" t="str">
        <f t="shared" si="185"/>
        <v>SFA</v>
      </c>
      <c r="AY475" s="22">
        <v>45100</v>
      </c>
      <c r="AZ475" s="22"/>
      <c r="BA475" s="1"/>
      <c r="BB475" s="1" t="s">
        <v>65</v>
      </c>
      <c r="BC475" s="1"/>
      <c r="BD475" s="1"/>
      <c r="BE475" s="1"/>
    </row>
    <row r="476" spans="1:57" ht="15.75" hidden="1" customHeight="1">
      <c r="A476" s="2" t="s">
        <v>406</v>
      </c>
      <c r="B476" s="1" t="s">
        <v>58</v>
      </c>
      <c r="C476" s="27">
        <v>45093</v>
      </c>
      <c r="D476" s="27">
        <v>45077</v>
      </c>
      <c r="E476" s="27">
        <v>45041</v>
      </c>
      <c r="F476" s="27">
        <v>45405</v>
      </c>
      <c r="G476" s="13" t="str">
        <f t="shared" si="176"/>
        <v>000-475/AIB RDC/2023</v>
      </c>
      <c r="H476" s="1">
        <v>0</v>
      </c>
      <c r="I476" s="1" t="s">
        <v>83</v>
      </c>
      <c r="J476" s="35" t="s">
        <v>712</v>
      </c>
      <c r="K476" s="1" t="s">
        <v>713</v>
      </c>
      <c r="L476" s="2" t="s">
        <v>62</v>
      </c>
      <c r="M476" s="24" t="s">
        <v>63</v>
      </c>
      <c r="N476" s="2" t="s">
        <v>64</v>
      </c>
      <c r="O476" s="2" t="s">
        <v>111</v>
      </c>
      <c r="P476" s="2" t="s">
        <v>112</v>
      </c>
      <c r="Q476" s="2" t="s">
        <v>66</v>
      </c>
      <c r="R476" s="2" t="s">
        <v>66</v>
      </c>
      <c r="S476" s="25">
        <v>10000000</v>
      </c>
      <c r="T476" s="25">
        <v>65536.160000000003</v>
      </c>
      <c r="U476" s="25">
        <v>8294.1200000000008</v>
      </c>
      <c r="V476" s="25">
        <v>0</v>
      </c>
      <c r="W476" s="25">
        <v>245</v>
      </c>
      <c r="X476" s="25">
        <v>47000</v>
      </c>
      <c r="Y476" s="25">
        <v>8886.26</v>
      </c>
      <c r="Z476" s="17">
        <f t="shared" si="177"/>
        <v>4.7000000000000002E-3</v>
      </c>
      <c r="AA476" s="18">
        <v>0.15</v>
      </c>
      <c r="AB476" s="16">
        <f t="shared" si="174"/>
        <v>7050</v>
      </c>
      <c r="AC476" s="16">
        <v>0</v>
      </c>
      <c r="AD476" s="16">
        <v>0</v>
      </c>
      <c r="AE476" s="16">
        <v>0</v>
      </c>
      <c r="AF476" s="16">
        <f t="shared" si="178"/>
        <v>7050</v>
      </c>
      <c r="AG476" s="16">
        <f t="shared" si="187"/>
        <v>1128</v>
      </c>
      <c r="AH476" s="16">
        <f t="shared" si="179"/>
        <v>8178</v>
      </c>
      <c r="AI476" s="16">
        <f t="shared" si="188"/>
        <v>141</v>
      </c>
      <c r="AJ476" s="16">
        <v>0</v>
      </c>
      <c r="AK476" s="16">
        <f t="shared" si="180"/>
        <v>141</v>
      </c>
      <c r="AL476" s="19"/>
      <c r="AM476" s="16">
        <v>4606</v>
      </c>
      <c r="AN476" s="16" t="s">
        <v>195</v>
      </c>
      <c r="AO476" s="20">
        <v>0.3</v>
      </c>
      <c r="AP476" s="16">
        <f t="shared" si="182"/>
        <v>1381.8</v>
      </c>
      <c r="AQ476" s="16">
        <v>1381.8</v>
      </c>
      <c r="AR476" s="15">
        <v>45188</v>
      </c>
      <c r="AS476" s="16">
        <f t="shared" si="183"/>
        <v>0</v>
      </c>
      <c r="AT476" s="16"/>
      <c r="AU476" s="16">
        <v>8178</v>
      </c>
      <c r="AV476" s="16">
        <f t="shared" si="175"/>
        <v>8178</v>
      </c>
      <c r="AW476" s="16">
        <f t="shared" si="184"/>
        <v>0</v>
      </c>
      <c r="AX476" s="16" t="str">
        <f t="shared" si="185"/>
        <v>SFA</v>
      </c>
      <c r="AY476" s="22">
        <v>45100</v>
      </c>
      <c r="AZ476" s="22"/>
      <c r="BA476" s="1"/>
      <c r="BB476" s="1"/>
      <c r="BC476" s="1"/>
      <c r="BD476" s="1"/>
      <c r="BE476" s="1"/>
    </row>
    <row r="477" spans="1:57" ht="15.75" hidden="1" customHeight="1">
      <c r="A477" s="2" t="s">
        <v>230</v>
      </c>
      <c r="B477" s="1" t="s">
        <v>58</v>
      </c>
      <c r="C477" s="27">
        <v>45093</v>
      </c>
      <c r="D477" s="27">
        <v>45058</v>
      </c>
      <c r="E477" s="27">
        <v>45055</v>
      </c>
      <c r="F477" s="27">
        <v>45419</v>
      </c>
      <c r="G477" s="13" t="str">
        <f t="shared" si="176"/>
        <v>000-476/AIB RDC/2023</v>
      </c>
      <c r="H477" s="1">
        <v>0</v>
      </c>
      <c r="I477" s="1" t="s">
        <v>83</v>
      </c>
      <c r="J477" s="29" t="s">
        <v>714</v>
      </c>
      <c r="K477" s="1" t="s">
        <v>715</v>
      </c>
      <c r="L477" s="2"/>
      <c r="M477" s="2" t="s">
        <v>95</v>
      </c>
      <c r="N477" s="2" t="s">
        <v>146</v>
      </c>
      <c r="O477" s="2" t="s">
        <v>104</v>
      </c>
      <c r="P477" s="2" t="s">
        <v>105</v>
      </c>
      <c r="Q477" s="1" t="s">
        <v>66</v>
      </c>
      <c r="R477" s="1" t="s">
        <v>66</v>
      </c>
      <c r="S477" s="25">
        <v>8334.76</v>
      </c>
      <c r="T477" s="25">
        <v>45.33</v>
      </c>
      <c r="U477" s="25">
        <v>0</v>
      </c>
      <c r="V477" s="25">
        <v>0</v>
      </c>
      <c r="W477" s="25">
        <v>2.5299999999999998</v>
      </c>
      <c r="X477" s="25">
        <v>15</v>
      </c>
      <c r="Y477" s="25">
        <v>2.8</v>
      </c>
      <c r="Z477" s="17">
        <f t="shared" si="177"/>
        <v>1.7996918927479615E-3</v>
      </c>
      <c r="AA477" s="18">
        <v>0.15</v>
      </c>
      <c r="AB477" s="16">
        <f t="shared" si="174"/>
        <v>2.25</v>
      </c>
      <c r="AC477" s="16">
        <v>0</v>
      </c>
      <c r="AD477" s="16">
        <v>0</v>
      </c>
      <c r="AE477" s="16">
        <v>0</v>
      </c>
      <c r="AF477" s="16">
        <f t="shared" si="178"/>
        <v>2.25</v>
      </c>
      <c r="AG477" s="16">
        <f t="shared" si="187"/>
        <v>0.36</v>
      </c>
      <c r="AH477" s="16">
        <f t="shared" si="179"/>
        <v>2.61</v>
      </c>
      <c r="AI477" s="16">
        <f t="shared" si="188"/>
        <v>4.4999999999999998E-2</v>
      </c>
      <c r="AJ477" s="16">
        <v>0</v>
      </c>
      <c r="AK477" s="16">
        <f t="shared" si="180"/>
        <v>4.4999999999999998E-2</v>
      </c>
      <c r="AL477" s="19"/>
      <c r="AM477" s="16">
        <f t="shared" ref="AM477:AM540" si="189">AF477-AI477</f>
        <v>2.2050000000000001</v>
      </c>
      <c r="AN477" s="16" t="s">
        <v>147</v>
      </c>
      <c r="AO477" s="20">
        <v>0.4</v>
      </c>
      <c r="AP477" s="16">
        <f t="shared" si="182"/>
        <v>0.88200000000000012</v>
      </c>
      <c r="AQ477" s="16">
        <v>0.88200000000000012</v>
      </c>
      <c r="AR477" s="15">
        <v>45229</v>
      </c>
      <c r="AS477" s="16">
        <f t="shared" si="183"/>
        <v>0</v>
      </c>
      <c r="AT477" s="16"/>
      <c r="AU477" s="16">
        <v>2.61</v>
      </c>
      <c r="AV477" s="16">
        <f t="shared" si="175"/>
        <v>2.61</v>
      </c>
      <c r="AW477" s="16">
        <f t="shared" si="184"/>
        <v>0</v>
      </c>
      <c r="AX477" s="16" t="str">
        <f t="shared" si="185"/>
        <v>SFA</v>
      </c>
      <c r="AY477" s="22">
        <v>45100</v>
      </c>
      <c r="AZ477" s="22"/>
      <c r="BA477" s="1" t="s">
        <v>148</v>
      </c>
      <c r="BB477" s="22" t="str">
        <f>O477</f>
        <v>MARINE CARGO / GIT</v>
      </c>
      <c r="BC477" s="1"/>
      <c r="BD477" s="1"/>
      <c r="BE477" s="1"/>
    </row>
    <row r="478" spans="1:57" ht="15.75" hidden="1" customHeight="1">
      <c r="A478" s="2" t="s">
        <v>230</v>
      </c>
      <c r="B478" s="1" t="s">
        <v>58</v>
      </c>
      <c r="C478" s="27">
        <v>45093</v>
      </c>
      <c r="D478" s="27">
        <v>45056</v>
      </c>
      <c r="E478" s="27">
        <v>45050</v>
      </c>
      <c r="F478" s="27">
        <v>45414</v>
      </c>
      <c r="G478" s="13" t="str">
        <f t="shared" si="176"/>
        <v>000-477/AIB RDC/2023</v>
      </c>
      <c r="H478" s="1">
        <v>0</v>
      </c>
      <c r="I478" s="1" t="s">
        <v>83</v>
      </c>
      <c r="J478" s="29" t="s">
        <v>716</v>
      </c>
      <c r="K478" s="1" t="s">
        <v>717</v>
      </c>
      <c r="L478" s="2"/>
      <c r="M478" s="2" t="s">
        <v>95</v>
      </c>
      <c r="N478" s="2" t="s">
        <v>146</v>
      </c>
      <c r="O478" s="2" t="s">
        <v>104</v>
      </c>
      <c r="P478" s="2" t="s">
        <v>105</v>
      </c>
      <c r="Q478" s="1" t="s">
        <v>66</v>
      </c>
      <c r="R478" s="1" t="s">
        <v>66</v>
      </c>
      <c r="S478" s="25">
        <v>1245.8599999999999</v>
      </c>
      <c r="T478" s="25">
        <v>49.36</v>
      </c>
      <c r="U478" s="25">
        <v>0</v>
      </c>
      <c r="V478" s="25">
        <v>0</v>
      </c>
      <c r="W478" s="25">
        <v>6</v>
      </c>
      <c r="X478" s="25">
        <v>15</v>
      </c>
      <c r="Y478" s="25">
        <v>3.36</v>
      </c>
      <c r="Z478" s="17">
        <f t="shared" si="177"/>
        <v>1.2039876069542325E-2</v>
      </c>
      <c r="AA478" s="18">
        <v>0.15</v>
      </c>
      <c r="AB478" s="16">
        <f t="shared" si="174"/>
        <v>2.25</v>
      </c>
      <c r="AC478" s="16">
        <v>0</v>
      </c>
      <c r="AD478" s="16">
        <v>0</v>
      </c>
      <c r="AE478" s="16">
        <v>0</v>
      </c>
      <c r="AF478" s="16">
        <f t="shared" si="178"/>
        <v>2.25</v>
      </c>
      <c r="AG478" s="16">
        <f t="shared" si="187"/>
        <v>0.36</v>
      </c>
      <c r="AH478" s="16">
        <f t="shared" si="179"/>
        <v>2.61</v>
      </c>
      <c r="AI478" s="16">
        <f t="shared" si="188"/>
        <v>4.4999999999999998E-2</v>
      </c>
      <c r="AJ478" s="16">
        <v>0</v>
      </c>
      <c r="AK478" s="16">
        <f t="shared" si="180"/>
        <v>4.4999999999999998E-2</v>
      </c>
      <c r="AL478" s="19"/>
      <c r="AM478" s="16">
        <f t="shared" si="189"/>
        <v>2.2050000000000001</v>
      </c>
      <c r="AN478" s="16" t="s">
        <v>147</v>
      </c>
      <c r="AO478" s="20">
        <v>0.4</v>
      </c>
      <c r="AP478" s="16">
        <f t="shared" si="182"/>
        <v>0.88200000000000012</v>
      </c>
      <c r="AQ478" s="16">
        <v>0.88200000000000012</v>
      </c>
      <c r="AR478" s="15">
        <v>45229</v>
      </c>
      <c r="AS478" s="16">
        <f t="shared" si="183"/>
        <v>0</v>
      </c>
      <c r="AT478" s="16"/>
      <c r="AU478" s="16">
        <v>2.61</v>
      </c>
      <c r="AV478" s="16">
        <f t="shared" si="175"/>
        <v>2.61</v>
      </c>
      <c r="AW478" s="16">
        <f t="shared" si="184"/>
        <v>0</v>
      </c>
      <c r="AX478" s="16" t="str">
        <f t="shared" si="185"/>
        <v>SFA</v>
      </c>
      <c r="AY478" s="22">
        <v>45100</v>
      </c>
      <c r="AZ478" s="22"/>
      <c r="BA478" s="1" t="s">
        <v>148</v>
      </c>
      <c r="BB478" s="22" t="str">
        <f>O478</f>
        <v>MARINE CARGO / GIT</v>
      </c>
      <c r="BC478" s="1"/>
      <c r="BD478" s="1"/>
      <c r="BE478" s="1"/>
    </row>
    <row r="479" spans="1:57" ht="15.75" hidden="1" customHeight="1">
      <c r="A479" s="2" t="s">
        <v>406</v>
      </c>
      <c r="B479" s="1" t="s">
        <v>58</v>
      </c>
      <c r="C479" s="27">
        <v>45093</v>
      </c>
      <c r="D479" s="27">
        <v>45054</v>
      </c>
      <c r="E479" s="27">
        <v>45040</v>
      </c>
      <c r="F479" s="27">
        <v>45404</v>
      </c>
      <c r="G479" s="13" t="str">
        <f t="shared" si="176"/>
        <v>000-478/AIB RDC/2023</v>
      </c>
      <c r="H479" s="1">
        <v>0</v>
      </c>
      <c r="I479" s="1" t="s">
        <v>83</v>
      </c>
      <c r="J479" s="29" t="s">
        <v>718</v>
      </c>
      <c r="K479" s="1" t="s">
        <v>719</v>
      </c>
      <c r="L479" s="2"/>
      <c r="M479" s="2" t="s">
        <v>95</v>
      </c>
      <c r="N479" s="2" t="s">
        <v>146</v>
      </c>
      <c r="O479" s="1" t="s">
        <v>104</v>
      </c>
      <c r="P479" s="1" t="s">
        <v>105</v>
      </c>
      <c r="Q479" s="1" t="s">
        <v>66</v>
      </c>
      <c r="R479" s="1" t="s">
        <v>66</v>
      </c>
      <c r="S479" s="25">
        <v>18000</v>
      </c>
      <c r="T479" s="25">
        <v>60.59</v>
      </c>
      <c r="U479" s="25">
        <v>0</v>
      </c>
      <c r="V479" s="25">
        <v>0</v>
      </c>
      <c r="W479" s="25">
        <v>2.6</v>
      </c>
      <c r="X479" s="25">
        <v>28.08</v>
      </c>
      <c r="Y479" s="25">
        <v>4.91</v>
      </c>
      <c r="Z479" s="17">
        <f t="shared" si="177"/>
        <v>1.56E-3</v>
      </c>
      <c r="AA479" s="18">
        <v>0.15</v>
      </c>
      <c r="AB479" s="16">
        <f t="shared" si="174"/>
        <v>4.2119999999999997</v>
      </c>
      <c r="AC479" s="16">
        <v>0</v>
      </c>
      <c r="AD479" s="16">
        <v>0</v>
      </c>
      <c r="AE479" s="16">
        <v>0</v>
      </c>
      <c r="AF479" s="16">
        <f t="shared" si="178"/>
        <v>4.2119999999999997</v>
      </c>
      <c r="AG479" s="16">
        <f t="shared" si="187"/>
        <v>0.67391999999999996</v>
      </c>
      <c r="AH479" s="16">
        <f t="shared" si="179"/>
        <v>4.8859199999999996</v>
      </c>
      <c r="AI479" s="16">
        <f t="shared" si="188"/>
        <v>8.4239999999999995E-2</v>
      </c>
      <c r="AJ479" s="16">
        <v>0</v>
      </c>
      <c r="AK479" s="16">
        <f t="shared" si="180"/>
        <v>8.4239999999999995E-2</v>
      </c>
      <c r="AL479" s="19"/>
      <c r="AM479" s="16">
        <f t="shared" si="189"/>
        <v>4.1277599999999994</v>
      </c>
      <c r="AN479" s="16" t="s">
        <v>147</v>
      </c>
      <c r="AO479" s="20">
        <v>0.4</v>
      </c>
      <c r="AP479" s="16">
        <f t="shared" si="182"/>
        <v>1.6511039999999999</v>
      </c>
      <c r="AQ479" s="16">
        <v>1.6511039999999999</v>
      </c>
      <c r="AR479" s="15">
        <v>45229</v>
      </c>
      <c r="AS479" s="16">
        <f t="shared" si="183"/>
        <v>0</v>
      </c>
      <c r="AT479" s="16"/>
      <c r="AU479" s="16">
        <v>4.8859199999999996</v>
      </c>
      <c r="AV479" s="16">
        <f t="shared" si="175"/>
        <v>4.8859199999999996</v>
      </c>
      <c r="AW479" s="16">
        <f t="shared" si="184"/>
        <v>0</v>
      </c>
      <c r="AX479" s="16" t="str">
        <f t="shared" si="185"/>
        <v>SFA</v>
      </c>
      <c r="AY479" s="22">
        <v>45100</v>
      </c>
      <c r="AZ479" s="22"/>
      <c r="BA479" s="1" t="s">
        <v>148</v>
      </c>
      <c r="BB479" s="1" t="s">
        <v>104</v>
      </c>
      <c r="BC479" s="1"/>
      <c r="BD479" s="1"/>
      <c r="BE479" s="1"/>
    </row>
    <row r="480" spans="1:57" ht="15.75" hidden="1" customHeight="1">
      <c r="A480" s="2" t="s">
        <v>406</v>
      </c>
      <c r="B480" s="1" t="s">
        <v>58</v>
      </c>
      <c r="C480" s="27">
        <v>45093</v>
      </c>
      <c r="D480" s="27">
        <v>45054</v>
      </c>
      <c r="E480" s="27">
        <v>45040</v>
      </c>
      <c r="F480" s="27">
        <v>45404</v>
      </c>
      <c r="G480" s="13" t="str">
        <f t="shared" si="176"/>
        <v>000-479/AIB RDC/2023</v>
      </c>
      <c r="H480" s="1">
        <v>0</v>
      </c>
      <c r="I480" s="1" t="s">
        <v>83</v>
      </c>
      <c r="J480" s="29" t="s">
        <v>720</v>
      </c>
      <c r="K480" s="1" t="s">
        <v>719</v>
      </c>
      <c r="L480" s="2"/>
      <c r="M480" s="2" t="s">
        <v>95</v>
      </c>
      <c r="N480" s="2" t="s">
        <v>146</v>
      </c>
      <c r="O480" s="1" t="s">
        <v>104</v>
      </c>
      <c r="P480" s="1" t="s">
        <v>105</v>
      </c>
      <c r="Q480" s="1" t="s">
        <v>66</v>
      </c>
      <c r="R480" s="1" t="s">
        <v>66</v>
      </c>
      <c r="S480" s="25">
        <v>22500</v>
      </c>
      <c r="T480" s="25">
        <v>68.89</v>
      </c>
      <c r="U480" s="25">
        <v>0</v>
      </c>
      <c r="V480" s="25">
        <v>0</v>
      </c>
      <c r="W480" s="25">
        <v>2.74</v>
      </c>
      <c r="X480" s="25">
        <v>35.1</v>
      </c>
      <c r="Y480" s="25">
        <v>6.05</v>
      </c>
      <c r="Z480" s="17">
        <f t="shared" si="177"/>
        <v>1.56E-3</v>
      </c>
      <c r="AA480" s="18">
        <v>0.15</v>
      </c>
      <c r="AB480" s="16">
        <f t="shared" si="174"/>
        <v>5.2649999999999997</v>
      </c>
      <c r="AC480" s="16">
        <v>0</v>
      </c>
      <c r="AD480" s="16">
        <v>0</v>
      </c>
      <c r="AE480" s="16">
        <v>0</v>
      </c>
      <c r="AF480" s="16">
        <f t="shared" si="178"/>
        <v>5.2649999999999997</v>
      </c>
      <c r="AG480" s="16">
        <f t="shared" si="187"/>
        <v>0.84239999999999993</v>
      </c>
      <c r="AH480" s="16">
        <f t="shared" si="179"/>
        <v>6.1073999999999993</v>
      </c>
      <c r="AI480" s="16">
        <f t="shared" si="188"/>
        <v>0.10529999999999999</v>
      </c>
      <c r="AJ480" s="16">
        <v>0</v>
      </c>
      <c r="AK480" s="16">
        <f t="shared" si="180"/>
        <v>0.10529999999999999</v>
      </c>
      <c r="AL480" s="19"/>
      <c r="AM480" s="16">
        <f t="shared" si="189"/>
        <v>5.1597</v>
      </c>
      <c r="AN480" s="16" t="s">
        <v>147</v>
      </c>
      <c r="AO480" s="20">
        <v>0.4</v>
      </c>
      <c r="AP480" s="16">
        <f t="shared" si="182"/>
        <v>2.0638800000000002</v>
      </c>
      <c r="AQ480" s="16">
        <v>2.0638800000000002</v>
      </c>
      <c r="AR480" s="15">
        <v>45229</v>
      </c>
      <c r="AS480" s="16">
        <f t="shared" si="183"/>
        <v>0</v>
      </c>
      <c r="AT480" s="16"/>
      <c r="AU480" s="16">
        <v>6.1073999999999993</v>
      </c>
      <c r="AV480" s="16">
        <f t="shared" si="175"/>
        <v>6.1073999999999993</v>
      </c>
      <c r="AW480" s="16">
        <f t="shared" si="184"/>
        <v>0</v>
      </c>
      <c r="AX480" s="16" t="str">
        <f t="shared" si="185"/>
        <v>SFA</v>
      </c>
      <c r="AY480" s="22">
        <v>45100</v>
      </c>
      <c r="AZ480" s="22"/>
      <c r="BA480" s="1" t="s">
        <v>148</v>
      </c>
      <c r="BB480" s="1" t="s">
        <v>104</v>
      </c>
      <c r="BC480" s="1"/>
      <c r="BD480" s="1"/>
      <c r="BE480" s="1"/>
    </row>
    <row r="481" spans="1:57" ht="15.75" hidden="1" customHeight="1">
      <c r="A481" s="2" t="s">
        <v>230</v>
      </c>
      <c r="B481" s="1" t="s">
        <v>58</v>
      </c>
      <c r="C481" s="27">
        <v>45093</v>
      </c>
      <c r="D481" s="27">
        <v>45057</v>
      </c>
      <c r="E481" s="27">
        <v>45057</v>
      </c>
      <c r="F481" s="27">
        <v>45421</v>
      </c>
      <c r="G481" s="13" t="str">
        <f t="shared" si="176"/>
        <v>000-480/AIB RDC/2023</v>
      </c>
      <c r="H481" s="1">
        <v>0</v>
      </c>
      <c r="I481" s="1" t="s">
        <v>83</v>
      </c>
      <c r="J481" s="29" t="s">
        <v>721</v>
      </c>
      <c r="K481" s="2" t="s">
        <v>163</v>
      </c>
      <c r="L481" s="2"/>
      <c r="M481" s="1" t="s">
        <v>95</v>
      </c>
      <c r="N481" s="1" t="s">
        <v>146</v>
      </c>
      <c r="O481" s="1" t="s">
        <v>104</v>
      </c>
      <c r="P481" s="1" t="s">
        <v>105</v>
      </c>
      <c r="Q481" s="1" t="s">
        <v>66</v>
      </c>
      <c r="R481" s="1" t="s">
        <v>66</v>
      </c>
      <c r="S481" s="25">
        <v>1374485.06</v>
      </c>
      <c r="T481" s="25">
        <v>2595.4699999999998</v>
      </c>
      <c r="U481" s="25">
        <v>0</v>
      </c>
      <c r="V481" s="25">
        <v>0</v>
      </c>
      <c r="W481" s="25">
        <v>34.159999999999997</v>
      </c>
      <c r="X481" s="25">
        <v>2144.1999999999998</v>
      </c>
      <c r="Y481" s="25">
        <v>348.54</v>
      </c>
      <c r="Z481" s="17">
        <f t="shared" si="177"/>
        <v>1.5600024055554302E-3</v>
      </c>
      <c r="AA481" s="18">
        <v>0.15</v>
      </c>
      <c r="AB481" s="16">
        <f t="shared" si="174"/>
        <v>321.62999999999994</v>
      </c>
      <c r="AC481" s="16">
        <v>0</v>
      </c>
      <c r="AD481" s="16">
        <v>0</v>
      </c>
      <c r="AE481" s="16">
        <v>0</v>
      </c>
      <c r="AF481" s="16">
        <f t="shared" si="178"/>
        <v>321.62999999999994</v>
      </c>
      <c r="AG481" s="16">
        <f t="shared" si="187"/>
        <v>51.460799999999992</v>
      </c>
      <c r="AH481" s="16">
        <f t="shared" si="179"/>
        <v>373.09079999999994</v>
      </c>
      <c r="AI481" s="16">
        <f t="shared" si="188"/>
        <v>6.432599999999999</v>
      </c>
      <c r="AJ481" s="16">
        <v>0</v>
      </c>
      <c r="AK481" s="16">
        <f t="shared" si="180"/>
        <v>6.432599999999999</v>
      </c>
      <c r="AL481" s="19"/>
      <c r="AM481" s="16">
        <f t="shared" si="189"/>
        <v>315.19739999999996</v>
      </c>
      <c r="AN481" s="16" t="s">
        <v>147</v>
      </c>
      <c r="AO481" s="20">
        <v>0.4</v>
      </c>
      <c r="AP481" s="16">
        <f t="shared" si="182"/>
        <v>126.07896</v>
      </c>
      <c r="AQ481" s="16">
        <v>126.07896</v>
      </c>
      <c r="AR481" s="15">
        <v>45229</v>
      </c>
      <c r="AS481" s="16">
        <f t="shared" si="183"/>
        <v>0</v>
      </c>
      <c r="AT481" s="16"/>
      <c r="AU481" s="16">
        <v>373.09079999999994</v>
      </c>
      <c r="AV481" s="16">
        <f t="shared" si="175"/>
        <v>373.09079999999994</v>
      </c>
      <c r="AW481" s="16">
        <f t="shared" si="184"/>
        <v>0</v>
      </c>
      <c r="AX481" s="16" t="str">
        <f t="shared" si="185"/>
        <v>SFA</v>
      </c>
      <c r="AY481" s="22">
        <v>45100</v>
      </c>
      <c r="AZ481" s="22"/>
      <c r="BA481" s="1" t="s">
        <v>148</v>
      </c>
      <c r="BB481" s="22" t="str">
        <f>O481</f>
        <v>MARINE CARGO / GIT</v>
      </c>
      <c r="BC481" s="1"/>
      <c r="BD481" s="1"/>
      <c r="BE481" s="1"/>
    </row>
    <row r="482" spans="1:57" ht="15.75" hidden="1" customHeight="1">
      <c r="A482" s="2" t="s">
        <v>230</v>
      </c>
      <c r="B482" s="1" t="s">
        <v>58</v>
      </c>
      <c r="C482" s="27">
        <v>45093</v>
      </c>
      <c r="D482" s="27">
        <v>45065</v>
      </c>
      <c r="E482" s="27">
        <v>45047</v>
      </c>
      <c r="F482" s="27">
        <v>45226</v>
      </c>
      <c r="G482" s="13" t="str">
        <f t="shared" si="176"/>
        <v>000-481/AIB RDC/2023</v>
      </c>
      <c r="H482" s="1">
        <v>0</v>
      </c>
      <c r="I482" s="1" t="s">
        <v>83</v>
      </c>
      <c r="J482" s="35" t="s">
        <v>722</v>
      </c>
      <c r="K482" s="2" t="s">
        <v>723</v>
      </c>
      <c r="L482" s="2" t="s">
        <v>142</v>
      </c>
      <c r="M482" s="1" t="s">
        <v>74</v>
      </c>
      <c r="N482" s="1" t="s">
        <v>724</v>
      </c>
      <c r="O482" s="1" t="s">
        <v>65</v>
      </c>
      <c r="P482" s="1" t="s">
        <v>65</v>
      </c>
      <c r="Q482" s="1" t="s">
        <v>66</v>
      </c>
      <c r="R482" s="1" t="s">
        <v>66</v>
      </c>
      <c r="S482" s="25">
        <v>0</v>
      </c>
      <c r="T482" s="25">
        <v>142.07</v>
      </c>
      <c r="U482" s="25">
        <v>0</v>
      </c>
      <c r="V482" s="25">
        <v>0</v>
      </c>
      <c r="W482" s="25">
        <v>1.75</v>
      </c>
      <c r="X482" s="25">
        <v>116.36</v>
      </c>
      <c r="Y482" s="25">
        <v>16.600000000000001</v>
      </c>
      <c r="Z482" s="17" t="e">
        <f t="shared" si="177"/>
        <v>#DIV/0!</v>
      </c>
      <c r="AA482" s="18">
        <v>0.1</v>
      </c>
      <c r="AB482" s="16">
        <f t="shared" si="174"/>
        <v>11.636000000000001</v>
      </c>
      <c r="AC482" s="16">
        <v>0</v>
      </c>
      <c r="AD482" s="16">
        <v>0</v>
      </c>
      <c r="AE482" s="16">
        <v>0</v>
      </c>
      <c r="AF482" s="16">
        <f t="shared" si="178"/>
        <v>11.636000000000001</v>
      </c>
      <c r="AG482" s="16">
        <f t="shared" si="187"/>
        <v>1.8617600000000003</v>
      </c>
      <c r="AH482" s="16">
        <f t="shared" si="179"/>
        <v>13.497760000000001</v>
      </c>
      <c r="AI482" s="16">
        <f t="shared" si="188"/>
        <v>0.23272000000000004</v>
      </c>
      <c r="AJ482" s="16">
        <v>0</v>
      </c>
      <c r="AK482" s="16">
        <f t="shared" si="180"/>
        <v>0.23272000000000004</v>
      </c>
      <c r="AL482" s="19"/>
      <c r="AM482" s="16">
        <f t="shared" si="189"/>
        <v>11.403280000000001</v>
      </c>
      <c r="AN482" s="16" t="s">
        <v>228</v>
      </c>
      <c r="AO482" s="20"/>
      <c r="AP482" s="16">
        <f t="shared" si="182"/>
        <v>0</v>
      </c>
      <c r="AQ482" s="16"/>
      <c r="AR482" s="15"/>
      <c r="AS482" s="16">
        <f t="shared" si="183"/>
        <v>0</v>
      </c>
      <c r="AT482" s="16"/>
      <c r="AU482" s="16">
        <v>13.497760000000001</v>
      </c>
      <c r="AV482" s="16">
        <f t="shared" si="175"/>
        <v>13.497760000000001</v>
      </c>
      <c r="AW482" s="16">
        <f t="shared" si="184"/>
        <v>0</v>
      </c>
      <c r="AX482" s="16" t="str">
        <f t="shared" si="185"/>
        <v>SFA</v>
      </c>
      <c r="AY482" s="22">
        <v>45100</v>
      </c>
      <c r="AZ482" s="22"/>
      <c r="BA482" s="1"/>
      <c r="BB482" s="22"/>
      <c r="BC482" s="1"/>
      <c r="BD482" s="1"/>
      <c r="BE482" s="1"/>
    </row>
    <row r="483" spans="1:57" ht="15.75" hidden="1" customHeight="1">
      <c r="A483" s="2" t="s">
        <v>406</v>
      </c>
      <c r="B483" s="1" t="s">
        <v>58</v>
      </c>
      <c r="C483" s="27">
        <v>45093</v>
      </c>
      <c r="D483" s="27">
        <v>45070</v>
      </c>
      <c r="E483" s="27">
        <v>45036</v>
      </c>
      <c r="F483" s="27">
        <v>45094</v>
      </c>
      <c r="G483" s="13" t="str">
        <f t="shared" si="176"/>
        <v>000-482/AIB RDC/2023</v>
      </c>
      <c r="H483" s="1">
        <v>2</v>
      </c>
      <c r="I483" s="1" t="s">
        <v>59</v>
      </c>
      <c r="J483" s="29" t="s">
        <v>637</v>
      </c>
      <c r="K483" s="2" t="s">
        <v>638</v>
      </c>
      <c r="L483" s="2"/>
      <c r="M483" s="1" t="s">
        <v>95</v>
      </c>
      <c r="N483" s="1" t="s">
        <v>434</v>
      </c>
      <c r="O483" s="1" t="s">
        <v>250</v>
      </c>
      <c r="P483" s="1" t="s">
        <v>251</v>
      </c>
      <c r="Q483" s="1" t="s">
        <v>66</v>
      </c>
      <c r="R483" s="1" t="s">
        <v>66</v>
      </c>
      <c r="S483" s="25">
        <v>0</v>
      </c>
      <c r="T483" s="25">
        <v>8111.43</v>
      </c>
      <c r="U483" s="25">
        <v>1022.04</v>
      </c>
      <c r="V483" s="25">
        <v>0</v>
      </c>
      <c r="W483" s="25">
        <v>39.42</v>
      </c>
      <c r="X483" s="25">
        <v>5794.04</v>
      </c>
      <c r="Y483" s="25">
        <v>1118.82</v>
      </c>
      <c r="Z483" s="17" t="e">
        <f t="shared" si="177"/>
        <v>#DIV/0!</v>
      </c>
      <c r="AA483" s="18">
        <v>0</v>
      </c>
      <c r="AB483" s="16">
        <f t="shared" si="174"/>
        <v>0</v>
      </c>
      <c r="AC483" s="16">
        <f>30%*U483</f>
        <v>306.61199999999997</v>
      </c>
      <c r="AD483" s="16">
        <v>499.48</v>
      </c>
      <c r="AE483" s="16">
        <v>0</v>
      </c>
      <c r="AF483" s="16">
        <f t="shared" si="178"/>
        <v>806.09199999999998</v>
      </c>
      <c r="AG483" s="16">
        <f t="shared" si="187"/>
        <v>128.97471999999999</v>
      </c>
      <c r="AH483" s="16">
        <f t="shared" si="179"/>
        <v>935.06672000000003</v>
      </c>
      <c r="AI483" s="16">
        <f t="shared" si="188"/>
        <v>16.121839999999999</v>
      </c>
      <c r="AJ483" s="16">
        <v>0</v>
      </c>
      <c r="AK483" s="16">
        <f t="shared" si="180"/>
        <v>16.121839999999999</v>
      </c>
      <c r="AL483" s="19"/>
      <c r="AM483" s="16">
        <f t="shared" si="189"/>
        <v>789.97015999999996</v>
      </c>
      <c r="AN483" s="16"/>
      <c r="AO483" s="20"/>
      <c r="AP483" s="16">
        <f t="shared" si="182"/>
        <v>0</v>
      </c>
      <c r="AQ483" s="16"/>
      <c r="AR483" s="15"/>
      <c r="AS483" s="16">
        <f t="shared" si="183"/>
        <v>0</v>
      </c>
      <c r="AT483" s="16"/>
      <c r="AU483" s="16">
        <f>355.82+579.24672</f>
        <v>935.06672000000003</v>
      </c>
      <c r="AV483" s="16">
        <f t="shared" si="175"/>
        <v>935.06672000000003</v>
      </c>
      <c r="AW483" s="16">
        <f t="shared" si="184"/>
        <v>0</v>
      </c>
      <c r="AX483" s="16" t="str">
        <f t="shared" si="185"/>
        <v>SFA</v>
      </c>
      <c r="AY483" s="22">
        <v>45100</v>
      </c>
      <c r="AZ483" s="22"/>
      <c r="BA483" s="1"/>
      <c r="BB483" s="22"/>
      <c r="BC483" s="1"/>
      <c r="BD483" s="1"/>
      <c r="BE483" s="1"/>
    </row>
    <row r="484" spans="1:57" ht="15.75" hidden="1" customHeight="1">
      <c r="A484" s="2" t="s">
        <v>406</v>
      </c>
      <c r="B484" s="1" t="s">
        <v>58</v>
      </c>
      <c r="C484" s="27">
        <v>45093</v>
      </c>
      <c r="D484" s="27">
        <v>45072</v>
      </c>
      <c r="E484" s="27">
        <v>45036</v>
      </c>
      <c r="F484" s="27">
        <v>45094</v>
      </c>
      <c r="G484" s="13" t="str">
        <f t="shared" si="176"/>
        <v>000-483/AIB RDC/2023</v>
      </c>
      <c r="H484" s="1">
        <v>3</v>
      </c>
      <c r="I484" s="1" t="s">
        <v>59</v>
      </c>
      <c r="J484" s="29" t="s">
        <v>637</v>
      </c>
      <c r="K484" s="2" t="s">
        <v>638</v>
      </c>
      <c r="L484" s="2"/>
      <c r="M484" s="1" t="s">
        <v>95</v>
      </c>
      <c r="N484" s="1" t="s">
        <v>434</v>
      </c>
      <c r="O484" s="1" t="s">
        <v>250</v>
      </c>
      <c r="P484" s="1" t="s">
        <v>251</v>
      </c>
      <c r="Q484" s="1" t="s">
        <v>66</v>
      </c>
      <c r="R484" s="1" t="s">
        <v>66</v>
      </c>
      <c r="S484" s="25">
        <v>0</v>
      </c>
      <c r="T484" s="25">
        <v>8399.33</v>
      </c>
      <c r="U484" s="25">
        <v>1058.82</v>
      </c>
      <c r="V484" s="25">
        <v>0</v>
      </c>
      <c r="W484" s="25">
        <v>40</v>
      </c>
      <c r="X484" s="25">
        <v>6000</v>
      </c>
      <c r="Y484" s="25">
        <v>1158.53</v>
      </c>
      <c r="Z484" s="17" t="e">
        <f t="shared" si="177"/>
        <v>#DIV/0!</v>
      </c>
      <c r="AA484" s="18">
        <v>0</v>
      </c>
      <c r="AB484" s="16">
        <f t="shared" si="174"/>
        <v>0</v>
      </c>
      <c r="AC484" s="16">
        <f>30%*U484</f>
        <v>317.64599999999996</v>
      </c>
      <c r="AD484" s="16">
        <v>-254.81</v>
      </c>
      <c r="AE484" s="16">
        <v>0</v>
      </c>
      <c r="AF484" s="16">
        <f t="shared" si="178"/>
        <v>62.835999999999956</v>
      </c>
      <c r="AG484" s="16">
        <f t="shared" si="187"/>
        <v>10.053759999999993</v>
      </c>
      <c r="AH484" s="16">
        <f t="shared" si="179"/>
        <v>72.889759999999953</v>
      </c>
      <c r="AI484" s="16">
        <f t="shared" si="188"/>
        <v>1.2567199999999992</v>
      </c>
      <c r="AJ484" s="16">
        <v>0</v>
      </c>
      <c r="AK484" s="16">
        <f t="shared" si="180"/>
        <v>1.2567199999999992</v>
      </c>
      <c r="AL484" s="19"/>
      <c r="AM484" s="16">
        <f t="shared" si="189"/>
        <v>61.579279999999954</v>
      </c>
      <c r="AN484" s="16"/>
      <c r="AO484" s="20"/>
      <c r="AP484" s="16">
        <f t="shared" si="182"/>
        <v>0</v>
      </c>
      <c r="AQ484" s="16"/>
      <c r="AR484" s="15"/>
      <c r="AS484" s="16">
        <f t="shared" si="183"/>
        <v>0</v>
      </c>
      <c r="AT484" s="16"/>
      <c r="AU484" s="16">
        <f>368.47-295.58024</f>
        <v>72.889760000000024</v>
      </c>
      <c r="AV484" s="16">
        <v>72.889760000000024</v>
      </c>
      <c r="AW484" s="16">
        <f t="shared" si="184"/>
        <v>0</v>
      </c>
      <c r="AX484" s="16" t="str">
        <f t="shared" si="185"/>
        <v>SFA</v>
      </c>
      <c r="AY484" s="22">
        <v>45100</v>
      </c>
      <c r="AZ484" s="22"/>
      <c r="BA484" s="1"/>
      <c r="BB484" s="22"/>
      <c r="BC484" s="1"/>
      <c r="BD484" s="1"/>
      <c r="BE484" s="1"/>
    </row>
    <row r="485" spans="1:57" ht="15.75" hidden="1" customHeight="1">
      <c r="A485" s="2" t="s">
        <v>406</v>
      </c>
      <c r="B485" s="1" t="s">
        <v>58</v>
      </c>
      <c r="C485" s="27">
        <v>45093</v>
      </c>
      <c r="D485" s="27">
        <v>45072</v>
      </c>
      <c r="E485" s="27">
        <v>45037</v>
      </c>
      <c r="F485" s="27">
        <v>45113</v>
      </c>
      <c r="G485" s="13" t="str">
        <f t="shared" si="176"/>
        <v>000-484/AIB RDC/2023</v>
      </c>
      <c r="H485" s="1">
        <v>4</v>
      </c>
      <c r="I485" s="1" t="s">
        <v>59</v>
      </c>
      <c r="J485" s="2" t="s">
        <v>725</v>
      </c>
      <c r="K485" s="24" t="s">
        <v>726</v>
      </c>
      <c r="L485" s="24" t="s">
        <v>116</v>
      </c>
      <c r="M485" s="2" t="s">
        <v>95</v>
      </c>
      <c r="N485" s="2" t="s">
        <v>434</v>
      </c>
      <c r="O485" s="2" t="s">
        <v>250</v>
      </c>
      <c r="P485" s="2" t="s">
        <v>251</v>
      </c>
      <c r="Q485" s="2" t="s">
        <v>135</v>
      </c>
      <c r="R485" s="2" t="s">
        <v>135</v>
      </c>
      <c r="S485" s="25">
        <v>0</v>
      </c>
      <c r="T485" s="25">
        <v>36142.980000000003</v>
      </c>
      <c r="U485" s="25">
        <v>0</v>
      </c>
      <c r="V485" s="25">
        <v>0</v>
      </c>
      <c r="W485" s="25">
        <v>25</v>
      </c>
      <c r="X485" s="25">
        <v>30604.65</v>
      </c>
      <c r="Y485" s="25">
        <v>4900.74</v>
      </c>
      <c r="Z485" s="17" t="e">
        <f t="shared" si="177"/>
        <v>#DIV/0!</v>
      </c>
      <c r="AA485" s="18">
        <v>0</v>
      </c>
      <c r="AB485" s="16">
        <f t="shared" si="174"/>
        <v>0</v>
      </c>
      <c r="AC485" s="16">
        <v>0</v>
      </c>
      <c r="AD485" s="16">
        <v>0</v>
      </c>
      <c r="AE485" s="16">
        <v>0</v>
      </c>
      <c r="AF485" s="16">
        <f t="shared" si="178"/>
        <v>0</v>
      </c>
      <c r="AG485" s="16">
        <f t="shared" si="187"/>
        <v>0</v>
      </c>
      <c r="AH485" s="16">
        <f t="shared" si="179"/>
        <v>0</v>
      </c>
      <c r="AI485" s="16">
        <f t="shared" si="188"/>
        <v>0</v>
      </c>
      <c r="AJ485" s="16">
        <v>0</v>
      </c>
      <c r="AK485" s="16">
        <f t="shared" si="180"/>
        <v>0</v>
      </c>
      <c r="AL485" s="19"/>
      <c r="AM485" s="16">
        <f t="shared" si="189"/>
        <v>0</v>
      </c>
      <c r="AN485" s="16"/>
      <c r="AO485" s="20"/>
      <c r="AP485" s="16">
        <f t="shared" si="182"/>
        <v>0</v>
      </c>
      <c r="AQ485" s="16"/>
      <c r="AR485" s="15"/>
      <c r="AS485" s="16">
        <f t="shared" si="183"/>
        <v>0</v>
      </c>
      <c r="AT485" s="16"/>
      <c r="AU485" s="16"/>
      <c r="AV485" s="16">
        <f t="shared" ref="AV485:AV516" si="190">AH485</f>
        <v>0</v>
      </c>
      <c r="AW485" s="16">
        <f t="shared" si="184"/>
        <v>0</v>
      </c>
      <c r="AX485" s="16" t="str">
        <f t="shared" si="185"/>
        <v>RAWSUR</v>
      </c>
      <c r="AY485" s="22"/>
      <c r="AZ485" s="22"/>
      <c r="BA485" s="1"/>
      <c r="BB485" s="22"/>
      <c r="BC485" s="1"/>
      <c r="BD485" s="1"/>
      <c r="BE485" s="1"/>
    </row>
    <row r="486" spans="1:57" ht="15.75" hidden="1" customHeight="1">
      <c r="A486" s="2" t="s">
        <v>230</v>
      </c>
      <c r="B486" s="1" t="s">
        <v>58</v>
      </c>
      <c r="C486" s="27">
        <v>45093</v>
      </c>
      <c r="D486" s="27">
        <v>45069</v>
      </c>
      <c r="E486" s="27">
        <v>45055</v>
      </c>
      <c r="F486" s="27">
        <v>45419</v>
      </c>
      <c r="G486" s="13" t="str">
        <f t="shared" si="176"/>
        <v>000-485/AIB RDC/2023</v>
      </c>
      <c r="H486" s="1">
        <v>0</v>
      </c>
      <c r="I486" s="1" t="s">
        <v>83</v>
      </c>
      <c r="J486" s="2" t="s">
        <v>727</v>
      </c>
      <c r="K486" s="1" t="s">
        <v>197</v>
      </c>
      <c r="L486" s="24"/>
      <c r="M486" s="1" t="s">
        <v>95</v>
      </c>
      <c r="N486" s="1" t="s">
        <v>146</v>
      </c>
      <c r="O486" s="1" t="s">
        <v>104</v>
      </c>
      <c r="P486" s="1" t="s">
        <v>105</v>
      </c>
      <c r="Q486" s="2" t="s">
        <v>66</v>
      </c>
      <c r="R486" s="2" t="s">
        <v>66</v>
      </c>
      <c r="S486" s="25">
        <v>42673.4</v>
      </c>
      <c r="T486" s="25">
        <v>133.88999999999999</v>
      </c>
      <c r="U486" s="25">
        <v>0</v>
      </c>
      <c r="V486" s="25">
        <v>0</v>
      </c>
      <c r="W486" s="25">
        <v>7.84</v>
      </c>
      <c r="X486" s="25">
        <v>86.03</v>
      </c>
      <c r="Y486" s="25">
        <v>15.02</v>
      </c>
      <c r="Z486" s="17">
        <f t="shared" si="177"/>
        <v>2.0160099734260685E-3</v>
      </c>
      <c r="AA486" s="18">
        <v>0.15</v>
      </c>
      <c r="AB486" s="16">
        <f t="shared" si="174"/>
        <v>12.904500000000001</v>
      </c>
      <c r="AC486" s="16">
        <v>0</v>
      </c>
      <c r="AD486" s="16">
        <v>0</v>
      </c>
      <c r="AE486" s="16">
        <v>0</v>
      </c>
      <c r="AF486" s="16">
        <f t="shared" si="178"/>
        <v>12.904500000000001</v>
      </c>
      <c r="AG486" s="16">
        <f t="shared" si="187"/>
        <v>2.0647200000000003</v>
      </c>
      <c r="AH486" s="16">
        <f t="shared" si="179"/>
        <v>14.96922</v>
      </c>
      <c r="AI486" s="16">
        <f t="shared" si="188"/>
        <v>0.25809000000000004</v>
      </c>
      <c r="AJ486" s="16">
        <v>0</v>
      </c>
      <c r="AK486" s="16">
        <f t="shared" si="180"/>
        <v>0.25809000000000004</v>
      </c>
      <c r="AL486" s="19"/>
      <c r="AM486" s="16">
        <f t="shared" si="189"/>
        <v>12.646410000000001</v>
      </c>
      <c r="AN486" s="16" t="s">
        <v>147</v>
      </c>
      <c r="AO486" s="20">
        <v>0.4</v>
      </c>
      <c r="AP486" s="16">
        <f t="shared" si="182"/>
        <v>5.0585640000000005</v>
      </c>
      <c r="AQ486" s="16">
        <v>5.0585640000000005</v>
      </c>
      <c r="AR486" s="15">
        <v>45229</v>
      </c>
      <c r="AS486" s="16">
        <f t="shared" si="183"/>
        <v>0</v>
      </c>
      <c r="AT486" s="16"/>
      <c r="AU486" s="16">
        <v>14.96922</v>
      </c>
      <c r="AV486" s="16">
        <f t="shared" si="190"/>
        <v>14.96922</v>
      </c>
      <c r="AW486" s="16">
        <f t="shared" si="184"/>
        <v>0</v>
      </c>
      <c r="AX486" s="16" t="str">
        <f t="shared" si="185"/>
        <v>SFA</v>
      </c>
      <c r="AY486" s="22">
        <v>45100</v>
      </c>
      <c r="AZ486" s="22"/>
      <c r="BA486" s="1" t="s">
        <v>148</v>
      </c>
      <c r="BB486" s="22" t="str">
        <f>O486</f>
        <v>MARINE CARGO / GIT</v>
      </c>
      <c r="BC486" s="1"/>
      <c r="BD486" s="1"/>
      <c r="BE486" s="1"/>
    </row>
    <row r="487" spans="1:57" ht="15.75" hidden="1" customHeight="1">
      <c r="A487" s="2" t="s">
        <v>230</v>
      </c>
      <c r="B487" s="1" t="s">
        <v>58</v>
      </c>
      <c r="C487" s="27">
        <v>45093</v>
      </c>
      <c r="D487" s="27">
        <v>45069</v>
      </c>
      <c r="E487" s="27">
        <v>45055</v>
      </c>
      <c r="F487" s="27">
        <v>45419</v>
      </c>
      <c r="G487" s="13" t="str">
        <f t="shared" si="176"/>
        <v>000-486/AIB RDC/2023</v>
      </c>
      <c r="H487" s="1">
        <v>0</v>
      </c>
      <c r="I487" s="1" t="s">
        <v>83</v>
      </c>
      <c r="J487" s="2" t="s">
        <v>728</v>
      </c>
      <c r="K487" s="1" t="s">
        <v>197</v>
      </c>
      <c r="L487" s="24"/>
      <c r="M487" s="1" t="s">
        <v>95</v>
      </c>
      <c r="N487" s="1" t="s">
        <v>146</v>
      </c>
      <c r="O487" s="1" t="s">
        <v>104</v>
      </c>
      <c r="P487" s="1" t="s">
        <v>105</v>
      </c>
      <c r="Q487" s="2" t="s">
        <v>66</v>
      </c>
      <c r="R487" s="2" t="s">
        <v>66</v>
      </c>
      <c r="S487" s="25">
        <v>19650.400000000001</v>
      </c>
      <c r="T487" s="25">
        <v>78.959999999999994</v>
      </c>
      <c r="U487" s="25">
        <v>0</v>
      </c>
      <c r="V487" s="25">
        <v>0</v>
      </c>
      <c r="W487" s="25">
        <v>6.91</v>
      </c>
      <c r="X487" s="25">
        <v>39.61</v>
      </c>
      <c r="Y487" s="25">
        <v>7.44</v>
      </c>
      <c r="Z487" s="17">
        <f t="shared" si="177"/>
        <v>2.0157350486504091E-3</v>
      </c>
      <c r="AA487" s="18">
        <v>0.15</v>
      </c>
      <c r="AB487" s="16">
        <f t="shared" si="174"/>
        <v>5.9414999999999996</v>
      </c>
      <c r="AC487" s="16">
        <v>0</v>
      </c>
      <c r="AD487" s="16">
        <v>0</v>
      </c>
      <c r="AE487" s="16">
        <v>0</v>
      </c>
      <c r="AF487" s="16">
        <f t="shared" si="178"/>
        <v>5.9414999999999996</v>
      </c>
      <c r="AG487" s="16">
        <f t="shared" si="187"/>
        <v>0.95063999999999993</v>
      </c>
      <c r="AH487" s="16">
        <f t="shared" si="179"/>
        <v>6.8921399999999995</v>
      </c>
      <c r="AI487" s="16">
        <f t="shared" si="188"/>
        <v>0.11882999999999999</v>
      </c>
      <c r="AJ487" s="16">
        <v>0</v>
      </c>
      <c r="AK487" s="16">
        <f t="shared" si="180"/>
        <v>0.11882999999999999</v>
      </c>
      <c r="AL487" s="19"/>
      <c r="AM487" s="16">
        <f t="shared" si="189"/>
        <v>5.8226699999999996</v>
      </c>
      <c r="AN487" s="16" t="s">
        <v>147</v>
      </c>
      <c r="AO487" s="20">
        <v>0.4</v>
      </c>
      <c r="AP487" s="16">
        <f t="shared" si="182"/>
        <v>2.3290679999999999</v>
      </c>
      <c r="AQ487" s="16">
        <v>2.3290679999999999</v>
      </c>
      <c r="AR487" s="15">
        <v>45229</v>
      </c>
      <c r="AS487" s="16">
        <f t="shared" si="183"/>
        <v>0</v>
      </c>
      <c r="AT487" s="16"/>
      <c r="AU487" s="16">
        <v>6.8921399999999995</v>
      </c>
      <c r="AV487" s="16">
        <f t="shared" si="190"/>
        <v>6.8921399999999995</v>
      </c>
      <c r="AW487" s="16">
        <f t="shared" si="184"/>
        <v>0</v>
      </c>
      <c r="AX487" s="16" t="str">
        <f t="shared" si="185"/>
        <v>SFA</v>
      </c>
      <c r="AY487" s="22">
        <v>45100</v>
      </c>
      <c r="AZ487" s="22"/>
      <c r="BA487" s="1" t="s">
        <v>148</v>
      </c>
      <c r="BB487" s="22" t="str">
        <f>O487</f>
        <v>MARINE CARGO / GIT</v>
      </c>
      <c r="BC487" s="1"/>
      <c r="BD487" s="1"/>
      <c r="BE487" s="1"/>
    </row>
    <row r="488" spans="1:57" ht="15.75" hidden="1" customHeight="1">
      <c r="A488" s="2" t="s">
        <v>230</v>
      </c>
      <c r="B488" s="1" t="s">
        <v>58</v>
      </c>
      <c r="C488" s="27">
        <v>45093</v>
      </c>
      <c r="D488" s="27">
        <v>45069</v>
      </c>
      <c r="E488" s="27">
        <v>45055</v>
      </c>
      <c r="F488" s="27">
        <v>45419</v>
      </c>
      <c r="G488" s="13" t="str">
        <f t="shared" si="176"/>
        <v>000-487/AIB RDC/2023</v>
      </c>
      <c r="H488" s="1">
        <v>0</v>
      </c>
      <c r="I488" s="1" t="s">
        <v>83</v>
      </c>
      <c r="J488" s="2" t="s">
        <v>729</v>
      </c>
      <c r="K488" s="1" t="s">
        <v>197</v>
      </c>
      <c r="L488" s="24"/>
      <c r="M488" s="1" t="s">
        <v>95</v>
      </c>
      <c r="N488" s="1" t="s">
        <v>146</v>
      </c>
      <c r="O488" s="1" t="s">
        <v>104</v>
      </c>
      <c r="P488" s="1" t="s">
        <v>105</v>
      </c>
      <c r="Q488" s="2" t="s">
        <v>66</v>
      </c>
      <c r="R488" s="2" t="s">
        <v>66</v>
      </c>
      <c r="S488" s="25">
        <v>30707.599999999999</v>
      </c>
      <c r="T488" s="25">
        <v>105.35</v>
      </c>
      <c r="U488" s="25">
        <v>0</v>
      </c>
      <c r="V488" s="25">
        <v>0</v>
      </c>
      <c r="W488" s="25">
        <v>7.36</v>
      </c>
      <c r="X488" s="25">
        <v>61.91</v>
      </c>
      <c r="Y488" s="25">
        <v>11.08</v>
      </c>
      <c r="Z488" s="17">
        <f t="shared" si="177"/>
        <v>2.0161132748896041E-3</v>
      </c>
      <c r="AA488" s="18">
        <v>0.15</v>
      </c>
      <c r="AB488" s="16">
        <f t="shared" si="174"/>
        <v>9.2864999999999984</v>
      </c>
      <c r="AC488" s="16">
        <v>0</v>
      </c>
      <c r="AD488" s="16">
        <v>0</v>
      </c>
      <c r="AE488" s="16">
        <v>0</v>
      </c>
      <c r="AF488" s="16">
        <f t="shared" si="178"/>
        <v>9.2864999999999984</v>
      </c>
      <c r="AG488" s="16">
        <f t="shared" si="187"/>
        <v>1.4858399999999998</v>
      </c>
      <c r="AH488" s="16">
        <f t="shared" si="179"/>
        <v>10.772339999999998</v>
      </c>
      <c r="AI488" s="16">
        <f t="shared" si="188"/>
        <v>0.18572999999999998</v>
      </c>
      <c r="AJ488" s="16">
        <v>0</v>
      </c>
      <c r="AK488" s="16">
        <f t="shared" si="180"/>
        <v>0.18572999999999998</v>
      </c>
      <c r="AL488" s="19"/>
      <c r="AM488" s="16">
        <f t="shared" si="189"/>
        <v>9.1007699999999989</v>
      </c>
      <c r="AN488" s="16" t="s">
        <v>147</v>
      </c>
      <c r="AO488" s="20">
        <v>0.4</v>
      </c>
      <c r="AP488" s="16">
        <f t="shared" si="182"/>
        <v>3.6403079999999997</v>
      </c>
      <c r="AQ488" s="16">
        <v>3.6403079999999997</v>
      </c>
      <c r="AR488" s="15">
        <v>45229</v>
      </c>
      <c r="AS488" s="16">
        <f t="shared" si="183"/>
        <v>0</v>
      </c>
      <c r="AT488" s="16"/>
      <c r="AU488" s="16">
        <v>10.772339999999998</v>
      </c>
      <c r="AV488" s="16">
        <f t="shared" si="190"/>
        <v>10.772339999999998</v>
      </c>
      <c r="AW488" s="16">
        <f t="shared" si="184"/>
        <v>0</v>
      </c>
      <c r="AX488" s="16" t="str">
        <f t="shared" si="185"/>
        <v>SFA</v>
      </c>
      <c r="AY488" s="22">
        <v>45100</v>
      </c>
      <c r="AZ488" s="22"/>
      <c r="BA488" s="1" t="s">
        <v>148</v>
      </c>
      <c r="BB488" s="22" t="str">
        <f>O488</f>
        <v>MARINE CARGO / GIT</v>
      </c>
      <c r="BC488" s="1"/>
      <c r="BD488" s="1"/>
      <c r="BE488" s="1"/>
    </row>
    <row r="489" spans="1:57" ht="15.75" hidden="1" customHeight="1">
      <c r="A489" s="2" t="s">
        <v>230</v>
      </c>
      <c r="B489" s="1" t="s">
        <v>58</v>
      </c>
      <c r="C489" s="27">
        <v>45093</v>
      </c>
      <c r="D489" s="27">
        <v>45069</v>
      </c>
      <c r="E489" s="27">
        <v>45051</v>
      </c>
      <c r="F489" s="27">
        <v>45415</v>
      </c>
      <c r="G489" s="13" t="str">
        <f t="shared" si="176"/>
        <v>000-488/AIB RDC/2023</v>
      </c>
      <c r="H489" s="1">
        <v>0</v>
      </c>
      <c r="I489" s="1" t="s">
        <v>83</v>
      </c>
      <c r="J489" s="2" t="s">
        <v>730</v>
      </c>
      <c r="K489" s="1" t="s">
        <v>197</v>
      </c>
      <c r="L489" s="24"/>
      <c r="M489" s="1" t="s">
        <v>95</v>
      </c>
      <c r="N489" s="1" t="s">
        <v>146</v>
      </c>
      <c r="O489" s="1" t="s">
        <v>104</v>
      </c>
      <c r="P489" s="1" t="s">
        <v>105</v>
      </c>
      <c r="Q489" s="2" t="s">
        <v>66</v>
      </c>
      <c r="R489" s="2" t="s">
        <v>66</v>
      </c>
      <c r="S489" s="25">
        <v>187798</v>
      </c>
      <c r="T489" s="25">
        <v>379.37</v>
      </c>
      <c r="U489" s="25">
        <v>0</v>
      </c>
      <c r="V489" s="25">
        <v>0</v>
      </c>
      <c r="W489" s="25">
        <v>12.43</v>
      </c>
      <c r="X489" s="25">
        <v>315.5</v>
      </c>
      <c r="Y489" s="25">
        <v>51.44</v>
      </c>
      <c r="Z489" s="17">
        <f t="shared" si="177"/>
        <v>1.6799965920829827E-3</v>
      </c>
      <c r="AA489" s="18">
        <v>0.15</v>
      </c>
      <c r="AB489" s="16">
        <f t="shared" si="174"/>
        <v>47.324999999999996</v>
      </c>
      <c r="AC489" s="16">
        <v>0</v>
      </c>
      <c r="AD489" s="16">
        <v>0</v>
      </c>
      <c r="AE489" s="16">
        <v>0</v>
      </c>
      <c r="AF489" s="16">
        <f t="shared" si="178"/>
        <v>47.324999999999996</v>
      </c>
      <c r="AG489" s="16">
        <f t="shared" si="187"/>
        <v>7.5719999999999992</v>
      </c>
      <c r="AH489" s="16">
        <f t="shared" si="179"/>
        <v>54.896999999999991</v>
      </c>
      <c r="AI489" s="16">
        <f t="shared" si="188"/>
        <v>0.9464999999999999</v>
      </c>
      <c r="AJ489" s="16">
        <v>0</v>
      </c>
      <c r="AK489" s="16">
        <f t="shared" si="180"/>
        <v>0.9464999999999999</v>
      </c>
      <c r="AL489" s="19"/>
      <c r="AM489" s="16">
        <f t="shared" si="189"/>
        <v>46.378499999999995</v>
      </c>
      <c r="AN489" s="16" t="s">
        <v>147</v>
      </c>
      <c r="AO489" s="20">
        <v>0.4</v>
      </c>
      <c r="AP489" s="16">
        <f t="shared" si="182"/>
        <v>18.551399999999997</v>
      </c>
      <c r="AQ489" s="16">
        <v>18.551399999999997</v>
      </c>
      <c r="AR489" s="15">
        <v>45229</v>
      </c>
      <c r="AS489" s="16">
        <f t="shared" si="183"/>
        <v>0</v>
      </c>
      <c r="AT489" s="16"/>
      <c r="AU489" s="16">
        <v>54.896999999999991</v>
      </c>
      <c r="AV489" s="16">
        <f t="shared" si="190"/>
        <v>54.896999999999991</v>
      </c>
      <c r="AW489" s="16">
        <f t="shared" si="184"/>
        <v>0</v>
      </c>
      <c r="AX489" s="16" t="str">
        <f t="shared" si="185"/>
        <v>SFA</v>
      </c>
      <c r="AY489" s="22">
        <v>45100</v>
      </c>
      <c r="AZ489" s="22"/>
      <c r="BA489" s="1" t="s">
        <v>148</v>
      </c>
      <c r="BB489" s="22" t="str">
        <f>O489</f>
        <v>MARINE CARGO / GIT</v>
      </c>
      <c r="BC489" s="1"/>
      <c r="BD489" s="1"/>
      <c r="BE489" s="1"/>
    </row>
    <row r="490" spans="1:57" ht="15.75" hidden="1" customHeight="1">
      <c r="A490" s="2" t="s">
        <v>406</v>
      </c>
      <c r="B490" s="1" t="s">
        <v>58</v>
      </c>
      <c r="C490" s="27">
        <v>45093</v>
      </c>
      <c r="D490" s="27">
        <v>45056</v>
      </c>
      <c r="E490" s="27">
        <v>45040</v>
      </c>
      <c r="F490" s="27">
        <v>45404</v>
      </c>
      <c r="G490" s="13" t="str">
        <f t="shared" si="176"/>
        <v>000-489/AIB RDC/2023</v>
      </c>
      <c r="H490" s="1">
        <v>0</v>
      </c>
      <c r="I490" s="1" t="s">
        <v>83</v>
      </c>
      <c r="J490" s="2" t="s">
        <v>731</v>
      </c>
      <c r="K490" s="1" t="s">
        <v>197</v>
      </c>
      <c r="L490" s="24"/>
      <c r="M490" s="1" t="s">
        <v>95</v>
      </c>
      <c r="N490" s="1" t="s">
        <v>146</v>
      </c>
      <c r="O490" s="1" t="s">
        <v>104</v>
      </c>
      <c r="P490" s="1" t="s">
        <v>105</v>
      </c>
      <c r="Q490" s="1" t="s">
        <v>66</v>
      </c>
      <c r="R490" s="1" t="s">
        <v>66</v>
      </c>
      <c r="S490" s="25">
        <v>26704.400000000001</v>
      </c>
      <c r="T490" s="25">
        <v>91.83</v>
      </c>
      <c r="U490" s="25">
        <v>0</v>
      </c>
      <c r="V490" s="25">
        <v>0</v>
      </c>
      <c r="W490" s="25">
        <v>3.78</v>
      </c>
      <c r="X490" s="25">
        <v>53.83</v>
      </c>
      <c r="Y490" s="25">
        <v>9.2200000000000006</v>
      </c>
      <c r="Z490" s="17">
        <f t="shared" si="177"/>
        <v>2.0157726816554572E-3</v>
      </c>
      <c r="AA490" s="18">
        <v>0.15</v>
      </c>
      <c r="AB490" s="16">
        <f t="shared" si="174"/>
        <v>8.0744999999999987</v>
      </c>
      <c r="AC490" s="16">
        <v>0</v>
      </c>
      <c r="AD490" s="16">
        <v>0</v>
      </c>
      <c r="AE490" s="16">
        <v>0</v>
      </c>
      <c r="AF490" s="16">
        <f t="shared" si="178"/>
        <v>8.0744999999999987</v>
      </c>
      <c r="AG490" s="16">
        <f t="shared" si="187"/>
        <v>1.2919199999999997</v>
      </c>
      <c r="AH490" s="16">
        <f t="shared" si="179"/>
        <v>9.366419999999998</v>
      </c>
      <c r="AI490" s="16">
        <f t="shared" si="188"/>
        <v>0.16148999999999997</v>
      </c>
      <c r="AJ490" s="16">
        <v>0</v>
      </c>
      <c r="AK490" s="16">
        <f t="shared" si="180"/>
        <v>0.16148999999999997</v>
      </c>
      <c r="AL490" s="19"/>
      <c r="AM490" s="16">
        <f t="shared" si="189"/>
        <v>7.913009999999999</v>
      </c>
      <c r="AN490" s="16" t="s">
        <v>147</v>
      </c>
      <c r="AO490" s="20">
        <v>0.4</v>
      </c>
      <c r="AP490" s="16">
        <f t="shared" si="182"/>
        <v>3.1652039999999997</v>
      </c>
      <c r="AQ490" s="16">
        <v>3.1652039999999997</v>
      </c>
      <c r="AR490" s="15">
        <v>45229</v>
      </c>
      <c r="AS490" s="16">
        <f t="shared" si="183"/>
        <v>0</v>
      </c>
      <c r="AT490" s="16"/>
      <c r="AU490" s="16">
        <v>9.366419999999998</v>
      </c>
      <c r="AV490" s="16">
        <f t="shared" si="190"/>
        <v>9.366419999999998</v>
      </c>
      <c r="AW490" s="16">
        <f t="shared" si="184"/>
        <v>0</v>
      </c>
      <c r="AX490" s="16" t="str">
        <f t="shared" si="185"/>
        <v>SFA</v>
      </c>
      <c r="AY490" s="22">
        <v>45100</v>
      </c>
      <c r="AZ490" s="22"/>
      <c r="BA490" s="1" t="s">
        <v>148</v>
      </c>
      <c r="BB490" s="1" t="s">
        <v>104</v>
      </c>
      <c r="BC490" s="1"/>
      <c r="BD490" s="1"/>
      <c r="BE490" s="1"/>
    </row>
    <row r="491" spans="1:57" ht="15.75" hidden="1" customHeight="1">
      <c r="A491" s="2" t="s">
        <v>406</v>
      </c>
      <c r="B491" s="1" t="s">
        <v>58</v>
      </c>
      <c r="C491" s="27">
        <v>45093</v>
      </c>
      <c r="D491" s="27">
        <v>45056</v>
      </c>
      <c r="E491" s="27">
        <v>45040</v>
      </c>
      <c r="F491" s="27">
        <v>45404</v>
      </c>
      <c r="G491" s="13" t="str">
        <f t="shared" si="176"/>
        <v>000-490/AIB RDC/2023</v>
      </c>
      <c r="H491" s="1">
        <v>0</v>
      </c>
      <c r="I491" s="1" t="s">
        <v>83</v>
      </c>
      <c r="J491" s="2" t="s">
        <v>732</v>
      </c>
      <c r="K491" s="1" t="s">
        <v>197</v>
      </c>
      <c r="L491" s="24"/>
      <c r="M491" s="1" t="s">
        <v>95</v>
      </c>
      <c r="N491" s="1" t="s">
        <v>146</v>
      </c>
      <c r="O491" s="1" t="s">
        <v>104</v>
      </c>
      <c r="P491" s="1" t="s">
        <v>105</v>
      </c>
      <c r="Q491" s="1" t="s">
        <v>66</v>
      </c>
      <c r="R491" s="1" t="s">
        <v>66</v>
      </c>
      <c r="S491" s="25">
        <v>34016.800000000003</v>
      </c>
      <c r="T491" s="25">
        <v>109.5</v>
      </c>
      <c r="U491" s="25">
        <v>0</v>
      </c>
      <c r="V491" s="25">
        <v>0</v>
      </c>
      <c r="W491" s="25">
        <v>4.26</v>
      </c>
      <c r="X491" s="25">
        <v>68.58</v>
      </c>
      <c r="Y491" s="25">
        <v>11.66</v>
      </c>
      <c r="Z491" s="17">
        <f t="shared" si="177"/>
        <v>2.0160626513957805E-3</v>
      </c>
      <c r="AA491" s="18">
        <v>0.15</v>
      </c>
      <c r="AB491" s="16">
        <f t="shared" si="174"/>
        <v>10.286999999999999</v>
      </c>
      <c r="AC491" s="16">
        <v>0</v>
      </c>
      <c r="AD491" s="16">
        <v>0</v>
      </c>
      <c r="AE491" s="16">
        <v>0</v>
      </c>
      <c r="AF491" s="16">
        <f t="shared" si="178"/>
        <v>10.286999999999999</v>
      </c>
      <c r="AG491" s="16">
        <f t="shared" si="187"/>
        <v>1.6459199999999998</v>
      </c>
      <c r="AH491" s="16">
        <f t="shared" si="179"/>
        <v>11.932919999999999</v>
      </c>
      <c r="AI491" s="16">
        <f t="shared" si="188"/>
        <v>0.20573999999999998</v>
      </c>
      <c r="AJ491" s="16">
        <v>0</v>
      </c>
      <c r="AK491" s="16">
        <f t="shared" si="180"/>
        <v>0.20573999999999998</v>
      </c>
      <c r="AL491" s="19"/>
      <c r="AM491" s="16">
        <f t="shared" si="189"/>
        <v>10.081259999999999</v>
      </c>
      <c r="AN491" s="16" t="s">
        <v>147</v>
      </c>
      <c r="AO491" s="20">
        <v>0.4</v>
      </c>
      <c r="AP491" s="16">
        <f t="shared" si="182"/>
        <v>4.0325039999999994</v>
      </c>
      <c r="AQ491" s="16">
        <v>4.0325039999999994</v>
      </c>
      <c r="AR491" s="15">
        <v>45229</v>
      </c>
      <c r="AS491" s="16">
        <f t="shared" si="183"/>
        <v>0</v>
      </c>
      <c r="AT491" s="16"/>
      <c r="AU491" s="16">
        <v>11.932919999999999</v>
      </c>
      <c r="AV491" s="16">
        <f t="shared" si="190"/>
        <v>11.932919999999999</v>
      </c>
      <c r="AW491" s="16">
        <f t="shared" si="184"/>
        <v>0</v>
      </c>
      <c r="AX491" s="16" t="str">
        <f t="shared" si="185"/>
        <v>SFA</v>
      </c>
      <c r="AY491" s="22">
        <v>45100</v>
      </c>
      <c r="AZ491" s="22"/>
      <c r="BA491" s="1" t="s">
        <v>148</v>
      </c>
      <c r="BB491" s="1" t="s">
        <v>104</v>
      </c>
      <c r="BC491" s="1"/>
      <c r="BD491" s="1"/>
      <c r="BE491" s="1"/>
    </row>
    <row r="492" spans="1:57" ht="15.75" hidden="1" customHeight="1">
      <c r="A492" s="2" t="s">
        <v>406</v>
      </c>
      <c r="B492" s="1" t="s">
        <v>58</v>
      </c>
      <c r="C492" s="27">
        <v>45093</v>
      </c>
      <c r="D492" s="27">
        <v>45056</v>
      </c>
      <c r="E492" s="27">
        <v>45040</v>
      </c>
      <c r="F492" s="27">
        <v>45404</v>
      </c>
      <c r="G492" s="13" t="str">
        <f t="shared" si="176"/>
        <v>000-491/AIB RDC/2023</v>
      </c>
      <c r="H492" s="1">
        <v>0</v>
      </c>
      <c r="I492" s="1" t="s">
        <v>83</v>
      </c>
      <c r="J492" s="2" t="s">
        <v>733</v>
      </c>
      <c r="K492" s="1" t="s">
        <v>197</v>
      </c>
      <c r="L492" s="24"/>
      <c r="M492" s="1" t="s">
        <v>95</v>
      </c>
      <c r="N492" s="1" t="s">
        <v>146</v>
      </c>
      <c r="O492" s="1" t="s">
        <v>104</v>
      </c>
      <c r="P492" s="1" t="s">
        <v>105</v>
      </c>
      <c r="Q492" s="1" t="s">
        <v>66</v>
      </c>
      <c r="R492" s="1" t="s">
        <v>66</v>
      </c>
      <c r="S492" s="25">
        <v>38642.6</v>
      </c>
      <c r="T492" s="25">
        <v>120.66</v>
      </c>
      <c r="U492" s="25">
        <v>0</v>
      </c>
      <c r="V492" s="25">
        <v>0</v>
      </c>
      <c r="W492" s="25">
        <v>4.57</v>
      </c>
      <c r="X492" s="25">
        <v>77.900000000000006</v>
      </c>
      <c r="Y492" s="25">
        <v>13.19</v>
      </c>
      <c r="Z492" s="17">
        <f t="shared" si="177"/>
        <v>2.0159099025427898E-3</v>
      </c>
      <c r="AA492" s="18">
        <v>0.15</v>
      </c>
      <c r="AB492" s="16">
        <f t="shared" si="174"/>
        <v>11.685</v>
      </c>
      <c r="AC492" s="16">
        <v>0</v>
      </c>
      <c r="AD492" s="16">
        <v>0</v>
      </c>
      <c r="AE492" s="16">
        <v>0</v>
      </c>
      <c r="AF492" s="16">
        <f t="shared" si="178"/>
        <v>11.685</v>
      </c>
      <c r="AG492" s="16">
        <f t="shared" si="187"/>
        <v>1.8696000000000002</v>
      </c>
      <c r="AH492" s="16">
        <f t="shared" si="179"/>
        <v>13.554600000000001</v>
      </c>
      <c r="AI492" s="16">
        <f t="shared" si="188"/>
        <v>0.23370000000000002</v>
      </c>
      <c r="AJ492" s="16">
        <v>0</v>
      </c>
      <c r="AK492" s="16">
        <f t="shared" si="180"/>
        <v>0.23370000000000002</v>
      </c>
      <c r="AL492" s="19"/>
      <c r="AM492" s="16">
        <f t="shared" si="189"/>
        <v>11.4513</v>
      </c>
      <c r="AN492" s="16" t="s">
        <v>147</v>
      </c>
      <c r="AO492" s="20">
        <v>0.4</v>
      </c>
      <c r="AP492" s="16">
        <f t="shared" si="182"/>
        <v>4.5805199999999999</v>
      </c>
      <c r="AQ492" s="16">
        <v>4.5805199999999999</v>
      </c>
      <c r="AR492" s="15">
        <v>45229</v>
      </c>
      <c r="AS492" s="16">
        <f t="shared" si="183"/>
        <v>0</v>
      </c>
      <c r="AT492" s="16"/>
      <c r="AU492" s="16">
        <v>13.554600000000001</v>
      </c>
      <c r="AV492" s="16">
        <f t="shared" si="190"/>
        <v>13.554600000000001</v>
      </c>
      <c r="AW492" s="16">
        <f t="shared" si="184"/>
        <v>0</v>
      </c>
      <c r="AX492" s="16" t="str">
        <f t="shared" si="185"/>
        <v>SFA</v>
      </c>
      <c r="AY492" s="22">
        <v>45100</v>
      </c>
      <c r="AZ492" s="22"/>
      <c r="BA492" s="1" t="s">
        <v>148</v>
      </c>
      <c r="BB492" s="1" t="s">
        <v>104</v>
      </c>
      <c r="BC492" s="1"/>
      <c r="BD492" s="1"/>
      <c r="BE492" s="1"/>
    </row>
    <row r="493" spans="1:57" ht="15.75" hidden="1" customHeight="1">
      <c r="A493" s="2" t="s">
        <v>406</v>
      </c>
      <c r="B493" s="1" t="s">
        <v>58</v>
      </c>
      <c r="C493" s="27">
        <v>45093</v>
      </c>
      <c r="D493" s="27">
        <v>45056</v>
      </c>
      <c r="E493" s="27">
        <v>45040</v>
      </c>
      <c r="F493" s="27">
        <v>45404</v>
      </c>
      <c r="G493" s="13" t="str">
        <f t="shared" si="176"/>
        <v>000-492/AIB RDC/2023</v>
      </c>
      <c r="H493" s="1">
        <v>0</v>
      </c>
      <c r="I493" s="1" t="s">
        <v>83</v>
      </c>
      <c r="J493" s="2" t="s">
        <v>734</v>
      </c>
      <c r="K493" s="1" t="s">
        <v>197</v>
      </c>
      <c r="L493" s="24"/>
      <c r="M493" s="1" t="s">
        <v>95</v>
      </c>
      <c r="N493" s="1" t="s">
        <v>146</v>
      </c>
      <c r="O493" s="1" t="s">
        <v>104</v>
      </c>
      <c r="P493" s="1" t="s">
        <v>105</v>
      </c>
      <c r="Q493" s="1" t="s">
        <v>66</v>
      </c>
      <c r="R493" s="1" t="s">
        <v>66</v>
      </c>
      <c r="S493" s="25">
        <v>27229.599999999999</v>
      </c>
      <c r="T493" s="25">
        <v>93.11</v>
      </c>
      <c r="U493" s="25">
        <v>0</v>
      </c>
      <c r="V493" s="25">
        <v>0</v>
      </c>
      <c r="W493" s="25">
        <v>3.82</v>
      </c>
      <c r="X493" s="25">
        <v>54.9</v>
      </c>
      <c r="Y493" s="25">
        <v>9.39</v>
      </c>
      <c r="Z493" s="17">
        <f t="shared" si="177"/>
        <v>2.0161882657108443E-3</v>
      </c>
      <c r="AA493" s="18">
        <v>0.15</v>
      </c>
      <c r="AB493" s="16">
        <f t="shared" si="174"/>
        <v>8.2349999999999994</v>
      </c>
      <c r="AC493" s="16">
        <v>0</v>
      </c>
      <c r="AD493" s="16">
        <v>0</v>
      </c>
      <c r="AE493" s="16">
        <v>0</v>
      </c>
      <c r="AF493" s="16">
        <f t="shared" si="178"/>
        <v>8.2349999999999994</v>
      </c>
      <c r="AG493" s="16">
        <f t="shared" si="187"/>
        <v>1.3175999999999999</v>
      </c>
      <c r="AH493" s="16">
        <f t="shared" si="179"/>
        <v>9.5526</v>
      </c>
      <c r="AI493" s="16">
        <f t="shared" si="188"/>
        <v>0.16469999999999999</v>
      </c>
      <c r="AJ493" s="16">
        <v>0</v>
      </c>
      <c r="AK493" s="16">
        <f t="shared" si="180"/>
        <v>0.16469999999999999</v>
      </c>
      <c r="AL493" s="19"/>
      <c r="AM493" s="16">
        <f t="shared" si="189"/>
        <v>8.0702999999999996</v>
      </c>
      <c r="AN493" s="16" t="s">
        <v>147</v>
      </c>
      <c r="AO493" s="20">
        <v>0.4</v>
      </c>
      <c r="AP493" s="16">
        <f t="shared" si="182"/>
        <v>3.2281200000000001</v>
      </c>
      <c r="AQ493" s="16">
        <v>3.2281200000000001</v>
      </c>
      <c r="AR493" s="15">
        <v>45229</v>
      </c>
      <c r="AS493" s="16">
        <f t="shared" si="183"/>
        <v>0</v>
      </c>
      <c r="AT493" s="16"/>
      <c r="AU493" s="16">
        <v>9.5526</v>
      </c>
      <c r="AV493" s="16">
        <f t="shared" si="190"/>
        <v>9.5526</v>
      </c>
      <c r="AW493" s="16">
        <f t="shared" si="184"/>
        <v>0</v>
      </c>
      <c r="AX493" s="16" t="str">
        <f t="shared" si="185"/>
        <v>SFA</v>
      </c>
      <c r="AY493" s="22">
        <v>45100</v>
      </c>
      <c r="AZ493" s="22"/>
      <c r="BA493" s="1" t="s">
        <v>148</v>
      </c>
      <c r="BB493" s="1" t="s">
        <v>104</v>
      </c>
      <c r="BC493" s="1"/>
      <c r="BD493" s="1"/>
      <c r="BE493" s="1"/>
    </row>
    <row r="494" spans="1:57" ht="15.75" hidden="1" customHeight="1">
      <c r="A494" s="2" t="s">
        <v>406</v>
      </c>
      <c r="B494" s="1" t="s">
        <v>58</v>
      </c>
      <c r="C494" s="27">
        <v>45093</v>
      </c>
      <c r="D494" s="27">
        <v>45056</v>
      </c>
      <c r="E494" s="27">
        <v>45040</v>
      </c>
      <c r="F494" s="27">
        <v>45404</v>
      </c>
      <c r="G494" s="13" t="str">
        <f t="shared" si="176"/>
        <v>000-493/AIB RDC/2023</v>
      </c>
      <c r="H494" s="1">
        <v>0</v>
      </c>
      <c r="I494" s="1" t="s">
        <v>83</v>
      </c>
      <c r="J494" s="2" t="s">
        <v>735</v>
      </c>
      <c r="K494" s="1" t="s">
        <v>197</v>
      </c>
      <c r="L494" s="24"/>
      <c r="M494" s="1" t="s">
        <v>95</v>
      </c>
      <c r="N494" s="1" t="s">
        <v>146</v>
      </c>
      <c r="O494" s="1" t="s">
        <v>104</v>
      </c>
      <c r="P494" s="1" t="s">
        <v>105</v>
      </c>
      <c r="Q494" s="1" t="s">
        <v>66</v>
      </c>
      <c r="R494" s="1" t="s">
        <v>66</v>
      </c>
      <c r="S494" s="25">
        <v>21077.200000000001</v>
      </c>
      <c r="T494" s="25">
        <v>78.25</v>
      </c>
      <c r="U494" s="25">
        <v>0</v>
      </c>
      <c r="V494" s="25">
        <v>0</v>
      </c>
      <c r="W494" s="25">
        <v>3.42</v>
      </c>
      <c r="X494" s="25">
        <v>42.49</v>
      </c>
      <c r="Y494" s="25">
        <v>7.34</v>
      </c>
      <c r="Z494" s="17">
        <f t="shared" si="177"/>
        <v>2.0159224185375669E-3</v>
      </c>
      <c r="AA494" s="18">
        <v>0.15</v>
      </c>
      <c r="AB494" s="16">
        <f t="shared" si="174"/>
        <v>6.3734999999999999</v>
      </c>
      <c r="AC494" s="16">
        <v>0</v>
      </c>
      <c r="AD494" s="16">
        <v>0</v>
      </c>
      <c r="AE494" s="16">
        <v>0</v>
      </c>
      <c r="AF494" s="16">
        <f t="shared" si="178"/>
        <v>6.3734999999999999</v>
      </c>
      <c r="AG494" s="16">
        <f t="shared" si="187"/>
        <v>1.01976</v>
      </c>
      <c r="AH494" s="16">
        <f t="shared" si="179"/>
        <v>7.3932599999999997</v>
      </c>
      <c r="AI494" s="16">
        <f t="shared" si="188"/>
        <v>0.12747</v>
      </c>
      <c r="AJ494" s="16">
        <v>0</v>
      </c>
      <c r="AK494" s="16">
        <f t="shared" si="180"/>
        <v>0.12747</v>
      </c>
      <c r="AL494" s="19"/>
      <c r="AM494" s="16">
        <f t="shared" si="189"/>
        <v>6.2460300000000002</v>
      </c>
      <c r="AN494" s="16" t="s">
        <v>147</v>
      </c>
      <c r="AO494" s="20">
        <v>0.4</v>
      </c>
      <c r="AP494" s="16">
        <f t="shared" si="182"/>
        <v>2.4984120000000001</v>
      </c>
      <c r="AQ494" s="16">
        <v>2.4984120000000001</v>
      </c>
      <c r="AR494" s="15">
        <v>45229</v>
      </c>
      <c r="AS494" s="16">
        <f t="shared" si="183"/>
        <v>0</v>
      </c>
      <c r="AT494" s="16"/>
      <c r="AU494" s="16">
        <v>7.3932599999999997</v>
      </c>
      <c r="AV494" s="16">
        <f t="shared" si="190"/>
        <v>7.3932599999999997</v>
      </c>
      <c r="AW494" s="16">
        <f t="shared" si="184"/>
        <v>0</v>
      </c>
      <c r="AX494" s="16" t="str">
        <f t="shared" si="185"/>
        <v>SFA</v>
      </c>
      <c r="AY494" s="22">
        <v>45100</v>
      </c>
      <c r="AZ494" s="22"/>
      <c r="BA494" s="1" t="s">
        <v>148</v>
      </c>
      <c r="BB494" s="1" t="s">
        <v>104</v>
      </c>
      <c r="BC494" s="1"/>
      <c r="BD494" s="1"/>
      <c r="BE494" s="1"/>
    </row>
    <row r="495" spans="1:57" ht="15.75" hidden="1" customHeight="1">
      <c r="A495" s="2" t="s">
        <v>406</v>
      </c>
      <c r="B495" s="1" t="s">
        <v>58</v>
      </c>
      <c r="C495" s="27">
        <v>45093</v>
      </c>
      <c r="D495" s="27">
        <v>45056</v>
      </c>
      <c r="E495" s="27">
        <v>45040</v>
      </c>
      <c r="F495" s="27">
        <v>45404</v>
      </c>
      <c r="G495" s="13" t="str">
        <f t="shared" si="176"/>
        <v>000-494/AIB RDC/2023</v>
      </c>
      <c r="H495" s="1">
        <v>0</v>
      </c>
      <c r="I495" s="1" t="s">
        <v>83</v>
      </c>
      <c r="J495" s="2" t="s">
        <v>736</v>
      </c>
      <c r="K495" s="1" t="s">
        <v>197</v>
      </c>
      <c r="L495" s="24"/>
      <c r="M495" s="1" t="s">
        <v>95</v>
      </c>
      <c r="N495" s="1" t="s">
        <v>146</v>
      </c>
      <c r="O495" s="1" t="s">
        <v>104</v>
      </c>
      <c r="P495" s="1" t="s">
        <v>105</v>
      </c>
      <c r="Q495" s="1" t="s">
        <v>66</v>
      </c>
      <c r="R495" s="1" t="s">
        <v>66</v>
      </c>
      <c r="S495" s="25">
        <v>26528.2</v>
      </c>
      <c r="T495" s="25">
        <v>91.41</v>
      </c>
      <c r="U495" s="25">
        <v>0</v>
      </c>
      <c r="V495" s="25">
        <v>0</v>
      </c>
      <c r="W495" s="25">
        <v>3.77</v>
      </c>
      <c r="X495" s="25">
        <v>53.48</v>
      </c>
      <c r="Y495" s="25">
        <v>9.16</v>
      </c>
      <c r="Z495" s="17">
        <f t="shared" si="177"/>
        <v>2.0159679133902788E-3</v>
      </c>
      <c r="AA495" s="18">
        <v>0.15</v>
      </c>
      <c r="AB495" s="16">
        <f t="shared" si="174"/>
        <v>8.0219999999999985</v>
      </c>
      <c r="AC495" s="16">
        <v>0</v>
      </c>
      <c r="AD495" s="16">
        <v>0</v>
      </c>
      <c r="AE495" s="16">
        <v>0</v>
      </c>
      <c r="AF495" s="16">
        <f t="shared" si="178"/>
        <v>8.0219999999999985</v>
      </c>
      <c r="AG495" s="16">
        <f t="shared" si="187"/>
        <v>1.2835199999999998</v>
      </c>
      <c r="AH495" s="16">
        <f t="shared" si="179"/>
        <v>9.3055199999999978</v>
      </c>
      <c r="AI495" s="16">
        <f t="shared" si="188"/>
        <v>0.16043999999999997</v>
      </c>
      <c r="AJ495" s="16">
        <v>0</v>
      </c>
      <c r="AK495" s="16">
        <f t="shared" si="180"/>
        <v>0.16043999999999997</v>
      </c>
      <c r="AL495" s="19"/>
      <c r="AM495" s="16">
        <f t="shared" si="189"/>
        <v>7.8615599999999981</v>
      </c>
      <c r="AN495" s="16" t="s">
        <v>147</v>
      </c>
      <c r="AO495" s="20">
        <v>0.4</v>
      </c>
      <c r="AP495" s="16">
        <f t="shared" si="182"/>
        <v>3.1446239999999994</v>
      </c>
      <c r="AQ495" s="16">
        <v>3.1446239999999994</v>
      </c>
      <c r="AR495" s="15">
        <v>45229</v>
      </c>
      <c r="AS495" s="16">
        <f t="shared" si="183"/>
        <v>0</v>
      </c>
      <c r="AT495" s="16"/>
      <c r="AU495" s="16">
        <v>9.3055199999999978</v>
      </c>
      <c r="AV495" s="16">
        <f t="shared" si="190"/>
        <v>9.3055199999999978</v>
      </c>
      <c r="AW495" s="16">
        <f t="shared" si="184"/>
        <v>0</v>
      </c>
      <c r="AX495" s="16" t="str">
        <f t="shared" si="185"/>
        <v>SFA</v>
      </c>
      <c r="AY495" s="22">
        <v>45100</v>
      </c>
      <c r="AZ495" s="22"/>
      <c r="BA495" s="1" t="s">
        <v>148</v>
      </c>
      <c r="BB495" s="1" t="s">
        <v>104</v>
      </c>
      <c r="BC495" s="1"/>
      <c r="BD495" s="1"/>
      <c r="BE495" s="1"/>
    </row>
    <row r="496" spans="1:57" ht="15.75" hidden="1" customHeight="1">
      <c r="A496" s="2" t="s">
        <v>406</v>
      </c>
      <c r="B496" s="1" t="s">
        <v>58</v>
      </c>
      <c r="C496" s="27">
        <v>45093</v>
      </c>
      <c r="D496" s="27">
        <v>45056</v>
      </c>
      <c r="E496" s="27">
        <v>45040</v>
      </c>
      <c r="F496" s="27">
        <v>45404</v>
      </c>
      <c r="G496" s="13" t="str">
        <f t="shared" si="176"/>
        <v>000-495/AIB RDC/2023</v>
      </c>
      <c r="H496" s="1">
        <v>0</v>
      </c>
      <c r="I496" s="1" t="s">
        <v>83</v>
      </c>
      <c r="J496" s="2" t="s">
        <v>737</v>
      </c>
      <c r="K496" s="1" t="s">
        <v>197</v>
      </c>
      <c r="L496" s="24"/>
      <c r="M496" s="1" t="s">
        <v>95</v>
      </c>
      <c r="N496" s="1" t="s">
        <v>146</v>
      </c>
      <c r="O496" s="1" t="s">
        <v>104</v>
      </c>
      <c r="P496" s="1" t="s">
        <v>105</v>
      </c>
      <c r="Q496" s="1" t="s">
        <v>66</v>
      </c>
      <c r="R496" s="1" t="s">
        <v>66</v>
      </c>
      <c r="S496" s="25">
        <v>29245.8</v>
      </c>
      <c r="T496" s="25">
        <v>97.97</v>
      </c>
      <c r="U496" s="25">
        <v>0</v>
      </c>
      <c r="V496" s="25">
        <v>0</v>
      </c>
      <c r="W496" s="25">
        <v>3.95</v>
      </c>
      <c r="X496" s="25">
        <v>58.96</v>
      </c>
      <c r="Y496" s="25">
        <v>10.06</v>
      </c>
      <c r="Z496" s="17">
        <f t="shared" si="177"/>
        <v>2.0160159749434106E-3</v>
      </c>
      <c r="AA496" s="18">
        <v>0.15</v>
      </c>
      <c r="AB496" s="16">
        <f t="shared" si="174"/>
        <v>8.8439999999999994</v>
      </c>
      <c r="AC496" s="16">
        <v>0</v>
      </c>
      <c r="AD496" s="16">
        <v>0</v>
      </c>
      <c r="AE496" s="16">
        <v>0</v>
      </c>
      <c r="AF496" s="16">
        <f t="shared" si="178"/>
        <v>8.8439999999999994</v>
      </c>
      <c r="AG496" s="16">
        <f t="shared" si="187"/>
        <v>1.4150399999999999</v>
      </c>
      <c r="AH496" s="16">
        <f t="shared" si="179"/>
        <v>10.259039999999999</v>
      </c>
      <c r="AI496" s="16">
        <f t="shared" si="188"/>
        <v>0.17687999999999998</v>
      </c>
      <c r="AJ496" s="16">
        <v>0</v>
      </c>
      <c r="AK496" s="16">
        <f t="shared" si="180"/>
        <v>0.17687999999999998</v>
      </c>
      <c r="AL496" s="19"/>
      <c r="AM496" s="16">
        <f t="shared" si="189"/>
        <v>8.6671199999999988</v>
      </c>
      <c r="AN496" s="16" t="s">
        <v>147</v>
      </c>
      <c r="AO496" s="20">
        <v>0.4</v>
      </c>
      <c r="AP496" s="16">
        <f t="shared" si="182"/>
        <v>3.4668479999999997</v>
      </c>
      <c r="AQ496" s="16">
        <v>3.4668479999999997</v>
      </c>
      <c r="AR496" s="15">
        <v>45229</v>
      </c>
      <c r="AS496" s="16">
        <f t="shared" si="183"/>
        <v>0</v>
      </c>
      <c r="AT496" s="16"/>
      <c r="AU496" s="16">
        <v>10.259039999999999</v>
      </c>
      <c r="AV496" s="16">
        <f t="shared" si="190"/>
        <v>10.259039999999999</v>
      </c>
      <c r="AW496" s="16">
        <f t="shared" si="184"/>
        <v>0</v>
      </c>
      <c r="AX496" s="16" t="str">
        <f t="shared" si="185"/>
        <v>SFA</v>
      </c>
      <c r="AY496" s="22">
        <v>45100</v>
      </c>
      <c r="AZ496" s="22"/>
      <c r="BA496" s="1" t="s">
        <v>148</v>
      </c>
      <c r="BB496" s="1" t="s">
        <v>104</v>
      </c>
      <c r="BC496" s="1"/>
      <c r="BD496" s="1"/>
      <c r="BE496" s="1"/>
    </row>
    <row r="497" spans="1:57" ht="15.75" hidden="1" customHeight="1">
      <c r="A497" s="2" t="s">
        <v>406</v>
      </c>
      <c r="B497" s="1" t="s">
        <v>58</v>
      </c>
      <c r="C497" s="27">
        <v>45093</v>
      </c>
      <c r="D497" s="27">
        <v>45056</v>
      </c>
      <c r="E497" s="27">
        <v>45040</v>
      </c>
      <c r="F497" s="27">
        <v>45404</v>
      </c>
      <c r="G497" s="13" t="str">
        <f t="shared" si="176"/>
        <v>000-496/AIB RDC/2023</v>
      </c>
      <c r="H497" s="1">
        <v>0</v>
      </c>
      <c r="I497" s="1" t="s">
        <v>83</v>
      </c>
      <c r="J497" s="2" t="s">
        <v>738</v>
      </c>
      <c r="K497" s="1" t="s">
        <v>197</v>
      </c>
      <c r="L497" s="24"/>
      <c r="M497" s="1" t="s">
        <v>95</v>
      </c>
      <c r="N497" s="1" t="s">
        <v>146</v>
      </c>
      <c r="O497" s="1" t="s">
        <v>104</v>
      </c>
      <c r="P497" s="1" t="s">
        <v>105</v>
      </c>
      <c r="Q497" s="1" t="s">
        <v>66</v>
      </c>
      <c r="R497" s="1" t="s">
        <v>66</v>
      </c>
      <c r="S497" s="25">
        <v>26717.8</v>
      </c>
      <c r="T497" s="25">
        <v>91.88</v>
      </c>
      <c r="U497" s="25">
        <v>0</v>
      </c>
      <c r="V497" s="25">
        <v>0</v>
      </c>
      <c r="W497" s="25">
        <v>3.79</v>
      </c>
      <c r="X497" s="25">
        <v>53.87</v>
      </c>
      <c r="Y497" s="25">
        <v>9.2200000000000006</v>
      </c>
      <c r="Z497" s="17">
        <f t="shared" si="177"/>
        <v>2.0162588237055447E-3</v>
      </c>
      <c r="AA497" s="18">
        <v>0.15</v>
      </c>
      <c r="AB497" s="16">
        <f t="shared" si="174"/>
        <v>8.0804999999999989</v>
      </c>
      <c r="AC497" s="16">
        <v>0</v>
      </c>
      <c r="AD497" s="16">
        <v>0</v>
      </c>
      <c r="AE497" s="16">
        <v>0</v>
      </c>
      <c r="AF497" s="16">
        <f t="shared" si="178"/>
        <v>8.0804999999999989</v>
      </c>
      <c r="AG497" s="16">
        <f t="shared" si="187"/>
        <v>1.2928799999999998</v>
      </c>
      <c r="AH497" s="16">
        <f t="shared" si="179"/>
        <v>9.3733799999999992</v>
      </c>
      <c r="AI497" s="16">
        <f t="shared" si="188"/>
        <v>0.16160999999999998</v>
      </c>
      <c r="AJ497" s="16">
        <v>0</v>
      </c>
      <c r="AK497" s="16">
        <f t="shared" si="180"/>
        <v>0.16160999999999998</v>
      </c>
      <c r="AL497" s="19"/>
      <c r="AM497" s="16">
        <f t="shared" si="189"/>
        <v>7.9188899999999993</v>
      </c>
      <c r="AN497" s="16" t="s">
        <v>147</v>
      </c>
      <c r="AO497" s="20">
        <v>0.4</v>
      </c>
      <c r="AP497" s="16">
        <f t="shared" si="182"/>
        <v>3.1675559999999998</v>
      </c>
      <c r="AQ497" s="16">
        <v>3.1675559999999998</v>
      </c>
      <c r="AR497" s="15">
        <v>45229</v>
      </c>
      <c r="AS497" s="16">
        <f t="shared" si="183"/>
        <v>0</v>
      </c>
      <c r="AT497" s="16"/>
      <c r="AU497" s="16">
        <v>9.3733799999999992</v>
      </c>
      <c r="AV497" s="16">
        <f t="shared" si="190"/>
        <v>9.3733799999999992</v>
      </c>
      <c r="AW497" s="16">
        <f t="shared" si="184"/>
        <v>0</v>
      </c>
      <c r="AX497" s="16" t="str">
        <f t="shared" si="185"/>
        <v>SFA</v>
      </c>
      <c r="AY497" s="22">
        <v>45100</v>
      </c>
      <c r="AZ497" s="22"/>
      <c r="BA497" s="1" t="s">
        <v>148</v>
      </c>
      <c r="BB497" s="1" t="s">
        <v>104</v>
      </c>
      <c r="BC497" s="1"/>
      <c r="BD497" s="1"/>
      <c r="BE497" s="1"/>
    </row>
    <row r="498" spans="1:57" ht="15.75" hidden="1" customHeight="1">
      <c r="A498" s="2" t="s">
        <v>406</v>
      </c>
      <c r="B498" s="1" t="s">
        <v>58</v>
      </c>
      <c r="C498" s="27">
        <v>45093</v>
      </c>
      <c r="D498" s="27">
        <v>45056</v>
      </c>
      <c r="E498" s="27">
        <v>45035</v>
      </c>
      <c r="F498" s="27">
        <v>45399</v>
      </c>
      <c r="G498" s="13" t="str">
        <f t="shared" si="176"/>
        <v>000-497/AIB RDC/2023</v>
      </c>
      <c r="H498" s="1">
        <v>0</v>
      </c>
      <c r="I498" s="1" t="s">
        <v>83</v>
      </c>
      <c r="J498" s="2" t="s">
        <v>739</v>
      </c>
      <c r="K498" s="1" t="s">
        <v>197</v>
      </c>
      <c r="L498" s="24"/>
      <c r="M498" s="1" t="s">
        <v>95</v>
      </c>
      <c r="N498" s="1" t="s">
        <v>146</v>
      </c>
      <c r="O498" s="1" t="s">
        <v>104</v>
      </c>
      <c r="P498" s="1" t="s">
        <v>105</v>
      </c>
      <c r="Q498" s="1" t="s">
        <v>66</v>
      </c>
      <c r="R498" s="1" t="s">
        <v>66</v>
      </c>
      <c r="S498" s="25">
        <v>43890</v>
      </c>
      <c r="T498" s="25">
        <v>119.34</v>
      </c>
      <c r="U498" s="25">
        <v>0</v>
      </c>
      <c r="V498" s="25">
        <v>0</v>
      </c>
      <c r="W498" s="25">
        <v>7.59</v>
      </c>
      <c r="X498" s="25">
        <v>73.739999999999995</v>
      </c>
      <c r="Y498" s="25">
        <v>13.01</v>
      </c>
      <c r="Z498" s="17">
        <f t="shared" si="177"/>
        <v>1.6801093643198906E-3</v>
      </c>
      <c r="AA498" s="18">
        <v>0.15</v>
      </c>
      <c r="AB498" s="16">
        <f t="shared" si="174"/>
        <v>11.060999999999998</v>
      </c>
      <c r="AC498" s="16">
        <v>0</v>
      </c>
      <c r="AD498" s="16">
        <v>0</v>
      </c>
      <c r="AE498" s="16">
        <v>0</v>
      </c>
      <c r="AF498" s="16">
        <f t="shared" si="178"/>
        <v>11.060999999999998</v>
      </c>
      <c r="AG498" s="16">
        <f t="shared" si="187"/>
        <v>1.7697599999999998</v>
      </c>
      <c r="AH498" s="16">
        <f t="shared" si="179"/>
        <v>12.830759999999998</v>
      </c>
      <c r="AI498" s="16">
        <f t="shared" si="188"/>
        <v>0.22121999999999997</v>
      </c>
      <c r="AJ498" s="16">
        <v>0</v>
      </c>
      <c r="AK498" s="16">
        <f t="shared" si="180"/>
        <v>0.22121999999999997</v>
      </c>
      <c r="AL498" s="19"/>
      <c r="AM498" s="16">
        <f t="shared" si="189"/>
        <v>10.839779999999998</v>
      </c>
      <c r="AN498" s="16" t="s">
        <v>147</v>
      </c>
      <c r="AO498" s="20">
        <v>0.4</v>
      </c>
      <c r="AP498" s="16">
        <f t="shared" si="182"/>
        <v>4.3359119999999995</v>
      </c>
      <c r="AQ498" s="16">
        <v>4.3359119999999995</v>
      </c>
      <c r="AR498" s="15">
        <v>45229</v>
      </c>
      <c r="AS498" s="16">
        <f t="shared" si="183"/>
        <v>0</v>
      </c>
      <c r="AT498" s="16"/>
      <c r="AU498" s="16">
        <v>12.830759999999998</v>
      </c>
      <c r="AV498" s="16">
        <f t="shared" si="190"/>
        <v>12.830759999999998</v>
      </c>
      <c r="AW498" s="16">
        <f t="shared" si="184"/>
        <v>0</v>
      </c>
      <c r="AX498" s="16" t="str">
        <f t="shared" si="185"/>
        <v>SFA</v>
      </c>
      <c r="AY498" s="22">
        <v>45100</v>
      </c>
      <c r="AZ498" s="22"/>
      <c r="BA498" s="1" t="s">
        <v>148</v>
      </c>
      <c r="BB498" s="22" t="str">
        <f t="shared" ref="BB498:BB514" si="191">O498</f>
        <v>MARINE CARGO / GIT</v>
      </c>
      <c r="BC498" s="1"/>
      <c r="BD498" s="1"/>
      <c r="BE498" s="1"/>
    </row>
    <row r="499" spans="1:57" ht="15.75" hidden="1" customHeight="1">
      <c r="A499" s="2" t="s">
        <v>406</v>
      </c>
      <c r="B499" s="1" t="s">
        <v>58</v>
      </c>
      <c r="C499" s="27">
        <v>45093</v>
      </c>
      <c r="D499" s="27">
        <v>45056</v>
      </c>
      <c r="E499" s="27">
        <v>45035</v>
      </c>
      <c r="F499" s="27">
        <v>45399</v>
      </c>
      <c r="G499" s="13" t="str">
        <f t="shared" si="176"/>
        <v>000-498/AIB RDC/2023</v>
      </c>
      <c r="H499" s="1">
        <v>0</v>
      </c>
      <c r="I499" s="1" t="s">
        <v>83</v>
      </c>
      <c r="J499" s="2" t="s">
        <v>740</v>
      </c>
      <c r="K499" s="1" t="s">
        <v>197</v>
      </c>
      <c r="L499" s="24"/>
      <c r="M499" s="1" t="s">
        <v>95</v>
      </c>
      <c r="N499" s="1" t="s">
        <v>146</v>
      </c>
      <c r="O499" s="1" t="s">
        <v>104</v>
      </c>
      <c r="P499" s="1" t="s">
        <v>105</v>
      </c>
      <c r="Q499" s="1" t="s">
        <v>66</v>
      </c>
      <c r="R499" s="1" t="s">
        <v>66</v>
      </c>
      <c r="S499" s="25">
        <v>19943</v>
      </c>
      <c r="T499" s="25">
        <v>79.66</v>
      </c>
      <c r="U499" s="25">
        <v>0</v>
      </c>
      <c r="V499" s="25">
        <v>0</v>
      </c>
      <c r="W499" s="25">
        <v>6.92</v>
      </c>
      <c r="X499" s="25">
        <v>40.200000000000003</v>
      </c>
      <c r="Y499" s="25">
        <v>7.54</v>
      </c>
      <c r="Z499" s="17">
        <f t="shared" si="177"/>
        <v>2.0157448728877303E-3</v>
      </c>
      <c r="AA499" s="18">
        <v>0.15</v>
      </c>
      <c r="AB499" s="16">
        <f t="shared" si="174"/>
        <v>6.03</v>
      </c>
      <c r="AC499" s="16">
        <v>0</v>
      </c>
      <c r="AD499" s="16">
        <v>0</v>
      </c>
      <c r="AE499" s="16">
        <v>0</v>
      </c>
      <c r="AF499" s="16">
        <f t="shared" si="178"/>
        <v>6.03</v>
      </c>
      <c r="AG499" s="16">
        <f t="shared" si="187"/>
        <v>0.9648000000000001</v>
      </c>
      <c r="AH499" s="16">
        <f t="shared" si="179"/>
        <v>6.9948000000000006</v>
      </c>
      <c r="AI499" s="16">
        <f t="shared" si="188"/>
        <v>0.12060000000000001</v>
      </c>
      <c r="AJ499" s="16">
        <v>0</v>
      </c>
      <c r="AK499" s="16">
        <f t="shared" si="180"/>
        <v>0.12060000000000001</v>
      </c>
      <c r="AL499" s="19"/>
      <c r="AM499" s="16">
        <f t="shared" si="189"/>
        <v>5.9094000000000007</v>
      </c>
      <c r="AN499" s="16" t="s">
        <v>147</v>
      </c>
      <c r="AO499" s="20">
        <v>0.4</v>
      </c>
      <c r="AP499" s="16">
        <f t="shared" si="182"/>
        <v>2.3637600000000005</v>
      </c>
      <c r="AQ499" s="16">
        <v>2.3637600000000005</v>
      </c>
      <c r="AR499" s="15">
        <v>45229</v>
      </c>
      <c r="AS499" s="16">
        <f t="shared" si="183"/>
        <v>0</v>
      </c>
      <c r="AT499" s="16"/>
      <c r="AU499" s="16">
        <v>6.9948000000000006</v>
      </c>
      <c r="AV499" s="16">
        <f t="shared" si="190"/>
        <v>6.9948000000000006</v>
      </c>
      <c r="AW499" s="16">
        <f t="shared" si="184"/>
        <v>0</v>
      </c>
      <c r="AX499" s="16" t="str">
        <f t="shared" si="185"/>
        <v>SFA</v>
      </c>
      <c r="AY499" s="22">
        <v>45100</v>
      </c>
      <c r="AZ499" s="22"/>
      <c r="BA499" s="1" t="s">
        <v>148</v>
      </c>
      <c r="BB499" s="22" t="str">
        <f t="shared" si="191"/>
        <v>MARINE CARGO / GIT</v>
      </c>
      <c r="BC499" s="1"/>
      <c r="BD499" s="1"/>
      <c r="BE499" s="1"/>
    </row>
    <row r="500" spans="1:57" ht="15.75" hidden="1" customHeight="1">
      <c r="A500" s="2" t="s">
        <v>406</v>
      </c>
      <c r="B500" s="1" t="s">
        <v>58</v>
      </c>
      <c r="C500" s="27">
        <v>45093</v>
      </c>
      <c r="D500" s="27">
        <v>45056</v>
      </c>
      <c r="E500" s="27">
        <v>45035</v>
      </c>
      <c r="F500" s="27">
        <v>45399</v>
      </c>
      <c r="G500" s="13" t="str">
        <f t="shared" si="176"/>
        <v>000-499/AIB RDC/2023</v>
      </c>
      <c r="H500" s="1">
        <v>0</v>
      </c>
      <c r="I500" s="1" t="s">
        <v>83</v>
      </c>
      <c r="J500" s="2" t="s">
        <v>741</v>
      </c>
      <c r="K500" s="1" t="s">
        <v>197</v>
      </c>
      <c r="L500" s="24"/>
      <c r="M500" s="1" t="s">
        <v>95</v>
      </c>
      <c r="N500" s="1" t="s">
        <v>146</v>
      </c>
      <c r="O500" s="1" t="s">
        <v>104</v>
      </c>
      <c r="P500" s="1" t="s">
        <v>105</v>
      </c>
      <c r="Q500" s="1" t="s">
        <v>66</v>
      </c>
      <c r="R500" s="1" t="s">
        <v>66</v>
      </c>
      <c r="S500" s="25">
        <v>29337</v>
      </c>
      <c r="T500" s="25">
        <v>90.42</v>
      </c>
      <c r="U500" s="25">
        <v>0</v>
      </c>
      <c r="V500" s="25">
        <v>0</v>
      </c>
      <c r="W500" s="25">
        <v>7.11</v>
      </c>
      <c r="X500" s="25">
        <v>49.29</v>
      </c>
      <c r="Y500" s="25">
        <v>9.02</v>
      </c>
      <c r="Z500" s="17">
        <f t="shared" si="177"/>
        <v>1.6801308927293179E-3</v>
      </c>
      <c r="AA500" s="18">
        <v>0.15</v>
      </c>
      <c r="AB500" s="16">
        <f t="shared" si="174"/>
        <v>7.3934999999999995</v>
      </c>
      <c r="AC500" s="16">
        <v>0</v>
      </c>
      <c r="AD500" s="16">
        <v>0</v>
      </c>
      <c r="AE500" s="16">
        <v>0</v>
      </c>
      <c r="AF500" s="16">
        <f t="shared" si="178"/>
        <v>7.3934999999999995</v>
      </c>
      <c r="AG500" s="16">
        <f t="shared" si="187"/>
        <v>1.18296</v>
      </c>
      <c r="AH500" s="16">
        <f t="shared" si="179"/>
        <v>8.5764599999999991</v>
      </c>
      <c r="AI500" s="16">
        <f t="shared" si="188"/>
        <v>0.14787</v>
      </c>
      <c r="AJ500" s="16">
        <v>0</v>
      </c>
      <c r="AK500" s="16">
        <f t="shared" si="180"/>
        <v>0.14787</v>
      </c>
      <c r="AL500" s="19"/>
      <c r="AM500" s="16">
        <f t="shared" si="189"/>
        <v>7.2456299999999993</v>
      </c>
      <c r="AN500" s="16" t="s">
        <v>147</v>
      </c>
      <c r="AO500" s="20">
        <v>0.4</v>
      </c>
      <c r="AP500" s="16">
        <f t="shared" si="182"/>
        <v>2.8982519999999998</v>
      </c>
      <c r="AQ500" s="16">
        <v>2.8982519999999998</v>
      </c>
      <c r="AR500" s="15">
        <v>45229</v>
      </c>
      <c r="AS500" s="16">
        <f t="shared" si="183"/>
        <v>0</v>
      </c>
      <c r="AT500" s="16"/>
      <c r="AU500" s="16">
        <v>8.5764599999999991</v>
      </c>
      <c r="AV500" s="16">
        <f t="shared" si="190"/>
        <v>8.5764599999999991</v>
      </c>
      <c r="AW500" s="16">
        <f t="shared" si="184"/>
        <v>0</v>
      </c>
      <c r="AX500" s="16" t="str">
        <f t="shared" si="185"/>
        <v>SFA</v>
      </c>
      <c r="AY500" s="22">
        <v>45100</v>
      </c>
      <c r="AZ500" s="22"/>
      <c r="BA500" s="1" t="s">
        <v>148</v>
      </c>
      <c r="BB500" s="22" t="str">
        <f t="shared" si="191"/>
        <v>MARINE CARGO / GIT</v>
      </c>
      <c r="BC500" s="1"/>
      <c r="BD500" s="1"/>
      <c r="BE500" s="1"/>
    </row>
    <row r="501" spans="1:57" ht="15.75" hidden="1" customHeight="1">
      <c r="A501" s="2" t="s">
        <v>230</v>
      </c>
      <c r="B501" s="1" t="s">
        <v>58</v>
      </c>
      <c r="C501" s="27">
        <v>45093</v>
      </c>
      <c r="D501" s="27">
        <v>45056</v>
      </c>
      <c r="E501" s="27">
        <v>45056</v>
      </c>
      <c r="F501" s="27">
        <v>45420</v>
      </c>
      <c r="G501" s="13" t="str">
        <f t="shared" si="176"/>
        <v>000-500/AIB RDC/2023</v>
      </c>
      <c r="H501" s="1">
        <v>0</v>
      </c>
      <c r="I501" s="1" t="s">
        <v>83</v>
      </c>
      <c r="J501" s="2" t="s">
        <v>742</v>
      </c>
      <c r="K501" s="1" t="s">
        <v>197</v>
      </c>
      <c r="L501" s="24"/>
      <c r="M501" s="1" t="s">
        <v>95</v>
      </c>
      <c r="N501" s="1" t="s">
        <v>146</v>
      </c>
      <c r="O501" s="1" t="s">
        <v>104</v>
      </c>
      <c r="P501" s="1" t="s">
        <v>105</v>
      </c>
      <c r="Q501" s="1" t="s">
        <v>66</v>
      </c>
      <c r="R501" s="1" t="s">
        <v>66</v>
      </c>
      <c r="S501" s="25">
        <v>31169.599999999999</v>
      </c>
      <c r="T501" s="25">
        <v>106.44</v>
      </c>
      <c r="U501" s="25">
        <v>0</v>
      </c>
      <c r="V501" s="25">
        <v>0</v>
      </c>
      <c r="W501" s="25">
        <v>7.38</v>
      </c>
      <c r="X501" s="25">
        <v>62.83</v>
      </c>
      <c r="Y501" s="25">
        <v>11.23</v>
      </c>
      <c r="Z501" s="17">
        <f t="shared" si="177"/>
        <v>2.0157461115959141E-3</v>
      </c>
      <c r="AA501" s="18">
        <v>0.15</v>
      </c>
      <c r="AB501" s="16">
        <f t="shared" si="174"/>
        <v>9.4245000000000001</v>
      </c>
      <c r="AC501" s="16">
        <v>0</v>
      </c>
      <c r="AD501" s="16">
        <v>0</v>
      </c>
      <c r="AE501" s="16">
        <v>0</v>
      </c>
      <c r="AF501" s="16">
        <f t="shared" si="178"/>
        <v>9.4245000000000001</v>
      </c>
      <c r="AG501" s="16">
        <f t="shared" ref="AG501:AG532" si="192">16%*AF501</f>
        <v>1.5079200000000001</v>
      </c>
      <c r="AH501" s="16">
        <f t="shared" si="179"/>
        <v>10.93242</v>
      </c>
      <c r="AI501" s="16">
        <f t="shared" ref="AI501:AI532" si="193">2%*(AB501+AC501+AD501)</f>
        <v>0.18849000000000002</v>
      </c>
      <c r="AJ501" s="16">
        <v>0</v>
      </c>
      <c r="AK501" s="16">
        <f t="shared" si="180"/>
        <v>0.18849000000000002</v>
      </c>
      <c r="AL501" s="19"/>
      <c r="AM501" s="16">
        <f t="shared" si="189"/>
        <v>9.2360100000000003</v>
      </c>
      <c r="AN501" s="16" t="s">
        <v>147</v>
      </c>
      <c r="AO501" s="20">
        <v>0.4</v>
      </c>
      <c r="AP501" s="16">
        <f t="shared" si="182"/>
        <v>3.6944040000000005</v>
      </c>
      <c r="AQ501" s="16">
        <v>3.6944040000000005</v>
      </c>
      <c r="AR501" s="15">
        <v>45229</v>
      </c>
      <c r="AS501" s="16">
        <f t="shared" si="183"/>
        <v>0</v>
      </c>
      <c r="AT501" s="16"/>
      <c r="AU501" s="16">
        <v>10.93242</v>
      </c>
      <c r="AV501" s="16">
        <f t="shared" si="190"/>
        <v>10.93242</v>
      </c>
      <c r="AW501" s="16">
        <f t="shared" si="184"/>
        <v>0</v>
      </c>
      <c r="AX501" s="16" t="str">
        <f t="shared" si="185"/>
        <v>SFA</v>
      </c>
      <c r="AY501" s="22">
        <v>45100</v>
      </c>
      <c r="AZ501" s="22"/>
      <c r="BA501" s="1" t="s">
        <v>148</v>
      </c>
      <c r="BB501" s="22" t="str">
        <f t="shared" si="191"/>
        <v>MARINE CARGO / GIT</v>
      </c>
      <c r="BC501" s="1"/>
      <c r="BD501" s="1"/>
      <c r="BE501" s="1"/>
    </row>
    <row r="502" spans="1:57" ht="15.75" hidden="1" customHeight="1">
      <c r="A502" s="2" t="s">
        <v>406</v>
      </c>
      <c r="B502" s="1" t="s">
        <v>58</v>
      </c>
      <c r="C502" s="27">
        <v>45096</v>
      </c>
      <c r="D502" s="27">
        <v>45054</v>
      </c>
      <c r="E502" s="27">
        <v>45043</v>
      </c>
      <c r="F502" s="27">
        <v>45407</v>
      </c>
      <c r="G502" s="13" t="str">
        <f t="shared" si="176"/>
        <v>000-501/AIB RDC/2023</v>
      </c>
      <c r="H502" s="1">
        <v>0</v>
      </c>
      <c r="I502" s="1" t="s">
        <v>83</v>
      </c>
      <c r="J502" s="2" t="s">
        <v>743</v>
      </c>
      <c r="K502" s="1" t="s">
        <v>197</v>
      </c>
      <c r="L502" s="24"/>
      <c r="M502" s="1" t="s">
        <v>95</v>
      </c>
      <c r="N502" s="1" t="s">
        <v>146</v>
      </c>
      <c r="O502" s="1" t="s">
        <v>104</v>
      </c>
      <c r="P502" s="1" t="s">
        <v>105</v>
      </c>
      <c r="Q502" s="1" t="s">
        <v>66</v>
      </c>
      <c r="R502" s="1" t="s">
        <v>66</v>
      </c>
      <c r="S502" s="25">
        <v>19866</v>
      </c>
      <c r="T502" s="25">
        <v>75.31</v>
      </c>
      <c r="U502" s="25">
        <v>0</v>
      </c>
      <c r="V502" s="25">
        <v>0</v>
      </c>
      <c r="W502" s="25">
        <v>3.33</v>
      </c>
      <c r="X502" s="25">
        <v>40.04</v>
      </c>
      <c r="Y502" s="25">
        <v>6.94</v>
      </c>
      <c r="Z502" s="17">
        <f t="shared" si="177"/>
        <v>2.0155038759689923E-3</v>
      </c>
      <c r="AA502" s="18">
        <v>0.15</v>
      </c>
      <c r="AB502" s="16">
        <f t="shared" si="174"/>
        <v>6.0059999999999993</v>
      </c>
      <c r="AC502" s="16">
        <v>0</v>
      </c>
      <c r="AD502" s="16">
        <v>0</v>
      </c>
      <c r="AE502" s="16">
        <v>0</v>
      </c>
      <c r="AF502" s="16">
        <f t="shared" si="178"/>
        <v>6.0059999999999993</v>
      </c>
      <c r="AG502" s="16">
        <f t="shared" si="192"/>
        <v>0.96095999999999993</v>
      </c>
      <c r="AH502" s="16">
        <f t="shared" si="179"/>
        <v>6.9669599999999994</v>
      </c>
      <c r="AI502" s="16">
        <f t="shared" si="193"/>
        <v>0.12011999999999999</v>
      </c>
      <c r="AJ502" s="16">
        <v>0</v>
      </c>
      <c r="AK502" s="16">
        <f t="shared" si="180"/>
        <v>0.12011999999999999</v>
      </c>
      <c r="AL502" s="19"/>
      <c r="AM502" s="16">
        <f t="shared" si="189"/>
        <v>5.8858799999999993</v>
      </c>
      <c r="AN502" s="16" t="s">
        <v>147</v>
      </c>
      <c r="AO502" s="20">
        <v>0.4</v>
      </c>
      <c r="AP502" s="16">
        <f t="shared" si="182"/>
        <v>2.354352</v>
      </c>
      <c r="AQ502" s="16">
        <v>2.354352</v>
      </c>
      <c r="AR502" s="15">
        <v>45229</v>
      </c>
      <c r="AS502" s="16">
        <f t="shared" si="183"/>
        <v>0</v>
      </c>
      <c r="AT502" s="16"/>
      <c r="AU502" s="16">
        <v>6.9669599999999994</v>
      </c>
      <c r="AV502" s="16">
        <f t="shared" si="190"/>
        <v>6.9669599999999994</v>
      </c>
      <c r="AW502" s="16">
        <f t="shared" si="184"/>
        <v>0</v>
      </c>
      <c r="AX502" s="16" t="str">
        <f t="shared" si="185"/>
        <v>SFA</v>
      </c>
      <c r="AY502" s="22">
        <v>45100</v>
      </c>
      <c r="AZ502" s="22"/>
      <c r="BA502" s="1" t="s">
        <v>148</v>
      </c>
      <c r="BB502" s="22" t="str">
        <f t="shared" si="191"/>
        <v>MARINE CARGO / GIT</v>
      </c>
      <c r="BC502" s="1"/>
      <c r="BD502" s="1"/>
      <c r="BE502" s="1"/>
    </row>
    <row r="503" spans="1:57" ht="15.75" hidden="1" customHeight="1">
      <c r="A503" s="2" t="s">
        <v>406</v>
      </c>
      <c r="B503" s="1" t="s">
        <v>58</v>
      </c>
      <c r="C503" s="27">
        <v>45096</v>
      </c>
      <c r="D503" s="27">
        <v>45054</v>
      </c>
      <c r="E503" s="27">
        <v>45043</v>
      </c>
      <c r="F503" s="27">
        <v>45407</v>
      </c>
      <c r="G503" s="13" t="str">
        <f t="shared" si="176"/>
        <v>000-502/AIB RDC/2023</v>
      </c>
      <c r="H503" s="1">
        <v>0</v>
      </c>
      <c r="I503" s="1" t="s">
        <v>83</v>
      </c>
      <c r="J503" s="2" t="s">
        <v>744</v>
      </c>
      <c r="K503" s="1" t="s">
        <v>197</v>
      </c>
      <c r="L503" s="24"/>
      <c r="M503" s="1" t="s">
        <v>95</v>
      </c>
      <c r="N503" s="1" t="s">
        <v>146</v>
      </c>
      <c r="O503" s="1" t="s">
        <v>104</v>
      </c>
      <c r="P503" s="1" t="s">
        <v>105</v>
      </c>
      <c r="Q503" s="1" t="s">
        <v>66</v>
      </c>
      <c r="R503" s="1" t="s">
        <v>66</v>
      </c>
      <c r="S503" s="25">
        <v>43430</v>
      </c>
      <c r="T503" s="25">
        <v>132.22</v>
      </c>
      <c r="U503" s="25">
        <v>0</v>
      </c>
      <c r="V503" s="25">
        <v>0</v>
      </c>
      <c r="W503" s="25">
        <v>4.88</v>
      </c>
      <c r="X503" s="25">
        <v>87.55</v>
      </c>
      <c r="Y503" s="25">
        <v>14.79</v>
      </c>
      <c r="Z503" s="17">
        <f t="shared" si="177"/>
        <v>2.0158876352751555E-3</v>
      </c>
      <c r="AA503" s="18">
        <v>0.15</v>
      </c>
      <c r="AB503" s="16">
        <f t="shared" si="174"/>
        <v>13.132499999999999</v>
      </c>
      <c r="AC503" s="16">
        <v>0</v>
      </c>
      <c r="AD503" s="16">
        <v>0</v>
      </c>
      <c r="AE503" s="16">
        <v>0</v>
      </c>
      <c r="AF503" s="16">
        <f t="shared" si="178"/>
        <v>13.132499999999999</v>
      </c>
      <c r="AG503" s="16">
        <f t="shared" si="192"/>
        <v>2.1012</v>
      </c>
      <c r="AH503" s="16">
        <f t="shared" si="179"/>
        <v>15.233699999999999</v>
      </c>
      <c r="AI503" s="16">
        <f t="shared" si="193"/>
        <v>0.26264999999999999</v>
      </c>
      <c r="AJ503" s="16">
        <v>0</v>
      </c>
      <c r="AK503" s="16">
        <f t="shared" si="180"/>
        <v>0.26264999999999999</v>
      </c>
      <c r="AL503" s="19"/>
      <c r="AM503" s="16">
        <f t="shared" si="189"/>
        <v>12.869849999999998</v>
      </c>
      <c r="AN503" s="16" t="s">
        <v>147</v>
      </c>
      <c r="AO503" s="20">
        <v>0.4</v>
      </c>
      <c r="AP503" s="16">
        <f t="shared" si="182"/>
        <v>5.1479399999999993</v>
      </c>
      <c r="AQ503" s="16">
        <v>5.1479399999999993</v>
      </c>
      <c r="AR503" s="15">
        <v>45229</v>
      </c>
      <c r="AS503" s="16">
        <f t="shared" si="183"/>
        <v>0</v>
      </c>
      <c r="AT503" s="16"/>
      <c r="AU503" s="16">
        <v>15.233699999999999</v>
      </c>
      <c r="AV503" s="16">
        <f t="shared" si="190"/>
        <v>15.233699999999999</v>
      </c>
      <c r="AW503" s="16">
        <f t="shared" si="184"/>
        <v>0</v>
      </c>
      <c r="AX503" s="16" t="str">
        <f t="shared" si="185"/>
        <v>SFA</v>
      </c>
      <c r="AY503" s="22">
        <v>45100</v>
      </c>
      <c r="AZ503" s="22"/>
      <c r="BA503" s="1" t="s">
        <v>148</v>
      </c>
      <c r="BB503" s="22" t="str">
        <f t="shared" si="191"/>
        <v>MARINE CARGO / GIT</v>
      </c>
      <c r="BC503" s="1"/>
      <c r="BD503" s="1"/>
      <c r="BE503" s="1"/>
    </row>
    <row r="504" spans="1:57" ht="15.75" hidden="1" customHeight="1">
      <c r="A504" s="2" t="s">
        <v>406</v>
      </c>
      <c r="B504" s="1" t="s">
        <v>58</v>
      </c>
      <c r="C504" s="27">
        <v>45096</v>
      </c>
      <c r="D504" s="27">
        <v>45054</v>
      </c>
      <c r="E504" s="27">
        <v>45043</v>
      </c>
      <c r="F504" s="27">
        <v>45407</v>
      </c>
      <c r="G504" s="13" t="str">
        <f t="shared" si="176"/>
        <v>000-503/AIB RDC/2023</v>
      </c>
      <c r="H504" s="1">
        <v>0</v>
      </c>
      <c r="I504" s="1" t="s">
        <v>83</v>
      </c>
      <c r="J504" s="2" t="s">
        <v>745</v>
      </c>
      <c r="K504" s="1" t="s">
        <v>197</v>
      </c>
      <c r="L504" s="24"/>
      <c r="M504" s="1" t="s">
        <v>95</v>
      </c>
      <c r="N504" s="1" t="s">
        <v>146</v>
      </c>
      <c r="O504" s="1" t="s">
        <v>104</v>
      </c>
      <c r="P504" s="1" t="s">
        <v>105</v>
      </c>
      <c r="Q504" s="1" t="s">
        <v>66</v>
      </c>
      <c r="R504" s="1" t="s">
        <v>66</v>
      </c>
      <c r="S504" s="25">
        <v>6688</v>
      </c>
      <c r="T504" s="25">
        <v>45.33</v>
      </c>
      <c r="U504" s="25">
        <v>0</v>
      </c>
      <c r="V504" s="25">
        <v>0</v>
      </c>
      <c r="W504" s="25">
        <v>2.5299999999999998</v>
      </c>
      <c r="X504" s="25">
        <v>15</v>
      </c>
      <c r="Y504" s="25">
        <v>2.8</v>
      </c>
      <c r="Z504" s="17">
        <f t="shared" si="177"/>
        <v>2.242822966507177E-3</v>
      </c>
      <c r="AA504" s="18">
        <v>0.15</v>
      </c>
      <c r="AB504" s="16">
        <f t="shared" si="174"/>
        <v>2.25</v>
      </c>
      <c r="AC504" s="16">
        <v>0</v>
      </c>
      <c r="AD504" s="16">
        <v>0</v>
      </c>
      <c r="AE504" s="16">
        <v>0</v>
      </c>
      <c r="AF504" s="16">
        <f t="shared" si="178"/>
        <v>2.25</v>
      </c>
      <c r="AG504" s="16">
        <f t="shared" si="192"/>
        <v>0.36</v>
      </c>
      <c r="AH504" s="16">
        <f t="shared" si="179"/>
        <v>2.61</v>
      </c>
      <c r="AI504" s="16">
        <f t="shared" si="193"/>
        <v>4.4999999999999998E-2</v>
      </c>
      <c r="AJ504" s="16">
        <v>0</v>
      </c>
      <c r="AK504" s="16">
        <f t="shared" si="180"/>
        <v>4.4999999999999998E-2</v>
      </c>
      <c r="AL504" s="19"/>
      <c r="AM504" s="16">
        <f t="shared" si="189"/>
        <v>2.2050000000000001</v>
      </c>
      <c r="AN504" s="16" t="s">
        <v>147</v>
      </c>
      <c r="AO504" s="20">
        <v>0.4</v>
      </c>
      <c r="AP504" s="16">
        <f t="shared" si="182"/>
        <v>0.88200000000000012</v>
      </c>
      <c r="AQ504" s="16">
        <v>0.88200000000000012</v>
      </c>
      <c r="AR504" s="15">
        <v>45229</v>
      </c>
      <c r="AS504" s="16">
        <f t="shared" si="183"/>
        <v>0</v>
      </c>
      <c r="AT504" s="16"/>
      <c r="AU504" s="16">
        <v>2.61</v>
      </c>
      <c r="AV504" s="16">
        <f t="shared" si="190"/>
        <v>2.61</v>
      </c>
      <c r="AW504" s="16">
        <f t="shared" si="184"/>
        <v>0</v>
      </c>
      <c r="AX504" s="16" t="str">
        <f t="shared" si="185"/>
        <v>SFA</v>
      </c>
      <c r="AY504" s="22">
        <v>45100</v>
      </c>
      <c r="AZ504" s="22"/>
      <c r="BA504" s="1" t="s">
        <v>148</v>
      </c>
      <c r="BB504" s="22" t="str">
        <f t="shared" si="191"/>
        <v>MARINE CARGO / GIT</v>
      </c>
      <c r="BC504" s="1"/>
      <c r="BD504" s="1"/>
      <c r="BE504" s="1"/>
    </row>
    <row r="505" spans="1:57" ht="15.75" hidden="1" customHeight="1">
      <c r="A505" s="2" t="s">
        <v>406</v>
      </c>
      <c r="B505" s="1" t="s">
        <v>58</v>
      </c>
      <c r="C505" s="27">
        <v>45096</v>
      </c>
      <c r="D505" s="27">
        <v>45054</v>
      </c>
      <c r="E505" s="27">
        <v>45043</v>
      </c>
      <c r="F505" s="27">
        <v>45407</v>
      </c>
      <c r="G505" s="13" t="str">
        <f t="shared" si="176"/>
        <v>000-504/AIB RDC/2023</v>
      </c>
      <c r="H505" s="1">
        <v>0</v>
      </c>
      <c r="I505" s="1" t="s">
        <v>83</v>
      </c>
      <c r="J505" s="2" t="s">
        <v>746</v>
      </c>
      <c r="K505" s="1" t="s">
        <v>197</v>
      </c>
      <c r="L505" s="24"/>
      <c r="M505" s="1" t="s">
        <v>95</v>
      </c>
      <c r="N505" s="1" t="s">
        <v>146</v>
      </c>
      <c r="O505" s="1" t="s">
        <v>104</v>
      </c>
      <c r="P505" s="1" t="s">
        <v>105</v>
      </c>
      <c r="Q505" s="1" t="s">
        <v>66</v>
      </c>
      <c r="R505" s="1" t="s">
        <v>66</v>
      </c>
      <c r="S505" s="25">
        <v>16799</v>
      </c>
      <c r="T505" s="25">
        <v>64.989999999999995</v>
      </c>
      <c r="U505" s="25">
        <v>0</v>
      </c>
      <c r="V505" s="25">
        <v>0</v>
      </c>
      <c r="W505" s="25">
        <v>3.05</v>
      </c>
      <c r="X505" s="25">
        <v>31.42</v>
      </c>
      <c r="Y505" s="25">
        <v>5.52</v>
      </c>
      <c r="Z505" s="17">
        <f t="shared" si="177"/>
        <v>1.8703494255610455E-3</v>
      </c>
      <c r="AA505" s="18">
        <v>0.15</v>
      </c>
      <c r="AB505" s="16">
        <f t="shared" si="174"/>
        <v>4.7130000000000001</v>
      </c>
      <c r="AC505" s="16">
        <v>0</v>
      </c>
      <c r="AD505" s="16">
        <v>0</v>
      </c>
      <c r="AE505" s="16">
        <v>0</v>
      </c>
      <c r="AF505" s="16">
        <f t="shared" si="178"/>
        <v>4.7130000000000001</v>
      </c>
      <c r="AG505" s="16">
        <f t="shared" si="192"/>
        <v>0.75408000000000008</v>
      </c>
      <c r="AH505" s="16">
        <f t="shared" si="179"/>
        <v>5.4670800000000002</v>
      </c>
      <c r="AI505" s="16">
        <f t="shared" si="193"/>
        <v>9.426000000000001E-2</v>
      </c>
      <c r="AJ505" s="16">
        <v>0</v>
      </c>
      <c r="AK505" s="16">
        <f t="shared" si="180"/>
        <v>9.426000000000001E-2</v>
      </c>
      <c r="AL505" s="19"/>
      <c r="AM505" s="16">
        <f t="shared" si="189"/>
        <v>4.6187399999999998</v>
      </c>
      <c r="AN505" s="16" t="s">
        <v>147</v>
      </c>
      <c r="AO505" s="20">
        <v>0.4</v>
      </c>
      <c r="AP505" s="16">
        <f t="shared" si="182"/>
        <v>1.847496</v>
      </c>
      <c r="AQ505" s="16">
        <v>1.847496</v>
      </c>
      <c r="AR505" s="15">
        <v>45229</v>
      </c>
      <c r="AS505" s="16">
        <f t="shared" si="183"/>
        <v>0</v>
      </c>
      <c r="AT505" s="16"/>
      <c r="AU505" s="16">
        <v>5.4670800000000002</v>
      </c>
      <c r="AV505" s="16">
        <f t="shared" si="190"/>
        <v>5.4670800000000002</v>
      </c>
      <c r="AW505" s="16">
        <f t="shared" si="184"/>
        <v>0</v>
      </c>
      <c r="AX505" s="16" t="str">
        <f t="shared" si="185"/>
        <v>SFA</v>
      </c>
      <c r="AY505" s="22">
        <v>45100</v>
      </c>
      <c r="AZ505" s="22"/>
      <c r="BA505" s="1" t="s">
        <v>148</v>
      </c>
      <c r="BB505" s="22" t="str">
        <f t="shared" si="191"/>
        <v>MARINE CARGO / GIT</v>
      </c>
      <c r="BC505" s="1"/>
      <c r="BD505" s="1"/>
      <c r="BE505" s="1"/>
    </row>
    <row r="506" spans="1:57" ht="15.75" hidden="1" customHeight="1">
      <c r="A506" s="2" t="s">
        <v>165</v>
      </c>
      <c r="B506" s="1" t="s">
        <v>58</v>
      </c>
      <c r="C506" s="27">
        <v>45096</v>
      </c>
      <c r="D506" s="27">
        <v>45054</v>
      </c>
      <c r="E506" s="27">
        <v>45015</v>
      </c>
      <c r="F506" s="27">
        <v>45379</v>
      </c>
      <c r="G506" s="13" t="str">
        <f t="shared" si="176"/>
        <v>000-505/AIB RDC/2023</v>
      </c>
      <c r="H506" s="1">
        <v>0</v>
      </c>
      <c r="I506" s="1" t="s">
        <v>83</v>
      </c>
      <c r="J506" s="2" t="s">
        <v>747</v>
      </c>
      <c r="K506" s="1" t="s">
        <v>197</v>
      </c>
      <c r="L506" s="24"/>
      <c r="M506" s="1" t="s">
        <v>95</v>
      </c>
      <c r="N506" s="1" t="s">
        <v>146</v>
      </c>
      <c r="O506" s="1" t="s">
        <v>104</v>
      </c>
      <c r="P506" s="1" t="s">
        <v>105</v>
      </c>
      <c r="Q506" s="1" t="s">
        <v>66</v>
      </c>
      <c r="R506" s="1" t="s">
        <v>66</v>
      </c>
      <c r="S506" s="25">
        <v>26361</v>
      </c>
      <c r="T506" s="25">
        <v>91.02</v>
      </c>
      <c r="U506" s="25">
        <v>0</v>
      </c>
      <c r="V506" s="25">
        <v>0</v>
      </c>
      <c r="W506" s="25">
        <v>2.8</v>
      </c>
      <c r="X506" s="25">
        <v>53.15</v>
      </c>
      <c r="Y506" s="25">
        <v>8.9499999999999993</v>
      </c>
      <c r="Z506" s="17">
        <f t="shared" si="177"/>
        <v>2.0162361063692574E-3</v>
      </c>
      <c r="AA506" s="18">
        <v>0.15</v>
      </c>
      <c r="AB506" s="16">
        <f t="shared" si="174"/>
        <v>7.9724999999999993</v>
      </c>
      <c r="AC506" s="16">
        <v>0</v>
      </c>
      <c r="AD506" s="16">
        <v>0</v>
      </c>
      <c r="AE506" s="16">
        <v>0</v>
      </c>
      <c r="AF506" s="16">
        <f t="shared" si="178"/>
        <v>7.9724999999999993</v>
      </c>
      <c r="AG506" s="16">
        <f t="shared" si="192"/>
        <v>1.2755999999999998</v>
      </c>
      <c r="AH506" s="16">
        <f t="shared" si="179"/>
        <v>9.2480999999999991</v>
      </c>
      <c r="AI506" s="16">
        <f t="shared" si="193"/>
        <v>0.15944999999999998</v>
      </c>
      <c r="AJ506" s="16">
        <v>0</v>
      </c>
      <c r="AK506" s="16">
        <f t="shared" si="180"/>
        <v>0.15944999999999998</v>
      </c>
      <c r="AL506" s="19"/>
      <c r="AM506" s="16">
        <f t="shared" si="189"/>
        <v>7.8130499999999996</v>
      </c>
      <c r="AN506" s="16" t="s">
        <v>147</v>
      </c>
      <c r="AO506" s="20">
        <v>0.4</v>
      </c>
      <c r="AP506" s="16">
        <f t="shared" si="182"/>
        <v>3.1252200000000001</v>
      </c>
      <c r="AQ506" s="16">
        <v>3.1252200000000001</v>
      </c>
      <c r="AR506" s="15">
        <v>45229</v>
      </c>
      <c r="AS506" s="16">
        <f t="shared" si="183"/>
        <v>0</v>
      </c>
      <c r="AT506" s="16"/>
      <c r="AU506" s="16">
        <v>9.2480999999999991</v>
      </c>
      <c r="AV506" s="16">
        <f t="shared" si="190"/>
        <v>9.2480999999999991</v>
      </c>
      <c r="AW506" s="16">
        <f t="shared" si="184"/>
        <v>0</v>
      </c>
      <c r="AX506" s="16" t="str">
        <f t="shared" si="185"/>
        <v>SFA</v>
      </c>
      <c r="AY506" s="22">
        <v>45100</v>
      </c>
      <c r="AZ506" s="22"/>
      <c r="BA506" s="1" t="s">
        <v>148</v>
      </c>
      <c r="BB506" s="22" t="str">
        <f t="shared" si="191"/>
        <v>MARINE CARGO / GIT</v>
      </c>
      <c r="BC506" s="1"/>
      <c r="BD506" s="1"/>
      <c r="BE506" s="1"/>
    </row>
    <row r="507" spans="1:57" ht="15.75" hidden="1" customHeight="1">
      <c r="A507" s="2" t="s">
        <v>165</v>
      </c>
      <c r="B507" s="1" t="s">
        <v>58</v>
      </c>
      <c r="C507" s="27">
        <v>45096</v>
      </c>
      <c r="D507" s="27">
        <v>45054</v>
      </c>
      <c r="E507" s="27">
        <v>45015</v>
      </c>
      <c r="F507" s="27">
        <v>45379</v>
      </c>
      <c r="G507" s="13" t="str">
        <f t="shared" si="176"/>
        <v>000-506/AIB RDC/2023</v>
      </c>
      <c r="H507" s="1">
        <v>0</v>
      </c>
      <c r="I507" s="1" t="s">
        <v>83</v>
      </c>
      <c r="J507" s="2" t="s">
        <v>748</v>
      </c>
      <c r="K507" s="1" t="s">
        <v>197</v>
      </c>
      <c r="L507" s="24"/>
      <c r="M507" s="1" t="s">
        <v>95</v>
      </c>
      <c r="N507" s="1" t="s">
        <v>146</v>
      </c>
      <c r="O507" s="1" t="s">
        <v>104</v>
      </c>
      <c r="P507" s="1" t="s">
        <v>105</v>
      </c>
      <c r="Q507" s="1" t="s">
        <v>66</v>
      </c>
      <c r="R507" s="1" t="s">
        <v>66</v>
      </c>
      <c r="S507" s="25">
        <v>33592.6</v>
      </c>
      <c r="T507" s="25">
        <v>108.49</v>
      </c>
      <c r="U507" s="25">
        <v>0</v>
      </c>
      <c r="V507" s="25">
        <v>0</v>
      </c>
      <c r="W507" s="25">
        <v>3.02</v>
      </c>
      <c r="X507" s="25">
        <v>67.73</v>
      </c>
      <c r="Y507" s="25">
        <v>11.32</v>
      </c>
      <c r="Z507" s="17">
        <f t="shared" si="177"/>
        <v>2.0162178575043317E-3</v>
      </c>
      <c r="AA507" s="18">
        <v>0.15</v>
      </c>
      <c r="AB507" s="16">
        <f t="shared" ref="AB507:AB570" si="194">AA507*X507</f>
        <v>10.1595</v>
      </c>
      <c r="AC507" s="16">
        <v>0</v>
      </c>
      <c r="AD507" s="16">
        <v>0</v>
      </c>
      <c r="AE507" s="16">
        <v>0</v>
      </c>
      <c r="AF507" s="16">
        <f t="shared" si="178"/>
        <v>10.1595</v>
      </c>
      <c r="AG507" s="16">
        <f t="shared" si="192"/>
        <v>1.6255199999999999</v>
      </c>
      <c r="AH507" s="16">
        <f t="shared" si="179"/>
        <v>11.785019999999999</v>
      </c>
      <c r="AI507" s="16">
        <f t="shared" si="193"/>
        <v>0.20318999999999998</v>
      </c>
      <c r="AJ507" s="16">
        <v>0</v>
      </c>
      <c r="AK507" s="16">
        <f t="shared" si="180"/>
        <v>0.20318999999999998</v>
      </c>
      <c r="AL507" s="19"/>
      <c r="AM507" s="16">
        <f t="shared" si="189"/>
        <v>9.9563100000000002</v>
      </c>
      <c r="AN507" s="16" t="s">
        <v>147</v>
      </c>
      <c r="AO507" s="20">
        <v>0.4</v>
      </c>
      <c r="AP507" s="16">
        <f t="shared" si="182"/>
        <v>3.9825240000000002</v>
      </c>
      <c r="AQ507" s="16">
        <v>3.9825240000000002</v>
      </c>
      <c r="AR507" s="15">
        <v>45229</v>
      </c>
      <c r="AS507" s="16">
        <f t="shared" si="183"/>
        <v>0</v>
      </c>
      <c r="AT507" s="16"/>
      <c r="AU507" s="16">
        <v>11.785019999999999</v>
      </c>
      <c r="AV507" s="16">
        <f t="shared" si="190"/>
        <v>11.785019999999999</v>
      </c>
      <c r="AW507" s="16">
        <f t="shared" si="184"/>
        <v>0</v>
      </c>
      <c r="AX507" s="16" t="str">
        <f t="shared" si="185"/>
        <v>SFA</v>
      </c>
      <c r="AY507" s="22">
        <v>45100</v>
      </c>
      <c r="AZ507" s="22"/>
      <c r="BA507" s="1" t="s">
        <v>148</v>
      </c>
      <c r="BB507" s="22" t="str">
        <f t="shared" si="191"/>
        <v>MARINE CARGO / GIT</v>
      </c>
      <c r="BC507" s="1"/>
      <c r="BD507" s="1"/>
      <c r="BE507" s="1"/>
    </row>
    <row r="508" spans="1:57" ht="15.75" hidden="1" customHeight="1">
      <c r="A508" s="2" t="s">
        <v>406</v>
      </c>
      <c r="B508" s="1" t="s">
        <v>58</v>
      </c>
      <c r="C508" s="27">
        <v>45096</v>
      </c>
      <c r="D508" s="27">
        <v>45054</v>
      </c>
      <c r="E508" s="27">
        <v>45017</v>
      </c>
      <c r="F508" s="27">
        <v>45381</v>
      </c>
      <c r="G508" s="13" t="str">
        <f t="shared" si="176"/>
        <v>000-507/AIB RDC/2023</v>
      </c>
      <c r="H508" s="1">
        <v>0</v>
      </c>
      <c r="I508" s="1" t="s">
        <v>83</v>
      </c>
      <c r="J508" s="2" t="s">
        <v>749</v>
      </c>
      <c r="K508" s="1" t="s">
        <v>197</v>
      </c>
      <c r="L508" s="24"/>
      <c r="M508" s="1" t="s">
        <v>95</v>
      </c>
      <c r="N508" s="1" t="s">
        <v>146</v>
      </c>
      <c r="O508" s="1" t="s">
        <v>104</v>
      </c>
      <c r="P508" s="1" t="s">
        <v>105</v>
      </c>
      <c r="Q508" s="1" t="s">
        <v>66</v>
      </c>
      <c r="R508" s="1" t="s">
        <v>66</v>
      </c>
      <c r="S508" s="25">
        <v>26344</v>
      </c>
      <c r="T508" s="25">
        <v>119.39</v>
      </c>
      <c r="U508" s="25">
        <v>0</v>
      </c>
      <c r="V508" s="25">
        <v>0</v>
      </c>
      <c r="W508" s="25">
        <v>3.6</v>
      </c>
      <c r="X508" s="25">
        <v>77.77</v>
      </c>
      <c r="Y508" s="25">
        <v>13.02</v>
      </c>
      <c r="Z508" s="17">
        <f t="shared" si="177"/>
        <v>2.952095353780747E-3</v>
      </c>
      <c r="AA508" s="18">
        <v>0.15</v>
      </c>
      <c r="AB508" s="16">
        <f t="shared" si="194"/>
        <v>11.6655</v>
      </c>
      <c r="AC508" s="16">
        <v>0</v>
      </c>
      <c r="AD508" s="16">
        <v>0</v>
      </c>
      <c r="AE508" s="16">
        <v>0</v>
      </c>
      <c r="AF508" s="16">
        <f t="shared" si="178"/>
        <v>11.6655</v>
      </c>
      <c r="AG508" s="16">
        <f t="shared" si="192"/>
        <v>1.8664799999999999</v>
      </c>
      <c r="AH508" s="16">
        <f t="shared" si="179"/>
        <v>13.531979999999999</v>
      </c>
      <c r="AI508" s="16">
        <f t="shared" si="193"/>
        <v>0.23330999999999999</v>
      </c>
      <c r="AJ508" s="16">
        <v>0</v>
      </c>
      <c r="AK508" s="16">
        <f t="shared" si="180"/>
        <v>0.23330999999999999</v>
      </c>
      <c r="AL508" s="19"/>
      <c r="AM508" s="16">
        <f t="shared" si="189"/>
        <v>11.43219</v>
      </c>
      <c r="AN508" s="16" t="s">
        <v>147</v>
      </c>
      <c r="AO508" s="20">
        <v>0.4</v>
      </c>
      <c r="AP508" s="16">
        <f t="shared" si="182"/>
        <v>4.5728759999999999</v>
      </c>
      <c r="AQ508" s="16">
        <v>4.5728759999999999</v>
      </c>
      <c r="AR508" s="15">
        <v>45229</v>
      </c>
      <c r="AS508" s="16">
        <f t="shared" si="183"/>
        <v>0</v>
      </c>
      <c r="AT508" s="16"/>
      <c r="AU508" s="16">
        <v>13.531979999999999</v>
      </c>
      <c r="AV508" s="16">
        <f t="shared" si="190"/>
        <v>13.531979999999999</v>
      </c>
      <c r="AW508" s="16">
        <f t="shared" si="184"/>
        <v>0</v>
      </c>
      <c r="AX508" s="16" t="str">
        <f t="shared" si="185"/>
        <v>SFA</v>
      </c>
      <c r="AY508" s="22">
        <v>45100</v>
      </c>
      <c r="AZ508" s="22"/>
      <c r="BA508" s="1" t="s">
        <v>148</v>
      </c>
      <c r="BB508" s="22" t="str">
        <f t="shared" si="191"/>
        <v>MARINE CARGO / GIT</v>
      </c>
      <c r="BC508" s="1"/>
      <c r="BD508" s="1"/>
      <c r="BE508" s="1"/>
    </row>
    <row r="509" spans="1:57" ht="15.75" hidden="1" customHeight="1">
      <c r="A509" s="2" t="s">
        <v>406</v>
      </c>
      <c r="B509" s="1" t="s">
        <v>58</v>
      </c>
      <c r="C509" s="27">
        <v>45096</v>
      </c>
      <c r="D509" s="27">
        <v>45054</v>
      </c>
      <c r="E509" s="27">
        <v>45024</v>
      </c>
      <c r="F509" s="27">
        <v>45388</v>
      </c>
      <c r="G509" s="13" t="str">
        <f t="shared" si="176"/>
        <v>000-508/AIB RDC/2023</v>
      </c>
      <c r="H509" s="1">
        <v>0</v>
      </c>
      <c r="I509" s="1" t="s">
        <v>83</v>
      </c>
      <c r="J509" s="2" t="s">
        <v>750</v>
      </c>
      <c r="K509" s="1" t="s">
        <v>197</v>
      </c>
      <c r="L509" s="24"/>
      <c r="M509" s="1" t="s">
        <v>95</v>
      </c>
      <c r="N509" s="1" t="s">
        <v>146</v>
      </c>
      <c r="O509" s="1" t="s">
        <v>104</v>
      </c>
      <c r="P509" s="1" t="s">
        <v>105</v>
      </c>
      <c r="Q509" s="1" t="s">
        <v>66</v>
      </c>
      <c r="R509" s="1" t="s">
        <v>66</v>
      </c>
      <c r="S509" s="25">
        <v>38683</v>
      </c>
      <c r="T509" s="25">
        <v>126.23</v>
      </c>
      <c r="U509" s="25">
        <v>0</v>
      </c>
      <c r="V509" s="25">
        <v>0</v>
      </c>
      <c r="W509" s="25">
        <v>3.71</v>
      </c>
      <c r="X509" s="25">
        <v>83.56</v>
      </c>
      <c r="Y509" s="25">
        <v>13.96</v>
      </c>
      <c r="Z509" s="17">
        <f t="shared" si="177"/>
        <v>2.1601220174236745E-3</v>
      </c>
      <c r="AA509" s="18">
        <v>0.15</v>
      </c>
      <c r="AB509" s="16">
        <f t="shared" si="194"/>
        <v>12.534000000000001</v>
      </c>
      <c r="AC509" s="16">
        <v>0</v>
      </c>
      <c r="AD509" s="16">
        <v>0</v>
      </c>
      <c r="AE509" s="16">
        <v>0</v>
      </c>
      <c r="AF509" s="16">
        <f t="shared" si="178"/>
        <v>12.534000000000001</v>
      </c>
      <c r="AG509" s="16">
        <f t="shared" si="192"/>
        <v>2.0054400000000001</v>
      </c>
      <c r="AH509" s="16">
        <f t="shared" si="179"/>
        <v>14.539440000000001</v>
      </c>
      <c r="AI509" s="16">
        <f t="shared" si="193"/>
        <v>0.25068000000000001</v>
      </c>
      <c r="AJ509" s="16">
        <v>0</v>
      </c>
      <c r="AK509" s="16">
        <f t="shared" si="180"/>
        <v>0.25068000000000001</v>
      </c>
      <c r="AL509" s="19"/>
      <c r="AM509" s="16">
        <f t="shared" si="189"/>
        <v>12.28332</v>
      </c>
      <c r="AN509" s="16" t="s">
        <v>147</v>
      </c>
      <c r="AO509" s="20">
        <v>0.4</v>
      </c>
      <c r="AP509" s="16">
        <f t="shared" si="182"/>
        <v>4.9133279999999999</v>
      </c>
      <c r="AQ509" s="16">
        <v>4.9133279999999999</v>
      </c>
      <c r="AR509" s="15">
        <v>45229</v>
      </c>
      <c r="AS509" s="16">
        <f t="shared" si="183"/>
        <v>0</v>
      </c>
      <c r="AT509" s="16"/>
      <c r="AU509" s="16">
        <v>14.539440000000001</v>
      </c>
      <c r="AV509" s="16">
        <f t="shared" si="190"/>
        <v>14.539440000000001</v>
      </c>
      <c r="AW509" s="16">
        <f t="shared" si="184"/>
        <v>0</v>
      </c>
      <c r="AX509" s="16" t="str">
        <f t="shared" si="185"/>
        <v>SFA</v>
      </c>
      <c r="AY509" s="22">
        <v>45100</v>
      </c>
      <c r="AZ509" s="22"/>
      <c r="BA509" s="1" t="s">
        <v>148</v>
      </c>
      <c r="BB509" s="22" t="str">
        <f t="shared" si="191"/>
        <v>MARINE CARGO / GIT</v>
      </c>
      <c r="BC509" s="1"/>
      <c r="BD509" s="1"/>
      <c r="BE509" s="1"/>
    </row>
    <row r="510" spans="1:57" ht="15.75" hidden="1" customHeight="1">
      <c r="A510" s="2" t="s">
        <v>406</v>
      </c>
      <c r="B510" s="1" t="s">
        <v>58</v>
      </c>
      <c r="C510" s="27">
        <v>45096</v>
      </c>
      <c r="D510" s="27">
        <v>45056</v>
      </c>
      <c r="E510" s="27">
        <v>45035</v>
      </c>
      <c r="F510" s="27">
        <v>45033</v>
      </c>
      <c r="G510" s="13" t="str">
        <f t="shared" si="176"/>
        <v>000-509/AIB RDC/2023</v>
      </c>
      <c r="H510" s="1">
        <v>0</v>
      </c>
      <c r="I510" s="1" t="s">
        <v>83</v>
      </c>
      <c r="J510" s="2" t="s">
        <v>751</v>
      </c>
      <c r="K510" s="1" t="s">
        <v>197</v>
      </c>
      <c r="L510" s="24"/>
      <c r="M510" s="1" t="s">
        <v>95</v>
      </c>
      <c r="N510" s="1" t="s">
        <v>146</v>
      </c>
      <c r="O510" s="1" t="s">
        <v>104</v>
      </c>
      <c r="P510" s="1" t="s">
        <v>105</v>
      </c>
      <c r="Q510" s="1" t="s">
        <v>66</v>
      </c>
      <c r="R510" s="1" t="s">
        <v>66</v>
      </c>
      <c r="S510" s="25">
        <v>0</v>
      </c>
      <c r="T510" s="25">
        <v>89.32</v>
      </c>
      <c r="U510" s="25">
        <v>0</v>
      </c>
      <c r="V510" s="25">
        <v>0</v>
      </c>
      <c r="W510" s="25">
        <v>2</v>
      </c>
      <c r="X510" s="25">
        <v>52.36</v>
      </c>
      <c r="Y510" s="25">
        <v>8.8699999999999992</v>
      </c>
      <c r="Z510" s="17" t="e">
        <f t="shared" si="177"/>
        <v>#DIV/0!</v>
      </c>
      <c r="AA510" s="18">
        <v>0.15</v>
      </c>
      <c r="AB510" s="16">
        <f t="shared" si="194"/>
        <v>7.8539999999999992</v>
      </c>
      <c r="AC510" s="16">
        <v>0</v>
      </c>
      <c r="AD510" s="16">
        <v>0</v>
      </c>
      <c r="AE510" s="16">
        <v>0</v>
      </c>
      <c r="AF510" s="16">
        <f t="shared" si="178"/>
        <v>7.8539999999999992</v>
      </c>
      <c r="AG510" s="16">
        <f t="shared" si="192"/>
        <v>1.25664</v>
      </c>
      <c r="AH510" s="16">
        <f t="shared" si="179"/>
        <v>9.1106400000000001</v>
      </c>
      <c r="AI510" s="16">
        <f t="shared" si="193"/>
        <v>0.15708</v>
      </c>
      <c r="AJ510" s="16">
        <v>0</v>
      </c>
      <c r="AK510" s="16">
        <f t="shared" si="180"/>
        <v>0.15708</v>
      </c>
      <c r="AL510" s="19"/>
      <c r="AM510" s="16">
        <f t="shared" si="189"/>
        <v>7.6969199999999995</v>
      </c>
      <c r="AN510" s="16" t="s">
        <v>147</v>
      </c>
      <c r="AO510" s="20">
        <v>0.4</v>
      </c>
      <c r="AP510" s="16">
        <f t="shared" si="182"/>
        <v>3.0787680000000002</v>
      </c>
      <c r="AQ510" s="16">
        <v>3.0787680000000002</v>
      </c>
      <c r="AR510" s="15">
        <v>45229</v>
      </c>
      <c r="AS510" s="16">
        <f t="shared" si="183"/>
        <v>0</v>
      </c>
      <c r="AT510" s="16"/>
      <c r="AU510" s="16">
        <v>9.1106400000000001</v>
      </c>
      <c r="AV510" s="16">
        <f t="shared" si="190"/>
        <v>9.1106400000000001</v>
      </c>
      <c r="AW510" s="16">
        <f t="shared" si="184"/>
        <v>0</v>
      </c>
      <c r="AX510" s="16" t="str">
        <f t="shared" si="185"/>
        <v>SFA</v>
      </c>
      <c r="AY510" s="22">
        <v>45100</v>
      </c>
      <c r="AZ510" s="22"/>
      <c r="BA510" s="1" t="s">
        <v>148</v>
      </c>
      <c r="BB510" s="22" t="str">
        <f t="shared" si="191"/>
        <v>MARINE CARGO / GIT</v>
      </c>
      <c r="BC510" s="1"/>
      <c r="BD510" s="1"/>
      <c r="BE510" s="1"/>
    </row>
    <row r="511" spans="1:57" ht="15.75" hidden="1" customHeight="1">
      <c r="A511" s="2" t="s">
        <v>230</v>
      </c>
      <c r="B511" s="1" t="s">
        <v>58</v>
      </c>
      <c r="C511" s="27">
        <v>45097</v>
      </c>
      <c r="D511" s="27">
        <v>45097</v>
      </c>
      <c r="E511" s="27">
        <v>45052</v>
      </c>
      <c r="F511" s="27">
        <v>45416</v>
      </c>
      <c r="G511" s="13" t="str">
        <f t="shared" si="176"/>
        <v>000-510/AIB RDC/2023</v>
      </c>
      <c r="H511" s="1">
        <v>0</v>
      </c>
      <c r="I511" s="1" t="s">
        <v>83</v>
      </c>
      <c r="J511" s="2" t="s">
        <v>752</v>
      </c>
      <c r="K511" s="2" t="s">
        <v>209</v>
      </c>
      <c r="L511" s="24"/>
      <c r="M511" s="2" t="s">
        <v>95</v>
      </c>
      <c r="N511" s="2" t="s">
        <v>146</v>
      </c>
      <c r="O511" s="2" t="s">
        <v>104</v>
      </c>
      <c r="P511" s="2" t="s">
        <v>105</v>
      </c>
      <c r="Q511" s="2" t="s">
        <v>66</v>
      </c>
      <c r="R511" s="2" t="s">
        <v>66</v>
      </c>
      <c r="S511" s="25">
        <v>53500</v>
      </c>
      <c r="T511" s="25">
        <v>172.63</v>
      </c>
      <c r="U511" s="25">
        <v>0</v>
      </c>
      <c r="V511" s="25">
        <v>0</v>
      </c>
      <c r="W511" s="25">
        <v>8.5</v>
      </c>
      <c r="X511" s="25">
        <v>118.77</v>
      </c>
      <c r="Y511" s="25">
        <v>20.36</v>
      </c>
      <c r="Z511" s="17">
        <f t="shared" si="177"/>
        <v>2.2199999999999998E-3</v>
      </c>
      <c r="AA511" s="18">
        <v>0.15</v>
      </c>
      <c r="AB511" s="16">
        <f t="shared" si="194"/>
        <v>17.8155</v>
      </c>
      <c r="AC511" s="16">
        <v>0</v>
      </c>
      <c r="AD511" s="16">
        <v>0</v>
      </c>
      <c r="AE511" s="16">
        <v>0</v>
      </c>
      <c r="AF511" s="16">
        <f t="shared" si="178"/>
        <v>17.8155</v>
      </c>
      <c r="AG511" s="16">
        <f t="shared" si="192"/>
        <v>2.8504800000000001</v>
      </c>
      <c r="AH511" s="16">
        <f t="shared" si="179"/>
        <v>20.665980000000001</v>
      </c>
      <c r="AI511" s="16">
        <f t="shared" si="193"/>
        <v>0.35631000000000002</v>
      </c>
      <c r="AJ511" s="16">
        <v>0</v>
      </c>
      <c r="AK511" s="16">
        <f t="shared" si="180"/>
        <v>0.35631000000000002</v>
      </c>
      <c r="AL511" s="19"/>
      <c r="AM511" s="16">
        <f t="shared" si="189"/>
        <v>17.45919</v>
      </c>
      <c r="AN511" s="16" t="s">
        <v>147</v>
      </c>
      <c r="AO511" s="20">
        <v>0.4</v>
      </c>
      <c r="AP511" s="16">
        <f t="shared" si="182"/>
        <v>6.983676</v>
      </c>
      <c r="AQ511" s="16">
        <v>6.983676</v>
      </c>
      <c r="AR511" s="15">
        <v>45229</v>
      </c>
      <c r="AS511" s="16">
        <f t="shared" si="183"/>
        <v>0</v>
      </c>
      <c r="AT511" s="16"/>
      <c r="AU511" s="16">
        <v>20.665980000000001</v>
      </c>
      <c r="AV511" s="16">
        <f t="shared" si="190"/>
        <v>20.665980000000001</v>
      </c>
      <c r="AW511" s="16">
        <f t="shared" si="184"/>
        <v>0</v>
      </c>
      <c r="AX511" s="16" t="str">
        <f t="shared" si="185"/>
        <v>SFA</v>
      </c>
      <c r="AY511" s="22">
        <v>45163</v>
      </c>
      <c r="AZ511" s="22"/>
      <c r="BA511" s="1" t="s">
        <v>148</v>
      </c>
      <c r="BB511" s="22" t="str">
        <f t="shared" si="191"/>
        <v>MARINE CARGO / GIT</v>
      </c>
      <c r="BC511" s="1"/>
      <c r="BD511" s="1"/>
      <c r="BE511" s="1"/>
    </row>
    <row r="512" spans="1:57" ht="15.75" hidden="1" customHeight="1">
      <c r="A512" s="2" t="s">
        <v>230</v>
      </c>
      <c r="B512" s="1" t="s">
        <v>58</v>
      </c>
      <c r="C512" s="27">
        <v>45097</v>
      </c>
      <c r="D512" s="27">
        <v>45097</v>
      </c>
      <c r="E512" s="27">
        <v>45064</v>
      </c>
      <c r="F512" s="27">
        <v>45428</v>
      </c>
      <c r="G512" s="13" t="str">
        <f t="shared" si="176"/>
        <v>000-511/AIB RDC/2023</v>
      </c>
      <c r="H512" s="1">
        <v>0</v>
      </c>
      <c r="I512" s="1" t="s">
        <v>83</v>
      </c>
      <c r="J512" s="2" t="s">
        <v>753</v>
      </c>
      <c r="K512" s="2" t="s">
        <v>209</v>
      </c>
      <c r="L512" s="24"/>
      <c r="M512" s="2" t="s">
        <v>95</v>
      </c>
      <c r="N512" s="2" t="s">
        <v>146</v>
      </c>
      <c r="O512" s="2" t="s">
        <v>104</v>
      </c>
      <c r="P512" s="2" t="s">
        <v>105</v>
      </c>
      <c r="Q512" s="2" t="s">
        <v>66</v>
      </c>
      <c r="R512" s="2" t="s">
        <v>66</v>
      </c>
      <c r="S512" s="25">
        <v>20053.57</v>
      </c>
      <c r="T512" s="25">
        <v>69.11</v>
      </c>
      <c r="U512" s="25">
        <v>0</v>
      </c>
      <c r="V512" s="25">
        <v>0</v>
      </c>
      <c r="W512" s="25">
        <v>6.5</v>
      </c>
      <c r="X512" s="25">
        <v>31.28</v>
      </c>
      <c r="Y512" s="25">
        <v>6.08</v>
      </c>
      <c r="Z512" s="17">
        <f t="shared" si="177"/>
        <v>1.5598220167281937E-3</v>
      </c>
      <c r="AA512" s="18">
        <v>0.15</v>
      </c>
      <c r="AB512" s="16">
        <f t="shared" si="194"/>
        <v>4.6920000000000002</v>
      </c>
      <c r="AC512" s="16">
        <v>0</v>
      </c>
      <c r="AD512" s="16">
        <v>0</v>
      </c>
      <c r="AE512" s="16">
        <v>0</v>
      </c>
      <c r="AF512" s="16">
        <f t="shared" si="178"/>
        <v>4.6920000000000002</v>
      </c>
      <c r="AG512" s="16">
        <f t="shared" si="192"/>
        <v>0.75072000000000005</v>
      </c>
      <c r="AH512" s="16">
        <f t="shared" si="179"/>
        <v>5.4427200000000004</v>
      </c>
      <c r="AI512" s="16">
        <f t="shared" si="193"/>
        <v>9.3840000000000007E-2</v>
      </c>
      <c r="AJ512" s="16">
        <v>0</v>
      </c>
      <c r="AK512" s="16">
        <f t="shared" si="180"/>
        <v>9.3840000000000007E-2</v>
      </c>
      <c r="AL512" s="19"/>
      <c r="AM512" s="16">
        <f t="shared" si="189"/>
        <v>4.59816</v>
      </c>
      <c r="AN512" s="16" t="s">
        <v>147</v>
      </c>
      <c r="AO512" s="20">
        <v>0.4</v>
      </c>
      <c r="AP512" s="16">
        <f t="shared" si="182"/>
        <v>1.839264</v>
      </c>
      <c r="AQ512" s="16">
        <v>1.839264</v>
      </c>
      <c r="AR512" s="15">
        <v>45229</v>
      </c>
      <c r="AS512" s="16">
        <f t="shared" si="183"/>
        <v>0</v>
      </c>
      <c r="AT512" s="16"/>
      <c r="AU512" s="16">
        <v>5.4427200000000004</v>
      </c>
      <c r="AV512" s="16">
        <f t="shared" si="190"/>
        <v>5.4427200000000004</v>
      </c>
      <c r="AW512" s="16">
        <f t="shared" si="184"/>
        <v>0</v>
      </c>
      <c r="AX512" s="16" t="str">
        <f t="shared" si="185"/>
        <v>SFA</v>
      </c>
      <c r="AY512" s="22">
        <v>45163</v>
      </c>
      <c r="AZ512" s="22"/>
      <c r="BA512" s="1" t="s">
        <v>148</v>
      </c>
      <c r="BB512" s="22" t="str">
        <f t="shared" si="191"/>
        <v>MARINE CARGO / GIT</v>
      </c>
      <c r="BC512" s="1"/>
      <c r="BD512" s="1"/>
      <c r="BE512" s="1"/>
    </row>
    <row r="513" spans="1:57" ht="15.75" hidden="1" customHeight="1">
      <c r="A513" s="2" t="s">
        <v>212</v>
      </c>
      <c r="B513" s="1" t="s">
        <v>169</v>
      </c>
      <c r="C513" s="27">
        <v>45098</v>
      </c>
      <c r="D513" s="27">
        <v>45098</v>
      </c>
      <c r="E513" s="27">
        <v>45098</v>
      </c>
      <c r="F513" s="27">
        <v>45462</v>
      </c>
      <c r="G513" s="13" t="str">
        <f t="shared" si="176"/>
        <v>000-512/AIB RDC/2023</v>
      </c>
      <c r="H513" s="1">
        <v>0</v>
      </c>
      <c r="I513" s="1" t="s">
        <v>83</v>
      </c>
      <c r="J513" s="45" t="s">
        <v>754</v>
      </c>
      <c r="K513" s="2" t="s">
        <v>209</v>
      </c>
      <c r="L513" s="24"/>
      <c r="M513" s="2" t="s">
        <v>95</v>
      </c>
      <c r="N513" s="2" t="s">
        <v>146</v>
      </c>
      <c r="O513" s="2" t="s">
        <v>104</v>
      </c>
      <c r="P513" s="2" t="s">
        <v>105</v>
      </c>
      <c r="Q513" s="2" t="s">
        <v>66</v>
      </c>
      <c r="R513" s="2" t="s">
        <v>66</v>
      </c>
      <c r="S513" s="25">
        <v>201183.05</v>
      </c>
      <c r="T513" s="25">
        <v>477.71</v>
      </c>
      <c r="U513" s="25">
        <v>0</v>
      </c>
      <c r="V513" s="25">
        <v>0</v>
      </c>
      <c r="W513" s="25">
        <v>13.65</v>
      </c>
      <c r="X513" s="25">
        <v>376.62</v>
      </c>
      <c r="Y513" s="25">
        <v>62.44</v>
      </c>
      <c r="Z513" s="17">
        <f t="shared" si="177"/>
        <v>1.8720264952738317E-3</v>
      </c>
      <c r="AA513" s="18">
        <v>0.15</v>
      </c>
      <c r="AB513" s="16">
        <f t="shared" si="194"/>
        <v>56.493000000000002</v>
      </c>
      <c r="AC513" s="16">
        <v>0</v>
      </c>
      <c r="AD513" s="16">
        <v>0</v>
      </c>
      <c r="AE513" s="16">
        <v>0</v>
      </c>
      <c r="AF513" s="16">
        <f t="shared" si="178"/>
        <v>56.493000000000002</v>
      </c>
      <c r="AG513" s="16">
        <f t="shared" si="192"/>
        <v>9.0388800000000007</v>
      </c>
      <c r="AH513" s="16">
        <f t="shared" si="179"/>
        <v>65.531880000000001</v>
      </c>
      <c r="AI513" s="16">
        <f t="shared" si="193"/>
        <v>1.1298600000000001</v>
      </c>
      <c r="AJ513" s="16">
        <v>0</v>
      </c>
      <c r="AK513" s="16">
        <f t="shared" si="180"/>
        <v>1.1298600000000001</v>
      </c>
      <c r="AL513" s="19"/>
      <c r="AM513" s="16">
        <f t="shared" si="189"/>
        <v>55.363140000000001</v>
      </c>
      <c r="AN513" s="16" t="s">
        <v>147</v>
      </c>
      <c r="AO513" s="20">
        <v>0.4</v>
      </c>
      <c r="AP513" s="16">
        <f t="shared" si="182"/>
        <v>22.145256000000003</v>
      </c>
      <c r="AQ513" s="16">
        <v>22.145256000000003</v>
      </c>
      <c r="AR513" s="15">
        <v>45229</v>
      </c>
      <c r="AS513" s="16">
        <f t="shared" si="183"/>
        <v>0</v>
      </c>
      <c r="AT513" s="16"/>
      <c r="AU513" s="16">
        <v>65.531880000000001</v>
      </c>
      <c r="AV513" s="16">
        <f t="shared" si="190"/>
        <v>65.531880000000001</v>
      </c>
      <c r="AW513" s="16">
        <f t="shared" si="184"/>
        <v>0</v>
      </c>
      <c r="AX513" s="16" t="str">
        <f t="shared" si="185"/>
        <v>SFA</v>
      </c>
      <c r="AY513" s="22">
        <v>45135</v>
      </c>
      <c r="AZ513" s="22"/>
      <c r="BA513" s="1" t="s">
        <v>148</v>
      </c>
      <c r="BB513" s="22" t="str">
        <f t="shared" si="191"/>
        <v>MARINE CARGO / GIT</v>
      </c>
      <c r="BC513" s="1"/>
      <c r="BD513" s="1"/>
      <c r="BE513" s="1"/>
    </row>
    <row r="514" spans="1:57" ht="15.75" hidden="1" customHeight="1">
      <c r="A514" s="2" t="s">
        <v>212</v>
      </c>
      <c r="B514" s="1" t="s">
        <v>169</v>
      </c>
      <c r="C514" s="27">
        <v>45098</v>
      </c>
      <c r="D514" s="27">
        <v>45098</v>
      </c>
      <c r="E514" s="27">
        <v>45093</v>
      </c>
      <c r="F514" s="27">
        <v>45457</v>
      </c>
      <c r="G514" s="13" t="str">
        <f t="shared" si="176"/>
        <v>000-513/AIB RDC/2023</v>
      </c>
      <c r="H514" s="1">
        <v>0</v>
      </c>
      <c r="I514" s="1" t="s">
        <v>83</v>
      </c>
      <c r="J514" s="45" t="s">
        <v>755</v>
      </c>
      <c r="K514" s="2" t="s">
        <v>209</v>
      </c>
      <c r="L514" s="24"/>
      <c r="M514" s="2" t="s">
        <v>95</v>
      </c>
      <c r="N514" s="2" t="s">
        <v>146</v>
      </c>
      <c r="O514" s="2" t="s">
        <v>104</v>
      </c>
      <c r="P514" s="2" t="s">
        <v>105</v>
      </c>
      <c r="Q514" s="2" t="s">
        <v>66</v>
      </c>
      <c r="R514" s="2" t="s">
        <v>66</v>
      </c>
      <c r="S514" s="25">
        <v>245045.23</v>
      </c>
      <c r="T514" s="25">
        <v>576.30999999999995</v>
      </c>
      <c r="U514" s="25">
        <v>0</v>
      </c>
      <c r="V514" s="25">
        <v>0</v>
      </c>
      <c r="W514" s="25">
        <v>15.32</v>
      </c>
      <c r="X514" s="25">
        <v>459.95</v>
      </c>
      <c r="Y514" s="25">
        <v>76.040000000000006</v>
      </c>
      <c r="Z514" s="17">
        <f t="shared" si="177"/>
        <v>1.8770004215140201E-3</v>
      </c>
      <c r="AA514" s="18">
        <v>0.15</v>
      </c>
      <c r="AB514" s="16">
        <f t="shared" si="194"/>
        <v>68.992499999999993</v>
      </c>
      <c r="AC514" s="16">
        <v>0</v>
      </c>
      <c r="AD514" s="16">
        <v>0</v>
      </c>
      <c r="AE514" s="16">
        <v>0</v>
      </c>
      <c r="AF514" s="16">
        <f t="shared" si="178"/>
        <v>68.992499999999993</v>
      </c>
      <c r="AG514" s="16">
        <f t="shared" si="192"/>
        <v>11.038799999999998</v>
      </c>
      <c r="AH514" s="16">
        <f t="shared" si="179"/>
        <v>80.031299999999987</v>
      </c>
      <c r="AI514" s="16">
        <f t="shared" si="193"/>
        <v>1.3798499999999998</v>
      </c>
      <c r="AJ514" s="16">
        <v>0</v>
      </c>
      <c r="AK514" s="16">
        <f t="shared" si="180"/>
        <v>1.3798499999999998</v>
      </c>
      <c r="AL514" s="19"/>
      <c r="AM514" s="16">
        <f t="shared" si="189"/>
        <v>67.612649999999988</v>
      </c>
      <c r="AN514" s="16" t="s">
        <v>147</v>
      </c>
      <c r="AO514" s="20">
        <v>0.4</v>
      </c>
      <c r="AP514" s="16">
        <f t="shared" si="182"/>
        <v>27.045059999999996</v>
      </c>
      <c r="AQ514" s="16">
        <v>27.045059999999996</v>
      </c>
      <c r="AR514" s="15">
        <v>45229</v>
      </c>
      <c r="AS514" s="16">
        <f t="shared" si="183"/>
        <v>0</v>
      </c>
      <c r="AT514" s="16"/>
      <c r="AU514" s="16">
        <v>80.031299999999987</v>
      </c>
      <c r="AV514" s="16">
        <f t="shared" si="190"/>
        <v>80.031299999999987</v>
      </c>
      <c r="AW514" s="16">
        <f t="shared" si="184"/>
        <v>0</v>
      </c>
      <c r="AX514" s="16" t="str">
        <f t="shared" si="185"/>
        <v>SFA</v>
      </c>
      <c r="AY514" s="22">
        <v>45135</v>
      </c>
      <c r="AZ514" s="22"/>
      <c r="BA514" s="1" t="s">
        <v>148</v>
      </c>
      <c r="BB514" s="22" t="str">
        <f t="shared" si="191"/>
        <v>MARINE CARGO / GIT</v>
      </c>
      <c r="BC514" s="1"/>
      <c r="BD514" s="1"/>
      <c r="BE514" s="1"/>
    </row>
    <row r="515" spans="1:57" ht="15.75" hidden="1" customHeight="1">
      <c r="A515" s="2" t="s">
        <v>212</v>
      </c>
      <c r="B515" s="1" t="s">
        <v>58</v>
      </c>
      <c r="C515" s="27">
        <v>45113</v>
      </c>
      <c r="D515" s="27">
        <v>45113</v>
      </c>
      <c r="E515" s="27">
        <v>45103</v>
      </c>
      <c r="F515" s="27">
        <v>45250</v>
      </c>
      <c r="G515" s="13" t="str">
        <f t="shared" si="176"/>
        <v>000-514/AIB RDC/2023</v>
      </c>
      <c r="H515" s="1">
        <v>0</v>
      </c>
      <c r="I515" s="1" t="s">
        <v>83</v>
      </c>
      <c r="J515" s="2" t="s">
        <v>756</v>
      </c>
      <c r="K515" s="2" t="s">
        <v>757</v>
      </c>
      <c r="L515" s="1"/>
      <c r="M515" s="1" t="s">
        <v>99</v>
      </c>
      <c r="N515" s="1" t="s">
        <v>100</v>
      </c>
      <c r="O515" s="1" t="s">
        <v>133</v>
      </c>
      <c r="P515" s="1" t="s">
        <v>134</v>
      </c>
      <c r="Q515" s="1" t="s">
        <v>117</v>
      </c>
      <c r="R515" s="1" t="s">
        <v>117</v>
      </c>
      <c r="S515" s="25">
        <v>14000</v>
      </c>
      <c r="T515" s="25">
        <v>827.66</v>
      </c>
      <c r="U515" s="25">
        <v>0</v>
      </c>
      <c r="V515" s="25">
        <v>0</v>
      </c>
      <c r="W515" s="25">
        <v>10</v>
      </c>
      <c r="X515" s="25">
        <v>703.5</v>
      </c>
      <c r="Y515" s="25">
        <v>114.16</v>
      </c>
      <c r="Z515" s="17">
        <f t="shared" si="177"/>
        <v>5.0250000000000003E-2</v>
      </c>
      <c r="AA515" s="18">
        <v>0.15</v>
      </c>
      <c r="AB515" s="16">
        <f t="shared" si="194"/>
        <v>105.52499999999999</v>
      </c>
      <c r="AC515" s="16">
        <v>0</v>
      </c>
      <c r="AD515" s="16">
        <v>0</v>
      </c>
      <c r="AE515" s="16">
        <v>0</v>
      </c>
      <c r="AF515" s="16">
        <f t="shared" si="178"/>
        <v>105.52499999999999</v>
      </c>
      <c r="AG515" s="16">
        <f t="shared" si="192"/>
        <v>16.884</v>
      </c>
      <c r="AH515" s="16">
        <f t="shared" si="179"/>
        <v>122.40899999999999</v>
      </c>
      <c r="AI515" s="16">
        <f t="shared" si="193"/>
        <v>2.1105</v>
      </c>
      <c r="AJ515" s="16">
        <v>0</v>
      </c>
      <c r="AK515" s="16">
        <f t="shared" si="180"/>
        <v>2.1105</v>
      </c>
      <c r="AL515" s="19"/>
      <c r="AM515" s="16">
        <f t="shared" si="189"/>
        <v>103.41449999999999</v>
      </c>
      <c r="AN515" s="16"/>
      <c r="AO515" s="20"/>
      <c r="AP515" s="16">
        <f t="shared" si="182"/>
        <v>0</v>
      </c>
      <c r="AQ515" s="16"/>
      <c r="AR515" s="15"/>
      <c r="AS515" s="16">
        <f t="shared" si="183"/>
        <v>0</v>
      </c>
      <c r="AT515" s="16"/>
      <c r="AU515" s="16">
        <v>122.40899999999999</v>
      </c>
      <c r="AV515" s="16">
        <f t="shared" si="190"/>
        <v>122.40899999999999</v>
      </c>
      <c r="AW515" s="16">
        <f t="shared" si="184"/>
        <v>0</v>
      </c>
      <c r="AX515" s="16" t="str">
        <f t="shared" si="185"/>
        <v>SUNU</v>
      </c>
      <c r="AY515" s="22">
        <v>45175</v>
      </c>
      <c r="AZ515" s="22"/>
      <c r="BA515" s="1"/>
      <c r="BB515" s="22"/>
      <c r="BC515" s="1"/>
      <c r="BD515" s="1"/>
      <c r="BE515" s="1"/>
    </row>
    <row r="516" spans="1:57" ht="15.75" customHeight="1">
      <c r="A516" s="2" t="s">
        <v>871</v>
      </c>
      <c r="B516" s="1" t="s">
        <v>169</v>
      </c>
      <c r="C516" s="27">
        <v>45056</v>
      </c>
      <c r="D516" s="27"/>
      <c r="E516" s="27">
        <v>45139</v>
      </c>
      <c r="F516" s="27">
        <v>44934</v>
      </c>
      <c r="G516" s="13" t="str">
        <f t="shared" si="176"/>
        <v>000-515/AIB RDC/2023</v>
      </c>
      <c r="H516" s="1">
        <v>0</v>
      </c>
      <c r="I516" s="1" t="s">
        <v>860</v>
      </c>
      <c r="J516" s="29"/>
      <c r="K516" s="2" t="s">
        <v>1111</v>
      </c>
      <c r="L516" s="1" t="s">
        <v>116</v>
      </c>
      <c r="M516" s="1" t="s">
        <v>63</v>
      </c>
      <c r="N516" s="1" t="s">
        <v>64</v>
      </c>
      <c r="O516" s="1" t="s">
        <v>250</v>
      </c>
      <c r="P516" s="1" t="s">
        <v>251</v>
      </c>
      <c r="Q516" s="1" t="s">
        <v>66</v>
      </c>
      <c r="R516" s="1" t="s">
        <v>1112</v>
      </c>
      <c r="S516" s="25">
        <v>0</v>
      </c>
      <c r="T516" s="25">
        <v>2021234.49</v>
      </c>
      <c r="U516" s="25">
        <v>256921.59</v>
      </c>
      <c r="V516" s="25">
        <v>-193540.06</v>
      </c>
      <c r="W516" s="25">
        <v>100</v>
      </c>
      <c r="X516" s="25">
        <v>1455889</v>
      </c>
      <c r="Y516" s="25">
        <v>274065.69</v>
      </c>
      <c r="Z516" s="17" t="e">
        <f t="shared" si="177"/>
        <v>#DIV/0!</v>
      </c>
      <c r="AA516" s="18">
        <v>0</v>
      </c>
      <c r="AB516" s="16">
        <f t="shared" si="194"/>
        <v>0</v>
      </c>
      <c r="AC516" s="16">
        <f>30%*(U516+V516)</f>
        <v>19014.458999999999</v>
      </c>
      <c r="AD516" s="16">
        <v>0</v>
      </c>
      <c r="AE516" s="16">
        <v>0</v>
      </c>
      <c r="AF516" s="16">
        <f t="shared" si="178"/>
        <v>19014.458999999999</v>
      </c>
      <c r="AG516" s="16">
        <f t="shared" si="192"/>
        <v>3042.3134399999999</v>
      </c>
      <c r="AH516" s="16">
        <f t="shared" si="179"/>
        <v>22056.772440000001</v>
      </c>
      <c r="AI516" s="16">
        <f t="shared" si="193"/>
        <v>380.28917999999999</v>
      </c>
      <c r="AJ516" s="16">
        <v>0</v>
      </c>
      <c r="AK516" s="16">
        <f t="shared" si="180"/>
        <v>380.28917999999999</v>
      </c>
      <c r="AL516" s="19"/>
      <c r="AM516" s="16">
        <f t="shared" si="189"/>
        <v>18634.169819999999</v>
      </c>
      <c r="AN516" s="16" t="s">
        <v>228</v>
      </c>
      <c r="AO516" s="20"/>
      <c r="AP516" s="16">
        <f t="shared" si="182"/>
        <v>0</v>
      </c>
      <c r="AQ516" s="16"/>
      <c r="AR516" s="15"/>
      <c r="AS516" s="16">
        <f t="shared" si="183"/>
        <v>0</v>
      </c>
      <c r="AT516" s="16"/>
      <c r="AU516" s="16"/>
      <c r="AV516" s="16">
        <f t="shared" si="190"/>
        <v>22056.772440000001</v>
      </c>
      <c r="AW516" s="60">
        <f t="shared" si="184"/>
        <v>22056.772440000001</v>
      </c>
      <c r="AX516" s="16" t="str">
        <f t="shared" si="185"/>
        <v>SFA</v>
      </c>
      <c r="AY516" s="22"/>
      <c r="BA516" s="1"/>
      <c r="BB516" s="22" t="str">
        <f>O516</f>
        <v>AVIATION HULL ALL RISK</v>
      </c>
      <c r="BC516" s="1"/>
      <c r="BD516" s="1"/>
      <c r="BE516" s="1"/>
    </row>
    <row r="517" spans="1:57" ht="15.75" hidden="1" customHeight="1">
      <c r="A517" s="2" t="s">
        <v>212</v>
      </c>
      <c r="B517" s="1" t="s">
        <v>58</v>
      </c>
      <c r="C517" s="27">
        <v>45098</v>
      </c>
      <c r="D517" s="27">
        <v>45098</v>
      </c>
      <c r="E517" s="27">
        <v>45037</v>
      </c>
      <c r="F517" s="27">
        <v>45401</v>
      </c>
      <c r="G517" s="13" t="str">
        <f t="shared" si="176"/>
        <v>000-516/AIB RDC/2023</v>
      </c>
      <c r="H517" s="1">
        <v>0</v>
      </c>
      <c r="I517" s="1" t="s">
        <v>83</v>
      </c>
      <c r="J517" s="45" t="s">
        <v>759</v>
      </c>
      <c r="K517" s="2" t="s">
        <v>209</v>
      </c>
      <c r="L517" s="24"/>
      <c r="M517" s="2" t="s">
        <v>95</v>
      </c>
      <c r="N517" s="2" t="s">
        <v>146</v>
      </c>
      <c r="O517" s="2" t="s">
        <v>104</v>
      </c>
      <c r="P517" s="2" t="s">
        <v>105</v>
      </c>
      <c r="Q517" s="2" t="s">
        <v>66</v>
      </c>
      <c r="R517" s="2" t="s">
        <v>66</v>
      </c>
      <c r="S517" s="25">
        <v>94014.39</v>
      </c>
      <c r="T517" s="25">
        <v>203.01</v>
      </c>
      <c r="U517" s="25">
        <v>0</v>
      </c>
      <c r="V517" s="25">
        <v>0</v>
      </c>
      <c r="W517" s="25">
        <v>6.8</v>
      </c>
      <c r="X517" s="25">
        <v>146.66</v>
      </c>
      <c r="Y517" s="25">
        <v>24.55</v>
      </c>
      <c r="Z517" s="17">
        <f t="shared" si="177"/>
        <v>1.5599739571782575E-3</v>
      </c>
      <c r="AA517" s="18">
        <v>0.15</v>
      </c>
      <c r="AB517" s="16">
        <f t="shared" si="194"/>
        <v>21.998999999999999</v>
      </c>
      <c r="AC517" s="16">
        <v>0</v>
      </c>
      <c r="AD517" s="16">
        <v>0</v>
      </c>
      <c r="AE517" s="16">
        <v>0</v>
      </c>
      <c r="AF517" s="16">
        <f t="shared" si="178"/>
        <v>21.998999999999999</v>
      </c>
      <c r="AG517" s="16">
        <f t="shared" si="192"/>
        <v>3.5198399999999999</v>
      </c>
      <c r="AH517" s="16">
        <f t="shared" si="179"/>
        <v>25.518839999999997</v>
      </c>
      <c r="AI517" s="16">
        <f t="shared" si="193"/>
        <v>0.43997999999999998</v>
      </c>
      <c r="AJ517" s="16">
        <v>0</v>
      </c>
      <c r="AK517" s="16">
        <f t="shared" si="180"/>
        <v>0.43997999999999998</v>
      </c>
      <c r="AL517" s="19"/>
      <c r="AM517" s="16">
        <f t="shared" si="189"/>
        <v>21.55902</v>
      </c>
      <c r="AN517" s="16" t="s">
        <v>147</v>
      </c>
      <c r="AO517" s="20">
        <v>0.4</v>
      </c>
      <c r="AP517" s="16">
        <f t="shared" si="182"/>
        <v>8.6236080000000008</v>
      </c>
      <c r="AQ517" s="16">
        <v>8.6236080000000008</v>
      </c>
      <c r="AR517" s="15">
        <v>45229</v>
      </c>
      <c r="AS517" s="16">
        <f t="shared" si="183"/>
        <v>0</v>
      </c>
      <c r="AT517" s="16"/>
      <c r="AU517" s="16">
        <v>25.518839999999997</v>
      </c>
      <c r="AV517" s="16">
        <f t="shared" ref="AV517:AV552" si="195">AH517</f>
        <v>25.518839999999997</v>
      </c>
      <c r="AW517" s="16">
        <f t="shared" si="184"/>
        <v>0</v>
      </c>
      <c r="AX517" s="16" t="str">
        <f t="shared" si="185"/>
        <v>SFA</v>
      </c>
      <c r="AY517" s="22">
        <v>45135</v>
      </c>
      <c r="AZ517" s="22"/>
      <c r="BA517" s="1" t="s">
        <v>148</v>
      </c>
      <c r="BB517" s="22" t="str">
        <f>O517</f>
        <v>MARINE CARGO / GIT</v>
      </c>
      <c r="BC517" s="1"/>
      <c r="BD517" s="1"/>
      <c r="BE517" s="1"/>
    </row>
    <row r="518" spans="1:57" ht="15.75" hidden="1" customHeight="1">
      <c r="A518" s="2" t="s">
        <v>212</v>
      </c>
      <c r="B518" s="1" t="s">
        <v>169</v>
      </c>
      <c r="C518" s="27">
        <v>45099</v>
      </c>
      <c r="D518" s="27">
        <v>45098</v>
      </c>
      <c r="E518" s="27">
        <v>45085</v>
      </c>
      <c r="F518" s="27">
        <v>45449</v>
      </c>
      <c r="G518" s="13" t="str">
        <f t="shared" ref="G518:G581" si="196">TEXT(ROW(G518)-1,"000-000") &amp; "/AIB RDC/2023"</f>
        <v>000-517/AIB RDC/2023</v>
      </c>
      <c r="H518" s="1">
        <v>0</v>
      </c>
      <c r="I518" s="1" t="s">
        <v>83</v>
      </c>
      <c r="J518" s="45" t="s">
        <v>760</v>
      </c>
      <c r="K518" s="2" t="s">
        <v>209</v>
      </c>
      <c r="L518" s="24"/>
      <c r="M518" s="2" t="s">
        <v>95</v>
      </c>
      <c r="N518" s="2" t="s">
        <v>146</v>
      </c>
      <c r="O518" s="2" t="s">
        <v>104</v>
      </c>
      <c r="P518" s="2" t="s">
        <v>105</v>
      </c>
      <c r="Q518" s="2" t="s">
        <v>66</v>
      </c>
      <c r="R518" s="2" t="s">
        <v>66</v>
      </c>
      <c r="S518" s="25">
        <v>103680</v>
      </c>
      <c r="T518" s="25">
        <v>223.46</v>
      </c>
      <c r="U518" s="25">
        <v>0</v>
      </c>
      <c r="V518" s="25">
        <v>0</v>
      </c>
      <c r="W518" s="25">
        <v>9.35</v>
      </c>
      <c r="X518" s="25">
        <v>161.74</v>
      </c>
      <c r="Y518" s="25">
        <v>27.37</v>
      </c>
      <c r="Z518" s="17">
        <f t="shared" ref="Z518:Z581" si="197">X518/S518</f>
        <v>1.5599922839506174E-3</v>
      </c>
      <c r="AA518" s="18">
        <v>0.15</v>
      </c>
      <c r="AB518" s="16">
        <f t="shared" si="194"/>
        <v>24.260999999999999</v>
      </c>
      <c r="AC518" s="16">
        <v>0</v>
      </c>
      <c r="AD518" s="16">
        <v>0</v>
      </c>
      <c r="AE518" s="16">
        <v>0</v>
      </c>
      <c r="AF518" s="16">
        <f t="shared" ref="AF518:AF581" si="198">SUM(AB518:AE518)</f>
        <v>24.260999999999999</v>
      </c>
      <c r="AG518" s="16">
        <f t="shared" si="192"/>
        <v>3.8817599999999999</v>
      </c>
      <c r="AH518" s="16">
        <f t="shared" ref="AH518:AH581" si="199">AF518+AG518</f>
        <v>28.142759999999999</v>
      </c>
      <c r="AI518" s="16">
        <f t="shared" si="193"/>
        <v>0.48521999999999998</v>
      </c>
      <c r="AJ518" s="16">
        <v>0</v>
      </c>
      <c r="AK518" s="16">
        <f t="shared" ref="AK518:AK581" si="200">AI518-AJ518</f>
        <v>0.48521999999999998</v>
      </c>
      <c r="AL518" s="19"/>
      <c r="AM518" s="16">
        <f t="shared" si="189"/>
        <v>23.775779999999997</v>
      </c>
      <c r="AN518" s="16" t="s">
        <v>147</v>
      </c>
      <c r="AO518" s="20">
        <v>0.4</v>
      </c>
      <c r="AP518" s="16">
        <f t="shared" ref="AP518:AP581" si="201">AO518*AM518</f>
        <v>9.510311999999999</v>
      </c>
      <c r="AQ518" s="16">
        <v>9.510311999999999</v>
      </c>
      <c r="AR518" s="15">
        <v>45229</v>
      </c>
      <c r="AS518" s="16">
        <f t="shared" ref="AS518:AS581" si="202">AP518-AQ518</f>
        <v>0</v>
      </c>
      <c r="AT518" s="16"/>
      <c r="AU518" s="16">
        <v>28.142759999999999</v>
      </c>
      <c r="AV518" s="16">
        <f t="shared" si="195"/>
        <v>28.142759999999999</v>
      </c>
      <c r="AW518" s="16">
        <f t="shared" ref="AW518:AW581" si="203">AV518-AU518</f>
        <v>0</v>
      </c>
      <c r="AX518" s="16" t="str">
        <f t="shared" si="185"/>
        <v>SFA</v>
      </c>
      <c r="AY518" s="22">
        <v>45135</v>
      </c>
      <c r="AZ518" s="22"/>
      <c r="BA518" s="1" t="s">
        <v>148</v>
      </c>
      <c r="BB518" s="22" t="str">
        <f>O518</f>
        <v>MARINE CARGO / GIT</v>
      </c>
      <c r="BC518" s="1"/>
      <c r="BD518" s="1"/>
      <c r="BE518" s="1"/>
    </row>
    <row r="519" spans="1:57" ht="15.75" hidden="1" customHeight="1">
      <c r="A519" s="2" t="s">
        <v>212</v>
      </c>
      <c r="B519" s="1" t="s">
        <v>169</v>
      </c>
      <c r="C519" s="27">
        <v>45099</v>
      </c>
      <c r="D519" s="27">
        <v>45098</v>
      </c>
      <c r="E519" s="27">
        <v>45093</v>
      </c>
      <c r="F519" s="27">
        <v>45457</v>
      </c>
      <c r="G519" s="13" t="str">
        <f t="shared" si="196"/>
        <v>000-518/AIB RDC/2023</v>
      </c>
      <c r="H519" s="1">
        <v>0</v>
      </c>
      <c r="I519" s="1" t="s">
        <v>83</v>
      </c>
      <c r="J519" s="45" t="s">
        <v>761</v>
      </c>
      <c r="K519" s="2" t="s">
        <v>209</v>
      </c>
      <c r="L519" s="24"/>
      <c r="M519" s="2" t="s">
        <v>95</v>
      </c>
      <c r="N519" s="2" t="s">
        <v>146</v>
      </c>
      <c r="O519" s="2" t="s">
        <v>104</v>
      </c>
      <c r="P519" s="2" t="s">
        <v>105</v>
      </c>
      <c r="Q519" s="2" t="s">
        <v>66</v>
      </c>
      <c r="R519" s="2" t="s">
        <v>66</v>
      </c>
      <c r="S519" s="25">
        <v>63521.04</v>
      </c>
      <c r="T519" s="25">
        <v>149.34</v>
      </c>
      <c r="U519" s="25">
        <v>0</v>
      </c>
      <c r="V519" s="25">
        <v>0</v>
      </c>
      <c r="W519" s="25">
        <v>8.1</v>
      </c>
      <c r="X519" s="25">
        <v>99.09</v>
      </c>
      <c r="Y519" s="25">
        <v>17.149999999999999</v>
      </c>
      <c r="Z519" s="17">
        <f t="shared" si="197"/>
        <v>1.5599555674781144E-3</v>
      </c>
      <c r="AA519" s="18">
        <v>0.15</v>
      </c>
      <c r="AB519" s="16">
        <f t="shared" si="194"/>
        <v>14.8635</v>
      </c>
      <c r="AC519" s="16">
        <v>0</v>
      </c>
      <c r="AD519" s="16">
        <v>0</v>
      </c>
      <c r="AE519" s="16">
        <v>0</v>
      </c>
      <c r="AF519" s="16">
        <f t="shared" si="198"/>
        <v>14.8635</v>
      </c>
      <c r="AG519" s="16">
        <f t="shared" si="192"/>
        <v>2.3781600000000003</v>
      </c>
      <c r="AH519" s="16">
        <f t="shared" si="199"/>
        <v>17.24166</v>
      </c>
      <c r="AI519" s="16">
        <f t="shared" si="193"/>
        <v>0.29727000000000003</v>
      </c>
      <c r="AJ519" s="16">
        <v>0</v>
      </c>
      <c r="AK519" s="16">
        <f t="shared" si="200"/>
        <v>0.29727000000000003</v>
      </c>
      <c r="AL519" s="19"/>
      <c r="AM519" s="16">
        <f t="shared" si="189"/>
        <v>14.566230000000001</v>
      </c>
      <c r="AN519" s="16" t="s">
        <v>147</v>
      </c>
      <c r="AO519" s="20">
        <v>0.4</v>
      </c>
      <c r="AP519" s="16">
        <f t="shared" si="201"/>
        <v>5.8264920000000009</v>
      </c>
      <c r="AQ519" s="16">
        <v>5.8264920000000009</v>
      </c>
      <c r="AR519" s="15">
        <v>45229</v>
      </c>
      <c r="AS519" s="16">
        <f t="shared" si="202"/>
        <v>0</v>
      </c>
      <c r="AT519" s="16"/>
      <c r="AU519" s="16">
        <v>17.24166</v>
      </c>
      <c r="AV519" s="16">
        <f t="shared" si="195"/>
        <v>17.24166</v>
      </c>
      <c r="AW519" s="16">
        <f t="shared" si="203"/>
        <v>0</v>
      </c>
      <c r="AX519" s="16" t="str">
        <f t="shared" ref="AX519:AX582" si="204">Q519</f>
        <v>SFA</v>
      </c>
      <c r="AY519" s="22">
        <v>45135</v>
      </c>
      <c r="AZ519" s="22"/>
      <c r="BA519" s="1" t="s">
        <v>148</v>
      </c>
      <c r="BB519" s="22" t="str">
        <f>O519</f>
        <v>MARINE CARGO / GIT</v>
      </c>
      <c r="BC519" s="1"/>
      <c r="BD519" s="1"/>
      <c r="BE519" s="1"/>
    </row>
    <row r="520" spans="1:57" ht="15.75" hidden="1" customHeight="1">
      <c r="A520" s="2" t="s">
        <v>212</v>
      </c>
      <c r="B520" s="1" t="s">
        <v>169</v>
      </c>
      <c r="C520" s="27">
        <v>45099</v>
      </c>
      <c r="D520" s="27">
        <v>45098</v>
      </c>
      <c r="E520" s="27">
        <v>45093</v>
      </c>
      <c r="F520" s="27">
        <v>45457</v>
      </c>
      <c r="G520" s="13" t="str">
        <f t="shared" si="196"/>
        <v>000-519/AIB RDC/2023</v>
      </c>
      <c r="H520" s="1">
        <v>0</v>
      </c>
      <c r="I520" s="1" t="s">
        <v>83</v>
      </c>
      <c r="J520" s="2" t="s">
        <v>762</v>
      </c>
      <c r="K520" s="2" t="s">
        <v>532</v>
      </c>
      <c r="L520" s="24"/>
      <c r="M520" s="2" t="s">
        <v>95</v>
      </c>
      <c r="N520" s="2" t="s">
        <v>146</v>
      </c>
      <c r="O520" s="2" t="s">
        <v>104</v>
      </c>
      <c r="P520" s="2" t="s">
        <v>105</v>
      </c>
      <c r="Q520" s="2" t="s">
        <v>66</v>
      </c>
      <c r="R520" s="2" t="s">
        <v>66</v>
      </c>
      <c r="S520" s="25">
        <v>375888.48</v>
      </c>
      <c r="T520" s="25">
        <v>725.92</v>
      </c>
      <c r="U520" s="25">
        <v>0</v>
      </c>
      <c r="V520" s="25">
        <v>0</v>
      </c>
      <c r="W520" s="25">
        <v>17.850000000000001</v>
      </c>
      <c r="X520" s="25">
        <v>586.39</v>
      </c>
      <c r="Y520" s="25">
        <v>96.68</v>
      </c>
      <c r="Z520" s="17">
        <f t="shared" si="197"/>
        <v>1.5600105648356131E-3</v>
      </c>
      <c r="AA520" s="18">
        <v>0.15</v>
      </c>
      <c r="AB520" s="16">
        <f t="shared" si="194"/>
        <v>87.958500000000001</v>
      </c>
      <c r="AC520" s="16">
        <v>0</v>
      </c>
      <c r="AD520" s="16">
        <v>0</v>
      </c>
      <c r="AE520" s="16">
        <v>0</v>
      </c>
      <c r="AF520" s="16">
        <f t="shared" si="198"/>
        <v>87.958500000000001</v>
      </c>
      <c r="AG520" s="16">
        <f t="shared" si="192"/>
        <v>14.073360000000001</v>
      </c>
      <c r="AH520" s="16">
        <f t="shared" si="199"/>
        <v>102.03185999999999</v>
      </c>
      <c r="AI520" s="16">
        <f t="shared" si="193"/>
        <v>1.7591700000000001</v>
      </c>
      <c r="AJ520" s="16"/>
      <c r="AK520" s="16">
        <f t="shared" si="200"/>
        <v>1.7591700000000001</v>
      </c>
      <c r="AL520" s="19"/>
      <c r="AM520" s="16">
        <f t="shared" si="189"/>
        <v>86.199330000000003</v>
      </c>
      <c r="AN520" s="16" t="s">
        <v>147</v>
      </c>
      <c r="AO520" s="20">
        <v>0.4</v>
      </c>
      <c r="AP520" s="16">
        <f t="shared" si="201"/>
        <v>34.479732000000006</v>
      </c>
      <c r="AQ520" s="16">
        <v>34.479732000000006</v>
      </c>
      <c r="AR520" s="15">
        <v>45229</v>
      </c>
      <c r="AS520" s="16">
        <f t="shared" si="202"/>
        <v>0</v>
      </c>
      <c r="AT520" s="16"/>
      <c r="AU520" s="16">
        <v>102.03185999999999</v>
      </c>
      <c r="AV520" s="16">
        <f t="shared" si="195"/>
        <v>102.03185999999999</v>
      </c>
      <c r="AW520" s="16">
        <f t="shared" si="203"/>
        <v>0</v>
      </c>
      <c r="AX520" s="16" t="str">
        <f t="shared" si="204"/>
        <v>SFA</v>
      </c>
      <c r="AY520" s="22">
        <v>45135</v>
      </c>
      <c r="AZ520" s="22"/>
      <c r="BA520" s="1" t="s">
        <v>148</v>
      </c>
      <c r="BB520" s="1" t="s">
        <v>104</v>
      </c>
      <c r="BC520" s="1"/>
      <c r="BD520" s="1"/>
      <c r="BE520" s="1"/>
    </row>
    <row r="521" spans="1:57" ht="15.75" hidden="1" customHeight="1">
      <c r="A521" s="2" t="s">
        <v>406</v>
      </c>
      <c r="B521" s="1" t="s">
        <v>58</v>
      </c>
      <c r="C521" s="27">
        <v>45100</v>
      </c>
      <c r="D521" s="27">
        <v>45100</v>
      </c>
      <c r="E521" s="27">
        <v>45035</v>
      </c>
      <c r="F521" s="27">
        <v>45399</v>
      </c>
      <c r="G521" s="13" t="str">
        <f t="shared" si="196"/>
        <v>000-520/AIB RDC/2023</v>
      </c>
      <c r="H521" s="1">
        <v>0</v>
      </c>
      <c r="I521" s="1" t="s">
        <v>83</v>
      </c>
      <c r="J521" s="2" t="s">
        <v>763</v>
      </c>
      <c r="K521" s="1" t="s">
        <v>161</v>
      </c>
      <c r="L521" s="24"/>
      <c r="M521" s="2" t="s">
        <v>95</v>
      </c>
      <c r="N521" s="2" t="s">
        <v>146</v>
      </c>
      <c r="O521" s="2" t="s">
        <v>104</v>
      </c>
      <c r="P521" s="2" t="s">
        <v>105</v>
      </c>
      <c r="Q521" s="2" t="s">
        <v>66</v>
      </c>
      <c r="R521" s="2" t="s">
        <v>66</v>
      </c>
      <c r="S521" s="25">
        <v>398460</v>
      </c>
      <c r="T521" s="25">
        <v>1086.83</v>
      </c>
      <c r="U521" s="16">
        <v>0</v>
      </c>
      <c r="V521" s="16">
        <v>0</v>
      </c>
      <c r="W521" s="25">
        <v>30.79</v>
      </c>
      <c r="X521" s="25">
        <v>884.58</v>
      </c>
      <c r="Y521" s="25">
        <v>146.46</v>
      </c>
      <c r="Z521" s="17">
        <f t="shared" si="197"/>
        <v>2.2199969884053607E-3</v>
      </c>
      <c r="AA521" s="18">
        <v>0.15</v>
      </c>
      <c r="AB521" s="16">
        <f t="shared" si="194"/>
        <v>132.68700000000001</v>
      </c>
      <c r="AC521" s="16">
        <v>0</v>
      </c>
      <c r="AD521" s="16">
        <v>0</v>
      </c>
      <c r="AE521" s="16">
        <v>0</v>
      </c>
      <c r="AF521" s="16">
        <f t="shared" si="198"/>
        <v>132.68700000000001</v>
      </c>
      <c r="AG521" s="16">
        <f t="shared" si="192"/>
        <v>21.229920000000003</v>
      </c>
      <c r="AH521" s="16">
        <f t="shared" si="199"/>
        <v>153.91692</v>
      </c>
      <c r="AI521" s="16">
        <f t="shared" si="193"/>
        <v>2.6537400000000004</v>
      </c>
      <c r="AJ521" s="16">
        <v>0</v>
      </c>
      <c r="AK521" s="16">
        <f t="shared" si="200"/>
        <v>2.6537400000000004</v>
      </c>
      <c r="AL521" s="19"/>
      <c r="AM521" s="16">
        <f t="shared" si="189"/>
        <v>130.03326000000001</v>
      </c>
      <c r="AN521" s="16" t="s">
        <v>147</v>
      </c>
      <c r="AO521" s="20">
        <v>0.4</v>
      </c>
      <c r="AP521" s="16">
        <f t="shared" si="201"/>
        <v>52.013304000000005</v>
      </c>
      <c r="AQ521" s="16">
        <v>52.013304000000005</v>
      </c>
      <c r="AR521" s="15">
        <v>45229</v>
      </c>
      <c r="AS521" s="16">
        <f t="shared" si="202"/>
        <v>0</v>
      </c>
      <c r="AT521" s="16"/>
      <c r="AU521" s="16">
        <v>153.91692</v>
      </c>
      <c r="AV521" s="16">
        <f t="shared" si="195"/>
        <v>153.91692</v>
      </c>
      <c r="AW521" s="16">
        <f t="shared" si="203"/>
        <v>0</v>
      </c>
      <c r="AX521" s="16" t="str">
        <f t="shared" si="204"/>
        <v>SFA</v>
      </c>
      <c r="AY521" s="22">
        <v>45135</v>
      </c>
      <c r="AZ521" s="22"/>
      <c r="BA521" s="1" t="s">
        <v>148</v>
      </c>
      <c r="BB521" s="22" t="str">
        <f>O521</f>
        <v>MARINE CARGO / GIT</v>
      </c>
      <c r="BC521" s="1"/>
      <c r="BD521" s="1"/>
      <c r="BE521" s="1"/>
    </row>
    <row r="522" spans="1:57" ht="15.75" hidden="1" customHeight="1">
      <c r="A522" s="2" t="s">
        <v>406</v>
      </c>
      <c r="B522" s="1" t="s">
        <v>58</v>
      </c>
      <c r="C522" s="27">
        <v>45100</v>
      </c>
      <c r="D522" s="27">
        <v>45100</v>
      </c>
      <c r="E522" s="27">
        <v>45035</v>
      </c>
      <c r="F522" s="27">
        <v>45399</v>
      </c>
      <c r="G522" s="13" t="str">
        <f t="shared" si="196"/>
        <v>000-521/AIB RDC/2023</v>
      </c>
      <c r="H522" s="1">
        <v>0</v>
      </c>
      <c r="I522" s="1" t="s">
        <v>83</v>
      </c>
      <c r="J522" s="2" t="s">
        <v>764</v>
      </c>
      <c r="K522" s="1" t="s">
        <v>161</v>
      </c>
      <c r="L522" s="24"/>
      <c r="M522" s="2" t="s">
        <v>95</v>
      </c>
      <c r="N522" s="2" t="s">
        <v>146</v>
      </c>
      <c r="O522" s="2" t="s">
        <v>104</v>
      </c>
      <c r="P522" s="2" t="s">
        <v>105</v>
      </c>
      <c r="Q522" s="2" t="s">
        <v>66</v>
      </c>
      <c r="R522" s="2" t="s">
        <v>66</v>
      </c>
      <c r="S522" s="25">
        <v>57155</v>
      </c>
      <c r="T522" s="25">
        <v>179.31</v>
      </c>
      <c r="U522" s="16">
        <v>0</v>
      </c>
      <c r="V522" s="16">
        <v>0</v>
      </c>
      <c r="W522" s="25">
        <v>6.15</v>
      </c>
      <c r="X522" s="25">
        <v>126.88</v>
      </c>
      <c r="Y522" s="25">
        <v>21.28</v>
      </c>
      <c r="Z522" s="17">
        <f t="shared" si="197"/>
        <v>2.2199282652436356E-3</v>
      </c>
      <c r="AA522" s="18">
        <v>0.15</v>
      </c>
      <c r="AB522" s="16">
        <f t="shared" si="194"/>
        <v>19.032</v>
      </c>
      <c r="AC522" s="16">
        <v>0</v>
      </c>
      <c r="AD522" s="16">
        <v>0</v>
      </c>
      <c r="AE522" s="16">
        <v>0</v>
      </c>
      <c r="AF522" s="16">
        <f t="shared" si="198"/>
        <v>19.032</v>
      </c>
      <c r="AG522" s="16">
        <f t="shared" si="192"/>
        <v>3.0451200000000003</v>
      </c>
      <c r="AH522" s="16">
        <f t="shared" si="199"/>
        <v>22.077120000000001</v>
      </c>
      <c r="AI522" s="16">
        <f t="shared" si="193"/>
        <v>0.38064000000000003</v>
      </c>
      <c r="AJ522" s="16">
        <v>0</v>
      </c>
      <c r="AK522" s="16">
        <f t="shared" si="200"/>
        <v>0.38064000000000003</v>
      </c>
      <c r="AL522" s="19"/>
      <c r="AM522" s="16">
        <f t="shared" si="189"/>
        <v>18.65136</v>
      </c>
      <c r="AN522" s="16" t="s">
        <v>147</v>
      </c>
      <c r="AO522" s="20">
        <v>0.4</v>
      </c>
      <c r="AP522" s="16">
        <f t="shared" si="201"/>
        <v>7.4605440000000005</v>
      </c>
      <c r="AQ522" s="16">
        <v>7.4605440000000005</v>
      </c>
      <c r="AR522" s="15">
        <v>45229</v>
      </c>
      <c r="AS522" s="16">
        <f t="shared" si="202"/>
        <v>0</v>
      </c>
      <c r="AT522" s="16"/>
      <c r="AU522" s="16">
        <v>22.077120000000001</v>
      </c>
      <c r="AV522" s="16">
        <f t="shared" si="195"/>
        <v>22.077120000000001</v>
      </c>
      <c r="AW522" s="16">
        <f t="shared" si="203"/>
        <v>0</v>
      </c>
      <c r="AX522" s="16" t="str">
        <f t="shared" si="204"/>
        <v>SFA</v>
      </c>
      <c r="AY522" s="22">
        <v>45135</v>
      </c>
      <c r="AZ522" s="22"/>
      <c r="BA522" s="1" t="s">
        <v>148</v>
      </c>
      <c r="BB522" s="22" t="str">
        <f>O522</f>
        <v>MARINE CARGO / GIT</v>
      </c>
      <c r="BC522" s="1"/>
      <c r="BD522" s="1"/>
      <c r="BE522" s="1"/>
    </row>
    <row r="523" spans="1:57" ht="15.75" hidden="1" customHeight="1">
      <c r="A523" s="2" t="s">
        <v>57</v>
      </c>
      <c r="B523" s="1" t="s">
        <v>58</v>
      </c>
      <c r="C523" s="27">
        <v>45100</v>
      </c>
      <c r="D523" s="27">
        <v>45015</v>
      </c>
      <c r="E523" s="27">
        <v>44927</v>
      </c>
      <c r="F523" s="27">
        <v>45291</v>
      </c>
      <c r="G523" s="13" t="str">
        <f t="shared" si="196"/>
        <v>000-522/AIB RDC/2023</v>
      </c>
      <c r="H523" s="1">
        <v>0</v>
      </c>
      <c r="I523" s="1" t="s">
        <v>83</v>
      </c>
      <c r="J523" s="2" t="s">
        <v>765</v>
      </c>
      <c r="K523" s="1" t="s">
        <v>73</v>
      </c>
      <c r="L523" s="24"/>
      <c r="M523" s="1" t="s">
        <v>63</v>
      </c>
      <c r="N523" s="1" t="s">
        <v>64</v>
      </c>
      <c r="O523" s="2" t="s">
        <v>309</v>
      </c>
      <c r="P523" s="2" t="s">
        <v>234</v>
      </c>
      <c r="Q523" s="2" t="s">
        <v>76</v>
      </c>
      <c r="R523" s="2" t="s">
        <v>76</v>
      </c>
      <c r="S523" s="25">
        <v>0</v>
      </c>
      <c r="T523" s="25">
        <v>5578.94</v>
      </c>
      <c r="U523" s="25">
        <v>0</v>
      </c>
      <c r="V523" s="25">
        <v>0</v>
      </c>
      <c r="W523" s="25">
        <v>47.62</v>
      </c>
      <c r="X523" s="25">
        <v>4761.8100000000004</v>
      </c>
      <c r="Y523" s="25">
        <v>769.51</v>
      </c>
      <c r="Z523" s="17" t="e">
        <f t="shared" si="197"/>
        <v>#DIV/0!</v>
      </c>
      <c r="AA523" s="18">
        <v>0.15</v>
      </c>
      <c r="AB523" s="16">
        <f t="shared" si="194"/>
        <v>714.27150000000006</v>
      </c>
      <c r="AC523" s="16">
        <v>0</v>
      </c>
      <c r="AD523" s="16">
        <v>0</v>
      </c>
      <c r="AE523" s="16">
        <v>0</v>
      </c>
      <c r="AF523" s="16">
        <f t="shared" si="198"/>
        <v>714.27150000000006</v>
      </c>
      <c r="AG523" s="16">
        <f t="shared" si="192"/>
        <v>114.28344000000001</v>
      </c>
      <c r="AH523" s="16">
        <f t="shared" si="199"/>
        <v>828.5549400000001</v>
      </c>
      <c r="AI523" s="16">
        <f t="shared" si="193"/>
        <v>14.285430000000002</v>
      </c>
      <c r="AJ523" s="16">
        <v>0</v>
      </c>
      <c r="AK523" s="16">
        <f t="shared" si="200"/>
        <v>14.285430000000002</v>
      </c>
      <c r="AL523" s="19"/>
      <c r="AM523" s="16">
        <f t="shared" si="189"/>
        <v>699.98607000000004</v>
      </c>
      <c r="AN523" s="16" t="s">
        <v>77</v>
      </c>
      <c r="AO523" s="20"/>
      <c r="AP523" s="16">
        <f t="shared" si="201"/>
        <v>0</v>
      </c>
      <c r="AQ523" s="16"/>
      <c r="AR523" s="15"/>
      <c r="AS523" s="16">
        <f t="shared" si="202"/>
        <v>0</v>
      </c>
      <c r="AT523" s="16"/>
      <c r="AU523" s="16">
        <v>828.5549400000001</v>
      </c>
      <c r="AV523" s="16">
        <f t="shared" si="195"/>
        <v>828.5549400000001</v>
      </c>
      <c r="AW523" s="16">
        <f t="shared" si="203"/>
        <v>0</v>
      </c>
      <c r="AX523" s="16" t="str">
        <f t="shared" si="204"/>
        <v>ACTIVA</v>
      </c>
      <c r="AY523" s="22">
        <v>45114</v>
      </c>
      <c r="AZ523" s="22"/>
      <c r="BA523" s="1"/>
      <c r="BB523" s="22"/>
      <c r="BC523" s="1"/>
      <c r="BD523" s="1"/>
      <c r="BE523" s="1"/>
    </row>
    <row r="524" spans="1:57" ht="15.75" hidden="1" customHeight="1">
      <c r="A524" s="2" t="s">
        <v>57</v>
      </c>
      <c r="B524" s="1" t="s">
        <v>58</v>
      </c>
      <c r="C524" s="27">
        <v>45100</v>
      </c>
      <c r="D524" s="27">
        <v>45027</v>
      </c>
      <c r="E524" s="27">
        <v>44927</v>
      </c>
      <c r="F524" s="27">
        <v>45291</v>
      </c>
      <c r="G524" s="13" t="str">
        <f t="shared" si="196"/>
        <v>000-523/AIB RDC/2023</v>
      </c>
      <c r="H524" s="1">
        <v>1</v>
      </c>
      <c r="I524" s="1" t="s">
        <v>68</v>
      </c>
      <c r="J524" s="2" t="s">
        <v>766</v>
      </c>
      <c r="K524" s="1" t="s">
        <v>73</v>
      </c>
      <c r="L524" s="24"/>
      <c r="M524" s="1" t="s">
        <v>63</v>
      </c>
      <c r="N524" s="1" t="s">
        <v>64</v>
      </c>
      <c r="O524" s="2" t="s">
        <v>104</v>
      </c>
      <c r="P524" s="2" t="s">
        <v>105</v>
      </c>
      <c r="Q524" s="2" t="s">
        <v>76</v>
      </c>
      <c r="R524" s="2" t="s">
        <v>76</v>
      </c>
      <c r="S524" s="25">
        <v>0</v>
      </c>
      <c r="T524" s="25">
        <v>2479.5300000000002</v>
      </c>
      <c r="U524" s="25">
        <v>0</v>
      </c>
      <c r="V524" s="25">
        <v>0</v>
      </c>
      <c r="W524" s="25">
        <v>21.16</v>
      </c>
      <c r="X524" s="25">
        <v>2116.36</v>
      </c>
      <c r="Y524" s="25">
        <v>342</v>
      </c>
      <c r="Z524" s="17" t="e">
        <f t="shared" si="197"/>
        <v>#DIV/0!</v>
      </c>
      <c r="AA524" s="18">
        <v>0.15</v>
      </c>
      <c r="AB524" s="16">
        <f t="shared" si="194"/>
        <v>317.45400000000001</v>
      </c>
      <c r="AC524" s="16">
        <v>0</v>
      </c>
      <c r="AD524" s="16">
        <v>0</v>
      </c>
      <c r="AE524" s="16">
        <v>0</v>
      </c>
      <c r="AF524" s="16">
        <f t="shared" si="198"/>
        <v>317.45400000000001</v>
      </c>
      <c r="AG524" s="16">
        <f t="shared" si="192"/>
        <v>50.792640000000006</v>
      </c>
      <c r="AH524" s="16">
        <f t="shared" si="199"/>
        <v>368.24664000000001</v>
      </c>
      <c r="AI524" s="16">
        <f t="shared" si="193"/>
        <v>6.3490800000000007</v>
      </c>
      <c r="AJ524" s="16">
        <v>0</v>
      </c>
      <c r="AK524" s="16">
        <f t="shared" si="200"/>
        <v>6.3490800000000007</v>
      </c>
      <c r="AL524" s="19"/>
      <c r="AM524" s="16">
        <f t="shared" si="189"/>
        <v>311.10491999999999</v>
      </c>
      <c r="AN524" s="16" t="s">
        <v>77</v>
      </c>
      <c r="AO524" s="20"/>
      <c r="AP524" s="16">
        <f t="shared" si="201"/>
        <v>0</v>
      </c>
      <c r="AQ524" s="16"/>
      <c r="AR524" s="15"/>
      <c r="AS524" s="16">
        <f t="shared" si="202"/>
        <v>0</v>
      </c>
      <c r="AT524" s="16"/>
      <c r="AU524" s="16">
        <v>368.24664000000001</v>
      </c>
      <c r="AV524" s="16">
        <f t="shared" si="195"/>
        <v>368.24664000000001</v>
      </c>
      <c r="AW524" s="16">
        <f t="shared" si="203"/>
        <v>0</v>
      </c>
      <c r="AX524" s="16" t="str">
        <f t="shared" si="204"/>
        <v>ACTIVA</v>
      </c>
      <c r="AY524" s="22">
        <v>45114</v>
      </c>
      <c r="AZ524" s="22"/>
      <c r="BA524" s="1"/>
      <c r="BB524" s="22"/>
      <c r="BC524" s="1"/>
      <c r="BD524" s="1"/>
      <c r="BE524" s="1"/>
    </row>
    <row r="525" spans="1:57" ht="15.75" customHeight="1">
      <c r="A525" s="1" t="s">
        <v>57</v>
      </c>
      <c r="B525" s="1" t="s">
        <v>58</v>
      </c>
      <c r="C525" s="21">
        <v>44933</v>
      </c>
      <c r="D525" s="21">
        <v>45044</v>
      </c>
      <c r="E525" s="21">
        <v>44934</v>
      </c>
      <c r="F525" s="21">
        <v>45299</v>
      </c>
      <c r="G525" s="13" t="str">
        <f t="shared" si="196"/>
        <v>000-524/AIB RDC/2023</v>
      </c>
      <c r="H525" s="1">
        <v>0</v>
      </c>
      <c r="I525" s="1" t="s">
        <v>83</v>
      </c>
      <c r="J525" s="32" t="s">
        <v>248</v>
      </c>
      <c r="K525" s="1" t="s">
        <v>249</v>
      </c>
      <c r="L525" s="1" t="s">
        <v>116</v>
      </c>
      <c r="M525" s="1" t="s">
        <v>63</v>
      </c>
      <c r="N525" s="1" t="s">
        <v>64</v>
      </c>
      <c r="O525" s="1" t="s">
        <v>250</v>
      </c>
      <c r="P525" s="1" t="s">
        <v>251</v>
      </c>
      <c r="Q525" s="1" t="s">
        <v>66</v>
      </c>
      <c r="R525" s="1" t="s">
        <v>252</v>
      </c>
      <c r="S525" s="16">
        <v>0</v>
      </c>
      <c r="T525" s="16">
        <v>2435843.46</v>
      </c>
      <c r="U525" s="16">
        <v>309626.12</v>
      </c>
      <c r="V525" s="16">
        <v>-233242.59</v>
      </c>
      <c r="W525" s="16">
        <v>100</v>
      </c>
      <c r="X525" s="16">
        <v>1754548</v>
      </c>
      <c r="Y525" s="16">
        <v>330283.86</v>
      </c>
      <c r="Z525" s="17" t="e">
        <f t="shared" si="197"/>
        <v>#DIV/0!</v>
      </c>
      <c r="AA525" s="18">
        <v>0</v>
      </c>
      <c r="AB525" s="16">
        <f t="shared" si="194"/>
        <v>0</v>
      </c>
      <c r="AC525" s="16">
        <f>30%*(U525+V525)</f>
        <v>22915.058999999997</v>
      </c>
      <c r="AD525" s="16">
        <v>8620.69</v>
      </c>
      <c r="AE525" s="16">
        <v>0</v>
      </c>
      <c r="AF525" s="16">
        <f t="shared" si="198"/>
        <v>31535.748999999996</v>
      </c>
      <c r="AG525" s="16">
        <f t="shared" si="192"/>
        <v>5045.7198399999997</v>
      </c>
      <c r="AH525" s="16">
        <f t="shared" si="199"/>
        <v>36581.468839999994</v>
      </c>
      <c r="AI525" s="16">
        <f t="shared" si="193"/>
        <v>630.71497999999997</v>
      </c>
      <c r="AJ525" s="16">
        <v>0</v>
      </c>
      <c r="AK525" s="16">
        <f t="shared" si="200"/>
        <v>630.71497999999997</v>
      </c>
      <c r="AL525" s="19"/>
      <c r="AM525" s="16">
        <f t="shared" si="189"/>
        <v>30905.034019999996</v>
      </c>
      <c r="AN525" s="16" t="s">
        <v>228</v>
      </c>
      <c r="AO525" s="20"/>
      <c r="AP525" s="16">
        <f t="shared" si="201"/>
        <v>0</v>
      </c>
      <c r="AQ525" s="16"/>
      <c r="AR525" s="15"/>
      <c r="AS525" s="16">
        <f t="shared" si="202"/>
        <v>0</v>
      </c>
      <c r="AT525" s="16"/>
      <c r="AU525" s="16">
        <f>13290.73+5000</f>
        <v>18290.73</v>
      </c>
      <c r="AV525" s="16">
        <f t="shared" si="195"/>
        <v>36581.468839999994</v>
      </c>
      <c r="AW525" s="60">
        <f t="shared" si="203"/>
        <v>18290.738839999995</v>
      </c>
      <c r="AX525" s="16" t="str">
        <f t="shared" si="204"/>
        <v>SFA</v>
      </c>
      <c r="AY525" s="22">
        <v>45135</v>
      </c>
      <c r="AZ525" s="22"/>
      <c r="BA525" s="1"/>
      <c r="BB525" s="22" t="str">
        <f>O525</f>
        <v>AVIATION HULL ALL RISK</v>
      </c>
      <c r="BC525" s="22"/>
      <c r="BD525" s="22"/>
      <c r="BE525" s="1" t="s">
        <v>253</v>
      </c>
    </row>
    <row r="526" spans="1:57" ht="15.75" customHeight="1">
      <c r="A526" s="2" t="s">
        <v>212</v>
      </c>
      <c r="B526" s="1" t="s">
        <v>169</v>
      </c>
      <c r="C526" s="27">
        <v>45100</v>
      </c>
      <c r="D526" s="27"/>
      <c r="E526" s="27">
        <v>45078</v>
      </c>
      <c r="F526" s="27">
        <v>45139</v>
      </c>
      <c r="G526" s="13" t="str">
        <f t="shared" si="196"/>
        <v>000-525/AIB RDC/2023</v>
      </c>
      <c r="H526" s="1">
        <v>0</v>
      </c>
      <c r="I526" s="1" t="s">
        <v>83</v>
      </c>
      <c r="J526" s="2"/>
      <c r="K526" s="2" t="s">
        <v>501</v>
      </c>
      <c r="L526" s="1" t="s">
        <v>123</v>
      </c>
      <c r="M526" s="1" t="s">
        <v>63</v>
      </c>
      <c r="N526" s="1" t="s">
        <v>71</v>
      </c>
      <c r="O526" s="1" t="s">
        <v>104</v>
      </c>
      <c r="P526" s="1" t="s">
        <v>105</v>
      </c>
      <c r="Q526" s="1" t="s">
        <v>117</v>
      </c>
      <c r="R526" s="1" t="s">
        <v>117</v>
      </c>
      <c r="S526" s="25">
        <v>141015.29</v>
      </c>
      <c r="T526" s="25">
        <v>445.53</v>
      </c>
      <c r="U526" s="25">
        <v>0</v>
      </c>
      <c r="V526" s="25">
        <v>0</v>
      </c>
      <c r="W526" s="25">
        <v>10</v>
      </c>
      <c r="X526" s="25">
        <v>352.53</v>
      </c>
      <c r="Y526" s="25">
        <v>58</v>
      </c>
      <c r="Z526" s="17">
        <f t="shared" si="197"/>
        <v>2.4999416729916306E-3</v>
      </c>
      <c r="AA526" s="18">
        <v>0.15</v>
      </c>
      <c r="AB526" s="16">
        <f t="shared" si="194"/>
        <v>52.879499999999993</v>
      </c>
      <c r="AC526" s="16">
        <v>0</v>
      </c>
      <c r="AD526" s="16">
        <v>0</v>
      </c>
      <c r="AE526" s="16">
        <v>0</v>
      </c>
      <c r="AF526" s="16">
        <f t="shared" si="198"/>
        <v>52.879499999999993</v>
      </c>
      <c r="AG526" s="16">
        <f t="shared" si="192"/>
        <v>8.4607199999999985</v>
      </c>
      <c r="AH526" s="16">
        <f t="shared" si="199"/>
        <v>61.340219999999988</v>
      </c>
      <c r="AI526" s="16">
        <f t="shared" si="193"/>
        <v>1.0575899999999998</v>
      </c>
      <c r="AJ526" s="16">
        <v>0</v>
      </c>
      <c r="AK526" s="16">
        <f t="shared" si="200"/>
        <v>1.0575899999999998</v>
      </c>
      <c r="AL526" s="19"/>
      <c r="AM526" s="16">
        <f t="shared" si="189"/>
        <v>51.821909999999995</v>
      </c>
      <c r="AN526" s="16"/>
      <c r="AO526" s="20"/>
      <c r="AP526" s="16">
        <f t="shared" si="201"/>
        <v>0</v>
      </c>
      <c r="AQ526" s="16"/>
      <c r="AR526" s="15"/>
      <c r="AS526" s="16">
        <f t="shared" si="202"/>
        <v>0</v>
      </c>
      <c r="AT526" s="16"/>
      <c r="AU526" s="16"/>
      <c r="AV526" s="16">
        <f t="shared" si="195"/>
        <v>61.340219999999988</v>
      </c>
      <c r="AW526" s="60">
        <f t="shared" si="203"/>
        <v>61.340219999999988</v>
      </c>
      <c r="AX526" s="16" t="str">
        <f t="shared" si="204"/>
        <v>SUNU</v>
      </c>
      <c r="AY526" s="22"/>
      <c r="AZ526" s="22"/>
      <c r="BA526" s="1"/>
      <c r="BB526" s="22"/>
      <c r="BC526" s="1"/>
      <c r="BD526" s="1"/>
      <c r="BE526" s="1"/>
    </row>
    <row r="527" spans="1:57" ht="15.75" hidden="1" customHeight="1">
      <c r="A527" s="2" t="s">
        <v>230</v>
      </c>
      <c r="B527" s="1" t="s">
        <v>58</v>
      </c>
      <c r="C527" s="27">
        <v>45100</v>
      </c>
      <c r="D527" s="27">
        <v>45068</v>
      </c>
      <c r="E527" s="27">
        <v>45059</v>
      </c>
      <c r="F527" s="27">
        <v>45291</v>
      </c>
      <c r="G527" s="13" t="str">
        <f t="shared" si="196"/>
        <v>000-526/AIB RDC/2023</v>
      </c>
      <c r="H527" s="1">
        <v>2</v>
      </c>
      <c r="I527" s="1" t="s">
        <v>59</v>
      </c>
      <c r="J527" s="2" t="s">
        <v>92</v>
      </c>
      <c r="K527" s="1" t="s">
        <v>93</v>
      </c>
      <c r="L527" s="1" t="s">
        <v>94</v>
      </c>
      <c r="M527" s="2" t="s">
        <v>95</v>
      </c>
      <c r="N527" s="1" t="s">
        <v>434</v>
      </c>
      <c r="O527" s="1" t="s">
        <v>65</v>
      </c>
      <c r="P527" s="1" t="s">
        <v>65</v>
      </c>
      <c r="Q527" s="1" t="s">
        <v>76</v>
      </c>
      <c r="R527" s="1" t="s">
        <v>76</v>
      </c>
      <c r="S527" s="25">
        <v>0</v>
      </c>
      <c r="T527" s="25">
        <v>320.27</v>
      </c>
      <c r="U527" s="25">
        <v>0</v>
      </c>
      <c r="V527" s="25">
        <v>0</v>
      </c>
      <c r="W527" s="25">
        <v>10</v>
      </c>
      <c r="X527" s="25">
        <v>259.2</v>
      </c>
      <c r="Y527" s="25">
        <v>43.07</v>
      </c>
      <c r="Z527" s="17" t="e">
        <f t="shared" si="197"/>
        <v>#DIV/0!</v>
      </c>
      <c r="AA527" s="18">
        <v>0.1</v>
      </c>
      <c r="AB527" s="16">
        <f t="shared" si="194"/>
        <v>25.92</v>
      </c>
      <c r="AC527" s="16">
        <v>0</v>
      </c>
      <c r="AD527" s="16">
        <v>0</v>
      </c>
      <c r="AE527" s="16">
        <v>0</v>
      </c>
      <c r="AF527" s="16">
        <f t="shared" si="198"/>
        <v>25.92</v>
      </c>
      <c r="AG527" s="16">
        <f t="shared" si="192"/>
        <v>4.1472000000000007</v>
      </c>
      <c r="AH527" s="16">
        <f t="shared" si="199"/>
        <v>30.067200000000003</v>
      </c>
      <c r="AI527" s="16">
        <f t="shared" si="193"/>
        <v>0.51840000000000008</v>
      </c>
      <c r="AJ527" s="16">
        <v>0</v>
      </c>
      <c r="AK527" s="16">
        <f t="shared" si="200"/>
        <v>0.51840000000000008</v>
      </c>
      <c r="AL527" s="19"/>
      <c r="AM527" s="16">
        <f t="shared" si="189"/>
        <v>25.401600000000002</v>
      </c>
      <c r="AN527" s="16" t="s">
        <v>77</v>
      </c>
      <c r="AO527" s="20"/>
      <c r="AP527" s="16">
        <f t="shared" si="201"/>
        <v>0</v>
      </c>
      <c r="AQ527" s="16"/>
      <c r="AR527" s="15"/>
      <c r="AS527" s="16">
        <f t="shared" si="202"/>
        <v>0</v>
      </c>
      <c r="AT527" s="16"/>
      <c r="AU527" s="16">
        <v>30.067200000000003</v>
      </c>
      <c r="AV527" s="16">
        <f t="shared" si="195"/>
        <v>30.067200000000003</v>
      </c>
      <c r="AW527" s="16">
        <f t="shared" si="203"/>
        <v>0</v>
      </c>
      <c r="AX527" s="16" t="str">
        <f t="shared" si="204"/>
        <v>ACTIVA</v>
      </c>
      <c r="AY527" s="22">
        <v>45114</v>
      </c>
      <c r="AZ527" s="22"/>
      <c r="BA527" s="1"/>
      <c r="BB527" s="1" t="s">
        <v>65</v>
      </c>
      <c r="BC527" s="1"/>
      <c r="BD527" s="1"/>
      <c r="BE527" s="1"/>
    </row>
    <row r="528" spans="1:57" ht="15.75" hidden="1" customHeight="1">
      <c r="A528" s="2" t="s">
        <v>57</v>
      </c>
      <c r="B528" s="1" t="s">
        <v>58</v>
      </c>
      <c r="C528" s="27">
        <v>45100</v>
      </c>
      <c r="D528" s="27">
        <v>44888</v>
      </c>
      <c r="E528" s="27">
        <v>44927</v>
      </c>
      <c r="F528" s="27">
        <v>45291</v>
      </c>
      <c r="G528" s="13" t="str">
        <f t="shared" si="196"/>
        <v>000-527/AIB RDC/2023</v>
      </c>
      <c r="H528" s="1">
        <v>0</v>
      </c>
      <c r="I528" s="1" t="s">
        <v>83</v>
      </c>
      <c r="J528" s="2" t="s">
        <v>767</v>
      </c>
      <c r="K528" s="1" t="s">
        <v>768</v>
      </c>
      <c r="L528" s="1"/>
      <c r="M528" s="2" t="s">
        <v>74</v>
      </c>
      <c r="N528" s="1" t="s">
        <v>75</v>
      </c>
      <c r="O528" s="1" t="s">
        <v>80</v>
      </c>
      <c r="P528" s="1" t="s">
        <v>81</v>
      </c>
      <c r="Q528" s="1" t="s">
        <v>86</v>
      </c>
      <c r="R528" s="1" t="s">
        <v>86</v>
      </c>
      <c r="S528" s="25">
        <v>0</v>
      </c>
      <c r="T528" s="25">
        <v>25345</v>
      </c>
      <c r="U528" s="25">
        <v>0</v>
      </c>
      <c r="V528" s="25">
        <v>0</v>
      </c>
      <c r="W528" s="25">
        <v>0</v>
      </c>
      <c r="X528" s="25">
        <v>13686.39</v>
      </c>
      <c r="Y528" s="25">
        <v>0</v>
      </c>
      <c r="Z528" s="17" t="e">
        <f t="shared" si="197"/>
        <v>#DIV/0!</v>
      </c>
      <c r="AA528" s="18">
        <v>6.5541753523025423E-2</v>
      </c>
      <c r="AB528" s="16">
        <f t="shared" si="194"/>
        <v>897.02999999999986</v>
      </c>
      <c r="AC528" s="16">
        <v>0</v>
      </c>
      <c r="AD528" s="16">
        <v>0</v>
      </c>
      <c r="AE528" s="16">
        <v>0</v>
      </c>
      <c r="AF528" s="16">
        <f t="shared" si="198"/>
        <v>897.02999999999986</v>
      </c>
      <c r="AG528" s="16">
        <v>0</v>
      </c>
      <c r="AH528" s="16">
        <f t="shared" si="199"/>
        <v>897.02999999999986</v>
      </c>
      <c r="AI528" s="16">
        <f t="shared" si="193"/>
        <v>17.940599999999996</v>
      </c>
      <c r="AJ528" s="16"/>
      <c r="AK528" s="16">
        <f t="shared" si="200"/>
        <v>17.940599999999996</v>
      </c>
      <c r="AL528" s="19"/>
      <c r="AM528" s="16">
        <f t="shared" si="189"/>
        <v>879.08939999999984</v>
      </c>
      <c r="AN528" s="16"/>
      <c r="AO528" s="20">
        <v>0</v>
      </c>
      <c r="AP528" s="16">
        <f t="shared" si="201"/>
        <v>0</v>
      </c>
      <c r="AQ528" s="16"/>
      <c r="AR528" s="15"/>
      <c r="AS528" s="16">
        <f t="shared" si="202"/>
        <v>0</v>
      </c>
      <c r="AT528" s="16"/>
      <c r="AU528" s="16">
        <v>897.02999999999986</v>
      </c>
      <c r="AV528" s="16">
        <f t="shared" si="195"/>
        <v>897.02999999999986</v>
      </c>
      <c r="AW528" s="16">
        <f t="shared" si="203"/>
        <v>0</v>
      </c>
      <c r="AX528" s="16" t="str">
        <f t="shared" si="204"/>
        <v>ACTIVA/GGA</v>
      </c>
      <c r="AY528" s="22">
        <v>45146</v>
      </c>
      <c r="AZ528" s="22"/>
      <c r="BA528" s="1"/>
      <c r="BB528" s="22" t="str">
        <f>O528</f>
        <v>MEDICAL</v>
      </c>
      <c r="BC528" s="1"/>
      <c r="BD528" s="1"/>
      <c r="BE528" s="1"/>
    </row>
    <row r="529" spans="1:57" ht="15.75" hidden="1" customHeight="1">
      <c r="A529" s="2" t="s">
        <v>212</v>
      </c>
      <c r="B529" s="1" t="s">
        <v>58</v>
      </c>
      <c r="C529" s="27">
        <v>45103</v>
      </c>
      <c r="D529" s="27">
        <v>45098</v>
      </c>
      <c r="E529" s="27">
        <v>45083</v>
      </c>
      <c r="F529" s="27">
        <v>45447</v>
      </c>
      <c r="G529" s="13" t="str">
        <f t="shared" si="196"/>
        <v>000-528/AIB RDC/2023</v>
      </c>
      <c r="H529" s="1">
        <v>0</v>
      </c>
      <c r="I529" s="1" t="s">
        <v>83</v>
      </c>
      <c r="J529" s="2" t="s">
        <v>769</v>
      </c>
      <c r="K529" s="2" t="s">
        <v>532</v>
      </c>
      <c r="L529" s="1"/>
      <c r="M529" s="2" t="s">
        <v>95</v>
      </c>
      <c r="N529" s="2" t="s">
        <v>146</v>
      </c>
      <c r="O529" s="2" t="s">
        <v>104</v>
      </c>
      <c r="P529" s="2" t="s">
        <v>105</v>
      </c>
      <c r="Q529" s="2" t="s">
        <v>66</v>
      </c>
      <c r="R529" s="2" t="s">
        <v>66</v>
      </c>
      <c r="S529" s="25">
        <v>80230</v>
      </c>
      <c r="T529" s="25">
        <v>209.8</v>
      </c>
      <c r="U529" s="25">
        <v>0</v>
      </c>
      <c r="V529" s="25">
        <v>0</v>
      </c>
      <c r="W529" s="25">
        <v>9.1199999999999992</v>
      </c>
      <c r="X529" s="25">
        <v>150.19</v>
      </c>
      <c r="Y529" s="25">
        <v>25.49</v>
      </c>
      <c r="Z529" s="17">
        <f t="shared" si="197"/>
        <v>1.8719930200673065E-3</v>
      </c>
      <c r="AA529" s="18">
        <v>0.15</v>
      </c>
      <c r="AB529" s="16">
        <f t="shared" si="194"/>
        <v>22.528499999999998</v>
      </c>
      <c r="AC529" s="16">
        <v>0</v>
      </c>
      <c r="AD529" s="16">
        <v>0</v>
      </c>
      <c r="AE529" s="16">
        <v>0</v>
      </c>
      <c r="AF529" s="16">
        <f t="shared" si="198"/>
        <v>22.528499999999998</v>
      </c>
      <c r="AG529" s="16">
        <f t="shared" ref="AG529:AG557" si="205">16%*AF529</f>
        <v>3.6045599999999998</v>
      </c>
      <c r="AH529" s="16">
        <f t="shared" si="199"/>
        <v>26.133059999999997</v>
      </c>
      <c r="AI529" s="16">
        <f t="shared" si="193"/>
        <v>0.45056999999999997</v>
      </c>
      <c r="AJ529" s="16"/>
      <c r="AK529" s="16">
        <f t="shared" si="200"/>
        <v>0.45056999999999997</v>
      </c>
      <c r="AL529" s="19"/>
      <c r="AM529" s="16">
        <f t="shared" si="189"/>
        <v>22.077929999999999</v>
      </c>
      <c r="AN529" s="16" t="s">
        <v>147</v>
      </c>
      <c r="AO529" s="20">
        <v>0.4</v>
      </c>
      <c r="AP529" s="16">
        <f t="shared" si="201"/>
        <v>8.8311720000000005</v>
      </c>
      <c r="AQ529" s="16">
        <v>8.8311720000000005</v>
      </c>
      <c r="AR529" s="15">
        <v>45229</v>
      </c>
      <c r="AS529" s="16">
        <f t="shared" si="202"/>
        <v>0</v>
      </c>
      <c r="AT529" s="16"/>
      <c r="AU529" s="16">
        <v>26.133059999999997</v>
      </c>
      <c r="AV529" s="16">
        <f t="shared" si="195"/>
        <v>26.133059999999997</v>
      </c>
      <c r="AW529" s="16">
        <f t="shared" si="203"/>
        <v>0</v>
      </c>
      <c r="AX529" s="16" t="str">
        <f t="shared" si="204"/>
        <v>SFA</v>
      </c>
      <c r="AY529" s="22">
        <v>45135</v>
      </c>
      <c r="AZ529" s="22"/>
      <c r="BA529" s="1" t="s">
        <v>148</v>
      </c>
      <c r="BB529" s="1" t="s">
        <v>104</v>
      </c>
      <c r="BC529" s="1"/>
      <c r="BD529" s="1"/>
      <c r="BE529" s="1"/>
    </row>
    <row r="530" spans="1:57" ht="15.75" hidden="1" customHeight="1">
      <c r="A530" s="2" t="s">
        <v>770</v>
      </c>
      <c r="B530" s="1" t="s">
        <v>58</v>
      </c>
      <c r="C530" s="27">
        <v>45113</v>
      </c>
      <c r="D530" s="27">
        <v>45112</v>
      </c>
      <c r="E530" s="27">
        <v>45112</v>
      </c>
      <c r="F530" s="27">
        <v>45477</v>
      </c>
      <c r="G530" s="13" t="str">
        <f t="shared" si="196"/>
        <v>000-529/AIB RDC/2023</v>
      </c>
      <c r="H530" s="1">
        <v>0</v>
      </c>
      <c r="I530" s="1" t="s">
        <v>83</v>
      </c>
      <c r="J530" s="2" t="s">
        <v>771</v>
      </c>
      <c r="K530" s="2" t="s">
        <v>772</v>
      </c>
      <c r="L530" s="1"/>
      <c r="M530" s="1" t="s">
        <v>95</v>
      </c>
      <c r="N530" s="1" t="s">
        <v>146</v>
      </c>
      <c r="O530" s="1" t="s">
        <v>104</v>
      </c>
      <c r="P530" s="1" t="s">
        <v>105</v>
      </c>
      <c r="Q530" s="1" t="s">
        <v>66</v>
      </c>
      <c r="R530" s="1" t="s">
        <v>66</v>
      </c>
      <c r="S530" s="25">
        <v>65943</v>
      </c>
      <c r="T530" s="25">
        <v>320.79000000000002</v>
      </c>
      <c r="U530" s="25">
        <v>0</v>
      </c>
      <c r="V530" s="25">
        <v>0</v>
      </c>
      <c r="W530" s="25">
        <v>11</v>
      </c>
      <c r="X530" s="25">
        <v>243.99</v>
      </c>
      <c r="Y530" s="25">
        <v>40.799999999999997</v>
      </c>
      <c r="Z530" s="17">
        <f t="shared" si="197"/>
        <v>3.7000136481506758E-3</v>
      </c>
      <c r="AA530" s="18">
        <v>0.15</v>
      </c>
      <c r="AB530" s="16">
        <f t="shared" si="194"/>
        <v>36.598500000000001</v>
      </c>
      <c r="AC530" s="16">
        <v>0</v>
      </c>
      <c r="AD530" s="16">
        <v>0</v>
      </c>
      <c r="AE530" s="16">
        <v>0</v>
      </c>
      <c r="AF530" s="16">
        <f t="shared" si="198"/>
        <v>36.598500000000001</v>
      </c>
      <c r="AG530" s="16">
        <f t="shared" si="205"/>
        <v>5.8557600000000001</v>
      </c>
      <c r="AH530" s="16">
        <f t="shared" si="199"/>
        <v>42.454260000000005</v>
      </c>
      <c r="AI530" s="16">
        <f t="shared" si="193"/>
        <v>0.73197000000000001</v>
      </c>
      <c r="AJ530" s="16">
        <v>0</v>
      </c>
      <c r="AK530" s="16">
        <f t="shared" si="200"/>
        <v>0.73197000000000001</v>
      </c>
      <c r="AL530" s="19"/>
      <c r="AM530" s="16">
        <f t="shared" si="189"/>
        <v>35.866530000000004</v>
      </c>
      <c r="AN530" s="16" t="s">
        <v>147</v>
      </c>
      <c r="AO530" s="20">
        <v>0.4</v>
      </c>
      <c r="AP530" s="16">
        <f t="shared" si="201"/>
        <v>14.346612000000002</v>
      </c>
      <c r="AQ530" s="16"/>
      <c r="AR530" s="15"/>
      <c r="AS530" s="16">
        <f t="shared" si="202"/>
        <v>14.346612000000002</v>
      </c>
      <c r="AT530" s="16"/>
      <c r="AU530" s="16">
        <v>42.454260000000005</v>
      </c>
      <c r="AV530" s="16">
        <f t="shared" si="195"/>
        <v>42.454260000000005</v>
      </c>
      <c r="AW530" s="16">
        <f t="shared" si="203"/>
        <v>0</v>
      </c>
      <c r="AX530" s="16" t="str">
        <f t="shared" si="204"/>
        <v>SFA</v>
      </c>
      <c r="AY530" s="22">
        <v>45237</v>
      </c>
      <c r="AZ530" s="22"/>
      <c r="BA530" s="1" t="s">
        <v>148</v>
      </c>
      <c r="BB530" s="22" t="str">
        <f>O530</f>
        <v>MARINE CARGO / GIT</v>
      </c>
      <c r="BC530" s="1"/>
      <c r="BD530" s="1"/>
      <c r="BE530" s="1"/>
    </row>
    <row r="531" spans="1:57" ht="15.75" customHeight="1">
      <c r="A531" s="2" t="s">
        <v>157</v>
      </c>
      <c r="B531" s="1" t="s">
        <v>169</v>
      </c>
      <c r="C531" s="27">
        <v>44987</v>
      </c>
      <c r="D531" s="27">
        <v>45015</v>
      </c>
      <c r="E531" s="27">
        <v>44977</v>
      </c>
      <c r="F531" s="27">
        <v>45341</v>
      </c>
      <c r="G531" s="13" t="str">
        <f t="shared" si="196"/>
        <v>000-530/AIB RDC/2023</v>
      </c>
      <c r="H531" s="1">
        <v>1</v>
      </c>
      <c r="I531" s="1" t="s">
        <v>68</v>
      </c>
      <c r="J531" s="2" t="s">
        <v>650</v>
      </c>
      <c r="K531" s="2" t="s">
        <v>651</v>
      </c>
      <c r="L531" s="1"/>
      <c r="M531" s="1" t="s">
        <v>99</v>
      </c>
      <c r="N531" s="1" t="s">
        <v>100</v>
      </c>
      <c r="O531" s="1" t="s">
        <v>284</v>
      </c>
      <c r="P531" s="1" t="s">
        <v>285</v>
      </c>
      <c r="Q531" s="1" t="s">
        <v>127</v>
      </c>
      <c r="R531" s="1" t="s">
        <v>127</v>
      </c>
      <c r="S531" s="25">
        <v>7380069.1799999997</v>
      </c>
      <c r="T531" s="62">
        <v>10921.25</v>
      </c>
      <c r="U531" s="63">
        <v>0</v>
      </c>
      <c r="V531" s="63">
        <v>0</v>
      </c>
      <c r="W531" s="62">
        <v>20</v>
      </c>
      <c r="X531" s="62">
        <v>9235.2900000000009</v>
      </c>
      <c r="Y531" s="62">
        <v>1480.85</v>
      </c>
      <c r="Z531" s="17">
        <f t="shared" si="197"/>
        <v>1.2513825785031463E-3</v>
      </c>
      <c r="AA531" s="18">
        <v>0.15</v>
      </c>
      <c r="AB531" s="16">
        <f t="shared" si="194"/>
        <v>1385.2935</v>
      </c>
      <c r="AC531" s="16">
        <v>0</v>
      </c>
      <c r="AD531" s="16">
        <v>0</v>
      </c>
      <c r="AE531" s="16">
        <v>0</v>
      </c>
      <c r="AF531" s="16">
        <f t="shared" si="198"/>
        <v>1385.2935</v>
      </c>
      <c r="AG531" s="16">
        <f t="shared" si="205"/>
        <v>221.64696000000001</v>
      </c>
      <c r="AH531" s="16">
        <f t="shared" si="199"/>
        <v>1606.94046</v>
      </c>
      <c r="AI531" s="16">
        <f t="shared" si="193"/>
        <v>27.705870000000001</v>
      </c>
      <c r="AJ531" s="16">
        <v>0</v>
      </c>
      <c r="AK531" s="16">
        <f t="shared" si="200"/>
        <v>27.705870000000001</v>
      </c>
      <c r="AL531" s="19"/>
      <c r="AM531" s="16">
        <f t="shared" si="189"/>
        <v>1357.58763</v>
      </c>
      <c r="AN531" s="16"/>
      <c r="AO531" s="20"/>
      <c r="AP531" s="16">
        <f t="shared" si="201"/>
        <v>0</v>
      </c>
      <c r="AQ531" s="16"/>
      <c r="AR531" s="15"/>
      <c r="AS531" s="16">
        <f t="shared" si="202"/>
        <v>0</v>
      </c>
      <c r="AT531" s="16"/>
      <c r="AU531" s="16"/>
      <c r="AV531" s="16">
        <f t="shared" si="195"/>
        <v>1606.94046</v>
      </c>
      <c r="AW531" s="60">
        <f t="shared" si="203"/>
        <v>1606.94046</v>
      </c>
      <c r="AX531" s="16" t="str">
        <f t="shared" si="204"/>
        <v>MAYFAIR</v>
      </c>
      <c r="AY531" s="22"/>
      <c r="AZ531" s="22"/>
      <c r="BA531" s="1"/>
      <c r="BB531" s="22" t="str">
        <f>O531</f>
        <v>PVT</v>
      </c>
      <c r="BC531" s="1"/>
      <c r="BD531" s="1"/>
      <c r="BE531" s="1" t="s">
        <v>281</v>
      </c>
    </row>
    <row r="532" spans="1:57" ht="15.75" hidden="1" customHeight="1">
      <c r="A532" s="2" t="s">
        <v>212</v>
      </c>
      <c r="B532" s="1" t="s">
        <v>58</v>
      </c>
      <c r="C532" s="27">
        <v>45051</v>
      </c>
      <c r="D532" s="27">
        <v>45051</v>
      </c>
      <c r="E532" s="27">
        <v>45080</v>
      </c>
      <c r="F532" s="27">
        <v>45171</v>
      </c>
      <c r="G532" s="13" t="str">
        <f t="shared" si="196"/>
        <v>000-531/AIB RDC/2023</v>
      </c>
      <c r="H532" s="1">
        <v>0</v>
      </c>
      <c r="I532" s="1" t="s">
        <v>83</v>
      </c>
      <c r="J532" s="2" t="s">
        <v>774</v>
      </c>
      <c r="K532" s="2" t="s">
        <v>775</v>
      </c>
      <c r="L532" s="1"/>
      <c r="M532" s="1" t="s">
        <v>99</v>
      </c>
      <c r="N532" s="1" t="s">
        <v>100</v>
      </c>
      <c r="O532" s="1" t="s">
        <v>104</v>
      </c>
      <c r="P532" s="1" t="s">
        <v>105</v>
      </c>
      <c r="Q532" s="1" t="s">
        <v>135</v>
      </c>
      <c r="R532" s="1" t="s">
        <v>135</v>
      </c>
      <c r="S532" s="25">
        <v>17435</v>
      </c>
      <c r="T532" s="25">
        <v>125.95</v>
      </c>
      <c r="U532" s="25">
        <v>0</v>
      </c>
      <c r="V532" s="25">
        <v>0</v>
      </c>
      <c r="W532" s="25">
        <v>37</v>
      </c>
      <c r="X532" s="25">
        <v>69.739999999999995</v>
      </c>
      <c r="Y532" s="25">
        <v>17.079999999999998</v>
      </c>
      <c r="Z532" s="17">
        <f t="shared" si="197"/>
        <v>4.0000000000000001E-3</v>
      </c>
      <c r="AA532" s="18">
        <v>0.15</v>
      </c>
      <c r="AB532" s="16">
        <f t="shared" si="194"/>
        <v>10.460999999999999</v>
      </c>
      <c r="AC532" s="16">
        <v>0</v>
      </c>
      <c r="AD532" s="16">
        <v>0</v>
      </c>
      <c r="AE532" s="16">
        <v>0</v>
      </c>
      <c r="AF532" s="16">
        <f t="shared" si="198"/>
        <v>10.460999999999999</v>
      </c>
      <c r="AG532" s="16">
        <f t="shared" si="205"/>
        <v>1.6737599999999997</v>
      </c>
      <c r="AH532" s="16">
        <f t="shared" si="199"/>
        <v>12.134759999999998</v>
      </c>
      <c r="AI532" s="16">
        <f t="shared" si="193"/>
        <v>0.20921999999999996</v>
      </c>
      <c r="AJ532" s="16">
        <v>0</v>
      </c>
      <c r="AK532" s="16">
        <f t="shared" si="200"/>
        <v>0.20921999999999996</v>
      </c>
      <c r="AL532" s="19"/>
      <c r="AM532" s="16">
        <f t="shared" si="189"/>
        <v>10.251779999999998</v>
      </c>
      <c r="AN532" s="16"/>
      <c r="AO532" s="20"/>
      <c r="AP532" s="16">
        <f t="shared" si="201"/>
        <v>0</v>
      </c>
      <c r="AQ532" s="16"/>
      <c r="AR532" s="15"/>
      <c r="AS532" s="16">
        <f t="shared" si="202"/>
        <v>0</v>
      </c>
      <c r="AT532" s="16"/>
      <c r="AU532" s="16">
        <v>12.134759999999998</v>
      </c>
      <c r="AV532" s="16">
        <f t="shared" si="195"/>
        <v>12.134759999999998</v>
      </c>
      <c r="AW532" s="16">
        <f t="shared" si="203"/>
        <v>0</v>
      </c>
      <c r="AX532" s="16" t="str">
        <f t="shared" si="204"/>
        <v>RAWSUR</v>
      </c>
      <c r="AY532" s="22">
        <v>45153</v>
      </c>
      <c r="AZ532" s="22"/>
      <c r="BA532" s="1"/>
      <c r="BB532" s="22"/>
      <c r="BC532" s="1"/>
      <c r="BD532" s="1"/>
      <c r="BE532" s="1"/>
    </row>
    <row r="533" spans="1:57" ht="15.75" hidden="1" customHeight="1">
      <c r="A533" s="2" t="s">
        <v>212</v>
      </c>
      <c r="B533" s="1" t="s">
        <v>58</v>
      </c>
      <c r="C533" s="27">
        <v>45090</v>
      </c>
      <c r="D533" s="27">
        <v>45089</v>
      </c>
      <c r="E533" s="27">
        <v>45089</v>
      </c>
      <c r="F533" s="27">
        <v>45454</v>
      </c>
      <c r="G533" s="13" t="str">
        <f t="shared" si="196"/>
        <v>000-532/AIB RDC/2023</v>
      </c>
      <c r="H533" s="1">
        <v>0</v>
      </c>
      <c r="I533" s="1" t="s">
        <v>83</v>
      </c>
      <c r="J533" s="2" t="s">
        <v>776</v>
      </c>
      <c r="K533" s="2" t="s">
        <v>777</v>
      </c>
      <c r="L533" s="1"/>
      <c r="M533" s="1" t="s">
        <v>99</v>
      </c>
      <c r="N533" s="1" t="s">
        <v>100</v>
      </c>
      <c r="O533" s="1" t="s">
        <v>65</v>
      </c>
      <c r="P533" s="1" t="s">
        <v>65</v>
      </c>
      <c r="Q533" s="1" t="s">
        <v>127</v>
      </c>
      <c r="R533" s="1" t="s">
        <v>127</v>
      </c>
      <c r="S533" s="25">
        <v>0</v>
      </c>
      <c r="T533" s="25">
        <v>10819.19</v>
      </c>
      <c r="U533" s="25">
        <v>0</v>
      </c>
      <c r="V533" s="25">
        <v>0</v>
      </c>
      <c r="W533" s="25">
        <v>150</v>
      </c>
      <c r="X533" s="25">
        <v>9018.7999999999993</v>
      </c>
      <c r="Y533" s="25">
        <v>147.01</v>
      </c>
      <c r="Z533" s="17" t="e">
        <f t="shared" si="197"/>
        <v>#DIV/0!</v>
      </c>
      <c r="AA533" s="18">
        <v>0.1</v>
      </c>
      <c r="AB533" s="16">
        <f t="shared" si="194"/>
        <v>901.88</v>
      </c>
      <c r="AC533" s="16">
        <v>0</v>
      </c>
      <c r="AD533" s="16">
        <v>0</v>
      </c>
      <c r="AE533" s="16">
        <v>0</v>
      </c>
      <c r="AF533" s="16">
        <f t="shared" si="198"/>
        <v>901.88</v>
      </c>
      <c r="AG533" s="16">
        <f t="shared" si="205"/>
        <v>144.30080000000001</v>
      </c>
      <c r="AH533" s="16">
        <f t="shared" si="199"/>
        <v>1046.1808000000001</v>
      </c>
      <c r="AI533" s="16">
        <f t="shared" ref="AI533:AI557" si="206">2%*(AB533+AC533+AD533)</f>
        <v>18.037600000000001</v>
      </c>
      <c r="AJ533" s="16">
        <v>0</v>
      </c>
      <c r="AK533" s="16">
        <f t="shared" si="200"/>
        <v>18.037600000000001</v>
      </c>
      <c r="AL533" s="19"/>
      <c r="AM533" s="16">
        <f t="shared" si="189"/>
        <v>883.8424</v>
      </c>
      <c r="AN533" s="16"/>
      <c r="AO533" s="20"/>
      <c r="AP533" s="16">
        <f t="shared" si="201"/>
        <v>0</v>
      </c>
      <c r="AQ533" s="16"/>
      <c r="AR533" s="15"/>
      <c r="AS533" s="16">
        <f t="shared" si="202"/>
        <v>0</v>
      </c>
      <c r="AT533" s="16"/>
      <c r="AU533" s="16">
        <v>1046.1808000000001</v>
      </c>
      <c r="AV533" s="16">
        <f t="shared" si="195"/>
        <v>1046.1808000000001</v>
      </c>
      <c r="AW533" s="44">
        <f t="shared" si="203"/>
        <v>0</v>
      </c>
      <c r="AX533" s="16" t="str">
        <f t="shared" si="204"/>
        <v>MAYFAIR</v>
      </c>
      <c r="AY533" s="22">
        <v>45146</v>
      </c>
      <c r="AZ533" s="22"/>
      <c r="BA533" s="1"/>
      <c r="BB533" s="22"/>
      <c r="BC533" s="1"/>
      <c r="BD533" s="1"/>
      <c r="BE533" s="1"/>
    </row>
    <row r="534" spans="1:57" ht="15.75" customHeight="1">
      <c r="A534" s="2" t="s">
        <v>770</v>
      </c>
      <c r="B534" s="1" t="s">
        <v>169</v>
      </c>
      <c r="C534" s="27">
        <v>45131</v>
      </c>
      <c r="D534" s="27">
        <v>45131</v>
      </c>
      <c r="E534" s="27">
        <v>45131</v>
      </c>
      <c r="F534" s="27">
        <v>45232</v>
      </c>
      <c r="G534" s="13" t="str">
        <f t="shared" si="196"/>
        <v>000-533/AIB RDC/2023</v>
      </c>
      <c r="H534" s="1">
        <v>3</v>
      </c>
      <c r="I534" s="1" t="s">
        <v>59</v>
      </c>
      <c r="J534" s="29" t="s">
        <v>897</v>
      </c>
      <c r="K534" s="1" t="s">
        <v>898</v>
      </c>
      <c r="L534" s="1"/>
      <c r="M534" s="1" t="s">
        <v>74</v>
      </c>
      <c r="N534" s="1" t="s">
        <v>75</v>
      </c>
      <c r="O534" s="1" t="s">
        <v>65</v>
      </c>
      <c r="P534" s="1" t="s">
        <v>65</v>
      </c>
      <c r="Q534" s="1" t="s">
        <v>66</v>
      </c>
      <c r="R534" s="1" t="s">
        <v>66</v>
      </c>
      <c r="S534" s="25">
        <v>0</v>
      </c>
      <c r="T534" s="25">
        <v>57.69</v>
      </c>
      <c r="U534" s="25">
        <v>0</v>
      </c>
      <c r="V534" s="25">
        <v>0</v>
      </c>
      <c r="W534" s="25">
        <v>3.63</v>
      </c>
      <c r="X534" s="25">
        <v>46.11</v>
      </c>
      <c r="Y534" s="25">
        <v>7.95</v>
      </c>
      <c r="Z534" s="17" t="e">
        <f t="shared" si="197"/>
        <v>#DIV/0!</v>
      </c>
      <c r="AA534" s="18">
        <v>0.1</v>
      </c>
      <c r="AB534" s="16">
        <f t="shared" si="194"/>
        <v>4.6109999999999998</v>
      </c>
      <c r="AC534" s="16">
        <v>0</v>
      </c>
      <c r="AD534" s="16">
        <v>0</v>
      </c>
      <c r="AE534" s="16">
        <v>0</v>
      </c>
      <c r="AF534" s="16">
        <f t="shared" si="198"/>
        <v>4.6109999999999998</v>
      </c>
      <c r="AG534" s="16">
        <f t="shared" si="205"/>
        <v>0.73775999999999997</v>
      </c>
      <c r="AH534" s="16">
        <f t="shared" si="199"/>
        <v>5.3487599999999995</v>
      </c>
      <c r="AI534" s="16">
        <f t="shared" si="206"/>
        <v>9.2219999999999996E-2</v>
      </c>
      <c r="AJ534" s="16">
        <v>0</v>
      </c>
      <c r="AK534" s="16">
        <f t="shared" si="200"/>
        <v>9.2219999999999996E-2</v>
      </c>
      <c r="AL534" s="19"/>
      <c r="AM534" s="16">
        <f t="shared" si="189"/>
        <v>4.5187799999999996</v>
      </c>
      <c r="AN534" s="16"/>
      <c r="AO534" s="20"/>
      <c r="AP534" s="16">
        <f t="shared" si="201"/>
        <v>0</v>
      </c>
      <c r="AQ534" s="16"/>
      <c r="AR534" s="15"/>
      <c r="AS534" s="16">
        <f t="shared" si="202"/>
        <v>0</v>
      </c>
      <c r="AT534" s="16"/>
      <c r="AU534" s="16"/>
      <c r="AV534" s="16">
        <f t="shared" si="195"/>
        <v>5.3487599999999995</v>
      </c>
      <c r="AW534" s="60">
        <f t="shared" si="203"/>
        <v>5.3487599999999995</v>
      </c>
      <c r="AX534" s="16" t="str">
        <f t="shared" si="204"/>
        <v>SFA</v>
      </c>
      <c r="AY534" s="22"/>
      <c r="AZ534" s="22"/>
      <c r="BA534" s="1"/>
      <c r="BB534" s="1"/>
      <c r="BC534" s="1"/>
      <c r="BD534" s="1"/>
      <c r="BE534" s="1"/>
    </row>
    <row r="535" spans="1:57" ht="15.75" hidden="1" customHeight="1">
      <c r="A535" s="2" t="s">
        <v>770</v>
      </c>
      <c r="B535" s="1" t="s">
        <v>58</v>
      </c>
      <c r="C535" s="27">
        <v>45093</v>
      </c>
      <c r="D535" s="27">
        <v>45124</v>
      </c>
      <c r="E535" s="27">
        <v>45108</v>
      </c>
      <c r="F535" s="27">
        <v>45472</v>
      </c>
      <c r="G535" s="13" t="str">
        <f t="shared" si="196"/>
        <v>000-534/AIB RDC/2023</v>
      </c>
      <c r="H535" s="1">
        <v>0</v>
      </c>
      <c r="I535" s="1" t="s">
        <v>83</v>
      </c>
      <c r="J535" s="45" t="s">
        <v>780</v>
      </c>
      <c r="K535" s="2" t="s">
        <v>135</v>
      </c>
      <c r="L535" s="1" t="s">
        <v>221</v>
      </c>
      <c r="M535" s="1" t="s">
        <v>99</v>
      </c>
      <c r="N535" s="1" t="s">
        <v>100</v>
      </c>
      <c r="O535" s="1" t="s">
        <v>781</v>
      </c>
      <c r="P535" s="1" t="s">
        <v>112</v>
      </c>
      <c r="Q535" s="1" t="s">
        <v>66</v>
      </c>
      <c r="R535" s="1" t="s">
        <v>782</v>
      </c>
      <c r="S535" s="25">
        <v>5000000</v>
      </c>
      <c r="T535" s="25">
        <v>29892.3</v>
      </c>
      <c r="U535" s="25">
        <v>3772.06</v>
      </c>
      <c r="V535" s="25">
        <v>0</v>
      </c>
      <c r="W535" s="25">
        <v>622.16</v>
      </c>
      <c r="X535" s="25">
        <v>21375</v>
      </c>
      <c r="Y535" s="25">
        <v>4123.08</v>
      </c>
      <c r="Z535" s="17">
        <f t="shared" si="197"/>
        <v>4.2750000000000002E-3</v>
      </c>
      <c r="AA535" s="18">
        <v>0</v>
      </c>
      <c r="AB535" s="16">
        <f>AA535*$X$627</f>
        <v>0</v>
      </c>
      <c r="AC535" s="16">
        <v>2565</v>
      </c>
      <c r="AD535" s="16">
        <v>1131.6199999999999</v>
      </c>
      <c r="AE535" s="16">
        <v>0</v>
      </c>
      <c r="AF535" s="16">
        <f t="shared" si="198"/>
        <v>3696.62</v>
      </c>
      <c r="AG535" s="16">
        <f t="shared" si="205"/>
        <v>591.45920000000001</v>
      </c>
      <c r="AH535" s="16">
        <f t="shared" si="199"/>
        <v>4288.0792000000001</v>
      </c>
      <c r="AI535" s="16">
        <f t="shared" si="206"/>
        <v>73.932400000000001</v>
      </c>
      <c r="AJ535" s="16">
        <v>0</v>
      </c>
      <c r="AK535" s="16">
        <f t="shared" si="200"/>
        <v>73.932400000000001</v>
      </c>
      <c r="AL535" s="19"/>
      <c r="AM535" s="16">
        <f t="shared" si="189"/>
        <v>3622.6875999999997</v>
      </c>
      <c r="AN535" s="16"/>
      <c r="AO535" s="20"/>
      <c r="AP535" s="16">
        <f t="shared" si="201"/>
        <v>0</v>
      </c>
      <c r="AQ535" s="16"/>
      <c r="AR535" s="15"/>
      <c r="AS535" s="16">
        <f t="shared" si="202"/>
        <v>0</v>
      </c>
      <c r="AT535" s="16"/>
      <c r="AU535" s="16">
        <v>4288.0792000000001</v>
      </c>
      <c r="AV535" s="16">
        <f t="shared" si="195"/>
        <v>4288.0792000000001</v>
      </c>
      <c r="AW535" s="16">
        <f t="shared" si="203"/>
        <v>0</v>
      </c>
      <c r="AX535" s="16" t="str">
        <f t="shared" si="204"/>
        <v>SFA</v>
      </c>
      <c r="AY535" s="22">
        <v>45163</v>
      </c>
      <c r="AZ535" s="22"/>
      <c r="BA535" s="1"/>
      <c r="BB535" s="22"/>
      <c r="BC535" s="1"/>
      <c r="BD535" s="1"/>
      <c r="BE535" s="1"/>
    </row>
    <row r="536" spans="1:57" ht="15.75" hidden="1" customHeight="1">
      <c r="A536" s="2" t="s">
        <v>212</v>
      </c>
      <c r="B536" s="1" t="s">
        <v>58</v>
      </c>
      <c r="C536" s="27">
        <v>45096</v>
      </c>
      <c r="D536" s="27">
        <v>45163</v>
      </c>
      <c r="E536" s="27">
        <v>45095</v>
      </c>
      <c r="F536" s="27">
        <v>45460</v>
      </c>
      <c r="G536" s="13" t="str">
        <f t="shared" si="196"/>
        <v>000-535/AIB RDC/2023</v>
      </c>
      <c r="H536" s="1">
        <v>0</v>
      </c>
      <c r="I536" s="1" t="s">
        <v>83</v>
      </c>
      <c r="J536" s="2" t="s">
        <v>783</v>
      </c>
      <c r="K536" s="2" t="s">
        <v>150</v>
      </c>
      <c r="L536" s="24" t="s">
        <v>151</v>
      </c>
      <c r="M536" s="1" t="s">
        <v>99</v>
      </c>
      <c r="N536" s="1" t="s">
        <v>100</v>
      </c>
      <c r="O536" s="1" t="s">
        <v>107</v>
      </c>
      <c r="P536" s="1" t="s">
        <v>108</v>
      </c>
      <c r="Q536" s="1" t="s">
        <v>117</v>
      </c>
      <c r="R536" s="1" t="s">
        <v>117</v>
      </c>
      <c r="S536" s="25">
        <v>6000000</v>
      </c>
      <c r="T536" s="25">
        <v>12748.14</v>
      </c>
      <c r="U536" s="25">
        <v>0</v>
      </c>
      <c r="V536" s="25">
        <v>0</v>
      </c>
      <c r="W536" s="25">
        <v>108.8</v>
      </c>
      <c r="X536" s="25">
        <v>10880.97</v>
      </c>
      <c r="Y536" s="25">
        <v>1758.37</v>
      </c>
      <c r="Z536" s="17">
        <f t="shared" si="197"/>
        <v>1.8134949999999998E-3</v>
      </c>
      <c r="AA536" s="18">
        <v>0.15</v>
      </c>
      <c r="AB536" s="16">
        <f t="shared" ref="AB536:AB567" si="207">AA536*X536</f>
        <v>1632.1454999999999</v>
      </c>
      <c r="AC536" s="16">
        <v>0</v>
      </c>
      <c r="AD536" s="16">
        <v>0</v>
      </c>
      <c r="AE536" s="16">
        <v>0</v>
      </c>
      <c r="AF536" s="16">
        <f t="shared" si="198"/>
        <v>1632.1454999999999</v>
      </c>
      <c r="AG536" s="16">
        <f t="shared" si="205"/>
        <v>261.14328</v>
      </c>
      <c r="AH536" s="16">
        <f t="shared" si="199"/>
        <v>1893.2887799999999</v>
      </c>
      <c r="AI536" s="16">
        <f t="shared" si="206"/>
        <v>32.642910000000001</v>
      </c>
      <c r="AJ536" s="16">
        <v>0</v>
      </c>
      <c r="AK536" s="16">
        <f t="shared" si="200"/>
        <v>32.642910000000001</v>
      </c>
      <c r="AL536" s="19"/>
      <c r="AM536" s="16">
        <f t="shared" si="189"/>
        <v>1599.5025899999998</v>
      </c>
      <c r="AN536" s="16"/>
      <c r="AO536" s="20"/>
      <c r="AP536" s="16">
        <f t="shared" si="201"/>
        <v>0</v>
      </c>
      <c r="AQ536" s="16"/>
      <c r="AR536" s="15"/>
      <c r="AS536" s="16">
        <f t="shared" si="202"/>
        <v>0</v>
      </c>
      <c r="AT536" s="16"/>
      <c r="AU536" s="16">
        <v>1893.2887799999999</v>
      </c>
      <c r="AV536" s="16">
        <f t="shared" si="195"/>
        <v>1893.2887799999999</v>
      </c>
      <c r="AW536" s="16">
        <f t="shared" si="203"/>
        <v>0</v>
      </c>
      <c r="AX536" s="16" t="str">
        <f t="shared" si="204"/>
        <v>SUNU</v>
      </c>
      <c r="AY536" s="22">
        <v>45237</v>
      </c>
      <c r="AZ536" s="22"/>
      <c r="BA536" s="1"/>
      <c r="BB536" s="22"/>
      <c r="BC536" s="1"/>
      <c r="BD536" s="1"/>
      <c r="BE536" s="1"/>
    </row>
    <row r="537" spans="1:57" ht="15.75" hidden="1" customHeight="1">
      <c r="A537" s="2" t="s">
        <v>784</v>
      </c>
      <c r="B537" s="1" t="s">
        <v>169</v>
      </c>
      <c r="C537" s="27">
        <v>45097</v>
      </c>
      <c r="D537" s="27">
        <v>45097</v>
      </c>
      <c r="E537" s="27">
        <v>45182</v>
      </c>
      <c r="F537" s="27">
        <v>45547</v>
      </c>
      <c r="G537" s="13" t="str">
        <f t="shared" si="196"/>
        <v>000-536/AIB RDC/2023</v>
      </c>
      <c r="H537" s="1">
        <v>0</v>
      </c>
      <c r="I537" s="1" t="s">
        <v>83</v>
      </c>
      <c r="J537" s="2" t="s">
        <v>785</v>
      </c>
      <c r="K537" s="2" t="s">
        <v>786</v>
      </c>
      <c r="L537" s="1"/>
      <c r="M537" s="1" t="s">
        <v>99</v>
      </c>
      <c r="N537" s="1" t="s">
        <v>100</v>
      </c>
      <c r="O537" s="1" t="s">
        <v>65</v>
      </c>
      <c r="P537" s="1" t="s">
        <v>65</v>
      </c>
      <c r="Q537" s="1" t="s">
        <v>66</v>
      </c>
      <c r="R537" s="1" t="s">
        <v>66</v>
      </c>
      <c r="S537" s="25">
        <v>0</v>
      </c>
      <c r="T537" s="25">
        <v>870.34</v>
      </c>
      <c r="U537" s="25">
        <v>0</v>
      </c>
      <c r="V537" s="25">
        <v>0</v>
      </c>
      <c r="W537" s="25">
        <v>11.08</v>
      </c>
      <c r="X537" s="25">
        <v>739.22</v>
      </c>
      <c r="Y537" s="25">
        <v>120.04</v>
      </c>
      <c r="Z537" s="17" t="e">
        <f t="shared" si="197"/>
        <v>#DIV/0!</v>
      </c>
      <c r="AA537" s="18">
        <v>0.1</v>
      </c>
      <c r="AB537" s="16">
        <f t="shared" si="207"/>
        <v>73.922000000000011</v>
      </c>
      <c r="AC537" s="16">
        <v>0</v>
      </c>
      <c r="AD537" s="16">
        <v>0</v>
      </c>
      <c r="AE537" s="16">
        <v>0</v>
      </c>
      <c r="AF537" s="16">
        <f t="shared" si="198"/>
        <v>73.922000000000011</v>
      </c>
      <c r="AG537" s="16">
        <f t="shared" si="205"/>
        <v>11.827520000000002</v>
      </c>
      <c r="AH537" s="16">
        <f t="shared" si="199"/>
        <v>85.749520000000018</v>
      </c>
      <c r="AI537" s="16">
        <f t="shared" si="206"/>
        <v>1.4784400000000002</v>
      </c>
      <c r="AJ537" s="16">
        <v>0</v>
      </c>
      <c r="AK537" s="16">
        <f t="shared" si="200"/>
        <v>1.4784400000000002</v>
      </c>
      <c r="AL537" s="19"/>
      <c r="AM537" s="16">
        <f t="shared" si="189"/>
        <v>72.443560000000005</v>
      </c>
      <c r="AN537" s="16"/>
      <c r="AO537" s="20"/>
      <c r="AP537" s="16">
        <f t="shared" si="201"/>
        <v>0</v>
      </c>
      <c r="AQ537" s="16"/>
      <c r="AR537" s="15"/>
      <c r="AS537" s="16">
        <f t="shared" si="202"/>
        <v>0</v>
      </c>
      <c r="AT537" s="16"/>
      <c r="AU537" s="16">
        <v>85.749520000000018</v>
      </c>
      <c r="AV537" s="16">
        <f t="shared" si="195"/>
        <v>85.749520000000018</v>
      </c>
      <c r="AW537" s="16">
        <f t="shared" si="203"/>
        <v>0</v>
      </c>
      <c r="AX537" s="16" t="str">
        <f t="shared" si="204"/>
        <v>SFA</v>
      </c>
      <c r="AY537" s="22">
        <v>45135</v>
      </c>
      <c r="AZ537" s="22"/>
      <c r="BA537" s="1"/>
      <c r="BB537" s="22"/>
      <c r="BC537" s="1"/>
      <c r="BD537" s="1"/>
      <c r="BE537" s="1"/>
    </row>
    <row r="538" spans="1:57" ht="15.75" hidden="1" customHeight="1">
      <c r="A538" s="2" t="s">
        <v>212</v>
      </c>
      <c r="B538" s="1" t="s">
        <v>169</v>
      </c>
      <c r="C538" s="27">
        <v>45097</v>
      </c>
      <c r="D538" s="27">
        <v>45097</v>
      </c>
      <c r="E538" s="27">
        <v>45096</v>
      </c>
      <c r="F538" s="27">
        <v>45461</v>
      </c>
      <c r="G538" s="13" t="str">
        <f t="shared" si="196"/>
        <v>000-537/AIB RDC/2023</v>
      </c>
      <c r="H538" s="1">
        <v>0</v>
      </c>
      <c r="I538" s="1" t="s">
        <v>83</v>
      </c>
      <c r="J538" s="2" t="s">
        <v>787</v>
      </c>
      <c r="K538" s="2" t="s">
        <v>786</v>
      </c>
      <c r="L538" s="1"/>
      <c r="M538" s="1" t="s">
        <v>99</v>
      </c>
      <c r="N538" s="1" t="s">
        <v>100</v>
      </c>
      <c r="O538" s="1" t="s">
        <v>107</v>
      </c>
      <c r="P538" s="1" t="s">
        <v>108</v>
      </c>
      <c r="Q538" s="1" t="s">
        <v>66</v>
      </c>
      <c r="R538" s="1" t="s">
        <v>66</v>
      </c>
      <c r="S538" s="25">
        <v>357000</v>
      </c>
      <c r="T538" s="25">
        <v>1200.29</v>
      </c>
      <c r="U538" s="25">
        <v>0</v>
      </c>
      <c r="V538" s="25">
        <v>0</v>
      </c>
      <c r="W538" s="25">
        <v>51.73</v>
      </c>
      <c r="X538" s="25">
        <v>987.38</v>
      </c>
      <c r="Y538" s="25">
        <v>161.18</v>
      </c>
      <c r="Z538" s="17">
        <f t="shared" si="197"/>
        <v>2.7657703081232494E-3</v>
      </c>
      <c r="AA538" s="18">
        <v>0.1</v>
      </c>
      <c r="AB538" s="16">
        <f t="shared" si="207"/>
        <v>98.738</v>
      </c>
      <c r="AC538" s="16">
        <v>0</v>
      </c>
      <c r="AD538" s="16">
        <v>0</v>
      </c>
      <c r="AE538" s="16">
        <v>0</v>
      </c>
      <c r="AF538" s="16">
        <f t="shared" si="198"/>
        <v>98.738</v>
      </c>
      <c r="AG538" s="16">
        <f t="shared" si="205"/>
        <v>15.798080000000001</v>
      </c>
      <c r="AH538" s="16">
        <f t="shared" si="199"/>
        <v>114.53608</v>
      </c>
      <c r="AI538" s="16">
        <f t="shared" si="206"/>
        <v>1.9747600000000001</v>
      </c>
      <c r="AJ538" s="16">
        <v>0</v>
      </c>
      <c r="AK538" s="16">
        <f t="shared" si="200"/>
        <v>1.9747600000000001</v>
      </c>
      <c r="AL538" s="19"/>
      <c r="AM538" s="16">
        <f t="shared" si="189"/>
        <v>96.763239999999996</v>
      </c>
      <c r="AN538" s="16"/>
      <c r="AO538" s="20"/>
      <c r="AP538" s="16">
        <f t="shared" si="201"/>
        <v>0</v>
      </c>
      <c r="AQ538" s="16"/>
      <c r="AR538" s="15"/>
      <c r="AS538" s="16">
        <f t="shared" si="202"/>
        <v>0</v>
      </c>
      <c r="AT538" s="16"/>
      <c r="AU538" s="16">
        <v>114.53608</v>
      </c>
      <c r="AV538" s="16">
        <f t="shared" si="195"/>
        <v>114.53608</v>
      </c>
      <c r="AW538" s="16">
        <f t="shared" si="203"/>
        <v>0</v>
      </c>
      <c r="AX538" s="16" t="str">
        <f t="shared" si="204"/>
        <v>SFA</v>
      </c>
      <c r="AY538" s="22">
        <v>45135</v>
      </c>
      <c r="AZ538" s="22"/>
      <c r="BA538" s="1"/>
      <c r="BB538" s="22"/>
      <c r="BC538" s="1"/>
      <c r="BD538" s="1"/>
      <c r="BE538" s="1"/>
    </row>
    <row r="539" spans="1:57" ht="15.75" hidden="1" customHeight="1">
      <c r="A539" s="2" t="s">
        <v>212</v>
      </c>
      <c r="B539" s="1" t="s">
        <v>169</v>
      </c>
      <c r="C539" s="27">
        <v>45096</v>
      </c>
      <c r="D539" s="27">
        <v>45096</v>
      </c>
      <c r="E539" s="27">
        <v>45096</v>
      </c>
      <c r="F539" s="27">
        <v>45461</v>
      </c>
      <c r="G539" s="13" t="str">
        <f t="shared" si="196"/>
        <v>000-538/AIB RDC/2023</v>
      </c>
      <c r="H539" s="1">
        <v>0</v>
      </c>
      <c r="I539" s="1" t="s">
        <v>83</v>
      </c>
      <c r="J539" s="2" t="s">
        <v>788</v>
      </c>
      <c r="K539" s="2" t="s">
        <v>786</v>
      </c>
      <c r="L539" s="1"/>
      <c r="M539" s="1" t="s">
        <v>99</v>
      </c>
      <c r="N539" s="1" t="s">
        <v>100</v>
      </c>
      <c r="O539" s="1" t="s">
        <v>101</v>
      </c>
      <c r="P539" s="1" t="s">
        <v>81</v>
      </c>
      <c r="Q539" s="1" t="s">
        <v>117</v>
      </c>
      <c r="R539" s="1" t="s">
        <v>117</v>
      </c>
      <c r="S539" s="25">
        <v>25000</v>
      </c>
      <c r="T539" s="25">
        <v>182.7</v>
      </c>
      <c r="U539" s="25">
        <v>0</v>
      </c>
      <c r="V539" s="25">
        <v>0</v>
      </c>
      <c r="W539" s="25">
        <v>10</v>
      </c>
      <c r="X539" s="25">
        <v>147.5</v>
      </c>
      <c r="Y539" s="25">
        <v>25.2</v>
      </c>
      <c r="Z539" s="17">
        <f t="shared" si="197"/>
        <v>5.8999999999999999E-3</v>
      </c>
      <c r="AA539" s="18">
        <v>0.2</v>
      </c>
      <c r="AB539" s="16">
        <f t="shared" si="207"/>
        <v>29.5</v>
      </c>
      <c r="AC539" s="16">
        <v>0</v>
      </c>
      <c r="AD539" s="16">
        <v>0</v>
      </c>
      <c r="AE539" s="16">
        <v>0</v>
      </c>
      <c r="AF539" s="16">
        <f t="shared" si="198"/>
        <v>29.5</v>
      </c>
      <c r="AG539" s="16">
        <f t="shared" si="205"/>
        <v>4.72</v>
      </c>
      <c r="AH539" s="16">
        <f t="shared" si="199"/>
        <v>34.22</v>
      </c>
      <c r="AI539" s="16">
        <f t="shared" si="206"/>
        <v>0.59</v>
      </c>
      <c r="AJ539" s="16">
        <v>0</v>
      </c>
      <c r="AK539" s="16">
        <f t="shared" si="200"/>
        <v>0.59</v>
      </c>
      <c r="AL539" s="19"/>
      <c r="AM539" s="16">
        <f t="shared" si="189"/>
        <v>28.91</v>
      </c>
      <c r="AN539" s="16"/>
      <c r="AO539" s="20"/>
      <c r="AP539" s="16">
        <f t="shared" si="201"/>
        <v>0</v>
      </c>
      <c r="AQ539" s="16"/>
      <c r="AR539" s="15"/>
      <c r="AS539" s="16">
        <f t="shared" si="202"/>
        <v>0</v>
      </c>
      <c r="AT539" s="16"/>
      <c r="AU539" s="16">
        <v>34.22</v>
      </c>
      <c r="AV539" s="16">
        <f t="shared" si="195"/>
        <v>34.22</v>
      </c>
      <c r="AW539" s="16">
        <f t="shared" si="203"/>
        <v>0</v>
      </c>
      <c r="AX539" s="16" t="str">
        <f t="shared" si="204"/>
        <v>SUNU</v>
      </c>
      <c r="AY539" s="22">
        <v>45166</v>
      </c>
      <c r="AZ539" s="22"/>
      <c r="BA539" s="1"/>
      <c r="BB539" s="22"/>
      <c r="BC539" s="1"/>
      <c r="BD539" s="1"/>
      <c r="BE539" s="1"/>
    </row>
    <row r="540" spans="1:57" ht="15.75" hidden="1" customHeight="1">
      <c r="A540" s="2" t="s">
        <v>212</v>
      </c>
      <c r="B540" s="1" t="s">
        <v>58</v>
      </c>
      <c r="C540" s="27">
        <v>45104</v>
      </c>
      <c r="D540" s="27">
        <v>45104</v>
      </c>
      <c r="E540" s="27">
        <v>45104</v>
      </c>
      <c r="F540" s="27">
        <v>45195</v>
      </c>
      <c r="G540" s="13" t="str">
        <f t="shared" si="196"/>
        <v>000-539/AIB RDC/2023</v>
      </c>
      <c r="H540" s="1">
        <v>0</v>
      </c>
      <c r="I540" s="1" t="s">
        <v>83</v>
      </c>
      <c r="J540" s="45" t="s">
        <v>789</v>
      </c>
      <c r="K540" s="2" t="s">
        <v>370</v>
      </c>
      <c r="L540" s="1"/>
      <c r="M540" s="1" t="s">
        <v>99</v>
      </c>
      <c r="N540" s="1" t="s">
        <v>100</v>
      </c>
      <c r="O540" s="1" t="s">
        <v>104</v>
      </c>
      <c r="P540" s="1" t="s">
        <v>105</v>
      </c>
      <c r="Q540" s="1" t="s">
        <v>66</v>
      </c>
      <c r="R540" s="1" t="s">
        <v>66</v>
      </c>
      <c r="S540" s="25">
        <v>8870.11</v>
      </c>
      <c r="T540" s="25">
        <v>49.85</v>
      </c>
      <c r="U540" s="25">
        <v>0</v>
      </c>
      <c r="V540" s="25">
        <v>0</v>
      </c>
      <c r="W540" s="25">
        <v>6.42</v>
      </c>
      <c r="X540" s="25">
        <v>15</v>
      </c>
      <c r="Y540" s="25">
        <v>3.43</v>
      </c>
      <c r="Z540" s="17">
        <f t="shared" si="197"/>
        <v>1.6910726022563416E-3</v>
      </c>
      <c r="AA540" s="18">
        <v>0.15</v>
      </c>
      <c r="AB540" s="16">
        <f t="shared" si="207"/>
        <v>2.25</v>
      </c>
      <c r="AC540" s="16">
        <v>0</v>
      </c>
      <c r="AD540" s="16">
        <v>0</v>
      </c>
      <c r="AE540" s="16">
        <v>0</v>
      </c>
      <c r="AF540" s="16">
        <f t="shared" si="198"/>
        <v>2.25</v>
      </c>
      <c r="AG540" s="16">
        <f t="shared" si="205"/>
        <v>0.36</v>
      </c>
      <c r="AH540" s="16">
        <f t="shared" si="199"/>
        <v>2.61</v>
      </c>
      <c r="AI540" s="16">
        <f t="shared" si="206"/>
        <v>4.4999999999999998E-2</v>
      </c>
      <c r="AJ540" s="16">
        <v>0</v>
      </c>
      <c r="AK540" s="16">
        <f t="shared" si="200"/>
        <v>4.4999999999999998E-2</v>
      </c>
      <c r="AL540" s="19"/>
      <c r="AM540" s="16">
        <f t="shared" si="189"/>
        <v>2.2050000000000001</v>
      </c>
      <c r="AN540" s="16"/>
      <c r="AO540" s="20"/>
      <c r="AP540" s="16">
        <f t="shared" si="201"/>
        <v>0</v>
      </c>
      <c r="AQ540" s="16"/>
      <c r="AR540" s="15"/>
      <c r="AS540" s="16">
        <f t="shared" si="202"/>
        <v>0</v>
      </c>
      <c r="AT540" s="16"/>
      <c r="AU540" s="16">
        <v>2.61</v>
      </c>
      <c r="AV540" s="16">
        <f t="shared" si="195"/>
        <v>2.61</v>
      </c>
      <c r="AW540" s="16">
        <f t="shared" si="203"/>
        <v>0</v>
      </c>
      <c r="AX540" s="16" t="str">
        <f t="shared" si="204"/>
        <v>SFA</v>
      </c>
      <c r="AY540" s="22">
        <v>45163</v>
      </c>
      <c r="AZ540" s="22"/>
      <c r="BA540" s="1"/>
      <c r="BB540" s="22"/>
      <c r="BC540" s="1"/>
      <c r="BD540" s="1"/>
      <c r="BE540" s="1"/>
    </row>
    <row r="541" spans="1:57" ht="15.75" customHeight="1">
      <c r="A541" s="2" t="s">
        <v>157</v>
      </c>
      <c r="B541" s="1" t="s">
        <v>58</v>
      </c>
      <c r="C541" s="27">
        <v>45020</v>
      </c>
      <c r="D541" s="27"/>
      <c r="E541" s="27">
        <v>44958</v>
      </c>
      <c r="F541" s="27">
        <v>45322</v>
      </c>
      <c r="G541" s="13" t="str">
        <f t="shared" si="196"/>
        <v>000-540/AIB RDC/2023</v>
      </c>
      <c r="H541" s="1">
        <v>1</v>
      </c>
      <c r="I541" s="1" t="s">
        <v>59</v>
      </c>
      <c r="J541" s="1" t="s">
        <v>316</v>
      </c>
      <c r="K541" s="1" t="s">
        <v>317</v>
      </c>
      <c r="L541" s="1" t="s">
        <v>318</v>
      </c>
      <c r="M541" s="1" t="s">
        <v>63</v>
      </c>
      <c r="N541" s="1" t="s">
        <v>71</v>
      </c>
      <c r="O541" s="1" t="s">
        <v>107</v>
      </c>
      <c r="P541" s="1" t="s">
        <v>108</v>
      </c>
      <c r="Q541" s="1" t="s">
        <v>117</v>
      </c>
      <c r="R541" s="1" t="s">
        <v>117</v>
      </c>
      <c r="S541" s="25">
        <v>0</v>
      </c>
      <c r="T541" s="40">
        <v>2269.09</v>
      </c>
      <c r="U541" s="16">
        <v>0</v>
      </c>
      <c r="V541" s="16">
        <v>0</v>
      </c>
      <c r="W541" s="40">
        <v>19.36</v>
      </c>
      <c r="X541" s="40">
        <v>1936.75</v>
      </c>
      <c r="Y541" s="40">
        <v>311.98</v>
      </c>
      <c r="Z541" s="17" t="e">
        <f t="shared" si="197"/>
        <v>#DIV/0!</v>
      </c>
      <c r="AA541" s="41">
        <v>0.1</v>
      </c>
      <c r="AB541" s="16">
        <f t="shared" si="207"/>
        <v>193.67500000000001</v>
      </c>
      <c r="AC541" s="16">
        <v>0</v>
      </c>
      <c r="AD541" s="16">
        <v>0</v>
      </c>
      <c r="AE541" s="16">
        <v>0</v>
      </c>
      <c r="AF541" s="16">
        <f t="shared" si="198"/>
        <v>193.67500000000001</v>
      </c>
      <c r="AG541" s="16">
        <f t="shared" si="205"/>
        <v>30.988000000000003</v>
      </c>
      <c r="AH541" s="16">
        <f t="shared" si="199"/>
        <v>224.66300000000001</v>
      </c>
      <c r="AI541" s="16">
        <f t="shared" si="206"/>
        <v>3.8735000000000004</v>
      </c>
      <c r="AJ541" s="16"/>
      <c r="AK541" s="16">
        <f t="shared" si="200"/>
        <v>3.8735000000000004</v>
      </c>
      <c r="AL541" s="19"/>
      <c r="AM541" s="16">
        <f t="shared" ref="AM541:AM604" si="208">AF541-AI541</f>
        <v>189.8015</v>
      </c>
      <c r="AN541" s="40" t="s">
        <v>319</v>
      </c>
      <c r="AO541" s="42"/>
      <c r="AP541" s="16">
        <f t="shared" si="201"/>
        <v>0</v>
      </c>
      <c r="AQ541" s="16"/>
      <c r="AR541" s="15"/>
      <c r="AS541" s="16">
        <f t="shared" si="202"/>
        <v>0</v>
      </c>
      <c r="AT541" s="16"/>
      <c r="AU541" s="16"/>
      <c r="AV541" s="16">
        <f t="shared" si="195"/>
        <v>224.66300000000001</v>
      </c>
      <c r="AW541" s="60">
        <f t="shared" si="203"/>
        <v>224.66300000000001</v>
      </c>
      <c r="AX541" s="16" t="str">
        <f t="shared" si="204"/>
        <v>SUNU</v>
      </c>
      <c r="AY541" s="22"/>
      <c r="AZ541" s="22"/>
      <c r="BA541" s="1"/>
      <c r="BB541" s="22" t="str">
        <f>O541</f>
        <v>FIRE</v>
      </c>
      <c r="BC541" s="1"/>
      <c r="BD541" s="1"/>
      <c r="BE541" s="1" t="s">
        <v>454</v>
      </c>
    </row>
    <row r="542" spans="1:57" ht="15.75" customHeight="1">
      <c r="A542" s="2" t="s">
        <v>770</v>
      </c>
      <c r="B542" s="1" t="s">
        <v>169</v>
      </c>
      <c r="C542" s="27">
        <v>45156</v>
      </c>
      <c r="D542" s="27"/>
      <c r="E542" s="27">
        <v>45133</v>
      </c>
      <c r="F542" s="21">
        <v>45499</v>
      </c>
      <c r="G542" s="13" t="str">
        <f t="shared" si="196"/>
        <v>000-541/AIB RDC/2023</v>
      </c>
      <c r="H542" s="1">
        <v>0</v>
      </c>
      <c r="I542" s="1" t="s">
        <v>83</v>
      </c>
      <c r="J542" s="14"/>
      <c r="K542" s="1" t="s">
        <v>947</v>
      </c>
      <c r="L542" s="1" t="s">
        <v>948</v>
      </c>
      <c r="M542" s="1" t="s">
        <v>63</v>
      </c>
      <c r="N542" s="1" t="s">
        <v>64</v>
      </c>
      <c r="O542" s="1" t="s">
        <v>781</v>
      </c>
      <c r="P542" s="1" t="s">
        <v>112</v>
      </c>
      <c r="Q542" s="1" t="s">
        <v>117</v>
      </c>
      <c r="R542" s="1" t="s">
        <v>117</v>
      </c>
      <c r="S542" s="25">
        <v>80000000</v>
      </c>
      <c r="T542" s="25">
        <v>35148</v>
      </c>
      <c r="U542" s="25">
        <v>0</v>
      </c>
      <c r="V542" s="25">
        <v>0</v>
      </c>
      <c r="W542" s="25">
        <v>300</v>
      </c>
      <c r="X542" s="25">
        <v>30000</v>
      </c>
      <c r="Y542" s="25">
        <v>4848</v>
      </c>
      <c r="Z542" s="17">
        <f t="shared" si="197"/>
        <v>3.7500000000000001E-4</v>
      </c>
      <c r="AA542" s="18">
        <v>0.1</v>
      </c>
      <c r="AB542" s="16">
        <f t="shared" si="207"/>
        <v>3000</v>
      </c>
      <c r="AC542" s="16">
        <v>0</v>
      </c>
      <c r="AD542" s="16">
        <v>0</v>
      </c>
      <c r="AE542" s="16">
        <v>0</v>
      </c>
      <c r="AF542" s="16">
        <f t="shared" si="198"/>
        <v>3000</v>
      </c>
      <c r="AG542" s="16">
        <f t="shared" si="205"/>
        <v>480</v>
      </c>
      <c r="AH542" s="16">
        <f t="shared" si="199"/>
        <v>3480</v>
      </c>
      <c r="AI542" s="16">
        <f t="shared" si="206"/>
        <v>60</v>
      </c>
      <c r="AJ542" s="16">
        <v>0</v>
      </c>
      <c r="AK542" s="16">
        <f t="shared" si="200"/>
        <v>60</v>
      </c>
      <c r="AL542" s="19"/>
      <c r="AM542" s="16">
        <f t="shared" si="208"/>
        <v>2940</v>
      </c>
      <c r="AN542" s="16" t="s">
        <v>319</v>
      </c>
      <c r="AO542" s="20"/>
      <c r="AP542" s="16">
        <f t="shared" si="201"/>
        <v>0</v>
      </c>
      <c r="AQ542" s="16"/>
      <c r="AR542" s="15"/>
      <c r="AS542" s="16">
        <f t="shared" si="202"/>
        <v>0</v>
      </c>
      <c r="AT542" s="16"/>
      <c r="AU542" s="16"/>
      <c r="AV542" s="16">
        <f t="shared" si="195"/>
        <v>3480</v>
      </c>
      <c r="AW542" s="60">
        <f t="shared" si="203"/>
        <v>3480</v>
      </c>
      <c r="AX542" s="16" t="str">
        <f t="shared" si="204"/>
        <v>SUNU</v>
      </c>
      <c r="AY542" s="22"/>
      <c r="AZ542" s="22"/>
      <c r="BA542" s="1"/>
      <c r="BB542" s="22"/>
      <c r="BC542" s="1"/>
      <c r="BD542" s="1"/>
      <c r="BE542" s="1"/>
    </row>
    <row r="543" spans="1:57" ht="15.75" customHeight="1">
      <c r="A543" s="1" t="s">
        <v>57</v>
      </c>
      <c r="B543" s="1" t="s">
        <v>169</v>
      </c>
      <c r="C543" s="21">
        <v>44959</v>
      </c>
      <c r="D543" s="1" t="s">
        <v>170</v>
      </c>
      <c r="E543" s="1" t="s">
        <v>170</v>
      </c>
      <c r="F543" s="1" t="s">
        <v>170</v>
      </c>
      <c r="G543" s="13" t="str">
        <f t="shared" si="196"/>
        <v>000-542/AIB RDC/2023</v>
      </c>
      <c r="H543" s="1">
        <v>0</v>
      </c>
      <c r="I543" s="1" t="s">
        <v>83</v>
      </c>
      <c r="J543" s="1" t="s">
        <v>171</v>
      </c>
      <c r="K543" s="1" t="s">
        <v>167</v>
      </c>
      <c r="L543" s="15"/>
      <c r="M543" s="1" t="s">
        <v>95</v>
      </c>
      <c r="N543" s="1" t="s">
        <v>146</v>
      </c>
      <c r="O543" s="1" t="s">
        <v>104</v>
      </c>
      <c r="P543" s="1" t="s">
        <v>105</v>
      </c>
      <c r="Q543" s="1" t="s">
        <v>66</v>
      </c>
      <c r="R543" s="1" t="s">
        <v>66</v>
      </c>
      <c r="S543" s="16">
        <v>155580.87</v>
      </c>
      <c r="T543" s="16">
        <v>290.7</v>
      </c>
      <c r="U543" s="16">
        <v>0</v>
      </c>
      <c r="V543" s="16">
        <v>0</v>
      </c>
      <c r="W543" s="16">
        <v>3.64</v>
      </c>
      <c r="X543" s="16">
        <v>242.71</v>
      </c>
      <c r="Y543" s="16">
        <v>39.42</v>
      </c>
      <c r="Z543" s="17">
        <f t="shared" si="197"/>
        <v>1.5600246996947634E-3</v>
      </c>
      <c r="AA543" s="18">
        <v>0.15</v>
      </c>
      <c r="AB543" s="16">
        <f t="shared" si="207"/>
        <v>36.406500000000001</v>
      </c>
      <c r="AC543" s="16">
        <v>0</v>
      </c>
      <c r="AD543" s="16">
        <v>0</v>
      </c>
      <c r="AE543" s="16">
        <v>0</v>
      </c>
      <c r="AF543" s="16">
        <f t="shared" si="198"/>
        <v>36.406500000000001</v>
      </c>
      <c r="AG543" s="16">
        <f t="shared" si="205"/>
        <v>5.8250400000000004</v>
      </c>
      <c r="AH543" s="16">
        <f t="shared" si="199"/>
        <v>42.231540000000003</v>
      </c>
      <c r="AI543" s="16">
        <f t="shared" si="206"/>
        <v>0.72813000000000005</v>
      </c>
      <c r="AJ543" s="16">
        <v>0</v>
      </c>
      <c r="AK543" s="16">
        <f t="shared" si="200"/>
        <v>0.72813000000000005</v>
      </c>
      <c r="AL543" s="19"/>
      <c r="AM543" s="16">
        <f t="shared" si="208"/>
        <v>35.678370000000001</v>
      </c>
      <c r="AN543" s="16" t="s">
        <v>147</v>
      </c>
      <c r="AO543" s="20">
        <v>0.4</v>
      </c>
      <c r="AP543" s="16">
        <f t="shared" si="201"/>
        <v>14.271348000000001</v>
      </c>
      <c r="AQ543" s="16"/>
      <c r="AR543" s="15"/>
      <c r="AS543" s="16">
        <f t="shared" si="202"/>
        <v>14.271348000000001</v>
      </c>
      <c r="AT543" s="16"/>
      <c r="AU543" s="16"/>
      <c r="AV543" s="16">
        <f t="shared" si="195"/>
        <v>42.231540000000003</v>
      </c>
      <c r="AW543" s="60">
        <f t="shared" si="203"/>
        <v>42.231540000000003</v>
      </c>
      <c r="AX543" s="16" t="str">
        <f t="shared" si="204"/>
        <v>SFA</v>
      </c>
      <c r="AY543" s="22"/>
      <c r="AZ543" s="22"/>
      <c r="BA543" s="1" t="s">
        <v>148</v>
      </c>
      <c r="BB543" s="22" t="str">
        <f>O543</f>
        <v>MARINE CARGO / GIT</v>
      </c>
      <c r="BC543" s="22"/>
      <c r="BD543" s="22"/>
      <c r="BE543" s="1" t="s">
        <v>172</v>
      </c>
    </row>
    <row r="544" spans="1:57" ht="15.75" hidden="1" customHeight="1">
      <c r="A544" s="2" t="s">
        <v>212</v>
      </c>
      <c r="B544" s="1" t="s">
        <v>58</v>
      </c>
      <c r="C544" s="27">
        <v>45100</v>
      </c>
      <c r="D544" s="27">
        <v>45100</v>
      </c>
      <c r="E544" s="27">
        <v>45100</v>
      </c>
      <c r="F544" s="27">
        <v>45216</v>
      </c>
      <c r="G544" s="13" t="str">
        <f t="shared" si="196"/>
        <v>000-543/AIB RDC/2023</v>
      </c>
      <c r="H544" s="1">
        <v>6</v>
      </c>
      <c r="I544" s="1" t="s">
        <v>59</v>
      </c>
      <c r="J544" s="2" t="s">
        <v>294</v>
      </c>
      <c r="K544" s="2" t="s">
        <v>295</v>
      </c>
      <c r="L544" s="1"/>
      <c r="M544" s="1" t="s">
        <v>99</v>
      </c>
      <c r="N544" s="1" t="s">
        <v>100</v>
      </c>
      <c r="O544" s="1" t="s">
        <v>65</v>
      </c>
      <c r="P544" s="1" t="s">
        <v>65</v>
      </c>
      <c r="Q544" s="1" t="s">
        <v>66</v>
      </c>
      <c r="R544" s="1" t="s">
        <v>66</v>
      </c>
      <c r="S544" s="25">
        <v>0</v>
      </c>
      <c r="T544" s="25">
        <v>1179.46</v>
      </c>
      <c r="U544" s="25">
        <v>0</v>
      </c>
      <c r="V544" s="25">
        <v>0</v>
      </c>
      <c r="W544" s="25">
        <v>46.19</v>
      </c>
      <c r="X544" s="25">
        <v>970.59</v>
      </c>
      <c r="Y544" s="25">
        <v>162.68</v>
      </c>
      <c r="Z544" s="17" t="e">
        <f t="shared" si="197"/>
        <v>#DIV/0!</v>
      </c>
      <c r="AA544" s="18">
        <v>0.1</v>
      </c>
      <c r="AB544" s="16">
        <f t="shared" si="207"/>
        <v>97.059000000000012</v>
      </c>
      <c r="AC544" s="16">
        <v>0</v>
      </c>
      <c r="AD544" s="16">
        <v>0</v>
      </c>
      <c r="AE544" s="16">
        <v>0</v>
      </c>
      <c r="AF544" s="16">
        <f t="shared" si="198"/>
        <v>97.059000000000012</v>
      </c>
      <c r="AG544" s="16">
        <f t="shared" si="205"/>
        <v>15.529440000000003</v>
      </c>
      <c r="AH544" s="16">
        <f t="shared" si="199"/>
        <v>112.58844000000002</v>
      </c>
      <c r="AI544" s="16">
        <f t="shared" si="206"/>
        <v>1.9411800000000003</v>
      </c>
      <c r="AJ544" s="16">
        <v>0</v>
      </c>
      <c r="AK544" s="16">
        <f t="shared" si="200"/>
        <v>1.9411800000000003</v>
      </c>
      <c r="AL544" s="19"/>
      <c r="AM544" s="16">
        <f t="shared" si="208"/>
        <v>95.117820000000009</v>
      </c>
      <c r="AN544" s="16"/>
      <c r="AO544" s="20"/>
      <c r="AP544" s="16">
        <f t="shared" si="201"/>
        <v>0</v>
      </c>
      <c r="AQ544" s="16"/>
      <c r="AR544" s="15"/>
      <c r="AS544" s="16">
        <f t="shared" si="202"/>
        <v>0</v>
      </c>
      <c r="AT544" s="16"/>
      <c r="AU544" s="16">
        <v>112.58844000000002</v>
      </c>
      <c r="AV544" s="16">
        <f t="shared" si="195"/>
        <v>112.58844000000002</v>
      </c>
      <c r="AW544" s="16">
        <f t="shared" si="203"/>
        <v>0</v>
      </c>
      <c r="AX544" s="16" t="str">
        <f t="shared" si="204"/>
        <v>SFA</v>
      </c>
      <c r="AY544" s="22">
        <v>45135</v>
      </c>
      <c r="AZ544" s="22"/>
      <c r="BA544" s="1"/>
      <c r="BB544" s="22"/>
      <c r="BC544" s="1"/>
      <c r="BD544" s="1"/>
      <c r="BE544" s="1"/>
    </row>
    <row r="545" spans="1:57" ht="15.75" hidden="1" customHeight="1">
      <c r="A545" s="2" t="s">
        <v>770</v>
      </c>
      <c r="B545" s="1" t="s">
        <v>58</v>
      </c>
      <c r="C545" s="27">
        <v>45106</v>
      </c>
      <c r="D545" s="27">
        <v>45113</v>
      </c>
      <c r="E545" s="27">
        <v>45113</v>
      </c>
      <c r="F545" s="27">
        <v>45216</v>
      </c>
      <c r="G545" s="13" t="str">
        <f t="shared" si="196"/>
        <v>000-544/AIB RDC/2023</v>
      </c>
      <c r="H545" s="1">
        <v>7</v>
      </c>
      <c r="I545" s="1" t="s">
        <v>59</v>
      </c>
      <c r="J545" s="45" t="s">
        <v>791</v>
      </c>
      <c r="K545" s="2" t="s">
        <v>295</v>
      </c>
      <c r="L545" s="1"/>
      <c r="M545" s="1" t="s">
        <v>99</v>
      </c>
      <c r="N545" s="1" t="s">
        <v>100</v>
      </c>
      <c r="O545" s="1" t="s">
        <v>65</v>
      </c>
      <c r="P545" s="1" t="s">
        <v>65</v>
      </c>
      <c r="Q545" s="1" t="s">
        <v>66</v>
      </c>
      <c r="R545" s="1" t="s">
        <v>66</v>
      </c>
      <c r="S545" s="25">
        <v>0</v>
      </c>
      <c r="T545" s="25">
        <v>1802.89</v>
      </c>
      <c r="U545" s="25">
        <v>0</v>
      </c>
      <c r="V545" s="25">
        <v>0</v>
      </c>
      <c r="W545" s="25">
        <v>72.25</v>
      </c>
      <c r="X545" s="25">
        <v>1481.97</v>
      </c>
      <c r="Y545" s="25">
        <v>248.67</v>
      </c>
      <c r="Z545" s="17" t="e">
        <f t="shared" si="197"/>
        <v>#DIV/0!</v>
      </c>
      <c r="AA545" s="18">
        <v>0.1</v>
      </c>
      <c r="AB545" s="16">
        <f t="shared" si="207"/>
        <v>148.197</v>
      </c>
      <c r="AC545" s="16">
        <v>0</v>
      </c>
      <c r="AD545" s="16">
        <v>0</v>
      </c>
      <c r="AE545" s="16">
        <v>0</v>
      </c>
      <c r="AF545" s="16">
        <f t="shared" si="198"/>
        <v>148.197</v>
      </c>
      <c r="AG545" s="16">
        <f t="shared" si="205"/>
        <v>23.71152</v>
      </c>
      <c r="AH545" s="16">
        <f t="shared" si="199"/>
        <v>171.90852000000001</v>
      </c>
      <c r="AI545" s="16">
        <f t="shared" si="206"/>
        <v>2.96394</v>
      </c>
      <c r="AJ545" s="16">
        <v>0</v>
      </c>
      <c r="AK545" s="16">
        <f t="shared" si="200"/>
        <v>2.96394</v>
      </c>
      <c r="AL545" s="19"/>
      <c r="AM545" s="16">
        <f t="shared" si="208"/>
        <v>145.23305999999999</v>
      </c>
      <c r="AN545" s="16"/>
      <c r="AO545" s="20"/>
      <c r="AP545" s="16">
        <f t="shared" si="201"/>
        <v>0</v>
      </c>
      <c r="AQ545" s="16"/>
      <c r="AR545" s="15"/>
      <c r="AS545" s="16">
        <f t="shared" si="202"/>
        <v>0</v>
      </c>
      <c r="AT545" s="16"/>
      <c r="AU545" s="16">
        <v>171.90852000000001</v>
      </c>
      <c r="AV545" s="16">
        <f t="shared" si="195"/>
        <v>171.90852000000001</v>
      </c>
      <c r="AW545" s="16">
        <f t="shared" si="203"/>
        <v>0</v>
      </c>
      <c r="AX545" s="16" t="str">
        <f t="shared" si="204"/>
        <v>SFA</v>
      </c>
      <c r="AY545" s="22">
        <v>45163</v>
      </c>
      <c r="AZ545" s="22"/>
      <c r="BA545" s="1"/>
      <c r="BB545" s="22"/>
      <c r="BC545" s="1"/>
      <c r="BD545" s="1"/>
      <c r="BE545" s="1"/>
    </row>
    <row r="546" spans="1:57" ht="15.75" customHeight="1">
      <c r="A546" s="1" t="s">
        <v>57</v>
      </c>
      <c r="B546" s="1" t="s">
        <v>169</v>
      </c>
      <c r="C546" s="21">
        <v>44959</v>
      </c>
      <c r="D546" s="1" t="s">
        <v>170</v>
      </c>
      <c r="E546" s="1" t="s">
        <v>170</v>
      </c>
      <c r="F546" s="1" t="s">
        <v>170</v>
      </c>
      <c r="G546" s="13" t="str">
        <f t="shared" si="196"/>
        <v>000-545/AIB RDC/2023</v>
      </c>
      <c r="H546" s="1">
        <v>0</v>
      </c>
      <c r="I546" s="1" t="s">
        <v>83</v>
      </c>
      <c r="J546" s="1" t="s">
        <v>180</v>
      </c>
      <c r="K546" s="1" t="s">
        <v>167</v>
      </c>
      <c r="L546" s="15"/>
      <c r="M546" s="1" t="s">
        <v>95</v>
      </c>
      <c r="N546" s="1" t="s">
        <v>146</v>
      </c>
      <c r="O546" s="1" t="s">
        <v>104</v>
      </c>
      <c r="P546" s="1" t="s">
        <v>105</v>
      </c>
      <c r="Q546" s="1" t="s">
        <v>66</v>
      </c>
      <c r="R546" s="1" t="s">
        <v>66</v>
      </c>
      <c r="S546" s="16">
        <v>191331.35</v>
      </c>
      <c r="T546" s="16">
        <v>357.49</v>
      </c>
      <c r="U546" s="16">
        <v>0</v>
      </c>
      <c r="V546" s="16">
        <v>0</v>
      </c>
      <c r="W546" s="16">
        <v>4.4800000000000004</v>
      </c>
      <c r="X546" s="16">
        <v>298.48</v>
      </c>
      <c r="Y546" s="16">
        <v>48.47</v>
      </c>
      <c r="Z546" s="17">
        <f t="shared" si="197"/>
        <v>1.5600161708993325E-3</v>
      </c>
      <c r="AA546" s="18">
        <v>0.15</v>
      </c>
      <c r="AB546" s="16">
        <f t="shared" si="207"/>
        <v>44.771999999999998</v>
      </c>
      <c r="AC546" s="16">
        <v>0</v>
      </c>
      <c r="AD546" s="16">
        <v>0</v>
      </c>
      <c r="AE546" s="16">
        <v>0</v>
      </c>
      <c r="AF546" s="16">
        <f t="shared" si="198"/>
        <v>44.771999999999998</v>
      </c>
      <c r="AG546" s="16">
        <f t="shared" si="205"/>
        <v>7.1635200000000001</v>
      </c>
      <c r="AH546" s="16">
        <f t="shared" si="199"/>
        <v>51.935519999999997</v>
      </c>
      <c r="AI546" s="16">
        <f t="shared" si="206"/>
        <v>0.89544000000000001</v>
      </c>
      <c r="AJ546" s="16">
        <v>0</v>
      </c>
      <c r="AK546" s="16">
        <f t="shared" si="200"/>
        <v>0.89544000000000001</v>
      </c>
      <c r="AL546" s="19"/>
      <c r="AM546" s="16">
        <f t="shared" si="208"/>
        <v>43.876559999999998</v>
      </c>
      <c r="AN546" s="16" t="s">
        <v>147</v>
      </c>
      <c r="AO546" s="20">
        <v>0.4</v>
      </c>
      <c r="AP546" s="16">
        <f t="shared" si="201"/>
        <v>17.550623999999999</v>
      </c>
      <c r="AQ546" s="16"/>
      <c r="AR546" s="15"/>
      <c r="AS546" s="16">
        <f t="shared" si="202"/>
        <v>17.550623999999999</v>
      </c>
      <c r="AT546" s="16"/>
      <c r="AU546" s="16"/>
      <c r="AV546" s="16">
        <f t="shared" si="195"/>
        <v>51.935519999999997</v>
      </c>
      <c r="AW546" s="60">
        <f t="shared" si="203"/>
        <v>51.935519999999997</v>
      </c>
      <c r="AX546" s="16" t="str">
        <f t="shared" si="204"/>
        <v>SFA</v>
      </c>
      <c r="AY546" s="22"/>
      <c r="AZ546" s="22"/>
      <c r="BA546" s="1" t="s">
        <v>148</v>
      </c>
      <c r="BB546" s="22" t="str">
        <f>O546</f>
        <v>MARINE CARGO / GIT</v>
      </c>
      <c r="BC546" s="22"/>
      <c r="BD546" s="22"/>
      <c r="BE546" s="1" t="s">
        <v>172</v>
      </c>
    </row>
    <row r="547" spans="1:57" ht="15.75" hidden="1" customHeight="1">
      <c r="A547" s="2" t="s">
        <v>770</v>
      </c>
      <c r="B547" s="1" t="s">
        <v>58</v>
      </c>
      <c r="C547" s="27">
        <v>45090</v>
      </c>
      <c r="D547" s="27">
        <v>45120</v>
      </c>
      <c r="E547" s="27">
        <v>45108</v>
      </c>
      <c r="F547" s="27">
        <v>45473</v>
      </c>
      <c r="G547" s="13" t="str">
        <f t="shared" si="196"/>
        <v>000-546/AIB RDC/2023</v>
      </c>
      <c r="H547" s="1">
        <v>0</v>
      </c>
      <c r="I547" s="1" t="s">
        <v>83</v>
      </c>
      <c r="J547" s="2" t="s">
        <v>793</v>
      </c>
      <c r="K547" s="2" t="s">
        <v>775</v>
      </c>
      <c r="L547" s="1"/>
      <c r="M547" s="1" t="s">
        <v>99</v>
      </c>
      <c r="N547" s="1" t="s">
        <v>100</v>
      </c>
      <c r="O547" s="1" t="s">
        <v>104</v>
      </c>
      <c r="P547" s="1" t="s">
        <v>105</v>
      </c>
      <c r="Q547" s="1" t="s">
        <v>135</v>
      </c>
      <c r="R547" s="1" t="s">
        <v>135</v>
      </c>
      <c r="S547" s="25">
        <v>2000000</v>
      </c>
      <c r="T547" s="25">
        <v>3894</v>
      </c>
      <c r="U547" s="25">
        <v>0</v>
      </c>
      <c r="V547" s="25">
        <v>0</v>
      </c>
      <c r="W547" s="25">
        <v>100</v>
      </c>
      <c r="X547" s="25">
        <v>3200</v>
      </c>
      <c r="Y547" s="25">
        <v>528</v>
      </c>
      <c r="Z547" s="17">
        <f t="shared" si="197"/>
        <v>1.6000000000000001E-3</v>
      </c>
      <c r="AA547" s="18">
        <v>0.15</v>
      </c>
      <c r="AB547" s="16">
        <f t="shared" si="207"/>
        <v>480</v>
      </c>
      <c r="AC547" s="16">
        <v>0</v>
      </c>
      <c r="AD547" s="16">
        <v>0</v>
      </c>
      <c r="AE547" s="16">
        <v>0</v>
      </c>
      <c r="AF547" s="16">
        <f t="shared" si="198"/>
        <v>480</v>
      </c>
      <c r="AG547" s="16">
        <f t="shared" si="205"/>
        <v>76.8</v>
      </c>
      <c r="AH547" s="16">
        <f t="shared" si="199"/>
        <v>556.79999999999995</v>
      </c>
      <c r="AI547" s="16">
        <f t="shared" si="206"/>
        <v>9.6</v>
      </c>
      <c r="AJ547" s="16">
        <v>0</v>
      </c>
      <c r="AK547" s="16">
        <f t="shared" si="200"/>
        <v>9.6</v>
      </c>
      <c r="AL547" s="19"/>
      <c r="AM547" s="16">
        <f t="shared" si="208"/>
        <v>470.4</v>
      </c>
      <c r="AN547" s="16"/>
      <c r="AO547" s="20"/>
      <c r="AP547" s="16">
        <f t="shared" si="201"/>
        <v>0</v>
      </c>
      <c r="AQ547" s="16"/>
      <c r="AR547" s="15"/>
      <c r="AS547" s="16">
        <f t="shared" si="202"/>
        <v>0</v>
      </c>
      <c r="AT547" s="16"/>
      <c r="AU547" s="16">
        <v>556.79999999999995</v>
      </c>
      <c r="AV547" s="16">
        <f t="shared" si="195"/>
        <v>556.79999999999995</v>
      </c>
      <c r="AW547" s="16">
        <f t="shared" si="203"/>
        <v>0</v>
      </c>
      <c r="AX547" s="16" t="str">
        <f t="shared" si="204"/>
        <v>RAWSUR</v>
      </c>
      <c r="AY547" s="22">
        <v>45174</v>
      </c>
      <c r="AZ547" s="22"/>
      <c r="BA547" s="1"/>
      <c r="BB547" s="22"/>
      <c r="BC547" s="1"/>
      <c r="BD547" s="1"/>
      <c r="BE547" s="1"/>
    </row>
    <row r="548" spans="1:57" ht="15.75" customHeight="1">
      <c r="A548" s="1" t="s">
        <v>57</v>
      </c>
      <c r="B548" s="1" t="s">
        <v>169</v>
      </c>
      <c r="C548" s="21">
        <v>44959</v>
      </c>
      <c r="D548" s="1" t="s">
        <v>170</v>
      </c>
      <c r="E548" s="1" t="s">
        <v>170</v>
      </c>
      <c r="F548" s="1" t="s">
        <v>170</v>
      </c>
      <c r="G548" s="13" t="str">
        <f t="shared" si="196"/>
        <v>000-547/AIB RDC/2023</v>
      </c>
      <c r="H548" s="1">
        <v>0</v>
      </c>
      <c r="I548" s="1" t="s">
        <v>83</v>
      </c>
      <c r="J548" s="1" t="s">
        <v>181</v>
      </c>
      <c r="K548" s="1" t="s">
        <v>167</v>
      </c>
      <c r="L548" s="15"/>
      <c r="M548" s="1" t="s">
        <v>95</v>
      </c>
      <c r="N548" s="1" t="s">
        <v>146</v>
      </c>
      <c r="O548" s="1" t="s">
        <v>104</v>
      </c>
      <c r="P548" s="1" t="s">
        <v>105</v>
      </c>
      <c r="Q548" s="1" t="s">
        <v>66</v>
      </c>
      <c r="R548" s="1" t="s">
        <v>66</v>
      </c>
      <c r="S548" s="16">
        <v>14858.44</v>
      </c>
      <c r="T548" s="16">
        <v>65</v>
      </c>
      <c r="U548" s="16">
        <v>0</v>
      </c>
      <c r="V548" s="16">
        <v>0</v>
      </c>
      <c r="W548" s="16">
        <v>0.81</v>
      </c>
      <c r="X548" s="16">
        <v>54.28</v>
      </c>
      <c r="Y548" s="16">
        <v>8.81</v>
      </c>
      <c r="Z548" s="17">
        <f t="shared" si="197"/>
        <v>3.6531425910122464E-3</v>
      </c>
      <c r="AA548" s="18">
        <v>0.15</v>
      </c>
      <c r="AB548" s="16">
        <f t="shared" si="207"/>
        <v>8.1419999999999995</v>
      </c>
      <c r="AC548" s="16">
        <v>0</v>
      </c>
      <c r="AD548" s="16">
        <v>0</v>
      </c>
      <c r="AE548" s="16">
        <v>0</v>
      </c>
      <c r="AF548" s="16">
        <f t="shared" si="198"/>
        <v>8.1419999999999995</v>
      </c>
      <c r="AG548" s="16">
        <f t="shared" si="205"/>
        <v>1.3027199999999999</v>
      </c>
      <c r="AH548" s="16">
        <f t="shared" si="199"/>
        <v>9.4447200000000002</v>
      </c>
      <c r="AI548" s="16">
        <f t="shared" si="206"/>
        <v>0.16283999999999998</v>
      </c>
      <c r="AJ548" s="16">
        <v>0</v>
      </c>
      <c r="AK548" s="16">
        <f t="shared" si="200"/>
        <v>0.16283999999999998</v>
      </c>
      <c r="AL548" s="19"/>
      <c r="AM548" s="16">
        <f t="shared" si="208"/>
        <v>7.9791599999999994</v>
      </c>
      <c r="AN548" s="16" t="s">
        <v>147</v>
      </c>
      <c r="AO548" s="20">
        <v>0.4</v>
      </c>
      <c r="AP548" s="16">
        <f t="shared" si="201"/>
        <v>3.1916639999999998</v>
      </c>
      <c r="AQ548" s="16">
        <v>3.1916639999999998</v>
      </c>
      <c r="AR548" s="15">
        <v>45229</v>
      </c>
      <c r="AS548" s="16">
        <f t="shared" si="202"/>
        <v>0</v>
      </c>
      <c r="AT548" s="16"/>
      <c r="AU548" s="16"/>
      <c r="AV548" s="16">
        <f t="shared" si="195"/>
        <v>9.4447200000000002</v>
      </c>
      <c r="AW548" s="60">
        <f t="shared" si="203"/>
        <v>9.4447200000000002</v>
      </c>
      <c r="AX548" s="16" t="str">
        <f t="shared" si="204"/>
        <v>SFA</v>
      </c>
      <c r="AY548" s="22"/>
      <c r="AZ548" s="22"/>
      <c r="BA548" s="1" t="s">
        <v>148</v>
      </c>
      <c r="BB548" s="22" t="str">
        <f>O548</f>
        <v>MARINE CARGO / GIT</v>
      </c>
      <c r="BC548" s="22"/>
      <c r="BD548" s="22"/>
      <c r="BE548" s="1" t="s">
        <v>172</v>
      </c>
    </row>
    <row r="549" spans="1:57" ht="15.75" customHeight="1">
      <c r="A549" s="1" t="s">
        <v>57</v>
      </c>
      <c r="B549" s="1" t="s">
        <v>169</v>
      </c>
      <c r="C549" s="21">
        <v>44959</v>
      </c>
      <c r="D549" s="1" t="s">
        <v>170</v>
      </c>
      <c r="E549" s="1" t="s">
        <v>170</v>
      </c>
      <c r="F549" s="1" t="s">
        <v>170</v>
      </c>
      <c r="G549" s="13" t="str">
        <f t="shared" si="196"/>
        <v>000-548/AIB RDC/2023</v>
      </c>
      <c r="H549" s="1">
        <v>0</v>
      </c>
      <c r="I549" s="1" t="s">
        <v>83</v>
      </c>
      <c r="J549" s="1" t="s">
        <v>183</v>
      </c>
      <c r="K549" s="1" t="s">
        <v>167</v>
      </c>
      <c r="L549" s="15"/>
      <c r="M549" s="1" t="s">
        <v>95</v>
      </c>
      <c r="N549" s="1" t="s">
        <v>146</v>
      </c>
      <c r="O549" s="1" t="s">
        <v>104</v>
      </c>
      <c r="P549" s="1" t="s">
        <v>105</v>
      </c>
      <c r="Q549" s="1" t="s">
        <v>66</v>
      </c>
      <c r="R549" s="1" t="s">
        <v>66</v>
      </c>
      <c r="S549" s="16">
        <v>14858.44</v>
      </c>
      <c r="T549" s="16">
        <v>65</v>
      </c>
      <c r="U549" s="16">
        <v>0</v>
      </c>
      <c r="V549" s="16">
        <v>0</v>
      </c>
      <c r="W549" s="16">
        <v>0.81</v>
      </c>
      <c r="X549" s="16">
        <v>54.28</v>
      </c>
      <c r="Y549" s="16">
        <v>8.81</v>
      </c>
      <c r="Z549" s="17">
        <f t="shared" si="197"/>
        <v>3.6531425910122464E-3</v>
      </c>
      <c r="AA549" s="18">
        <v>0.15</v>
      </c>
      <c r="AB549" s="16">
        <f t="shared" si="207"/>
        <v>8.1419999999999995</v>
      </c>
      <c r="AC549" s="16">
        <v>0</v>
      </c>
      <c r="AD549" s="16">
        <v>0</v>
      </c>
      <c r="AE549" s="16">
        <v>0</v>
      </c>
      <c r="AF549" s="16">
        <f t="shared" si="198"/>
        <v>8.1419999999999995</v>
      </c>
      <c r="AG549" s="16">
        <f t="shared" si="205"/>
        <v>1.3027199999999999</v>
      </c>
      <c r="AH549" s="16">
        <f t="shared" si="199"/>
        <v>9.4447200000000002</v>
      </c>
      <c r="AI549" s="16">
        <f t="shared" si="206"/>
        <v>0.16283999999999998</v>
      </c>
      <c r="AJ549" s="16">
        <v>0</v>
      </c>
      <c r="AK549" s="16">
        <f t="shared" si="200"/>
        <v>0.16283999999999998</v>
      </c>
      <c r="AL549" s="19"/>
      <c r="AM549" s="16">
        <f t="shared" si="208"/>
        <v>7.9791599999999994</v>
      </c>
      <c r="AN549" s="16" t="s">
        <v>147</v>
      </c>
      <c r="AO549" s="20">
        <v>0.4</v>
      </c>
      <c r="AP549" s="16">
        <f t="shared" si="201"/>
        <v>3.1916639999999998</v>
      </c>
      <c r="AQ549" s="16">
        <v>3.1916639999999998</v>
      </c>
      <c r="AR549" s="15">
        <v>45229</v>
      </c>
      <c r="AS549" s="16">
        <f t="shared" si="202"/>
        <v>0</v>
      </c>
      <c r="AT549" s="16"/>
      <c r="AU549" s="16"/>
      <c r="AV549" s="16">
        <f t="shared" si="195"/>
        <v>9.4447200000000002</v>
      </c>
      <c r="AW549" s="60">
        <f t="shared" si="203"/>
        <v>9.4447200000000002</v>
      </c>
      <c r="AX549" s="16" t="str">
        <f t="shared" si="204"/>
        <v>SFA</v>
      </c>
      <c r="AY549" s="22"/>
      <c r="AZ549" s="22"/>
      <c r="BA549" s="1" t="s">
        <v>148</v>
      </c>
      <c r="BB549" s="22" t="str">
        <f>O549</f>
        <v>MARINE CARGO / GIT</v>
      </c>
      <c r="BC549" s="22"/>
      <c r="BD549" s="22"/>
      <c r="BE549" s="1" t="s">
        <v>172</v>
      </c>
    </row>
    <row r="550" spans="1:57" ht="15.75" hidden="1" customHeight="1">
      <c r="A550" s="2" t="s">
        <v>230</v>
      </c>
      <c r="B550" s="1" t="s">
        <v>58</v>
      </c>
      <c r="C550" s="27">
        <v>45105</v>
      </c>
      <c r="D550" s="27">
        <v>45047</v>
      </c>
      <c r="E550" s="27">
        <v>45047</v>
      </c>
      <c r="F550" s="27">
        <v>45412</v>
      </c>
      <c r="G550" s="13" t="str">
        <f t="shared" si="196"/>
        <v>000-549/AIB RDC/2023</v>
      </c>
      <c r="H550" s="1">
        <v>0</v>
      </c>
      <c r="I550" s="1" t="s">
        <v>83</v>
      </c>
      <c r="J550" s="2" t="s">
        <v>795</v>
      </c>
      <c r="K550" s="1" t="s">
        <v>480</v>
      </c>
      <c r="L550" s="1"/>
      <c r="M550" s="1" t="s">
        <v>99</v>
      </c>
      <c r="N550" s="1" t="s">
        <v>100</v>
      </c>
      <c r="O550" s="1" t="s">
        <v>284</v>
      </c>
      <c r="P550" s="1" t="s">
        <v>285</v>
      </c>
      <c r="Q550" s="1" t="s">
        <v>135</v>
      </c>
      <c r="R550" s="1" t="s">
        <v>135</v>
      </c>
      <c r="S550" s="25">
        <v>15315546.32</v>
      </c>
      <c r="T550" s="25">
        <v>45120.01</v>
      </c>
      <c r="U550" s="25">
        <v>0</v>
      </c>
      <c r="V550" s="25">
        <v>0</v>
      </c>
      <c r="W550" s="25">
        <v>100</v>
      </c>
      <c r="X550" s="25">
        <v>38137.29</v>
      </c>
      <c r="Y550" s="25">
        <v>6117.07</v>
      </c>
      <c r="Z550" s="17">
        <f t="shared" si="197"/>
        <v>2.49010314115912E-3</v>
      </c>
      <c r="AA550" s="18">
        <v>0.15</v>
      </c>
      <c r="AB550" s="16">
        <f t="shared" si="207"/>
        <v>5720.5934999999999</v>
      </c>
      <c r="AC550" s="16">
        <v>0</v>
      </c>
      <c r="AD550" s="16">
        <v>0</v>
      </c>
      <c r="AE550" s="16">
        <v>0</v>
      </c>
      <c r="AF550" s="16">
        <f t="shared" si="198"/>
        <v>5720.5934999999999</v>
      </c>
      <c r="AG550" s="16">
        <f t="shared" si="205"/>
        <v>915.29496000000006</v>
      </c>
      <c r="AH550" s="16">
        <f t="shared" si="199"/>
        <v>6635.8884600000001</v>
      </c>
      <c r="AI550" s="16">
        <f t="shared" si="206"/>
        <v>114.41187000000001</v>
      </c>
      <c r="AJ550" s="16">
        <v>0</v>
      </c>
      <c r="AK550" s="16">
        <f t="shared" si="200"/>
        <v>114.41187000000001</v>
      </c>
      <c r="AL550" s="19"/>
      <c r="AM550" s="16">
        <f t="shared" si="208"/>
        <v>5606.18163</v>
      </c>
      <c r="AN550" s="16" t="s">
        <v>796</v>
      </c>
      <c r="AO550" s="20"/>
      <c r="AP550" s="16">
        <f t="shared" si="201"/>
        <v>0</v>
      </c>
      <c r="AQ550" s="16"/>
      <c r="AR550" s="15"/>
      <c r="AS550" s="16">
        <f t="shared" si="202"/>
        <v>0</v>
      </c>
      <c r="AT550" s="16"/>
      <c r="AU550" s="16">
        <v>6635.8884600000001</v>
      </c>
      <c r="AV550" s="16">
        <f t="shared" si="195"/>
        <v>6635.8884600000001</v>
      </c>
      <c r="AW550" s="16">
        <f t="shared" si="203"/>
        <v>0</v>
      </c>
      <c r="AX550" s="16" t="str">
        <f t="shared" si="204"/>
        <v>RAWSUR</v>
      </c>
      <c r="AY550" s="22">
        <v>45219</v>
      </c>
      <c r="AZ550" s="22"/>
      <c r="BA550" s="1"/>
      <c r="BB550" s="22"/>
      <c r="BC550" s="1"/>
      <c r="BD550" s="1"/>
      <c r="BE550" s="1"/>
    </row>
    <row r="551" spans="1:57" ht="15.75" hidden="1" customHeight="1">
      <c r="A551" s="2" t="s">
        <v>230</v>
      </c>
      <c r="B551" s="1" t="s">
        <v>58</v>
      </c>
      <c r="C551" s="27">
        <v>45071</v>
      </c>
      <c r="D551" s="27">
        <v>45071</v>
      </c>
      <c r="E551" s="27">
        <v>45071</v>
      </c>
      <c r="F551" s="27">
        <v>45404</v>
      </c>
      <c r="G551" s="13" t="str">
        <f t="shared" si="196"/>
        <v>000-550/AIB RDC/2023</v>
      </c>
      <c r="H551" s="1">
        <v>5</v>
      </c>
      <c r="I551" s="1" t="s">
        <v>59</v>
      </c>
      <c r="J551" s="2" t="s">
        <v>459</v>
      </c>
      <c r="K551" s="2" t="s">
        <v>419</v>
      </c>
      <c r="L551" s="1" t="s">
        <v>682</v>
      </c>
      <c r="M551" s="1" t="s">
        <v>63</v>
      </c>
      <c r="N551" s="1" t="s">
        <v>71</v>
      </c>
      <c r="O551" s="1" t="s">
        <v>65</v>
      </c>
      <c r="P551" s="1" t="s">
        <v>65</v>
      </c>
      <c r="Q551" s="1" t="s">
        <v>66</v>
      </c>
      <c r="R551" s="1" t="s">
        <v>66</v>
      </c>
      <c r="S551" s="25">
        <v>0</v>
      </c>
      <c r="T551" s="25">
        <v>4552.3900000000003</v>
      </c>
      <c r="U551" s="25">
        <v>0</v>
      </c>
      <c r="V551" s="25">
        <v>0</v>
      </c>
      <c r="W551" s="25">
        <v>149.16</v>
      </c>
      <c r="X551" s="25">
        <v>3775.32</v>
      </c>
      <c r="Y551" s="25">
        <v>627.91</v>
      </c>
      <c r="Z551" s="17" t="e">
        <f t="shared" si="197"/>
        <v>#DIV/0!</v>
      </c>
      <c r="AA551" s="18">
        <v>0.1</v>
      </c>
      <c r="AB551" s="16">
        <f t="shared" si="207"/>
        <v>377.53200000000004</v>
      </c>
      <c r="AC551" s="16">
        <v>0</v>
      </c>
      <c r="AD551" s="16">
        <v>0</v>
      </c>
      <c r="AE551" s="16">
        <v>0</v>
      </c>
      <c r="AF551" s="16">
        <f t="shared" si="198"/>
        <v>377.53200000000004</v>
      </c>
      <c r="AG551" s="16">
        <f t="shared" si="205"/>
        <v>60.405120000000011</v>
      </c>
      <c r="AH551" s="16">
        <f t="shared" si="199"/>
        <v>437.93712000000005</v>
      </c>
      <c r="AI551" s="16">
        <f t="shared" si="206"/>
        <v>7.5506400000000014</v>
      </c>
      <c r="AJ551" s="16"/>
      <c r="AK551" s="16">
        <f t="shared" si="200"/>
        <v>7.5506400000000014</v>
      </c>
      <c r="AL551" s="19"/>
      <c r="AM551" s="16">
        <f t="shared" si="208"/>
        <v>369.98136000000005</v>
      </c>
      <c r="AN551" s="16" t="s">
        <v>319</v>
      </c>
      <c r="AO551" s="20"/>
      <c r="AP551" s="16">
        <f t="shared" si="201"/>
        <v>0</v>
      </c>
      <c r="AQ551" s="16"/>
      <c r="AR551" s="15"/>
      <c r="AS551" s="16">
        <f t="shared" si="202"/>
        <v>0</v>
      </c>
      <c r="AT551" s="16"/>
      <c r="AU551" s="16">
        <v>437.93712000000005</v>
      </c>
      <c r="AV551" s="16">
        <f t="shared" si="195"/>
        <v>437.93712000000005</v>
      </c>
      <c r="AW551" s="16">
        <f t="shared" si="203"/>
        <v>0</v>
      </c>
      <c r="AX551" s="16" t="str">
        <f t="shared" si="204"/>
        <v>SFA</v>
      </c>
      <c r="AY551" s="22">
        <v>45135</v>
      </c>
      <c r="AZ551" s="22"/>
      <c r="BA551" s="1"/>
      <c r="BB551" s="22" t="str">
        <f>O551</f>
        <v>MOTOR TPL</v>
      </c>
      <c r="BC551" s="1"/>
      <c r="BD551" s="1"/>
      <c r="BE551" s="1"/>
    </row>
    <row r="552" spans="1:57" ht="15.75" hidden="1" customHeight="1">
      <c r="A552" s="2" t="s">
        <v>230</v>
      </c>
      <c r="B552" s="1" t="s">
        <v>58</v>
      </c>
      <c r="C552" s="27">
        <v>45068</v>
      </c>
      <c r="D552" s="27">
        <v>45069</v>
      </c>
      <c r="E552" s="27">
        <v>45069</v>
      </c>
      <c r="F552" s="27">
        <v>45129</v>
      </c>
      <c r="G552" s="13" t="str">
        <f t="shared" si="196"/>
        <v>000-551/AIB RDC/2023</v>
      </c>
      <c r="H552" s="1">
        <v>0</v>
      </c>
      <c r="I552" s="1" t="s">
        <v>83</v>
      </c>
      <c r="J552" s="2" t="s">
        <v>797</v>
      </c>
      <c r="K552" s="2" t="s">
        <v>501</v>
      </c>
      <c r="L552" s="1" t="s">
        <v>123</v>
      </c>
      <c r="M552" s="1" t="s">
        <v>63</v>
      </c>
      <c r="N552" s="1" t="s">
        <v>71</v>
      </c>
      <c r="O552" s="1" t="s">
        <v>104</v>
      </c>
      <c r="P552" s="1" t="s">
        <v>105</v>
      </c>
      <c r="Q552" s="1" t="s">
        <v>117</v>
      </c>
      <c r="R552" s="1" t="s">
        <v>117</v>
      </c>
      <c r="S552" s="25">
        <v>37610</v>
      </c>
      <c r="T552" s="25">
        <v>149.66999999999999</v>
      </c>
      <c r="U552" s="25">
        <v>0</v>
      </c>
      <c r="V552" s="25">
        <v>0</v>
      </c>
      <c r="W552" s="25">
        <v>35</v>
      </c>
      <c r="X552" s="25">
        <v>94.03</v>
      </c>
      <c r="Y552" s="25">
        <v>20.64</v>
      </c>
      <c r="Z552" s="17">
        <f t="shared" si="197"/>
        <v>2.5001329433661261E-3</v>
      </c>
      <c r="AA552" s="18">
        <v>0.15</v>
      </c>
      <c r="AB552" s="16">
        <f t="shared" si="207"/>
        <v>14.1045</v>
      </c>
      <c r="AC552" s="16">
        <v>0</v>
      </c>
      <c r="AD552" s="16">
        <v>0</v>
      </c>
      <c r="AE552" s="16">
        <v>0</v>
      </c>
      <c r="AF552" s="16">
        <f t="shared" si="198"/>
        <v>14.1045</v>
      </c>
      <c r="AG552" s="16">
        <f t="shared" si="205"/>
        <v>2.2567200000000001</v>
      </c>
      <c r="AH552" s="16">
        <f t="shared" si="199"/>
        <v>16.361219999999999</v>
      </c>
      <c r="AI552" s="16">
        <f t="shared" si="206"/>
        <v>0.28209000000000001</v>
      </c>
      <c r="AJ552" s="16"/>
      <c r="AK552" s="16">
        <f t="shared" si="200"/>
        <v>0.28209000000000001</v>
      </c>
      <c r="AL552" s="19"/>
      <c r="AM552" s="16">
        <f t="shared" si="208"/>
        <v>13.82241</v>
      </c>
      <c r="AN552" s="16" t="s">
        <v>319</v>
      </c>
      <c r="AO552" s="20"/>
      <c r="AP552" s="16">
        <f t="shared" si="201"/>
        <v>0</v>
      </c>
      <c r="AQ552" s="16"/>
      <c r="AR552" s="15"/>
      <c r="AS552" s="16">
        <f t="shared" si="202"/>
        <v>0</v>
      </c>
      <c r="AT552" s="16"/>
      <c r="AU552" s="16">
        <v>16.361219999999999</v>
      </c>
      <c r="AV552" s="16">
        <f t="shared" si="195"/>
        <v>16.361219999999999</v>
      </c>
      <c r="AW552" s="16">
        <f t="shared" si="203"/>
        <v>0</v>
      </c>
      <c r="AX552" s="16" t="str">
        <f t="shared" si="204"/>
        <v>SUNU</v>
      </c>
      <c r="AY552" s="22">
        <v>45117</v>
      </c>
      <c r="AZ552" s="22"/>
      <c r="BA552" s="1"/>
      <c r="BB552" s="22" t="str">
        <f>O552</f>
        <v>MARINE CARGO / GIT</v>
      </c>
      <c r="BC552" s="1"/>
      <c r="BD552" s="1"/>
      <c r="BE552" s="1"/>
    </row>
    <row r="553" spans="1:57" ht="15.75" hidden="1" customHeight="1">
      <c r="A553" s="2" t="s">
        <v>212</v>
      </c>
      <c r="B553" s="1" t="s">
        <v>58</v>
      </c>
      <c r="C553" s="27">
        <v>45100</v>
      </c>
      <c r="D553" s="27">
        <v>45078</v>
      </c>
      <c r="E553" s="27">
        <v>45078</v>
      </c>
      <c r="F553" s="27">
        <v>45322</v>
      </c>
      <c r="G553" s="13" t="str">
        <f t="shared" si="196"/>
        <v>000-552/AIB RDC/2023</v>
      </c>
      <c r="H553" s="1">
        <v>33</v>
      </c>
      <c r="I553" s="1" t="s">
        <v>59</v>
      </c>
      <c r="J553" s="14" t="s">
        <v>239</v>
      </c>
      <c r="K553" s="2" t="s">
        <v>240</v>
      </c>
      <c r="L553" s="1" t="s">
        <v>139</v>
      </c>
      <c r="M553" s="1" t="s">
        <v>63</v>
      </c>
      <c r="N553" s="1" t="s">
        <v>71</v>
      </c>
      <c r="O553" s="1" t="s">
        <v>133</v>
      </c>
      <c r="P553" s="1" t="s">
        <v>134</v>
      </c>
      <c r="Q553" s="1" t="s">
        <v>76</v>
      </c>
      <c r="R553" s="1" t="s">
        <v>76</v>
      </c>
      <c r="S553" s="25">
        <v>225892</v>
      </c>
      <c r="T553" s="25">
        <v>7925.49</v>
      </c>
      <c r="U553" s="25">
        <v>0</v>
      </c>
      <c r="V553" s="25">
        <v>0</v>
      </c>
      <c r="W553" s="25">
        <v>67.650000000000006</v>
      </c>
      <c r="X553" s="25">
        <v>6764.67</v>
      </c>
      <c r="Y553" s="25">
        <v>1093.17</v>
      </c>
      <c r="Z553" s="17">
        <f t="shared" si="197"/>
        <v>2.9946478848299186E-2</v>
      </c>
      <c r="AA553" s="18">
        <v>0.14619929723105499</v>
      </c>
      <c r="AB553" s="16">
        <f t="shared" si="207"/>
        <v>988.99000000000069</v>
      </c>
      <c r="AC553" s="16">
        <v>0</v>
      </c>
      <c r="AD553" s="16">
        <v>0</v>
      </c>
      <c r="AE553" s="16">
        <f>3%*X553</f>
        <v>202.9401</v>
      </c>
      <c r="AF553" s="16">
        <f t="shared" si="198"/>
        <v>1191.9301000000007</v>
      </c>
      <c r="AG553" s="16">
        <f t="shared" si="205"/>
        <v>190.70881600000013</v>
      </c>
      <c r="AH553" s="16">
        <f t="shared" si="199"/>
        <v>1382.6389160000008</v>
      </c>
      <c r="AI553" s="16">
        <f t="shared" si="206"/>
        <v>19.779800000000016</v>
      </c>
      <c r="AJ553" s="16">
        <v>0</v>
      </c>
      <c r="AK553" s="16">
        <f t="shared" si="200"/>
        <v>19.779800000000016</v>
      </c>
      <c r="AL553" s="19"/>
      <c r="AM553" s="16">
        <f t="shared" si="208"/>
        <v>1172.1503000000007</v>
      </c>
      <c r="AN553" s="16" t="s">
        <v>228</v>
      </c>
      <c r="AO553" s="20"/>
      <c r="AP553" s="16">
        <f t="shared" si="201"/>
        <v>0</v>
      </c>
      <c r="AQ553" s="16"/>
      <c r="AR553" s="15"/>
      <c r="AS553" s="16">
        <f t="shared" si="202"/>
        <v>0</v>
      </c>
      <c r="AT553" s="16"/>
      <c r="AU553" s="16">
        <f>235.41+1147.23</f>
        <v>1382.64</v>
      </c>
      <c r="AV553" s="16">
        <v>1382.64</v>
      </c>
      <c r="AW553" s="16">
        <f t="shared" si="203"/>
        <v>0</v>
      </c>
      <c r="AX553" s="16" t="str">
        <f t="shared" si="204"/>
        <v>ACTIVA</v>
      </c>
      <c r="AY553" s="22">
        <v>45153</v>
      </c>
      <c r="AZ553" s="22"/>
      <c r="BA553" s="1"/>
      <c r="BB553" s="22"/>
      <c r="BC553" s="1"/>
      <c r="BD553" s="1"/>
      <c r="BE553" s="1"/>
    </row>
    <row r="554" spans="1:57" ht="15.75" hidden="1" customHeight="1">
      <c r="A554" s="2" t="s">
        <v>212</v>
      </c>
      <c r="B554" s="1" t="s">
        <v>58</v>
      </c>
      <c r="C554" s="27">
        <v>45100</v>
      </c>
      <c r="D554" s="27">
        <v>45079</v>
      </c>
      <c r="E554" s="27">
        <v>45079</v>
      </c>
      <c r="F554" s="27">
        <v>45322</v>
      </c>
      <c r="G554" s="13" t="str">
        <f t="shared" si="196"/>
        <v>000-553/AIB RDC/2023</v>
      </c>
      <c r="H554" s="1">
        <v>34</v>
      </c>
      <c r="I554" s="1" t="s">
        <v>59</v>
      </c>
      <c r="J554" s="14" t="s">
        <v>239</v>
      </c>
      <c r="K554" s="2" t="s">
        <v>240</v>
      </c>
      <c r="L554" s="1" t="s">
        <v>139</v>
      </c>
      <c r="M554" s="1" t="s">
        <v>63</v>
      </c>
      <c r="N554" s="1" t="s">
        <v>71</v>
      </c>
      <c r="O554" s="1" t="s">
        <v>133</v>
      </c>
      <c r="P554" s="1" t="s">
        <v>134</v>
      </c>
      <c r="Q554" s="1" t="s">
        <v>76</v>
      </c>
      <c r="R554" s="1" t="s">
        <v>76</v>
      </c>
      <c r="S554" s="25">
        <v>97611</v>
      </c>
      <c r="T554" s="25">
        <v>3294.86</v>
      </c>
      <c r="U554" s="25">
        <v>0</v>
      </c>
      <c r="V554" s="25">
        <v>0</v>
      </c>
      <c r="W554" s="25">
        <v>28.12</v>
      </c>
      <c r="X554" s="25">
        <v>2812.27</v>
      </c>
      <c r="Y554" s="25">
        <v>454.46</v>
      </c>
      <c r="Z554" s="17">
        <f t="shared" si="197"/>
        <v>2.8810994662486811E-2</v>
      </c>
      <c r="AA554" s="18">
        <v>0.146191510772437</v>
      </c>
      <c r="AB554" s="16">
        <f t="shared" si="207"/>
        <v>411.13000000000142</v>
      </c>
      <c r="AC554" s="16">
        <v>0</v>
      </c>
      <c r="AD554" s="16">
        <v>0</v>
      </c>
      <c r="AE554" s="16">
        <f>3%*X554</f>
        <v>84.368099999999998</v>
      </c>
      <c r="AF554" s="16">
        <f t="shared" si="198"/>
        <v>495.49810000000139</v>
      </c>
      <c r="AG554" s="16">
        <f t="shared" si="205"/>
        <v>79.279696000000229</v>
      </c>
      <c r="AH554" s="16">
        <f t="shared" si="199"/>
        <v>574.77779600000167</v>
      </c>
      <c r="AI554" s="16">
        <f t="shared" si="206"/>
        <v>8.2226000000000283</v>
      </c>
      <c r="AJ554" s="16">
        <v>0</v>
      </c>
      <c r="AK554" s="16">
        <f t="shared" si="200"/>
        <v>8.2226000000000283</v>
      </c>
      <c r="AL554" s="19"/>
      <c r="AM554" s="16">
        <f t="shared" si="208"/>
        <v>487.27550000000133</v>
      </c>
      <c r="AN554" s="16" t="s">
        <v>228</v>
      </c>
      <c r="AO554" s="20"/>
      <c r="AP554" s="16">
        <f t="shared" si="201"/>
        <v>0</v>
      </c>
      <c r="AQ554" s="16"/>
      <c r="AR554" s="15"/>
      <c r="AS554" s="16">
        <f t="shared" si="202"/>
        <v>0</v>
      </c>
      <c r="AT554" s="16"/>
      <c r="AU554" s="16">
        <f>97.87+476.91</f>
        <v>574.78</v>
      </c>
      <c r="AV554" s="16">
        <v>574.78</v>
      </c>
      <c r="AW554" s="16">
        <f t="shared" si="203"/>
        <v>0</v>
      </c>
      <c r="AX554" s="16" t="str">
        <f t="shared" si="204"/>
        <v>ACTIVA</v>
      </c>
      <c r="AY554" s="22">
        <v>45153</v>
      </c>
      <c r="AZ554" s="22"/>
      <c r="BA554" s="1"/>
      <c r="BB554" s="22"/>
      <c r="BC554" s="1"/>
      <c r="BD554" s="1"/>
      <c r="BE554" s="1"/>
    </row>
    <row r="555" spans="1:57" ht="15.75" hidden="1" customHeight="1">
      <c r="A555" s="2" t="s">
        <v>212</v>
      </c>
      <c r="B555" s="1" t="s">
        <v>58</v>
      </c>
      <c r="C555" s="27">
        <v>45100</v>
      </c>
      <c r="D555" s="27">
        <v>45089</v>
      </c>
      <c r="E555" s="27">
        <v>45078</v>
      </c>
      <c r="F555" s="27">
        <v>45443</v>
      </c>
      <c r="G555" s="13" t="str">
        <f t="shared" si="196"/>
        <v>000-554/AIB RDC/2023</v>
      </c>
      <c r="H555" s="1">
        <v>0</v>
      </c>
      <c r="I555" s="1" t="s">
        <v>83</v>
      </c>
      <c r="J555" s="2" t="s">
        <v>798</v>
      </c>
      <c r="K555" s="2" t="s">
        <v>799</v>
      </c>
      <c r="L555" s="1" t="s">
        <v>62</v>
      </c>
      <c r="M555" s="1" t="s">
        <v>63</v>
      </c>
      <c r="N555" s="1" t="s">
        <v>64</v>
      </c>
      <c r="O555" s="1" t="s">
        <v>104</v>
      </c>
      <c r="P555" s="1" t="s">
        <v>105</v>
      </c>
      <c r="Q555" s="1" t="s">
        <v>135</v>
      </c>
      <c r="R555" s="1" t="s">
        <v>195</v>
      </c>
      <c r="S555" s="25">
        <v>55757004</v>
      </c>
      <c r="T555" s="25">
        <v>120350.06</v>
      </c>
      <c r="U555" s="25">
        <v>0</v>
      </c>
      <c r="V555" s="25">
        <v>0</v>
      </c>
      <c r="W555" s="25">
        <v>200</v>
      </c>
      <c r="X555" s="25">
        <v>101791.58</v>
      </c>
      <c r="Y555" s="25">
        <v>16318.65</v>
      </c>
      <c r="Z555" s="17">
        <f t="shared" si="197"/>
        <v>1.8256285793261059E-3</v>
      </c>
      <c r="AA555" s="18">
        <v>7.0000000000000007E-2</v>
      </c>
      <c r="AB555" s="16">
        <f t="shared" si="207"/>
        <v>7125.4106000000011</v>
      </c>
      <c r="AC555" s="16">
        <f>8%*X555</f>
        <v>8143.3263999999999</v>
      </c>
      <c r="AD555" s="16">
        <v>0</v>
      </c>
      <c r="AE555" s="16">
        <v>0</v>
      </c>
      <c r="AF555" s="16">
        <f t="shared" si="198"/>
        <v>15268.737000000001</v>
      </c>
      <c r="AG555" s="16">
        <f t="shared" si="205"/>
        <v>2442.9979200000002</v>
      </c>
      <c r="AH555" s="16">
        <f t="shared" si="199"/>
        <v>17711.734920000003</v>
      </c>
      <c r="AI555" s="16">
        <f t="shared" si="206"/>
        <v>305.37474000000003</v>
      </c>
      <c r="AJ555" s="16">
        <v>0</v>
      </c>
      <c r="AK555" s="16">
        <f t="shared" si="200"/>
        <v>305.37474000000003</v>
      </c>
      <c r="AL555" s="19"/>
      <c r="AM555" s="16">
        <f t="shared" si="208"/>
        <v>14963.362260000002</v>
      </c>
      <c r="AN555" s="16"/>
      <c r="AO555" s="20"/>
      <c r="AP555" s="16">
        <f t="shared" si="201"/>
        <v>0</v>
      </c>
      <c r="AQ555" s="16"/>
      <c r="AR555" s="15"/>
      <c r="AS555" s="16">
        <f t="shared" si="202"/>
        <v>0</v>
      </c>
      <c r="AT555" s="16"/>
      <c r="AU555" s="16">
        <v>17711.734920000003</v>
      </c>
      <c r="AV555" s="16">
        <f t="shared" ref="AV555:AV566" si="209">AH555</f>
        <v>17711.734920000003</v>
      </c>
      <c r="AW555" s="16">
        <f t="shared" si="203"/>
        <v>0</v>
      </c>
      <c r="AX555" s="16" t="str">
        <f t="shared" si="204"/>
        <v>RAWSUR</v>
      </c>
      <c r="AY555" s="22">
        <v>45153</v>
      </c>
      <c r="AZ555" s="22"/>
      <c r="BA555" s="1"/>
      <c r="BB555" s="22"/>
      <c r="BC555" s="1"/>
      <c r="BD555" s="1"/>
      <c r="BE555" s="1"/>
    </row>
    <row r="556" spans="1:57" ht="15.75" customHeight="1">
      <c r="A556" s="1" t="s">
        <v>57</v>
      </c>
      <c r="B556" s="1" t="s">
        <v>169</v>
      </c>
      <c r="C556" s="21">
        <v>44959</v>
      </c>
      <c r="D556" s="1" t="s">
        <v>170</v>
      </c>
      <c r="E556" s="1" t="s">
        <v>170</v>
      </c>
      <c r="F556" s="1" t="s">
        <v>170</v>
      </c>
      <c r="G556" s="13" t="str">
        <f t="shared" si="196"/>
        <v>000-555/AIB RDC/2023</v>
      </c>
      <c r="H556" s="1">
        <v>0</v>
      </c>
      <c r="I556" s="1" t="s">
        <v>83</v>
      </c>
      <c r="J556" s="1" t="s">
        <v>670</v>
      </c>
      <c r="K556" s="1" t="s">
        <v>167</v>
      </c>
      <c r="L556" s="15"/>
      <c r="M556" s="1" t="s">
        <v>95</v>
      </c>
      <c r="N556" s="1" t="s">
        <v>146</v>
      </c>
      <c r="O556" s="1" t="s">
        <v>104</v>
      </c>
      <c r="P556" s="1" t="s">
        <v>105</v>
      </c>
      <c r="Q556" s="1" t="s">
        <v>66</v>
      </c>
      <c r="R556" s="1" t="s">
        <v>66</v>
      </c>
      <c r="S556" s="16">
        <v>14858.44</v>
      </c>
      <c r="T556" s="16">
        <v>65</v>
      </c>
      <c r="U556" s="16">
        <v>0</v>
      </c>
      <c r="V556" s="16">
        <v>0</v>
      </c>
      <c r="W556" s="16">
        <v>0.81</v>
      </c>
      <c r="X556" s="16">
        <v>54.28</v>
      </c>
      <c r="Y556" s="16">
        <v>8.81</v>
      </c>
      <c r="Z556" s="17">
        <f t="shared" si="197"/>
        <v>3.6531425910122464E-3</v>
      </c>
      <c r="AA556" s="18">
        <v>0.15</v>
      </c>
      <c r="AB556" s="16">
        <f t="shared" si="207"/>
        <v>8.1419999999999995</v>
      </c>
      <c r="AC556" s="16">
        <v>0</v>
      </c>
      <c r="AD556" s="16">
        <v>0</v>
      </c>
      <c r="AE556" s="16">
        <v>0</v>
      </c>
      <c r="AF556" s="16">
        <f t="shared" si="198"/>
        <v>8.1419999999999995</v>
      </c>
      <c r="AG556" s="16">
        <f t="shared" si="205"/>
        <v>1.3027199999999999</v>
      </c>
      <c r="AH556" s="16">
        <f t="shared" si="199"/>
        <v>9.4447200000000002</v>
      </c>
      <c r="AI556" s="16">
        <f t="shared" si="206"/>
        <v>0.16283999999999998</v>
      </c>
      <c r="AJ556" s="16">
        <v>0</v>
      </c>
      <c r="AK556" s="16">
        <f t="shared" si="200"/>
        <v>0.16283999999999998</v>
      </c>
      <c r="AL556" s="19"/>
      <c r="AM556" s="16">
        <f t="shared" si="208"/>
        <v>7.9791599999999994</v>
      </c>
      <c r="AN556" s="16" t="s">
        <v>147</v>
      </c>
      <c r="AO556" s="20">
        <v>0.4</v>
      </c>
      <c r="AP556" s="16">
        <f t="shared" si="201"/>
        <v>3.1916639999999998</v>
      </c>
      <c r="AQ556" s="16">
        <v>3.1916639999999998</v>
      </c>
      <c r="AR556" s="15">
        <v>45229</v>
      </c>
      <c r="AS556" s="16">
        <f t="shared" si="202"/>
        <v>0</v>
      </c>
      <c r="AT556" s="16"/>
      <c r="AU556" s="16"/>
      <c r="AV556" s="16">
        <f t="shared" si="209"/>
        <v>9.4447200000000002</v>
      </c>
      <c r="AW556" s="60">
        <f t="shared" si="203"/>
        <v>9.4447200000000002</v>
      </c>
      <c r="AX556" s="16" t="str">
        <f t="shared" si="204"/>
        <v>SFA</v>
      </c>
      <c r="AY556" s="22"/>
      <c r="AZ556" s="22"/>
      <c r="BA556" s="1" t="s">
        <v>148</v>
      </c>
      <c r="BB556" s="22" t="str">
        <f>O556</f>
        <v>MARINE CARGO / GIT</v>
      </c>
      <c r="BC556" s="22"/>
      <c r="BD556" s="22"/>
      <c r="BE556" s="1" t="s">
        <v>172</v>
      </c>
    </row>
    <row r="557" spans="1:57" ht="15.75" customHeight="1">
      <c r="A557" s="2" t="s">
        <v>157</v>
      </c>
      <c r="B557" s="1" t="s">
        <v>58</v>
      </c>
      <c r="C557" s="27">
        <v>44965</v>
      </c>
      <c r="D557" s="27"/>
      <c r="E557" s="27">
        <v>44965</v>
      </c>
      <c r="F557" s="37" t="s">
        <v>291</v>
      </c>
      <c r="G557" s="13" t="str">
        <f t="shared" si="196"/>
        <v>000-556/AIB RDC/2023</v>
      </c>
      <c r="H557" s="1">
        <v>1</v>
      </c>
      <c r="I557" s="1" t="s">
        <v>189</v>
      </c>
      <c r="J557" s="2" t="s">
        <v>292</v>
      </c>
      <c r="K557" s="15" t="s">
        <v>193</v>
      </c>
      <c r="L557" s="1"/>
      <c r="M557" s="1" t="s">
        <v>99</v>
      </c>
      <c r="N557" s="1" t="s">
        <v>100</v>
      </c>
      <c r="O557" s="1" t="s">
        <v>194</v>
      </c>
      <c r="P557" s="1" t="s">
        <v>108</v>
      </c>
      <c r="Q557" s="1" t="s">
        <v>127</v>
      </c>
      <c r="R557" s="1" t="s">
        <v>127</v>
      </c>
      <c r="S557" s="16">
        <v>0</v>
      </c>
      <c r="T557" s="25">
        <v>1625.29</v>
      </c>
      <c r="U557" s="16">
        <v>0</v>
      </c>
      <c r="V557" s="16">
        <v>0</v>
      </c>
      <c r="W557" s="25">
        <v>100</v>
      </c>
      <c r="X557" s="25">
        <v>1277.3599999999999</v>
      </c>
      <c r="Y557" s="25">
        <v>220.38</v>
      </c>
      <c r="Z557" s="17" t="e">
        <f t="shared" si="197"/>
        <v>#DIV/0!</v>
      </c>
      <c r="AA557" s="18">
        <v>0.15</v>
      </c>
      <c r="AB557" s="16">
        <f t="shared" si="207"/>
        <v>191.60399999999998</v>
      </c>
      <c r="AC557" s="16">
        <v>0</v>
      </c>
      <c r="AD557" s="16">
        <v>0</v>
      </c>
      <c r="AE557" s="16">
        <v>0</v>
      </c>
      <c r="AF557" s="16">
        <f t="shared" si="198"/>
        <v>191.60399999999998</v>
      </c>
      <c r="AG557" s="16">
        <f t="shared" si="205"/>
        <v>30.656639999999999</v>
      </c>
      <c r="AH557" s="16">
        <f t="shared" si="199"/>
        <v>222.26064</v>
      </c>
      <c r="AI557" s="16">
        <f t="shared" si="206"/>
        <v>3.8320799999999999</v>
      </c>
      <c r="AJ557" s="16">
        <v>0</v>
      </c>
      <c r="AK557" s="16">
        <f t="shared" si="200"/>
        <v>3.8320799999999999</v>
      </c>
      <c r="AL557" s="19"/>
      <c r="AM557" s="16">
        <f t="shared" si="208"/>
        <v>187.77191999999999</v>
      </c>
      <c r="AN557" s="16"/>
      <c r="AO557" s="20"/>
      <c r="AP557" s="16">
        <f t="shared" si="201"/>
        <v>0</v>
      </c>
      <c r="AQ557" s="16"/>
      <c r="AR557" s="15"/>
      <c r="AS557" s="16">
        <f t="shared" si="202"/>
        <v>0</v>
      </c>
      <c r="AT557" s="16"/>
      <c r="AU557" s="16"/>
      <c r="AV557" s="16">
        <f t="shared" si="209"/>
        <v>222.26064</v>
      </c>
      <c r="AW557" s="60">
        <f t="shared" si="203"/>
        <v>222.26064</v>
      </c>
      <c r="AX557" s="16" t="str">
        <f t="shared" si="204"/>
        <v>MAYFAIR</v>
      </c>
      <c r="AY557" s="22"/>
      <c r="AZ557" s="22"/>
      <c r="BA557" s="1" t="s">
        <v>148</v>
      </c>
      <c r="BB557" s="22" t="str">
        <f>O557</f>
        <v>PROPERTY DAMAGE &amp; BI</v>
      </c>
      <c r="BC557" s="1"/>
      <c r="BD557" s="1"/>
      <c r="BE557" s="36" t="s">
        <v>281</v>
      </c>
    </row>
    <row r="558" spans="1:57" ht="15.75" customHeight="1">
      <c r="A558" s="2" t="s">
        <v>770</v>
      </c>
      <c r="B558" s="1" t="s">
        <v>58</v>
      </c>
      <c r="C558" s="27">
        <v>45169</v>
      </c>
      <c r="D558" s="27">
        <v>45210</v>
      </c>
      <c r="E558" s="27">
        <v>45210</v>
      </c>
      <c r="F558" s="21">
        <v>45575</v>
      </c>
      <c r="G558" s="13" t="str">
        <f t="shared" si="196"/>
        <v>000-557/AIB RDC/2023</v>
      </c>
      <c r="H558" s="1">
        <v>1</v>
      </c>
      <c r="I558" s="1" t="s">
        <v>68</v>
      </c>
      <c r="J558" s="14">
        <v>2022990768</v>
      </c>
      <c r="K558" s="2" t="s">
        <v>193</v>
      </c>
      <c r="L558" s="1"/>
      <c r="M558" s="1" t="s">
        <v>74</v>
      </c>
      <c r="N558" s="1" t="s">
        <v>724</v>
      </c>
      <c r="O558" s="1" t="s">
        <v>89</v>
      </c>
      <c r="P558" s="1" t="s">
        <v>89</v>
      </c>
      <c r="Q558" s="1" t="s">
        <v>984</v>
      </c>
      <c r="R558" s="1" t="s">
        <v>984</v>
      </c>
      <c r="S558" s="25">
        <v>0</v>
      </c>
      <c r="T558" s="25">
        <v>43359.66</v>
      </c>
      <c r="U558" s="25">
        <v>0</v>
      </c>
      <c r="V558" s="25">
        <v>0</v>
      </c>
      <c r="W558" s="25">
        <v>80</v>
      </c>
      <c r="X558" s="25">
        <v>43279.66</v>
      </c>
      <c r="Y558" s="25">
        <v>0</v>
      </c>
      <c r="Z558" s="17" t="e">
        <f t="shared" si="197"/>
        <v>#DIV/0!</v>
      </c>
      <c r="AA558" s="18">
        <v>0.1</v>
      </c>
      <c r="AB558" s="16">
        <f t="shared" si="207"/>
        <v>4327.9660000000003</v>
      </c>
      <c r="AC558" s="16">
        <v>0</v>
      </c>
      <c r="AD558" s="16">
        <v>0</v>
      </c>
      <c r="AE558" s="16">
        <v>0</v>
      </c>
      <c r="AF558" s="16">
        <f t="shared" si="198"/>
        <v>4327.9660000000003</v>
      </c>
      <c r="AG558" s="16">
        <v>0</v>
      </c>
      <c r="AH558" s="16">
        <f t="shared" si="199"/>
        <v>4327.9660000000003</v>
      </c>
      <c r="AI558" s="16">
        <f>1%*(AB558+AC558+AD558)</f>
        <v>43.279660000000007</v>
      </c>
      <c r="AJ558" s="16">
        <v>0</v>
      </c>
      <c r="AK558" s="16">
        <f t="shared" si="200"/>
        <v>43.279660000000007</v>
      </c>
      <c r="AL558" s="19"/>
      <c r="AM558" s="16">
        <f t="shared" si="208"/>
        <v>4284.6863400000002</v>
      </c>
      <c r="AN558" s="16" t="s">
        <v>91</v>
      </c>
      <c r="AO558" s="20">
        <v>0.7</v>
      </c>
      <c r="AP558" s="16">
        <f t="shared" si="201"/>
        <v>2999.2804379999998</v>
      </c>
      <c r="AQ558" s="16"/>
      <c r="AR558" s="15"/>
      <c r="AS558" s="16">
        <f t="shared" si="202"/>
        <v>2999.2804379999998</v>
      </c>
      <c r="AT558" s="16"/>
      <c r="AU558" s="16"/>
      <c r="AV558" s="16">
        <f t="shared" si="209"/>
        <v>4327.9660000000003</v>
      </c>
      <c r="AW558" s="60">
        <f t="shared" si="203"/>
        <v>4327.9660000000003</v>
      </c>
      <c r="AX558" s="16" t="str">
        <f t="shared" si="204"/>
        <v>ACTIVA - LIFE</v>
      </c>
      <c r="AY558" s="22"/>
      <c r="AZ558" s="22"/>
      <c r="BA558" s="1"/>
      <c r="BB558" s="22" t="str">
        <f>O558</f>
        <v>LIFE</v>
      </c>
      <c r="BC558" s="1"/>
      <c r="BD558" s="1"/>
      <c r="BE558" s="1"/>
    </row>
    <row r="559" spans="1:57" ht="15.75" hidden="1" customHeight="1">
      <c r="A559" s="2" t="s">
        <v>212</v>
      </c>
      <c r="B559" s="1" t="s">
        <v>58</v>
      </c>
      <c r="C559" s="27">
        <v>45100</v>
      </c>
      <c r="D559" s="27">
        <v>45085</v>
      </c>
      <c r="E559" s="27">
        <v>45082</v>
      </c>
      <c r="F559" s="27">
        <v>45447</v>
      </c>
      <c r="G559" s="13" t="str">
        <f t="shared" si="196"/>
        <v>000-558/AIB RDC/2023</v>
      </c>
      <c r="H559" s="1">
        <v>1</v>
      </c>
      <c r="I559" s="1" t="s">
        <v>68</v>
      </c>
      <c r="J559" s="2" t="s">
        <v>802</v>
      </c>
      <c r="K559" s="2" t="s">
        <v>214</v>
      </c>
      <c r="L559" s="1" t="s">
        <v>62</v>
      </c>
      <c r="M559" s="1" t="s">
        <v>63</v>
      </c>
      <c r="N559" s="1" t="s">
        <v>64</v>
      </c>
      <c r="O559" s="1" t="s">
        <v>107</v>
      </c>
      <c r="P559" s="1" t="s">
        <v>108</v>
      </c>
      <c r="Q559" s="1" t="s">
        <v>66</v>
      </c>
      <c r="R559" s="1" t="s">
        <v>66</v>
      </c>
      <c r="S559" s="25">
        <v>215182.97</v>
      </c>
      <c r="T559" s="25">
        <v>2314.9299999999998</v>
      </c>
      <c r="U559" s="25">
        <v>0</v>
      </c>
      <c r="V559" s="25">
        <v>0</v>
      </c>
      <c r="W559" s="25">
        <v>58.81</v>
      </c>
      <c r="X559" s="25">
        <v>1936.82</v>
      </c>
      <c r="Y559" s="25">
        <v>319.3</v>
      </c>
      <c r="Z559" s="17">
        <f t="shared" si="197"/>
        <v>9.0008052217143385E-3</v>
      </c>
      <c r="AA559" s="18">
        <v>0.1</v>
      </c>
      <c r="AB559" s="16">
        <f t="shared" si="207"/>
        <v>193.68200000000002</v>
      </c>
      <c r="AC559" s="16">
        <v>0</v>
      </c>
      <c r="AD559" s="16">
        <v>0</v>
      </c>
      <c r="AE559" s="16">
        <v>0</v>
      </c>
      <c r="AF559" s="16">
        <f t="shared" si="198"/>
        <v>193.68200000000002</v>
      </c>
      <c r="AG559" s="16">
        <f t="shared" ref="AG559:AG590" si="210">16%*AF559</f>
        <v>30.989120000000003</v>
      </c>
      <c r="AH559" s="16">
        <f t="shared" si="199"/>
        <v>224.67112000000003</v>
      </c>
      <c r="AI559" s="16">
        <f t="shared" ref="AI559:AI590" si="211">2%*(AB559+AC559+AD559)</f>
        <v>3.8736400000000004</v>
      </c>
      <c r="AJ559" s="16">
        <v>0</v>
      </c>
      <c r="AK559" s="16">
        <f t="shared" si="200"/>
        <v>3.8736400000000004</v>
      </c>
      <c r="AL559" s="19"/>
      <c r="AM559" s="16">
        <f t="shared" si="208"/>
        <v>189.80836000000002</v>
      </c>
      <c r="AN559" s="16" t="s">
        <v>215</v>
      </c>
      <c r="AO559" s="20">
        <v>0.5</v>
      </c>
      <c r="AP559" s="16">
        <f t="shared" si="201"/>
        <v>94.904180000000011</v>
      </c>
      <c r="AQ559" s="16">
        <v>94.9</v>
      </c>
      <c r="AR559" s="15">
        <v>45222</v>
      </c>
      <c r="AS559" s="16">
        <f t="shared" si="202"/>
        <v>4.1800000000051796E-3</v>
      </c>
      <c r="AT559" s="16"/>
      <c r="AU559" s="16">
        <v>224.67112000000003</v>
      </c>
      <c r="AV559" s="16">
        <f t="shared" si="209"/>
        <v>224.67112000000003</v>
      </c>
      <c r="AW559" s="16">
        <f t="shared" si="203"/>
        <v>0</v>
      </c>
      <c r="AX559" s="16" t="str">
        <f t="shared" si="204"/>
        <v>SFA</v>
      </c>
      <c r="AY559" s="22">
        <v>45135</v>
      </c>
      <c r="AZ559" s="22"/>
      <c r="BA559" s="1"/>
      <c r="BB559" s="22"/>
      <c r="BC559" s="1"/>
      <c r="BD559" s="1"/>
      <c r="BE559" s="1"/>
    </row>
    <row r="560" spans="1:57" ht="15.75" hidden="1" customHeight="1">
      <c r="A560" s="2" t="s">
        <v>212</v>
      </c>
      <c r="B560" s="1" t="s">
        <v>58</v>
      </c>
      <c r="C560" s="27">
        <v>45103</v>
      </c>
      <c r="D560" s="27">
        <v>45085</v>
      </c>
      <c r="E560" s="27">
        <v>45082</v>
      </c>
      <c r="F560" s="27">
        <v>45447</v>
      </c>
      <c r="G560" s="13" t="str">
        <f t="shared" si="196"/>
        <v>000-559/AIB RDC/2023</v>
      </c>
      <c r="H560" s="1">
        <v>1</v>
      </c>
      <c r="I560" s="1" t="s">
        <v>68</v>
      </c>
      <c r="J560" s="2" t="s">
        <v>802</v>
      </c>
      <c r="K560" s="2" t="s">
        <v>214</v>
      </c>
      <c r="L560" s="1" t="s">
        <v>62</v>
      </c>
      <c r="M560" s="1" t="s">
        <v>63</v>
      </c>
      <c r="N560" s="1" t="s">
        <v>64</v>
      </c>
      <c r="O560" s="1" t="s">
        <v>107</v>
      </c>
      <c r="P560" s="1" t="s">
        <v>108</v>
      </c>
      <c r="Q560" s="1" t="s">
        <v>66</v>
      </c>
      <c r="R560" s="1" t="s">
        <v>66</v>
      </c>
      <c r="S560" s="25">
        <v>145585.91</v>
      </c>
      <c r="T560" s="25">
        <v>4499.7299999999996</v>
      </c>
      <c r="U560" s="25">
        <v>0</v>
      </c>
      <c r="V560" s="25">
        <v>0</v>
      </c>
      <c r="W560" s="25">
        <v>104.93</v>
      </c>
      <c r="X560" s="25">
        <v>3774.15</v>
      </c>
      <c r="Y560" s="25">
        <v>620.65</v>
      </c>
      <c r="Z560" s="17">
        <f t="shared" si="197"/>
        <v>2.5923868594151727E-2</v>
      </c>
      <c r="AA560" s="18">
        <v>0.1</v>
      </c>
      <c r="AB560" s="16">
        <f t="shared" si="207"/>
        <v>377.41500000000002</v>
      </c>
      <c r="AC560" s="16">
        <v>0</v>
      </c>
      <c r="AD560" s="16">
        <v>0</v>
      </c>
      <c r="AE560" s="16">
        <v>0</v>
      </c>
      <c r="AF560" s="16">
        <f t="shared" si="198"/>
        <v>377.41500000000002</v>
      </c>
      <c r="AG560" s="16">
        <f t="shared" si="210"/>
        <v>60.386400000000002</v>
      </c>
      <c r="AH560" s="16">
        <f t="shared" si="199"/>
        <v>437.8014</v>
      </c>
      <c r="AI560" s="16">
        <f t="shared" si="211"/>
        <v>7.5483000000000002</v>
      </c>
      <c r="AJ560" s="16">
        <v>0</v>
      </c>
      <c r="AK560" s="16">
        <f t="shared" si="200"/>
        <v>7.5483000000000002</v>
      </c>
      <c r="AL560" s="19"/>
      <c r="AM560" s="16">
        <f t="shared" si="208"/>
        <v>369.86670000000004</v>
      </c>
      <c r="AN560" s="16" t="s">
        <v>215</v>
      </c>
      <c r="AO560" s="20">
        <v>0.5</v>
      </c>
      <c r="AP560" s="16">
        <f t="shared" si="201"/>
        <v>184.93335000000002</v>
      </c>
      <c r="AQ560" s="16">
        <v>184.93</v>
      </c>
      <c r="AR560" s="15">
        <v>45222</v>
      </c>
      <c r="AS560" s="16">
        <f t="shared" si="202"/>
        <v>3.3500000000117325E-3</v>
      </c>
      <c r="AT560" s="16"/>
      <c r="AU560" s="16">
        <v>437.8014</v>
      </c>
      <c r="AV560" s="16">
        <f t="shared" si="209"/>
        <v>437.8014</v>
      </c>
      <c r="AW560" s="16">
        <f t="shared" si="203"/>
        <v>0</v>
      </c>
      <c r="AX560" s="16" t="str">
        <f t="shared" si="204"/>
        <v>SFA</v>
      </c>
      <c r="AY560" s="22">
        <v>45135</v>
      </c>
      <c r="AZ560" s="22"/>
      <c r="BA560" s="1"/>
      <c r="BB560" s="22"/>
      <c r="BC560" s="1"/>
      <c r="BD560" s="1"/>
      <c r="BE560" s="1"/>
    </row>
    <row r="561" spans="1:57" ht="15.75" hidden="1" customHeight="1">
      <c r="A561" s="2" t="s">
        <v>212</v>
      </c>
      <c r="B561" s="1" t="s">
        <v>58</v>
      </c>
      <c r="C561" s="27">
        <v>45103</v>
      </c>
      <c r="D561" s="27">
        <v>45089</v>
      </c>
      <c r="E561" s="27">
        <v>45082</v>
      </c>
      <c r="F561" s="27">
        <v>45447</v>
      </c>
      <c r="G561" s="13" t="str">
        <f t="shared" si="196"/>
        <v>000-560/AIB RDC/2023</v>
      </c>
      <c r="H561" s="1">
        <v>1</v>
      </c>
      <c r="I561" s="1" t="s">
        <v>68</v>
      </c>
      <c r="J561" s="2" t="s">
        <v>803</v>
      </c>
      <c r="K561" s="2" t="s">
        <v>214</v>
      </c>
      <c r="L561" s="1" t="s">
        <v>62</v>
      </c>
      <c r="M561" s="1" t="s">
        <v>63</v>
      </c>
      <c r="N561" s="1" t="s">
        <v>64</v>
      </c>
      <c r="O561" s="1" t="s">
        <v>804</v>
      </c>
      <c r="P561" s="1" t="s">
        <v>112</v>
      </c>
      <c r="Q561" s="1" t="s">
        <v>66</v>
      </c>
      <c r="R561" s="1" t="s">
        <v>66</v>
      </c>
      <c r="S561" s="25">
        <v>0</v>
      </c>
      <c r="T561" s="25">
        <v>18664.62</v>
      </c>
      <c r="U561" s="25">
        <v>2352.94</v>
      </c>
      <c r="V561" s="25">
        <v>0</v>
      </c>
      <c r="W561" s="25">
        <v>403.92</v>
      </c>
      <c r="X561" s="25">
        <v>13333.33</v>
      </c>
      <c r="Y561" s="25">
        <v>2574.4299999999998</v>
      </c>
      <c r="Z561" s="17" t="e">
        <f t="shared" si="197"/>
        <v>#DIV/0!</v>
      </c>
      <c r="AA561" s="18">
        <v>0.1</v>
      </c>
      <c r="AB561" s="16">
        <f t="shared" si="207"/>
        <v>1333.3330000000001</v>
      </c>
      <c r="AC561" s="16">
        <v>0</v>
      </c>
      <c r="AD561" s="16">
        <v>0</v>
      </c>
      <c r="AE561" s="16">
        <v>0</v>
      </c>
      <c r="AF561" s="16">
        <f t="shared" si="198"/>
        <v>1333.3330000000001</v>
      </c>
      <c r="AG561" s="16">
        <f t="shared" si="210"/>
        <v>213.33328000000003</v>
      </c>
      <c r="AH561" s="16">
        <f t="shared" si="199"/>
        <v>1546.6662800000001</v>
      </c>
      <c r="AI561" s="16">
        <f t="shared" si="211"/>
        <v>26.666660000000004</v>
      </c>
      <c r="AJ561" s="16">
        <v>0</v>
      </c>
      <c r="AK561" s="16">
        <f t="shared" si="200"/>
        <v>26.666660000000004</v>
      </c>
      <c r="AL561" s="19"/>
      <c r="AM561" s="16">
        <f t="shared" si="208"/>
        <v>1306.66634</v>
      </c>
      <c r="AN561" s="16" t="s">
        <v>215</v>
      </c>
      <c r="AO561" s="20">
        <v>0.5</v>
      </c>
      <c r="AP561" s="16">
        <f t="shared" si="201"/>
        <v>653.33317</v>
      </c>
      <c r="AQ561" s="16">
        <v>653.33000000000004</v>
      </c>
      <c r="AR561" s="15">
        <v>45222</v>
      </c>
      <c r="AS561" s="16">
        <f t="shared" si="202"/>
        <v>3.169999999954598E-3</v>
      </c>
      <c r="AT561" s="16"/>
      <c r="AU561" s="16">
        <v>1546.6662800000001</v>
      </c>
      <c r="AV561" s="16">
        <f t="shared" si="209"/>
        <v>1546.6662800000001</v>
      </c>
      <c r="AW561" s="16">
        <f t="shared" si="203"/>
        <v>0</v>
      </c>
      <c r="AX561" s="16" t="str">
        <f t="shared" si="204"/>
        <v>SFA</v>
      </c>
      <c r="AY561" s="22">
        <v>45135</v>
      </c>
      <c r="AZ561" s="22"/>
      <c r="BA561" s="1"/>
      <c r="BB561" s="22"/>
      <c r="BC561" s="1"/>
      <c r="BD561" s="1"/>
      <c r="BE561" s="1"/>
    </row>
    <row r="562" spans="1:57" ht="15.75" hidden="1" customHeight="1">
      <c r="A562" s="2" t="s">
        <v>212</v>
      </c>
      <c r="B562" s="1" t="s">
        <v>58</v>
      </c>
      <c r="C562" s="27">
        <v>45103</v>
      </c>
      <c r="D562" s="27">
        <v>45089</v>
      </c>
      <c r="E562" s="27">
        <v>45082</v>
      </c>
      <c r="F562" s="27">
        <v>45447</v>
      </c>
      <c r="G562" s="13" t="str">
        <f t="shared" si="196"/>
        <v>000-561/AIB RDC/2023</v>
      </c>
      <c r="H562" s="1">
        <v>1</v>
      </c>
      <c r="I562" s="1" t="s">
        <v>68</v>
      </c>
      <c r="J562" s="2" t="s">
        <v>805</v>
      </c>
      <c r="K562" s="2" t="s">
        <v>214</v>
      </c>
      <c r="L562" s="1" t="s">
        <v>62</v>
      </c>
      <c r="M562" s="1" t="s">
        <v>63</v>
      </c>
      <c r="N562" s="1" t="s">
        <v>64</v>
      </c>
      <c r="O562" s="1" t="s">
        <v>790</v>
      </c>
      <c r="P562" s="1" t="s">
        <v>112</v>
      </c>
      <c r="Q562" s="1" t="s">
        <v>66</v>
      </c>
      <c r="R562" s="1" t="s">
        <v>66</v>
      </c>
      <c r="S562" s="25">
        <v>0</v>
      </c>
      <c r="T562" s="25">
        <v>10042.379999999999</v>
      </c>
      <c r="U562" s="25">
        <v>1265.29</v>
      </c>
      <c r="V562" s="25">
        <v>0</v>
      </c>
      <c r="W562" s="25">
        <v>221.93</v>
      </c>
      <c r="X562" s="25">
        <v>7170</v>
      </c>
      <c r="Y562" s="25">
        <v>1385.16</v>
      </c>
      <c r="Z562" s="17" t="e">
        <f t="shared" si="197"/>
        <v>#DIV/0!</v>
      </c>
      <c r="AA562" s="18">
        <v>0.15</v>
      </c>
      <c r="AB562" s="16">
        <f t="shared" si="207"/>
        <v>1075.5</v>
      </c>
      <c r="AC562" s="16">
        <v>0</v>
      </c>
      <c r="AD562" s="16">
        <v>0</v>
      </c>
      <c r="AE562" s="16">
        <v>0</v>
      </c>
      <c r="AF562" s="16">
        <f t="shared" si="198"/>
        <v>1075.5</v>
      </c>
      <c r="AG562" s="16">
        <f t="shared" si="210"/>
        <v>172.08</v>
      </c>
      <c r="AH562" s="16">
        <f t="shared" si="199"/>
        <v>1247.58</v>
      </c>
      <c r="AI562" s="16">
        <f t="shared" si="211"/>
        <v>21.51</v>
      </c>
      <c r="AJ562" s="16">
        <v>0</v>
      </c>
      <c r="AK562" s="16">
        <f t="shared" si="200"/>
        <v>21.51</v>
      </c>
      <c r="AL562" s="19"/>
      <c r="AM562" s="16">
        <f t="shared" si="208"/>
        <v>1053.99</v>
      </c>
      <c r="AN562" s="16" t="s">
        <v>215</v>
      </c>
      <c r="AO562" s="20">
        <v>0.5</v>
      </c>
      <c r="AP562" s="16">
        <f t="shared" si="201"/>
        <v>526.995</v>
      </c>
      <c r="AQ562" s="16">
        <v>527</v>
      </c>
      <c r="AR562" s="15">
        <v>45222</v>
      </c>
      <c r="AS562" s="16">
        <f t="shared" si="202"/>
        <v>-4.9999999999954525E-3</v>
      </c>
      <c r="AT562" s="16"/>
      <c r="AU562" s="16">
        <v>1247.58</v>
      </c>
      <c r="AV562" s="16">
        <f t="shared" si="209"/>
        <v>1247.58</v>
      </c>
      <c r="AW562" s="16">
        <f t="shared" si="203"/>
        <v>0</v>
      </c>
      <c r="AX562" s="16" t="str">
        <f t="shared" si="204"/>
        <v>SFA</v>
      </c>
      <c r="AY562" s="22">
        <v>45135</v>
      </c>
      <c r="AZ562" s="22"/>
      <c r="BA562" s="1"/>
      <c r="BB562" s="22"/>
      <c r="BC562" s="1"/>
      <c r="BD562" s="1"/>
      <c r="BE562" s="1"/>
    </row>
    <row r="563" spans="1:57" ht="15.75" hidden="1" customHeight="1">
      <c r="A563" s="2" t="s">
        <v>212</v>
      </c>
      <c r="B563" s="1" t="s">
        <v>169</v>
      </c>
      <c r="C563" s="27">
        <v>45103</v>
      </c>
      <c r="D563" s="27">
        <v>45092</v>
      </c>
      <c r="E563" s="27">
        <v>45085</v>
      </c>
      <c r="F563" s="27">
        <v>45176</v>
      </c>
      <c r="G563" s="13" t="str">
        <f t="shared" si="196"/>
        <v>000-562/AIB RDC/2023</v>
      </c>
      <c r="H563" s="1">
        <v>1</v>
      </c>
      <c r="I563" s="1" t="s">
        <v>83</v>
      </c>
      <c r="J563" s="2" t="s">
        <v>806</v>
      </c>
      <c r="K563" s="2" t="s">
        <v>807</v>
      </c>
      <c r="L563" s="1" t="s">
        <v>139</v>
      </c>
      <c r="M563" s="1" t="s">
        <v>63</v>
      </c>
      <c r="N563" s="1" t="s">
        <v>71</v>
      </c>
      <c r="O563" s="1" t="s">
        <v>104</v>
      </c>
      <c r="P563" s="1" t="s">
        <v>105</v>
      </c>
      <c r="Q563" s="1" t="s">
        <v>127</v>
      </c>
      <c r="R563" s="1" t="s">
        <v>127</v>
      </c>
      <c r="S563" s="25">
        <v>31824</v>
      </c>
      <c r="T563" s="25">
        <v>302</v>
      </c>
      <c r="U563" s="25">
        <v>0</v>
      </c>
      <c r="V563" s="25">
        <v>0</v>
      </c>
      <c r="W563" s="25">
        <v>25</v>
      </c>
      <c r="X563" s="25">
        <v>210</v>
      </c>
      <c r="Y563" s="25">
        <v>38</v>
      </c>
      <c r="Z563" s="17">
        <f t="shared" si="197"/>
        <v>6.5987933634992458E-3</v>
      </c>
      <c r="AA563" s="18">
        <v>0.15</v>
      </c>
      <c r="AB563" s="16">
        <f t="shared" si="207"/>
        <v>31.5</v>
      </c>
      <c r="AC563" s="16">
        <v>0</v>
      </c>
      <c r="AD563" s="16">
        <v>0</v>
      </c>
      <c r="AE563" s="16">
        <v>0</v>
      </c>
      <c r="AF563" s="16">
        <f t="shared" si="198"/>
        <v>31.5</v>
      </c>
      <c r="AG563" s="16">
        <f t="shared" si="210"/>
        <v>5.04</v>
      </c>
      <c r="AH563" s="16">
        <f t="shared" si="199"/>
        <v>36.54</v>
      </c>
      <c r="AI563" s="16">
        <f t="shared" si="211"/>
        <v>0.63</v>
      </c>
      <c r="AJ563" s="16">
        <v>0</v>
      </c>
      <c r="AK563" s="16">
        <f t="shared" si="200"/>
        <v>0.63</v>
      </c>
      <c r="AL563" s="19"/>
      <c r="AM563" s="16">
        <f t="shared" si="208"/>
        <v>30.87</v>
      </c>
      <c r="AN563" s="16"/>
      <c r="AO563" s="20"/>
      <c r="AP563" s="16">
        <f t="shared" si="201"/>
        <v>0</v>
      </c>
      <c r="AQ563" s="16"/>
      <c r="AR563" s="15"/>
      <c r="AS563" s="16">
        <f t="shared" si="202"/>
        <v>0</v>
      </c>
      <c r="AT563" s="16"/>
      <c r="AU563" s="16">
        <v>36.54</v>
      </c>
      <c r="AV563" s="16">
        <f t="shared" si="209"/>
        <v>36.54</v>
      </c>
      <c r="AW563" s="44">
        <f t="shared" si="203"/>
        <v>0</v>
      </c>
      <c r="AX563" s="16" t="str">
        <f t="shared" si="204"/>
        <v>MAYFAIR</v>
      </c>
      <c r="AY563" s="22">
        <v>45146</v>
      </c>
      <c r="AZ563" s="22"/>
      <c r="BA563" s="1"/>
      <c r="BB563" s="22"/>
      <c r="BC563" s="1"/>
      <c r="BD563" s="1"/>
      <c r="BE563" s="1"/>
    </row>
    <row r="564" spans="1:57" ht="15.75" hidden="1" customHeight="1">
      <c r="A564" s="1" t="s">
        <v>57</v>
      </c>
      <c r="B564" s="1" t="s">
        <v>58</v>
      </c>
      <c r="C564" s="21">
        <v>44948</v>
      </c>
      <c r="D564" s="21">
        <v>44952</v>
      </c>
      <c r="E564" s="21">
        <v>44950</v>
      </c>
      <c r="F564" s="21">
        <v>44964</v>
      </c>
      <c r="G564" s="13" t="str">
        <f t="shared" si="196"/>
        <v>000-563/AIB RDC/2023</v>
      </c>
      <c r="H564" s="1">
        <v>2</v>
      </c>
      <c r="I564" s="1" t="s">
        <v>189</v>
      </c>
      <c r="J564" s="14" t="s">
        <v>190</v>
      </c>
      <c r="K564" s="1" t="s">
        <v>191</v>
      </c>
      <c r="L564" s="15"/>
      <c r="M564" s="1" t="s">
        <v>99</v>
      </c>
      <c r="N564" s="1" t="s">
        <v>100</v>
      </c>
      <c r="O564" s="1" t="s">
        <v>133</v>
      </c>
      <c r="P564" s="1" t="s">
        <v>134</v>
      </c>
      <c r="Q564" s="1" t="s">
        <v>66</v>
      </c>
      <c r="R564" s="1" t="s">
        <v>66</v>
      </c>
      <c r="S564" s="16">
        <v>0</v>
      </c>
      <c r="T564" s="16">
        <v>2500.0100000000002</v>
      </c>
      <c r="U564" s="16">
        <v>0</v>
      </c>
      <c r="V564" s="16">
        <v>0</v>
      </c>
      <c r="W564" s="16">
        <v>31.24</v>
      </c>
      <c r="X564" s="16">
        <v>2087.42</v>
      </c>
      <c r="Y564" s="16">
        <v>338.98</v>
      </c>
      <c r="Z564" s="17" t="e">
        <f t="shared" si="197"/>
        <v>#DIV/0!</v>
      </c>
      <c r="AA564" s="18">
        <v>0.15</v>
      </c>
      <c r="AB564" s="16">
        <f t="shared" si="207"/>
        <v>313.113</v>
      </c>
      <c r="AC564" s="16">
        <v>0</v>
      </c>
      <c r="AD564" s="16">
        <v>0</v>
      </c>
      <c r="AE564" s="16">
        <v>0</v>
      </c>
      <c r="AF564" s="16">
        <f t="shared" si="198"/>
        <v>313.113</v>
      </c>
      <c r="AG564" s="16">
        <f t="shared" si="210"/>
        <v>50.098080000000003</v>
      </c>
      <c r="AH564" s="16">
        <f t="shared" si="199"/>
        <v>363.21107999999998</v>
      </c>
      <c r="AI564" s="16">
        <f t="shared" si="211"/>
        <v>6.2622600000000004</v>
      </c>
      <c r="AJ564" s="16">
        <v>0</v>
      </c>
      <c r="AK564" s="16">
        <f t="shared" si="200"/>
        <v>6.2622600000000004</v>
      </c>
      <c r="AL564" s="19"/>
      <c r="AM564" s="16">
        <f t="shared" si="208"/>
        <v>306.85073999999997</v>
      </c>
      <c r="AN564" s="16"/>
      <c r="AO564" s="20"/>
      <c r="AP564" s="16">
        <f t="shared" si="201"/>
        <v>0</v>
      </c>
      <c r="AQ564" s="16"/>
      <c r="AR564" s="15"/>
      <c r="AS564" s="16">
        <f t="shared" si="202"/>
        <v>0</v>
      </c>
      <c r="AT564" s="16"/>
      <c r="AU564" s="16">
        <v>363.21107999999998</v>
      </c>
      <c r="AV564" s="16">
        <f t="shared" si="209"/>
        <v>363.21107999999998</v>
      </c>
      <c r="AW564" s="16">
        <f t="shared" si="203"/>
        <v>0</v>
      </c>
      <c r="AX564" s="16" t="str">
        <f t="shared" si="204"/>
        <v>SFA</v>
      </c>
      <c r="AY564" s="22">
        <v>44984</v>
      </c>
      <c r="AZ564" s="22"/>
      <c r="BA564" s="1" t="s">
        <v>235</v>
      </c>
      <c r="BB564" s="22" t="str">
        <f>O564</f>
        <v>COMP MOTOR</v>
      </c>
      <c r="BC564" s="22"/>
      <c r="BD564" s="22"/>
      <c r="BE564" s="22"/>
    </row>
    <row r="565" spans="1:57" ht="15.75" hidden="1" customHeight="1">
      <c r="A565" s="2" t="s">
        <v>770</v>
      </c>
      <c r="B565" s="1" t="s">
        <v>58</v>
      </c>
      <c r="C565" s="27">
        <v>45103</v>
      </c>
      <c r="D565" s="27">
        <v>45113</v>
      </c>
      <c r="E565" s="27">
        <v>45108</v>
      </c>
      <c r="F565" s="27">
        <v>45473</v>
      </c>
      <c r="G565" s="13" t="str">
        <f t="shared" si="196"/>
        <v>000-564/AIB RDC/2023</v>
      </c>
      <c r="H565" s="1">
        <v>0</v>
      </c>
      <c r="I565" s="1" t="s">
        <v>83</v>
      </c>
      <c r="J565" s="45" t="s">
        <v>808</v>
      </c>
      <c r="K565" s="2" t="s">
        <v>70</v>
      </c>
      <c r="L565" s="1" t="s">
        <v>62</v>
      </c>
      <c r="M565" s="1" t="s">
        <v>63</v>
      </c>
      <c r="N565" s="1" t="s">
        <v>64</v>
      </c>
      <c r="O565" s="1" t="s">
        <v>111</v>
      </c>
      <c r="P565" s="1" t="s">
        <v>112</v>
      </c>
      <c r="Q565" s="1" t="s">
        <v>66</v>
      </c>
      <c r="R565" s="1" t="s">
        <v>66</v>
      </c>
      <c r="S565" s="25">
        <v>1000000</v>
      </c>
      <c r="T565" s="25">
        <v>10388.43</v>
      </c>
      <c r="U565" s="25">
        <v>0</v>
      </c>
      <c r="V565" s="25">
        <v>0</v>
      </c>
      <c r="W565" s="25">
        <v>229.83</v>
      </c>
      <c r="X565" s="25">
        <v>8750</v>
      </c>
      <c r="Y565" s="25">
        <v>1408.6</v>
      </c>
      <c r="Z565" s="17">
        <f t="shared" si="197"/>
        <v>8.7500000000000008E-3</v>
      </c>
      <c r="AA565" s="18">
        <v>0.15</v>
      </c>
      <c r="AB565" s="16">
        <f t="shared" si="207"/>
        <v>1312.5</v>
      </c>
      <c r="AC565" s="16">
        <v>0</v>
      </c>
      <c r="AD565" s="16">
        <v>0</v>
      </c>
      <c r="AE565" s="16">
        <v>0</v>
      </c>
      <c r="AF565" s="16">
        <f t="shared" si="198"/>
        <v>1312.5</v>
      </c>
      <c r="AG565" s="16">
        <f t="shared" si="210"/>
        <v>210</v>
      </c>
      <c r="AH565" s="16">
        <f t="shared" si="199"/>
        <v>1522.5</v>
      </c>
      <c r="AI565" s="16">
        <f t="shared" si="211"/>
        <v>26.25</v>
      </c>
      <c r="AJ565" s="16">
        <v>0</v>
      </c>
      <c r="AK565" s="16">
        <f t="shared" si="200"/>
        <v>26.25</v>
      </c>
      <c r="AL565" s="19"/>
      <c r="AM565" s="16">
        <f t="shared" si="208"/>
        <v>1286.25</v>
      </c>
      <c r="AN565" s="16"/>
      <c r="AO565" s="20"/>
      <c r="AP565" s="16">
        <f t="shared" si="201"/>
        <v>0</v>
      </c>
      <c r="AQ565" s="16"/>
      <c r="AR565" s="15"/>
      <c r="AS565" s="16">
        <f t="shared" si="202"/>
        <v>0</v>
      </c>
      <c r="AT565" s="16"/>
      <c r="AU565" s="16">
        <v>1522.5</v>
      </c>
      <c r="AV565" s="16">
        <f t="shared" si="209"/>
        <v>1522.5</v>
      </c>
      <c r="AW565" s="16">
        <f t="shared" si="203"/>
        <v>0</v>
      </c>
      <c r="AX565" s="16" t="str">
        <f t="shared" si="204"/>
        <v>SFA</v>
      </c>
      <c r="AY565" s="22">
        <v>45163</v>
      </c>
      <c r="AZ565" s="22"/>
      <c r="BA565" s="1"/>
      <c r="BB565" s="22" t="str">
        <f>O565</f>
        <v>GENERAL LIABILITY</v>
      </c>
      <c r="BC565" s="1"/>
      <c r="BD565" s="1"/>
      <c r="BE565" s="1"/>
    </row>
    <row r="566" spans="1:57" ht="15.75" hidden="1" customHeight="1">
      <c r="A566" s="2" t="s">
        <v>770</v>
      </c>
      <c r="B566" s="1" t="s">
        <v>169</v>
      </c>
      <c r="C566" s="27">
        <v>45103</v>
      </c>
      <c r="D566" s="27"/>
      <c r="E566" s="27">
        <v>45108</v>
      </c>
      <c r="F566" s="27">
        <v>45473</v>
      </c>
      <c r="G566" s="13" t="str">
        <f t="shared" si="196"/>
        <v>000-565/AIB RDC/2023</v>
      </c>
      <c r="H566" s="1">
        <v>1</v>
      </c>
      <c r="I566" s="1" t="s">
        <v>68</v>
      </c>
      <c r="J566" s="2" t="s">
        <v>809</v>
      </c>
      <c r="K566" s="2" t="s">
        <v>810</v>
      </c>
      <c r="L566" s="1"/>
      <c r="M566" s="1" t="s">
        <v>63</v>
      </c>
      <c r="N566" s="1" t="s">
        <v>64</v>
      </c>
      <c r="O566" s="1" t="s">
        <v>107</v>
      </c>
      <c r="P566" s="1" t="s">
        <v>108</v>
      </c>
      <c r="Q566" s="1" t="s">
        <v>76</v>
      </c>
      <c r="R566" s="1" t="s">
        <v>76</v>
      </c>
      <c r="S566" s="25">
        <v>4090000</v>
      </c>
      <c r="T566" s="25">
        <v>11524.4</v>
      </c>
      <c r="U566" s="25">
        <v>0</v>
      </c>
      <c r="V566" s="25">
        <v>0</v>
      </c>
      <c r="W566" s="25">
        <v>98.39</v>
      </c>
      <c r="X566" s="25">
        <v>9836.4599999999991</v>
      </c>
      <c r="Y566" s="25">
        <v>1589.57</v>
      </c>
      <c r="Z566" s="17">
        <f t="shared" si="197"/>
        <v>2.4050024449877748E-3</v>
      </c>
      <c r="AA566" s="18">
        <v>0.1</v>
      </c>
      <c r="AB566" s="16">
        <f t="shared" si="207"/>
        <v>983.64599999999996</v>
      </c>
      <c r="AC566" s="16">
        <v>0</v>
      </c>
      <c r="AD566" s="16">
        <v>0</v>
      </c>
      <c r="AE566" s="16">
        <v>0</v>
      </c>
      <c r="AF566" s="16">
        <f t="shared" si="198"/>
        <v>983.64599999999996</v>
      </c>
      <c r="AG566" s="16">
        <f t="shared" si="210"/>
        <v>157.38336000000001</v>
      </c>
      <c r="AH566" s="16">
        <f t="shared" si="199"/>
        <v>1141.02936</v>
      </c>
      <c r="AI566" s="16">
        <f t="shared" si="211"/>
        <v>19.672920000000001</v>
      </c>
      <c r="AJ566" s="16">
        <v>0</v>
      </c>
      <c r="AK566" s="16">
        <f t="shared" si="200"/>
        <v>19.672920000000001</v>
      </c>
      <c r="AL566" s="19"/>
      <c r="AM566" s="16">
        <f t="shared" si="208"/>
        <v>963.97307999999998</v>
      </c>
      <c r="AN566" s="16"/>
      <c r="AO566" s="20"/>
      <c r="AP566" s="16">
        <f t="shared" si="201"/>
        <v>0</v>
      </c>
      <c r="AQ566" s="16"/>
      <c r="AR566" s="15"/>
      <c r="AS566" s="16">
        <f t="shared" si="202"/>
        <v>0</v>
      </c>
      <c r="AT566" s="16"/>
      <c r="AU566" s="16">
        <v>1141.02936</v>
      </c>
      <c r="AV566" s="16">
        <f t="shared" si="209"/>
        <v>1141.02936</v>
      </c>
      <c r="AW566" s="16">
        <f t="shared" si="203"/>
        <v>0</v>
      </c>
      <c r="AX566" s="16" t="str">
        <f t="shared" si="204"/>
        <v>ACTIVA</v>
      </c>
      <c r="AY566" s="22">
        <v>45170</v>
      </c>
      <c r="AZ566" s="22"/>
      <c r="BA566" s="1"/>
      <c r="BB566" s="22"/>
      <c r="BC566" s="1"/>
      <c r="BD566" s="1"/>
      <c r="BE566" s="1"/>
    </row>
    <row r="567" spans="1:57" ht="15.75" hidden="1" customHeight="1">
      <c r="A567" s="2" t="s">
        <v>212</v>
      </c>
      <c r="B567" s="1" t="s">
        <v>58</v>
      </c>
      <c r="C567" s="27">
        <v>45103</v>
      </c>
      <c r="D567" s="27">
        <v>45089</v>
      </c>
      <c r="E567" s="27">
        <v>45089</v>
      </c>
      <c r="F567" s="27">
        <v>44957</v>
      </c>
      <c r="G567" s="13" t="str">
        <f t="shared" si="196"/>
        <v>000-566/AIB RDC/2023</v>
      </c>
      <c r="H567" s="1">
        <v>35</v>
      </c>
      <c r="I567" s="1" t="s">
        <v>59</v>
      </c>
      <c r="J567" s="14" t="s">
        <v>239</v>
      </c>
      <c r="K567" s="2" t="s">
        <v>240</v>
      </c>
      <c r="L567" s="1" t="s">
        <v>139</v>
      </c>
      <c r="M567" s="1" t="s">
        <v>63</v>
      </c>
      <c r="N567" s="1" t="s">
        <v>64</v>
      </c>
      <c r="O567" s="1" t="s">
        <v>133</v>
      </c>
      <c r="P567" s="1" t="s">
        <v>134</v>
      </c>
      <c r="Q567" s="1" t="s">
        <v>76</v>
      </c>
      <c r="R567" s="1" t="s">
        <v>76</v>
      </c>
      <c r="S567" s="25">
        <v>88217</v>
      </c>
      <c r="T567" s="25">
        <v>2919.94</v>
      </c>
      <c r="U567" s="25">
        <v>0</v>
      </c>
      <c r="V567" s="25">
        <v>0</v>
      </c>
      <c r="W567" s="25">
        <v>24.92</v>
      </c>
      <c r="X567" s="25">
        <v>2492.27</v>
      </c>
      <c r="Y567" s="25">
        <v>402.95</v>
      </c>
      <c r="Z567" s="17">
        <f t="shared" si="197"/>
        <v>2.8251584161782875E-2</v>
      </c>
      <c r="AA567" s="18">
        <v>0.144776227199409</v>
      </c>
      <c r="AB567" s="16">
        <f t="shared" si="207"/>
        <v>360.82144776227108</v>
      </c>
      <c r="AC567" s="16">
        <v>0</v>
      </c>
      <c r="AD567" s="16">
        <v>0</v>
      </c>
      <c r="AE567" s="16">
        <f>3%*X567</f>
        <v>74.76809999999999</v>
      </c>
      <c r="AF567" s="16">
        <f t="shared" si="198"/>
        <v>435.58954776227108</v>
      </c>
      <c r="AG567" s="16">
        <f t="shared" si="210"/>
        <v>69.694327641963369</v>
      </c>
      <c r="AH567" s="16">
        <f t="shared" si="199"/>
        <v>505.28387540423444</v>
      </c>
      <c r="AI567" s="16">
        <f t="shared" si="211"/>
        <v>7.2164289552454219</v>
      </c>
      <c r="AJ567" s="16">
        <v>0</v>
      </c>
      <c r="AK567" s="16">
        <f t="shared" si="200"/>
        <v>7.2164289552454219</v>
      </c>
      <c r="AL567" s="19"/>
      <c r="AM567" s="16">
        <f t="shared" si="208"/>
        <v>428.37311880702566</v>
      </c>
      <c r="AN567" s="16" t="s">
        <v>228</v>
      </c>
      <c r="AO567" s="20"/>
      <c r="AP567" s="16">
        <f t="shared" si="201"/>
        <v>0</v>
      </c>
      <c r="AQ567" s="16"/>
      <c r="AR567" s="15"/>
      <c r="AS567" s="16">
        <f t="shared" si="202"/>
        <v>0</v>
      </c>
      <c r="AT567" s="16"/>
      <c r="AU567" s="16">
        <f>86.73+418.55</f>
        <v>505.28000000000003</v>
      </c>
      <c r="AV567" s="16">
        <v>505.28000000000003</v>
      </c>
      <c r="AW567" s="16">
        <f t="shared" si="203"/>
        <v>0</v>
      </c>
      <c r="AX567" s="16" t="str">
        <f t="shared" si="204"/>
        <v>ACTIVA</v>
      </c>
      <c r="AY567" s="22">
        <v>45153</v>
      </c>
      <c r="AZ567" s="22"/>
      <c r="BA567" s="1"/>
      <c r="BB567" s="22"/>
      <c r="BC567" s="1"/>
      <c r="BD567" s="1"/>
      <c r="BE567" s="1"/>
    </row>
    <row r="568" spans="1:57" ht="15.75" hidden="1" customHeight="1">
      <c r="A568" s="2" t="s">
        <v>212</v>
      </c>
      <c r="B568" s="1" t="s">
        <v>58</v>
      </c>
      <c r="C568" s="27">
        <v>45103</v>
      </c>
      <c r="D568" s="27">
        <v>45092</v>
      </c>
      <c r="E568" s="27">
        <v>45092</v>
      </c>
      <c r="F568" s="27">
        <v>45322</v>
      </c>
      <c r="G568" s="13" t="str">
        <f t="shared" si="196"/>
        <v>000-567/AIB RDC/2023</v>
      </c>
      <c r="H568" s="1">
        <v>36</v>
      </c>
      <c r="I568" s="1" t="s">
        <v>59</v>
      </c>
      <c r="J568" s="14" t="s">
        <v>239</v>
      </c>
      <c r="K568" s="2" t="s">
        <v>240</v>
      </c>
      <c r="L568" s="1" t="s">
        <v>139</v>
      </c>
      <c r="M568" s="1" t="s">
        <v>63</v>
      </c>
      <c r="N568" s="1" t="s">
        <v>64</v>
      </c>
      <c r="O568" s="1" t="s">
        <v>133</v>
      </c>
      <c r="P568" s="1" t="s">
        <v>134</v>
      </c>
      <c r="Q568" s="1" t="s">
        <v>76</v>
      </c>
      <c r="R568" s="1" t="s">
        <v>76</v>
      </c>
      <c r="S568" s="25">
        <v>27109</v>
      </c>
      <c r="T568" s="25">
        <v>894.48</v>
      </c>
      <c r="U568" s="25">
        <v>0</v>
      </c>
      <c r="V568" s="25">
        <v>0</v>
      </c>
      <c r="W568" s="25">
        <v>10</v>
      </c>
      <c r="X568" s="25">
        <v>761.45</v>
      </c>
      <c r="Y568" s="25">
        <v>123.43</v>
      </c>
      <c r="Z568" s="17">
        <f t="shared" si="197"/>
        <v>2.8088457707772328E-2</v>
      </c>
      <c r="AA568" s="18">
        <v>0.144879573451002</v>
      </c>
      <c r="AB568" s="16">
        <f t="shared" ref="AB568:AB599" si="212">AA568*X568</f>
        <v>110.31855120426548</v>
      </c>
      <c r="AC568" s="16">
        <v>0</v>
      </c>
      <c r="AD568" s="16">
        <v>0</v>
      </c>
      <c r="AE568" s="16">
        <f>3%*X568</f>
        <v>22.843499999999999</v>
      </c>
      <c r="AF568" s="16">
        <f t="shared" si="198"/>
        <v>133.16205120426548</v>
      </c>
      <c r="AG568" s="16">
        <f t="shared" si="210"/>
        <v>21.305928192682476</v>
      </c>
      <c r="AH568" s="16">
        <f t="shared" si="199"/>
        <v>154.46797939694795</v>
      </c>
      <c r="AI568" s="16">
        <f t="shared" si="211"/>
        <v>2.2063710240853096</v>
      </c>
      <c r="AJ568" s="16">
        <v>0</v>
      </c>
      <c r="AK568" s="16">
        <f t="shared" si="200"/>
        <v>2.2063710240853096</v>
      </c>
      <c r="AL568" s="19"/>
      <c r="AM568" s="16">
        <f t="shared" si="208"/>
        <v>130.95568018018017</v>
      </c>
      <c r="AN568" s="16" t="s">
        <v>228</v>
      </c>
      <c r="AO568" s="20"/>
      <c r="AP568" s="16">
        <f t="shared" si="201"/>
        <v>0</v>
      </c>
      <c r="AQ568" s="16"/>
      <c r="AR568" s="15"/>
      <c r="AS568" s="16">
        <f t="shared" si="202"/>
        <v>0</v>
      </c>
      <c r="AT568" s="16"/>
      <c r="AU568" s="16">
        <f>26.49+127.97</f>
        <v>154.46</v>
      </c>
      <c r="AV568" s="16">
        <v>154.46</v>
      </c>
      <c r="AW568" s="16">
        <f t="shared" si="203"/>
        <v>0</v>
      </c>
      <c r="AX568" s="16" t="str">
        <f t="shared" si="204"/>
        <v>ACTIVA</v>
      </c>
      <c r="AY568" s="22">
        <v>45153</v>
      </c>
      <c r="AZ568" s="22"/>
      <c r="BA568" s="1"/>
      <c r="BB568" s="22"/>
      <c r="BC568" s="1"/>
      <c r="BD568" s="1"/>
      <c r="BE568" s="1"/>
    </row>
    <row r="569" spans="1:57" ht="15.75" hidden="1" customHeight="1">
      <c r="A569" s="2" t="s">
        <v>212</v>
      </c>
      <c r="B569" s="1" t="s">
        <v>169</v>
      </c>
      <c r="C569" s="27">
        <v>45103</v>
      </c>
      <c r="D569" s="27">
        <v>45101</v>
      </c>
      <c r="E569" s="27">
        <v>45102</v>
      </c>
      <c r="F569" s="27">
        <v>45467</v>
      </c>
      <c r="G569" s="13" t="str">
        <f t="shared" si="196"/>
        <v>000-568/AIB RDC/2023</v>
      </c>
      <c r="H569" s="1">
        <v>0</v>
      </c>
      <c r="I569" s="1" t="s">
        <v>83</v>
      </c>
      <c r="J569" s="2" t="s">
        <v>811</v>
      </c>
      <c r="K569" s="2" t="s">
        <v>812</v>
      </c>
      <c r="L569" s="1"/>
      <c r="M569" s="1" t="s">
        <v>63</v>
      </c>
      <c r="N569" s="1" t="s">
        <v>100</v>
      </c>
      <c r="O569" s="1" t="s">
        <v>133</v>
      </c>
      <c r="P569" s="1" t="s">
        <v>134</v>
      </c>
      <c r="Q569" s="1" t="s">
        <v>66</v>
      </c>
      <c r="R569" s="1" t="s">
        <v>66</v>
      </c>
      <c r="S569" s="25">
        <v>120000</v>
      </c>
      <c r="T569" s="25">
        <v>5300.03</v>
      </c>
      <c r="U569" s="25">
        <v>0</v>
      </c>
      <c r="V569" s="25">
        <v>0</v>
      </c>
      <c r="W569" s="25">
        <v>159.47</v>
      </c>
      <c r="X569" s="25">
        <v>4409.5200000000004</v>
      </c>
      <c r="Y569" s="25">
        <v>731.04</v>
      </c>
      <c r="Z569" s="17">
        <f t="shared" si="197"/>
        <v>3.6746000000000001E-2</v>
      </c>
      <c r="AA569" s="18">
        <v>0.15</v>
      </c>
      <c r="AB569" s="16">
        <f t="shared" si="212"/>
        <v>661.428</v>
      </c>
      <c r="AC569" s="16">
        <v>0</v>
      </c>
      <c r="AD569" s="16">
        <v>0</v>
      </c>
      <c r="AE569" s="16">
        <v>0</v>
      </c>
      <c r="AF569" s="16">
        <f t="shared" si="198"/>
        <v>661.428</v>
      </c>
      <c r="AG569" s="16">
        <f t="shared" si="210"/>
        <v>105.82848</v>
      </c>
      <c r="AH569" s="16">
        <f t="shared" si="199"/>
        <v>767.25648000000001</v>
      </c>
      <c r="AI569" s="16">
        <f t="shared" si="211"/>
        <v>13.22856</v>
      </c>
      <c r="AJ569" s="16">
        <v>0</v>
      </c>
      <c r="AK569" s="16">
        <f t="shared" si="200"/>
        <v>13.22856</v>
      </c>
      <c r="AL569" s="19"/>
      <c r="AM569" s="16">
        <f t="shared" si="208"/>
        <v>648.19943999999998</v>
      </c>
      <c r="AN569" s="16"/>
      <c r="AO569" s="20"/>
      <c r="AP569" s="16">
        <f t="shared" si="201"/>
        <v>0</v>
      </c>
      <c r="AQ569" s="16"/>
      <c r="AR569" s="15"/>
      <c r="AS569" s="16">
        <f t="shared" si="202"/>
        <v>0</v>
      </c>
      <c r="AT569" s="16"/>
      <c r="AU569" s="16">
        <v>767.25648000000001</v>
      </c>
      <c r="AV569" s="16">
        <f t="shared" ref="AV569:AV632" si="213">AH569</f>
        <v>767.25648000000001</v>
      </c>
      <c r="AW569" s="16">
        <f t="shared" si="203"/>
        <v>0</v>
      </c>
      <c r="AX569" s="16" t="str">
        <f t="shared" si="204"/>
        <v>SFA</v>
      </c>
      <c r="AY569" s="22">
        <v>45135</v>
      </c>
      <c r="AZ569" s="22"/>
      <c r="BA569" s="1"/>
      <c r="BB569" s="22"/>
      <c r="BC569" s="1"/>
      <c r="BD569" s="1"/>
      <c r="BE569" s="1"/>
    </row>
    <row r="570" spans="1:57" ht="15.75" hidden="1" customHeight="1">
      <c r="A570" s="2" t="s">
        <v>406</v>
      </c>
      <c r="B570" s="1" t="s">
        <v>58</v>
      </c>
      <c r="C570" s="27">
        <v>45103</v>
      </c>
      <c r="D570" s="27">
        <v>45103</v>
      </c>
      <c r="E570" s="27">
        <v>45017</v>
      </c>
      <c r="F570" s="27">
        <v>45382</v>
      </c>
      <c r="G570" s="13" t="str">
        <f t="shared" si="196"/>
        <v>000-569/AIB RDC/2023</v>
      </c>
      <c r="H570" s="1">
        <v>1</v>
      </c>
      <c r="I570" s="1" t="s">
        <v>68</v>
      </c>
      <c r="J570" s="2" t="s">
        <v>813</v>
      </c>
      <c r="K570" s="2" t="s">
        <v>240</v>
      </c>
      <c r="L570" s="1" t="s">
        <v>139</v>
      </c>
      <c r="M570" s="1" t="s">
        <v>63</v>
      </c>
      <c r="N570" s="1" t="s">
        <v>64</v>
      </c>
      <c r="O570" s="1" t="s">
        <v>111</v>
      </c>
      <c r="P570" s="1" t="s">
        <v>112</v>
      </c>
      <c r="Q570" s="1" t="s">
        <v>135</v>
      </c>
      <c r="R570" s="1" t="s">
        <v>135</v>
      </c>
      <c r="S570" s="25">
        <v>5981.33</v>
      </c>
      <c r="T570" s="25">
        <v>449.89</v>
      </c>
      <c r="U570" s="25">
        <v>0</v>
      </c>
      <c r="V570" s="25">
        <v>0</v>
      </c>
      <c r="W570" s="25">
        <v>50</v>
      </c>
      <c r="X570" s="25">
        <v>331.26</v>
      </c>
      <c r="Y570" s="25">
        <v>61</v>
      </c>
      <c r="Z570" s="17">
        <f t="shared" si="197"/>
        <v>5.5382331354397768E-2</v>
      </c>
      <c r="AA570" s="18">
        <v>0.08</v>
      </c>
      <c r="AB570" s="16">
        <f t="shared" si="212"/>
        <v>26.500799999999998</v>
      </c>
      <c r="AC570" s="16">
        <v>0</v>
      </c>
      <c r="AD570" s="16">
        <v>0</v>
      </c>
      <c r="AE570" s="16">
        <v>0</v>
      </c>
      <c r="AF570" s="16">
        <f t="shared" si="198"/>
        <v>26.500799999999998</v>
      </c>
      <c r="AG570" s="16">
        <f t="shared" si="210"/>
        <v>4.2401279999999995</v>
      </c>
      <c r="AH570" s="16">
        <f t="shared" si="199"/>
        <v>30.740927999999997</v>
      </c>
      <c r="AI570" s="16">
        <f t="shared" si="211"/>
        <v>0.53001599999999993</v>
      </c>
      <c r="AJ570" s="16">
        <v>0</v>
      </c>
      <c r="AK570" s="16">
        <f t="shared" si="200"/>
        <v>0.53001599999999993</v>
      </c>
      <c r="AL570" s="19"/>
      <c r="AM570" s="16">
        <f t="shared" si="208"/>
        <v>25.970783999999998</v>
      </c>
      <c r="AN570" s="16"/>
      <c r="AO570" s="20"/>
      <c r="AP570" s="16">
        <f t="shared" si="201"/>
        <v>0</v>
      </c>
      <c r="AQ570" s="16"/>
      <c r="AR570" s="15"/>
      <c r="AS570" s="16">
        <f t="shared" si="202"/>
        <v>0</v>
      </c>
      <c r="AT570" s="16"/>
      <c r="AU570" s="16">
        <v>30.740927999999997</v>
      </c>
      <c r="AV570" s="16">
        <f t="shared" si="213"/>
        <v>30.740927999999997</v>
      </c>
      <c r="AW570" s="16">
        <f t="shared" si="203"/>
        <v>0</v>
      </c>
      <c r="AX570" s="16" t="str">
        <f t="shared" si="204"/>
        <v>RAWSUR</v>
      </c>
      <c r="AY570" s="22">
        <v>45153</v>
      </c>
      <c r="AZ570" s="22"/>
      <c r="BA570" s="1"/>
      <c r="BB570" s="22"/>
      <c r="BC570" s="1"/>
      <c r="BD570" s="1"/>
      <c r="BE570" s="1"/>
    </row>
    <row r="571" spans="1:57" ht="15.75" hidden="1" customHeight="1">
      <c r="A571" s="2" t="s">
        <v>406</v>
      </c>
      <c r="B571" s="1" t="s">
        <v>58</v>
      </c>
      <c r="C571" s="27">
        <v>45103</v>
      </c>
      <c r="D571" s="27">
        <v>45103</v>
      </c>
      <c r="E571" s="27">
        <v>45017</v>
      </c>
      <c r="F571" s="27">
        <v>45382</v>
      </c>
      <c r="G571" s="13" t="str">
        <f t="shared" si="196"/>
        <v>000-570/AIB RDC/2023</v>
      </c>
      <c r="H571" s="1">
        <v>1</v>
      </c>
      <c r="I571" s="1" t="s">
        <v>68</v>
      </c>
      <c r="J571" s="2" t="s">
        <v>814</v>
      </c>
      <c r="K571" s="2" t="s">
        <v>815</v>
      </c>
      <c r="L571" s="1"/>
      <c r="M571" s="1" t="s">
        <v>63</v>
      </c>
      <c r="N571" s="1" t="s">
        <v>64</v>
      </c>
      <c r="O571" s="1" t="s">
        <v>111</v>
      </c>
      <c r="P571" s="1" t="s">
        <v>112</v>
      </c>
      <c r="Q571" s="1" t="s">
        <v>135</v>
      </c>
      <c r="R571" s="1" t="s">
        <v>135</v>
      </c>
      <c r="S571" s="25">
        <v>88930.3</v>
      </c>
      <c r="T571" s="25">
        <v>5870.74</v>
      </c>
      <c r="U571" s="25">
        <v>0</v>
      </c>
      <c r="V571" s="25">
        <v>0</v>
      </c>
      <c r="W571" s="25">
        <v>50</v>
      </c>
      <c r="X571" s="25">
        <v>4925.21</v>
      </c>
      <c r="Y571" s="25">
        <v>796.03</v>
      </c>
      <c r="Z571" s="17">
        <f t="shared" si="197"/>
        <v>5.538281103291004E-2</v>
      </c>
      <c r="AA571" s="18">
        <v>0.08</v>
      </c>
      <c r="AB571" s="16">
        <f t="shared" si="212"/>
        <v>394.01679999999999</v>
      </c>
      <c r="AC571" s="16">
        <v>0</v>
      </c>
      <c r="AD571" s="16">
        <v>0</v>
      </c>
      <c r="AE571" s="16">
        <v>0</v>
      </c>
      <c r="AF571" s="16">
        <f t="shared" si="198"/>
        <v>394.01679999999999</v>
      </c>
      <c r="AG571" s="16">
        <f t="shared" si="210"/>
        <v>63.042687999999998</v>
      </c>
      <c r="AH571" s="16">
        <f t="shared" si="199"/>
        <v>457.05948799999999</v>
      </c>
      <c r="AI571" s="16">
        <f t="shared" si="211"/>
        <v>7.8803359999999998</v>
      </c>
      <c r="AJ571" s="16">
        <v>0</v>
      </c>
      <c r="AK571" s="16">
        <f t="shared" si="200"/>
        <v>7.8803359999999998</v>
      </c>
      <c r="AL571" s="19"/>
      <c r="AM571" s="16">
        <f t="shared" si="208"/>
        <v>386.13646399999999</v>
      </c>
      <c r="AN571" s="16"/>
      <c r="AO571" s="20"/>
      <c r="AP571" s="16">
        <f t="shared" si="201"/>
        <v>0</v>
      </c>
      <c r="AQ571" s="16"/>
      <c r="AR571" s="15"/>
      <c r="AS571" s="16">
        <f t="shared" si="202"/>
        <v>0</v>
      </c>
      <c r="AT571" s="16"/>
      <c r="AU571" s="16">
        <v>457.05948799999999</v>
      </c>
      <c r="AV571" s="16">
        <f t="shared" si="213"/>
        <v>457.05948799999999</v>
      </c>
      <c r="AW571" s="16">
        <f t="shared" si="203"/>
        <v>0</v>
      </c>
      <c r="AX571" s="16" t="str">
        <f t="shared" si="204"/>
        <v>RAWSUR</v>
      </c>
      <c r="AY571" s="22">
        <v>45153</v>
      </c>
      <c r="AZ571" s="22"/>
      <c r="BA571" s="1"/>
      <c r="BB571" s="22"/>
      <c r="BC571" s="1"/>
      <c r="BD571" s="1"/>
      <c r="BE571" s="1"/>
    </row>
    <row r="572" spans="1:57" ht="15.75" hidden="1" customHeight="1">
      <c r="A572" s="2" t="s">
        <v>406</v>
      </c>
      <c r="B572" s="1" t="s">
        <v>58</v>
      </c>
      <c r="C572" s="27">
        <v>45103</v>
      </c>
      <c r="D572" s="27">
        <v>45103</v>
      </c>
      <c r="E572" s="27">
        <v>45017</v>
      </c>
      <c r="F572" s="27">
        <v>45382</v>
      </c>
      <c r="G572" s="13" t="str">
        <f t="shared" si="196"/>
        <v>000-571/AIB RDC/2023</v>
      </c>
      <c r="H572" s="1">
        <v>1</v>
      </c>
      <c r="I572" s="1" t="s">
        <v>68</v>
      </c>
      <c r="J572" s="2" t="s">
        <v>816</v>
      </c>
      <c r="K572" s="2" t="s">
        <v>817</v>
      </c>
      <c r="L572" s="1"/>
      <c r="M572" s="1" t="s">
        <v>63</v>
      </c>
      <c r="N572" s="1" t="s">
        <v>64</v>
      </c>
      <c r="O572" s="1" t="s">
        <v>111</v>
      </c>
      <c r="P572" s="1" t="s">
        <v>112</v>
      </c>
      <c r="Q572" s="1" t="s">
        <v>135</v>
      </c>
      <c r="R572" s="1" t="s">
        <v>135</v>
      </c>
      <c r="S572" s="25">
        <v>1083.98</v>
      </c>
      <c r="T572" s="25">
        <v>134.38</v>
      </c>
      <c r="U572" s="25">
        <v>0</v>
      </c>
      <c r="V572" s="25">
        <v>0</v>
      </c>
      <c r="W572" s="25">
        <v>50</v>
      </c>
      <c r="X572" s="25">
        <v>63.88</v>
      </c>
      <c r="Y572" s="25">
        <v>18.22</v>
      </c>
      <c r="Z572" s="17">
        <f t="shared" si="197"/>
        <v>5.8930976586283879E-2</v>
      </c>
      <c r="AA572" s="18">
        <v>0.08</v>
      </c>
      <c r="AB572" s="16">
        <f t="shared" si="212"/>
        <v>5.1104000000000003</v>
      </c>
      <c r="AC572" s="16">
        <v>0</v>
      </c>
      <c r="AD572" s="16">
        <v>0</v>
      </c>
      <c r="AE572" s="16">
        <v>0</v>
      </c>
      <c r="AF572" s="16">
        <f t="shared" si="198"/>
        <v>5.1104000000000003</v>
      </c>
      <c r="AG572" s="16">
        <f t="shared" si="210"/>
        <v>0.81766400000000006</v>
      </c>
      <c r="AH572" s="16">
        <f t="shared" si="199"/>
        <v>5.928064</v>
      </c>
      <c r="AI572" s="16">
        <f t="shared" si="211"/>
        <v>0.10220800000000001</v>
      </c>
      <c r="AJ572" s="16">
        <v>0</v>
      </c>
      <c r="AK572" s="16">
        <f t="shared" si="200"/>
        <v>0.10220800000000001</v>
      </c>
      <c r="AL572" s="19"/>
      <c r="AM572" s="16">
        <f t="shared" si="208"/>
        <v>5.0081920000000002</v>
      </c>
      <c r="AN572" s="16"/>
      <c r="AO572" s="20"/>
      <c r="AP572" s="16">
        <f t="shared" si="201"/>
        <v>0</v>
      </c>
      <c r="AQ572" s="16"/>
      <c r="AR572" s="15"/>
      <c r="AS572" s="16">
        <f t="shared" si="202"/>
        <v>0</v>
      </c>
      <c r="AT572" s="16"/>
      <c r="AU572" s="16">
        <v>5.928064</v>
      </c>
      <c r="AV572" s="16">
        <f t="shared" si="213"/>
        <v>5.928064</v>
      </c>
      <c r="AW572" s="16">
        <f t="shared" si="203"/>
        <v>0</v>
      </c>
      <c r="AX572" s="16" t="str">
        <f t="shared" si="204"/>
        <v>RAWSUR</v>
      </c>
      <c r="AY572" s="22">
        <v>45153</v>
      </c>
      <c r="AZ572" s="22"/>
      <c r="BA572" s="1"/>
      <c r="BB572" s="22"/>
      <c r="BC572" s="1"/>
      <c r="BD572" s="1"/>
      <c r="BE572" s="1"/>
    </row>
    <row r="573" spans="1:57" ht="15.75" hidden="1" customHeight="1">
      <c r="A573" s="2" t="s">
        <v>230</v>
      </c>
      <c r="B573" s="1" t="s">
        <v>58</v>
      </c>
      <c r="C573" s="27">
        <v>45103</v>
      </c>
      <c r="D573" s="27">
        <v>45090</v>
      </c>
      <c r="E573" s="27">
        <v>45072</v>
      </c>
      <c r="F573" s="27">
        <v>45107</v>
      </c>
      <c r="G573" s="13" t="str">
        <f t="shared" si="196"/>
        <v>000-572/AIB RDC/2023</v>
      </c>
      <c r="H573" s="1">
        <v>1</v>
      </c>
      <c r="I573" s="1" t="s">
        <v>59</v>
      </c>
      <c r="J573" s="2" t="s">
        <v>818</v>
      </c>
      <c r="K573" s="1" t="s">
        <v>204</v>
      </c>
      <c r="L573" s="1" t="s">
        <v>123</v>
      </c>
      <c r="M573" s="1" t="s">
        <v>63</v>
      </c>
      <c r="N573" s="1" t="s">
        <v>71</v>
      </c>
      <c r="O573" s="1" t="s">
        <v>104</v>
      </c>
      <c r="P573" s="1" t="s">
        <v>105</v>
      </c>
      <c r="Q573" s="1" t="s">
        <v>127</v>
      </c>
      <c r="R573" s="1" t="s">
        <v>127</v>
      </c>
      <c r="S573" s="25">
        <v>0</v>
      </c>
      <c r="T573" s="25">
        <v>3839</v>
      </c>
      <c r="U573" s="25">
        <v>0</v>
      </c>
      <c r="V573" s="25">
        <v>0</v>
      </c>
      <c r="W573" s="25">
        <v>100</v>
      </c>
      <c r="X573" s="25">
        <v>2709</v>
      </c>
      <c r="Y573" s="25">
        <v>449</v>
      </c>
      <c r="Z573" s="17" t="e">
        <f t="shared" si="197"/>
        <v>#DIV/0!</v>
      </c>
      <c r="AA573" s="18">
        <v>0.15</v>
      </c>
      <c r="AB573" s="16">
        <f t="shared" si="212"/>
        <v>406.34999999999997</v>
      </c>
      <c r="AC573" s="16">
        <v>0</v>
      </c>
      <c r="AD573" s="16">
        <v>0</v>
      </c>
      <c r="AE573" s="16">
        <v>0</v>
      </c>
      <c r="AF573" s="16">
        <f t="shared" si="198"/>
        <v>406.34999999999997</v>
      </c>
      <c r="AG573" s="16">
        <f t="shared" si="210"/>
        <v>65.015999999999991</v>
      </c>
      <c r="AH573" s="16">
        <f t="shared" si="199"/>
        <v>471.36599999999999</v>
      </c>
      <c r="AI573" s="16">
        <f t="shared" si="211"/>
        <v>8.1269999999999989</v>
      </c>
      <c r="AJ573" s="16">
        <v>0</v>
      </c>
      <c r="AK573" s="16">
        <f t="shared" si="200"/>
        <v>8.1269999999999989</v>
      </c>
      <c r="AL573" s="19"/>
      <c r="AM573" s="16">
        <f t="shared" si="208"/>
        <v>398.22299999999996</v>
      </c>
      <c r="AN573" s="40" t="s">
        <v>206</v>
      </c>
      <c r="AO573" s="43">
        <v>0.5</v>
      </c>
      <c r="AP573" s="16">
        <f t="shared" si="201"/>
        <v>199.11149999999998</v>
      </c>
      <c r="AQ573" s="16">
        <v>199.11149999999998</v>
      </c>
      <c r="AR573" s="15">
        <v>45219</v>
      </c>
      <c r="AS573" s="16">
        <f t="shared" si="202"/>
        <v>0</v>
      </c>
      <c r="AT573" s="16"/>
      <c r="AU573" s="16">
        <v>471.36599999999999</v>
      </c>
      <c r="AV573" s="16">
        <f t="shared" si="213"/>
        <v>471.36599999999999</v>
      </c>
      <c r="AW573" s="44">
        <f t="shared" si="203"/>
        <v>0</v>
      </c>
      <c r="AX573" s="16" t="str">
        <f t="shared" si="204"/>
        <v>MAYFAIR</v>
      </c>
      <c r="AY573" s="22">
        <v>45146</v>
      </c>
      <c r="AZ573" s="22"/>
      <c r="BA573" s="1"/>
      <c r="BB573" s="22" t="str">
        <f>O573</f>
        <v>MARINE CARGO / GIT</v>
      </c>
      <c r="BC573" s="1"/>
      <c r="BD573" s="1"/>
      <c r="BE573" s="1"/>
    </row>
    <row r="574" spans="1:57" ht="15.75" hidden="1" customHeight="1">
      <c r="A574" s="2" t="s">
        <v>770</v>
      </c>
      <c r="B574" s="1" t="s">
        <v>169</v>
      </c>
      <c r="C574" s="27">
        <v>45103</v>
      </c>
      <c r="D574" s="27">
        <v>45121</v>
      </c>
      <c r="E574" s="27">
        <v>45108</v>
      </c>
      <c r="F574" s="27">
        <v>45473</v>
      </c>
      <c r="G574" s="13" t="str">
        <f t="shared" si="196"/>
        <v>000-573/AIB RDC/2023</v>
      </c>
      <c r="H574" s="1">
        <v>2</v>
      </c>
      <c r="I574" s="1" t="s">
        <v>68</v>
      </c>
      <c r="J574" s="2" t="s">
        <v>818</v>
      </c>
      <c r="K574" s="1" t="s">
        <v>204</v>
      </c>
      <c r="L574" s="1" t="s">
        <v>123</v>
      </c>
      <c r="M574" s="1" t="s">
        <v>63</v>
      </c>
      <c r="N574" s="1" t="s">
        <v>71</v>
      </c>
      <c r="O574" s="1" t="s">
        <v>104</v>
      </c>
      <c r="P574" s="1" t="s">
        <v>105</v>
      </c>
      <c r="Q574" s="1" t="s">
        <v>127</v>
      </c>
      <c r="R574" s="1" t="s">
        <v>127</v>
      </c>
      <c r="S574" s="25">
        <v>3000000</v>
      </c>
      <c r="T574" s="25">
        <v>7906</v>
      </c>
      <c r="U574" s="25">
        <v>0</v>
      </c>
      <c r="V574" s="25">
        <v>0</v>
      </c>
      <c r="W574" s="25">
        <v>100</v>
      </c>
      <c r="X574" s="25">
        <v>6600</v>
      </c>
      <c r="Y574" s="25">
        <v>1072</v>
      </c>
      <c r="Z574" s="17">
        <f t="shared" si="197"/>
        <v>2.2000000000000001E-3</v>
      </c>
      <c r="AA574" s="18">
        <v>0.15</v>
      </c>
      <c r="AB574" s="16">
        <f t="shared" si="212"/>
        <v>990</v>
      </c>
      <c r="AC574" s="16">
        <v>0</v>
      </c>
      <c r="AD574" s="16">
        <v>0</v>
      </c>
      <c r="AE574" s="16">
        <v>0</v>
      </c>
      <c r="AF574" s="16">
        <f t="shared" si="198"/>
        <v>990</v>
      </c>
      <c r="AG574" s="16">
        <f t="shared" si="210"/>
        <v>158.4</v>
      </c>
      <c r="AH574" s="16">
        <f t="shared" si="199"/>
        <v>1148.4000000000001</v>
      </c>
      <c r="AI574" s="16">
        <f t="shared" si="211"/>
        <v>19.8</v>
      </c>
      <c r="AJ574" s="16">
        <v>0</v>
      </c>
      <c r="AK574" s="16">
        <f t="shared" si="200"/>
        <v>19.8</v>
      </c>
      <c r="AL574" s="19"/>
      <c r="AM574" s="16">
        <f t="shared" si="208"/>
        <v>970.2</v>
      </c>
      <c r="AN574" s="40" t="s">
        <v>206</v>
      </c>
      <c r="AO574" s="43">
        <v>0.5</v>
      </c>
      <c r="AP574" s="16">
        <f t="shared" si="201"/>
        <v>485.1</v>
      </c>
      <c r="AQ574" s="16">
        <v>485.1</v>
      </c>
      <c r="AR574" s="15">
        <v>45219</v>
      </c>
      <c r="AS574" s="16">
        <f t="shared" si="202"/>
        <v>0</v>
      </c>
      <c r="AT574" s="16"/>
      <c r="AU574" s="16">
        <v>1148.4000000000001</v>
      </c>
      <c r="AV574" s="16">
        <f t="shared" si="213"/>
        <v>1148.4000000000001</v>
      </c>
      <c r="AW574" s="44">
        <f t="shared" si="203"/>
        <v>0</v>
      </c>
      <c r="AX574" s="16" t="str">
        <f t="shared" si="204"/>
        <v>MAYFAIR</v>
      </c>
      <c r="AY574" s="22">
        <v>45169</v>
      </c>
      <c r="AZ574" s="22"/>
      <c r="BA574" s="1"/>
      <c r="BB574" s="22" t="str">
        <f>O574</f>
        <v>MARINE CARGO / GIT</v>
      </c>
      <c r="BC574" s="1"/>
      <c r="BD574" s="1"/>
      <c r="BE574" s="1"/>
    </row>
    <row r="575" spans="1:57" ht="15.75" hidden="1" customHeight="1">
      <c r="A575" s="2" t="s">
        <v>212</v>
      </c>
      <c r="B575" s="1" t="s">
        <v>58</v>
      </c>
      <c r="C575" s="27">
        <v>45113</v>
      </c>
      <c r="D575" s="27">
        <v>45096</v>
      </c>
      <c r="E575" s="27">
        <v>45094</v>
      </c>
      <c r="F575" s="27">
        <v>45459</v>
      </c>
      <c r="G575" s="13" t="str">
        <f t="shared" si="196"/>
        <v>000-574/AIB RDC/2023</v>
      </c>
      <c r="H575" s="1">
        <v>0</v>
      </c>
      <c r="I575" s="1" t="s">
        <v>83</v>
      </c>
      <c r="J575" s="2" t="s">
        <v>819</v>
      </c>
      <c r="K575" s="2" t="s">
        <v>447</v>
      </c>
      <c r="L575" s="1"/>
      <c r="M575" s="1" t="s">
        <v>95</v>
      </c>
      <c r="N575" s="1" t="s">
        <v>434</v>
      </c>
      <c r="O575" s="1" t="s">
        <v>133</v>
      </c>
      <c r="P575" s="1" t="s">
        <v>134</v>
      </c>
      <c r="Q575" s="1" t="s">
        <v>66</v>
      </c>
      <c r="R575" s="1" t="s">
        <v>66</v>
      </c>
      <c r="S575" s="25">
        <v>0</v>
      </c>
      <c r="T575" s="25">
        <v>15238.68</v>
      </c>
      <c r="U575" s="25">
        <v>0</v>
      </c>
      <c r="V575" s="25">
        <v>0</v>
      </c>
      <c r="W575" s="25">
        <v>461.36</v>
      </c>
      <c r="X575" s="25">
        <v>12675.44</v>
      </c>
      <c r="Y575" s="25">
        <v>2101.88</v>
      </c>
      <c r="Z575" s="17" t="e">
        <f t="shared" si="197"/>
        <v>#DIV/0!</v>
      </c>
      <c r="AA575" s="18">
        <v>0.15</v>
      </c>
      <c r="AB575" s="16">
        <f t="shared" si="212"/>
        <v>1901.316</v>
      </c>
      <c r="AC575" s="16">
        <v>0</v>
      </c>
      <c r="AD575" s="16">
        <v>0</v>
      </c>
      <c r="AE575" s="16">
        <v>0</v>
      </c>
      <c r="AF575" s="16">
        <f t="shared" si="198"/>
        <v>1901.316</v>
      </c>
      <c r="AG575" s="16">
        <f t="shared" si="210"/>
        <v>304.21055999999999</v>
      </c>
      <c r="AH575" s="16">
        <f t="shared" si="199"/>
        <v>2205.5265600000002</v>
      </c>
      <c r="AI575" s="16">
        <f t="shared" si="211"/>
        <v>38.026319999999998</v>
      </c>
      <c r="AJ575" s="16">
        <v>0</v>
      </c>
      <c r="AK575" s="16">
        <f t="shared" si="200"/>
        <v>38.026319999999998</v>
      </c>
      <c r="AL575" s="19"/>
      <c r="AM575" s="16">
        <f t="shared" si="208"/>
        <v>1863.2896800000001</v>
      </c>
      <c r="AN575" s="16"/>
      <c r="AO575" s="20"/>
      <c r="AP575" s="16">
        <f t="shared" si="201"/>
        <v>0</v>
      </c>
      <c r="AQ575" s="16"/>
      <c r="AR575" s="15"/>
      <c r="AS575" s="16">
        <f t="shared" si="202"/>
        <v>0</v>
      </c>
      <c r="AT575" s="16"/>
      <c r="AU575" s="16">
        <v>2205.5265600000002</v>
      </c>
      <c r="AV575" s="16">
        <f t="shared" si="213"/>
        <v>2205.5265600000002</v>
      </c>
      <c r="AW575" s="16">
        <f t="shared" si="203"/>
        <v>0</v>
      </c>
      <c r="AX575" s="16" t="str">
        <f t="shared" si="204"/>
        <v>SFA</v>
      </c>
      <c r="AY575" s="22">
        <v>45135</v>
      </c>
      <c r="AZ575" s="22"/>
      <c r="BA575" s="1"/>
      <c r="BB575" s="22"/>
      <c r="BC575" s="1"/>
      <c r="BD575" s="1"/>
      <c r="BE575" s="1"/>
    </row>
    <row r="576" spans="1:57" ht="15.75" customHeight="1">
      <c r="A576" s="2" t="s">
        <v>165</v>
      </c>
      <c r="B576" s="1" t="s">
        <v>58</v>
      </c>
      <c r="C576" s="27">
        <v>45009</v>
      </c>
      <c r="D576" s="27"/>
      <c r="E576" s="27">
        <v>44993</v>
      </c>
      <c r="F576" s="27">
        <v>44263</v>
      </c>
      <c r="G576" s="13" t="str">
        <f t="shared" si="196"/>
        <v>000-575/AIB RDC/2023</v>
      </c>
      <c r="H576" s="1">
        <v>0</v>
      </c>
      <c r="I576" s="1" t="s">
        <v>68</v>
      </c>
      <c r="J576" s="2" t="s">
        <v>420</v>
      </c>
      <c r="K576" s="1" t="s">
        <v>421</v>
      </c>
      <c r="L576" s="1" t="s">
        <v>126</v>
      </c>
      <c r="M576" s="1" t="s">
        <v>63</v>
      </c>
      <c r="N576" s="1" t="s">
        <v>64</v>
      </c>
      <c r="O576" s="1" t="s">
        <v>111</v>
      </c>
      <c r="P576" s="1" t="s">
        <v>112</v>
      </c>
      <c r="Q576" s="1" t="s">
        <v>76</v>
      </c>
      <c r="R576" s="1" t="s">
        <v>76</v>
      </c>
      <c r="S576" s="25">
        <v>0</v>
      </c>
      <c r="T576" s="25">
        <v>3044.61</v>
      </c>
      <c r="U576" s="25">
        <v>0</v>
      </c>
      <c r="V576" s="25">
        <v>0</v>
      </c>
      <c r="W576" s="25">
        <v>30.14</v>
      </c>
      <c r="X576" s="25">
        <v>3014.47</v>
      </c>
      <c r="Y576" s="25">
        <v>0</v>
      </c>
      <c r="Z576" s="17" t="e">
        <f t="shared" si="197"/>
        <v>#DIV/0!</v>
      </c>
      <c r="AA576" s="18">
        <v>0.15</v>
      </c>
      <c r="AB576" s="16">
        <f t="shared" si="212"/>
        <v>452.17049999999995</v>
      </c>
      <c r="AC576" s="16">
        <v>0</v>
      </c>
      <c r="AD576" s="16">
        <v>0</v>
      </c>
      <c r="AE576" s="16">
        <v>0</v>
      </c>
      <c r="AF576" s="16">
        <f t="shared" si="198"/>
        <v>452.17049999999995</v>
      </c>
      <c r="AG576" s="16">
        <f t="shared" si="210"/>
        <v>72.347279999999998</v>
      </c>
      <c r="AH576" s="16">
        <f t="shared" si="199"/>
        <v>524.5177799999999</v>
      </c>
      <c r="AI576" s="16">
        <f t="shared" si="211"/>
        <v>9.0434099999999997</v>
      </c>
      <c r="AJ576" s="16">
        <v>0</v>
      </c>
      <c r="AK576" s="16">
        <f t="shared" si="200"/>
        <v>9.0434099999999997</v>
      </c>
      <c r="AL576" s="19"/>
      <c r="AM576" s="16">
        <f t="shared" si="208"/>
        <v>443.12708999999995</v>
      </c>
      <c r="AN576" s="16" t="s">
        <v>77</v>
      </c>
      <c r="AO576" s="20"/>
      <c r="AP576" s="16">
        <f t="shared" si="201"/>
        <v>0</v>
      </c>
      <c r="AQ576" s="16"/>
      <c r="AR576" s="15"/>
      <c r="AS576" s="16">
        <f t="shared" si="202"/>
        <v>0</v>
      </c>
      <c r="AT576" s="16"/>
      <c r="AU576" s="16"/>
      <c r="AV576" s="16">
        <f t="shared" si="213"/>
        <v>524.5177799999999</v>
      </c>
      <c r="AW576" s="60">
        <f t="shared" si="203"/>
        <v>524.5177799999999</v>
      </c>
      <c r="AX576" s="16" t="str">
        <f t="shared" si="204"/>
        <v>ACTIVA</v>
      </c>
      <c r="AY576" s="22"/>
      <c r="AZ576" s="22"/>
      <c r="BA576" s="1"/>
      <c r="BB576" s="22" t="str">
        <f>O576</f>
        <v>GENERAL LIABILITY</v>
      </c>
      <c r="BC576" s="1"/>
      <c r="BD576" s="1"/>
      <c r="BE576" s="1"/>
    </row>
    <row r="577" spans="1:57" ht="15.75" hidden="1" customHeight="1">
      <c r="A577" s="2" t="s">
        <v>212</v>
      </c>
      <c r="B577" s="1" t="s">
        <v>169</v>
      </c>
      <c r="C577" s="27">
        <v>45114</v>
      </c>
      <c r="D577" s="27">
        <v>45036</v>
      </c>
      <c r="E577" s="27">
        <v>45097</v>
      </c>
      <c r="F577" s="27">
        <v>45462</v>
      </c>
      <c r="G577" s="13" t="str">
        <f t="shared" si="196"/>
        <v>000-576/AIB RDC/2023</v>
      </c>
      <c r="H577" s="1">
        <v>2</v>
      </c>
      <c r="I577" s="1" t="s">
        <v>68</v>
      </c>
      <c r="J577" s="2" t="s">
        <v>821</v>
      </c>
      <c r="K577" s="2" t="s">
        <v>822</v>
      </c>
      <c r="L577" s="1"/>
      <c r="M577" s="1" t="s">
        <v>95</v>
      </c>
      <c r="N577" s="1" t="s">
        <v>96</v>
      </c>
      <c r="O577" s="1" t="s">
        <v>107</v>
      </c>
      <c r="P577" s="1" t="s">
        <v>108</v>
      </c>
      <c r="Q577" s="1" t="s">
        <v>135</v>
      </c>
      <c r="R577" s="1" t="s">
        <v>135</v>
      </c>
      <c r="S577" s="25">
        <v>0</v>
      </c>
      <c r="T577" s="25">
        <v>1594.89</v>
      </c>
      <c r="U577" s="25">
        <v>0</v>
      </c>
      <c r="V577" s="25">
        <v>0</v>
      </c>
      <c r="W577" s="25">
        <v>50</v>
      </c>
      <c r="X577" s="25">
        <v>1301.6099999999999</v>
      </c>
      <c r="Y577" s="25">
        <v>216.25</v>
      </c>
      <c r="Z577" s="17" t="e">
        <f t="shared" si="197"/>
        <v>#DIV/0!</v>
      </c>
      <c r="AA577" s="18">
        <v>0.15</v>
      </c>
      <c r="AB577" s="16">
        <f t="shared" si="212"/>
        <v>195.24149999999997</v>
      </c>
      <c r="AC577" s="16">
        <v>0</v>
      </c>
      <c r="AD577" s="16">
        <v>0</v>
      </c>
      <c r="AE577" s="16">
        <v>0</v>
      </c>
      <c r="AF577" s="16">
        <f t="shared" si="198"/>
        <v>195.24149999999997</v>
      </c>
      <c r="AG577" s="16">
        <f t="shared" si="210"/>
        <v>31.238639999999997</v>
      </c>
      <c r="AH577" s="16">
        <f t="shared" si="199"/>
        <v>226.48013999999998</v>
      </c>
      <c r="AI577" s="16">
        <f t="shared" si="211"/>
        <v>3.9048299999999996</v>
      </c>
      <c r="AJ577" s="16">
        <v>0</v>
      </c>
      <c r="AK577" s="16">
        <f t="shared" si="200"/>
        <v>3.9048299999999996</v>
      </c>
      <c r="AL577" s="19"/>
      <c r="AM577" s="16">
        <f t="shared" si="208"/>
        <v>191.33666999999997</v>
      </c>
      <c r="AN577" s="16"/>
      <c r="AO577" s="20"/>
      <c r="AP577" s="16">
        <f t="shared" si="201"/>
        <v>0</v>
      </c>
      <c r="AQ577" s="16"/>
      <c r="AR577" s="15"/>
      <c r="AS577" s="16">
        <f t="shared" si="202"/>
        <v>0</v>
      </c>
      <c r="AT577" s="16"/>
      <c r="AU577" s="16">
        <v>226.48013999999998</v>
      </c>
      <c r="AV577" s="16">
        <f t="shared" si="213"/>
        <v>226.48013999999998</v>
      </c>
      <c r="AW577" s="16">
        <f t="shared" si="203"/>
        <v>0</v>
      </c>
      <c r="AX577" s="16" t="str">
        <f t="shared" si="204"/>
        <v>RAWSUR</v>
      </c>
      <c r="AY577" s="22">
        <v>45153</v>
      </c>
      <c r="AZ577" s="22"/>
      <c r="BA577" s="1"/>
      <c r="BB577" s="22"/>
      <c r="BC577" s="1"/>
      <c r="BD577" s="1"/>
      <c r="BE577" s="1"/>
    </row>
    <row r="578" spans="1:57" ht="15.75" hidden="1" customHeight="1">
      <c r="A578" s="2" t="s">
        <v>212</v>
      </c>
      <c r="B578" s="1" t="s">
        <v>58</v>
      </c>
      <c r="C578" s="27">
        <v>45114</v>
      </c>
      <c r="D578" s="27">
        <v>45094</v>
      </c>
      <c r="E578" s="27">
        <v>45090</v>
      </c>
      <c r="F578" s="27">
        <v>45455</v>
      </c>
      <c r="G578" s="13" t="str">
        <f t="shared" si="196"/>
        <v>000-577/AIB RDC/2023</v>
      </c>
      <c r="H578" s="1">
        <v>0</v>
      </c>
      <c r="I578" s="1" t="s">
        <v>83</v>
      </c>
      <c r="J578" s="2" t="s">
        <v>823</v>
      </c>
      <c r="K578" s="2" t="s">
        <v>824</v>
      </c>
      <c r="L578" s="1"/>
      <c r="M578" s="1" t="s">
        <v>95</v>
      </c>
      <c r="N578" s="1" t="s">
        <v>96</v>
      </c>
      <c r="O578" s="1" t="s">
        <v>107</v>
      </c>
      <c r="P578" s="1" t="s">
        <v>108</v>
      </c>
      <c r="Q578" s="1" t="s">
        <v>66</v>
      </c>
      <c r="R578" s="1" t="s">
        <v>66</v>
      </c>
      <c r="S578" s="25">
        <v>0</v>
      </c>
      <c r="T578" s="25">
        <v>3652.91</v>
      </c>
      <c r="U578" s="25">
        <v>0</v>
      </c>
      <c r="V578" s="25">
        <v>0</v>
      </c>
      <c r="W578" s="25">
        <v>87.06</v>
      </c>
      <c r="X578" s="25">
        <v>3062</v>
      </c>
      <c r="Y578" s="25">
        <v>503.85</v>
      </c>
      <c r="Z578" s="17" t="e">
        <f t="shared" si="197"/>
        <v>#DIV/0!</v>
      </c>
      <c r="AA578" s="18">
        <v>0.1</v>
      </c>
      <c r="AB578" s="16">
        <f t="shared" si="212"/>
        <v>306.2</v>
      </c>
      <c r="AC578" s="16">
        <v>0</v>
      </c>
      <c r="AD578" s="16">
        <v>0</v>
      </c>
      <c r="AE578" s="16">
        <v>0</v>
      </c>
      <c r="AF578" s="16">
        <f t="shared" si="198"/>
        <v>306.2</v>
      </c>
      <c r="AG578" s="16">
        <f t="shared" si="210"/>
        <v>48.991999999999997</v>
      </c>
      <c r="AH578" s="16">
        <f t="shared" si="199"/>
        <v>355.19200000000001</v>
      </c>
      <c r="AI578" s="16">
        <f t="shared" si="211"/>
        <v>6.1239999999999997</v>
      </c>
      <c r="AJ578" s="16">
        <v>0</v>
      </c>
      <c r="AK578" s="16">
        <f t="shared" si="200"/>
        <v>6.1239999999999997</v>
      </c>
      <c r="AL578" s="19"/>
      <c r="AM578" s="16">
        <f t="shared" si="208"/>
        <v>300.07599999999996</v>
      </c>
      <c r="AN578" s="16"/>
      <c r="AO578" s="20"/>
      <c r="AP578" s="16">
        <f t="shared" si="201"/>
        <v>0</v>
      </c>
      <c r="AQ578" s="16"/>
      <c r="AR578" s="15"/>
      <c r="AS578" s="16">
        <f t="shared" si="202"/>
        <v>0</v>
      </c>
      <c r="AT578" s="16"/>
      <c r="AU578" s="16">
        <v>355.19200000000001</v>
      </c>
      <c r="AV578" s="16">
        <f t="shared" si="213"/>
        <v>355.19200000000001</v>
      </c>
      <c r="AW578" s="16">
        <f t="shared" si="203"/>
        <v>0</v>
      </c>
      <c r="AX578" s="16" t="str">
        <f t="shared" si="204"/>
        <v>SFA</v>
      </c>
      <c r="AY578" s="22">
        <v>45135</v>
      </c>
      <c r="AZ578" s="22"/>
      <c r="BA578" s="1"/>
      <c r="BB578" s="22"/>
      <c r="BC578" s="1"/>
      <c r="BD578" s="1"/>
      <c r="BE578" s="1"/>
    </row>
    <row r="579" spans="1:57" ht="15.75" hidden="1" customHeight="1">
      <c r="A579" s="2" t="s">
        <v>212</v>
      </c>
      <c r="B579" s="1" t="s">
        <v>58</v>
      </c>
      <c r="C579" s="27">
        <v>45091</v>
      </c>
      <c r="D579" s="27">
        <v>45092</v>
      </c>
      <c r="E579" s="27">
        <v>45092</v>
      </c>
      <c r="F579" s="27">
        <v>45093</v>
      </c>
      <c r="G579" s="13" t="str">
        <f t="shared" si="196"/>
        <v>000-578/AIB RDC/2023</v>
      </c>
      <c r="H579" s="1">
        <v>0</v>
      </c>
      <c r="I579" s="1" t="s">
        <v>83</v>
      </c>
      <c r="J579" s="29" t="s">
        <v>825</v>
      </c>
      <c r="K579" s="2" t="s">
        <v>826</v>
      </c>
      <c r="L579" s="1"/>
      <c r="M579" s="1" t="s">
        <v>74</v>
      </c>
      <c r="N579" s="1" t="s">
        <v>75</v>
      </c>
      <c r="O579" s="1" t="s">
        <v>111</v>
      </c>
      <c r="P579" s="1" t="s">
        <v>112</v>
      </c>
      <c r="Q579" s="1" t="s">
        <v>66</v>
      </c>
      <c r="R579" s="1" t="s">
        <v>66</v>
      </c>
      <c r="S579" s="25">
        <v>100000</v>
      </c>
      <c r="T579" s="25">
        <v>1798.46</v>
      </c>
      <c r="U579" s="25">
        <v>0</v>
      </c>
      <c r="V579" s="25">
        <v>0</v>
      </c>
      <c r="W579" s="25">
        <v>50.4</v>
      </c>
      <c r="X579" s="25">
        <v>1500</v>
      </c>
      <c r="Y579" s="25">
        <v>248.06</v>
      </c>
      <c r="Z579" s="17">
        <f t="shared" si="197"/>
        <v>1.4999999999999999E-2</v>
      </c>
      <c r="AA579" s="18">
        <v>0.15</v>
      </c>
      <c r="AB579" s="16">
        <f t="shared" si="212"/>
        <v>225</v>
      </c>
      <c r="AC579" s="16">
        <v>0</v>
      </c>
      <c r="AD579" s="16">
        <v>0</v>
      </c>
      <c r="AE579" s="16">
        <v>0</v>
      </c>
      <c r="AF579" s="16">
        <f t="shared" si="198"/>
        <v>225</v>
      </c>
      <c r="AG579" s="16">
        <f t="shared" si="210"/>
        <v>36</v>
      </c>
      <c r="AH579" s="16">
        <f t="shared" si="199"/>
        <v>261</v>
      </c>
      <c r="AI579" s="16">
        <f t="shared" si="211"/>
        <v>4.5</v>
      </c>
      <c r="AJ579" s="16">
        <v>0</v>
      </c>
      <c r="AK579" s="16">
        <f t="shared" si="200"/>
        <v>4.5</v>
      </c>
      <c r="AL579" s="19"/>
      <c r="AM579" s="16">
        <f t="shared" si="208"/>
        <v>220.5</v>
      </c>
      <c r="AN579" s="16"/>
      <c r="AO579" s="20"/>
      <c r="AP579" s="16">
        <f t="shared" si="201"/>
        <v>0</v>
      </c>
      <c r="AQ579" s="16"/>
      <c r="AR579" s="15"/>
      <c r="AS579" s="16">
        <f t="shared" si="202"/>
        <v>0</v>
      </c>
      <c r="AT579" s="16"/>
      <c r="AU579" s="16">
        <v>261</v>
      </c>
      <c r="AV579" s="16">
        <f t="shared" si="213"/>
        <v>261</v>
      </c>
      <c r="AW579" s="16">
        <f t="shared" si="203"/>
        <v>0</v>
      </c>
      <c r="AX579" s="16" t="str">
        <f t="shared" si="204"/>
        <v>SFA</v>
      </c>
      <c r="AY579" s="22">
        <v>45135</v>
      </c>
      <c r="AZ579" s="22"/>
      <c r="BA579" s="1"/>
      <c r="BB579" s="22"/>
      <c r="BC579" s="1"/>
      <c r="BD579" s="1"/>
      <c r="BE579" s="1"/>
    </row>
    <row r="580" spans="1:57" ht="15.75" customHeight="1">
      <c r="A580" s="2" t="s">
        <v>165</v>
      </c>
      <c r="B580" s="1" t="s">
        <v>58</v>
      </c>
      <c r="C580" s="27">
        <v>45009</v>
      </c>
      <c r="D580" s="27"/>
      <c r="E580" s="27">
        <v>44993</v>
      </c>
      <c r="F580" s="27">
        <v>45359</v>
      </c>
      <c r="G580" s="13" t="str">
        <f t="shared" si="196"/>
        <v>000-579/AIB RDC/2023</v>
      </c>
      <c r="H580" s="1">
        <v>0</v>
      </c>
      <c r="I580" s="1" t="s">
        <v>68</v>
      </c>
      <c r="J580" s="2" t="s">
        <v>422</v>
      </c>
      <c r="K580" s="1" t="s">
        <v>421</v>
      </c>
      <c r="L580" s="1" t="s">
        <v>126</v>
      </c>
      <c r="M580" s="1" t="s">
        <v>63</v>
      </c>
      <c r="N580" s="1" t="s">
        <v>64</v>
      </c>
      <c r="O580" s="1" t="s">
        <v>107</v>
      </c>
      <c r="P580" s="1" t="s">
        <v>108</v>
      </c>
      <c r="Q580" s="1" t="s">
        <v>76</v>
      </c>
      <c r="R580" s="1" t="s">
        <v>76</v>
      </c>
      <c r="S580" s="25">
        <v>0</v>
      </c>
      <c r="T580" s="25">
        <v>4472.24</v>
      </c>
      <c r="U580" s="25">
        <v>0</v>
      </c>
      <c r="V580" s="25">
        <v>0</v>
      </c>
      <c r="W580" s="25">
        <v>44.28</v>
      </c>
      <c r="X580" s="25">
        <v>4427.96</v>
      </c>
      <c r="Y580" s="25">
        <v>0</v>
      </c>
      <c r="Z580" s="17" t="e">
        <f t="shared" si="197"/>
        <v>#DIV/0!</v>
      </c>
      <c r="AA580" s="18">
        <v>0.15</v>
      </c>
      <c r="AB580" s="16">
        <f t="shared" si="212"/>
        <v>664.19399999999996</v>
      </c>
      <c r="AC580" s="16">
        <v>0</v>
      </c>
      <c r="AD580" s="16">
        <v>0</v>
      </c>
      <c r="AE580" s="16">
        <v>0</v>
      </c>
      <c r="AF580" s="16">
        <f t="shared" si="198"/>
        <v>664.19399999999996</v>
      </c>
      <c r="AG580" s="16">
        <f t="shared" si="210"/>
        <v>106.27104</v>
      </c>
      <c r="AH580" s="16">
        <f t="shared" si="199"/>
        <v>770.46503999999993</v>
      </c>
      <c r="AI580" s="16">
        <f t="shared" si="211"/>
        <v>13.28388</v>
      </c>
      <c r="AJ580" s="16">
        <v>0</v>
      </c>
      <c r="AK580" s="16">
        <f t="shared" si="200"/>
        <v>13.28388</v>
      </c>
      <c r="AL580" s="19"/>
      <c r="AM580" s="16">
        <f t="shared" si="208"/>
        <v>650.91012000000001</v>
      </c>
      <c r="AN580" s="16" t="s">
        <v>77</v>
      </c>
      <c r="AO580" s="20"/>
      <c r="AP580" s="16">
        <f t="shared" si="201"/>
        <v>0</v>
      </c>
      <c r="AQ580" s="16"/>
      <c r="AR580" s="15"/>
      <c r="AS580" s="16">
        <f t="shared" si="202"/>
        <v>0</v>
      </c>
      <c r="AT580" s="16"/>
      <c r="AU580" s="16"/>
      <c r="AV580" s="16">
        <f t="shared" si="213"/>
        <v>770.46503999999993</v>
      </c>
      <c r="AW580" s="60">
        <f t="shared" si="203"/>
        <v>770.46503999999993</v>
      </c>
      <c r="AX580" s="16" t="str">
        <f t="shared" si="204"/>
        <v>ACTIVA</v>
      </c>
      <c r="AY580" s="22"/>
      <c r="AZ580" s="22"/>
      <c r="BA580" s="1"/>
      <c r="BB580" s="22" t="str">
        <f>O580</f>
        <v>FIRE</v>
      </c>
      <c r="BC580" s="1"/>
      <c r="BD580" s="1"/>
      <c r="BE580" s="1"/>
    </row>
    <row r="581" spans="1:57" ht="15.75" hidden="1" customHeight="1">
      <c r="A581" s="2" t="s">
        <v>212</v>
      </c>
      <c r="B581" s="1" t="s">
        <v>58</v>
      </c>
      <c r="C581" s="27">
        <v>45118</v>
      </c>
      <c r="D581" s="27">
        <v>45103</v>
      </c>
      <c r="E581" s="27">
        <v>45078</v>
      </c>
      <c r="F581" s="27">
        <v>45077</v>
      </c>
      <c r="G581" s="13" t="str">
        <f t="shared" si="196"/>
        <v>000-580/AIB RDC/2023</v>
      </c>
      <c r="H581" s="1">
        <v>0</v>
      </c>
      <c r="I581" s="1" t="s">
        <v>83</v>
      </c>
      <c r="J581" s="2">
        <v>10200006</v>
      </c>
      <c r="K581" s="1" t="s">
        <v>498</v>
      </c>
      <c r="L581" s="1"/>
      <c r="M581" s="1" t="s">
        <v>74</v>
      </c>
      <c r="N581" s="1" t="s">
        <v>724</v>
      </c>
      <c r="O581" s="1" t="s">
        <v>80</v>
      </c>
      <c r="P581" s="1" t="s">
        <v>81</v>
      </c>
      <c r="Q581" s="1" t="s">
        <v>135</v>
      </c>
      <c r="R581" s="1" t="s">
        <v>135</v>
      </c>
      <c r="S581" s="25">
        <v>0</v>
      </c>
      <c r="T581" s="25">
        <v>11946.24</v>
      </c>
      <c r="U581" s="25">
        <v>0</v>
      </c>
      <c r="V581" s="25">
        <v>0</v>
      </c>
      <c r="W581" s="25">
        <v>234.24</v>
      </c>
      <c r="X581" s="25">
        <v>11712</v>
      </c>
      <c r="Y581" s="25">
        <v>0</v>
      </c>
      <c r="Z581" s="17" t="e">
        <f t="shared" si="197"/>
        <v>#DIV/0!</v>
      </c>
      <c r="AA581" s="18">
        <v>0.1</v>
      </c>
      <c r="AB581" s="16">
        <f t="shared" si="212"/>
        <v>1171.2</v>
      </c>
      <c r="AC581" s="16">
        <v>0</v>
      </c>
      <c r="AD581" s="16">
        <v>0</v>
      </c>
      <c r="AE581" s="16">
        <v>0</v>
      </c>
      <c r="AF581" s="16">
        <f t="shared" si="198"/>
        <v>1171.2</v>
      </c>
      <c r="AG581" s="16">
        <f t="shared" si="210"/>
        <v>187.39200000000002</v>
      </c>
      <c r="AH581" s="16">
        <f t="shared" si="199"/>
        <v>1358.5920000000001</v>
      </c>
      <c r="AI581" s="16">
        <f t="shared" si="211"/>
        <v>23.424000000000003</v>
      </c>
      <c r="AJ581" s="16">
        <v>0</v>
      </c>
      <c r="AK581" s="16">
        <f t="shared" si="200"/>
        <v>23.424000000000003</v>
      </c>
      <c r="AL581" s="19"/>
      <c r="AM581" s="16">
        <f t="shared" si="208"/>
        <v>1147.7760000000001</v>
      </c>
      <c r="AN581" s="16"/>
      <c r="AO581" s="20"/>
      <c r="AP581" s="16">
        <f t="shared" si="201"/>
        <v>0</v>
      </c>
      <c r="AQ581" s="16"/>
      <c r="AR581" s="15"/>
      <c r="AS581" s="16">
        <f t="shared" si="202"/>
        <v>0</v>
      </c>
      <c r="AT581" s="16"/>
      <c r="AU581" s="16">
        <f>330.48+1028.112</f>
        <v>1358.5920000000001</v>
      </c>
      <c r="AV581" s="16">
        <f t="shared" si="213"/>
        <v>1358.5920000000001</v>
      </c>
      <c r="AW581" s="16">
        <f t="shared" si="203"/>
        <v>0</v>
      </c>
      <c r="AX581" s="16" t="str">
        <f t="shared" si="204"/>
        <v>RAWSUR</v>
      </c>
      <c r="AY581" s="22">
        <v>45244</v>
      </c>
      <c r="AZ581" s="22"/>
      <c r="BA581" s="1"/>
      <c r="BB581" s="22"/>
      <c r="BC581" s="16">
        <v>1028.1120000000001</v>
      </c>
      <c r="BD581" s="1"/>
      <c r="BE581" s="1"/>
    </row>
    <row r="582" spans="1:57" ht="15.75" hidden="1" customHeight="1">
      <c r="A582" s="2" t="s">
        <v>406</v>
      </c>
      <c r="B582" s="1" t="s">
        <v>58</v>
      </c>
      <c r="C582" s="27">
        <v>45118</v>
      </c>
      <c r="D582" s="27">
        <v>45083</v>
      </c>
      <c r="E582" s="27">
        <v>45017</v>
      </c>
      <c r="F582" s="27">
        <v>45199</v>
      </c>
      <c r="G582" s="13" t="str">
        <f t="shared" ref="G582:G645" si="214">TEXT(ROW(G582)-1,"000-000") &amp; "/AIB RDC/2023"</f>
        <v>000-581/AIB RDC/2023</v>
      </c>
      <c r="H582" s="1">
        <v>1</v>
      </c>
      <c r="I582" s="1" t="s">
        <v>59</v>
      </c>
      <c r="J582" s="2">
        <v>45000015</v>
      </c>
      <c r="K582" s="2" t="s">
        <v>242</v>
      </c>
      <c r="L582" s="1" t="s">
        <v>243</v>
      </c>
      <c r="M582" s="1" t="s">
        <v>63</v>
      </c>
      <c r="N582" s="1" t="s">
        <v>64</v>
      </c>
      <c r="O582" s="1" t="s">
        <v>194</v>
      </c>
      <c r="P582" s="1" t="s">
        <v>108</v>
      </c>
      <c r="Q582" s="1" t="s">
        <v>135</v>
      </c>
      <c r="R582" s="1" t="s">
        <v>135</v>
      </c>
      <c r="S582" s="25">
        <v>0</v>
      </c>
      <c r="T582" s="25">
        <v>13211.32</v>
      </c>
      <c r="U582" s="16">
        <v>0</v>
      </c>
      <c r="V582" s="16">
        <v>0</v>
      </c>
      <c r="W582" s="25">
        <v>100</v>
      </c>
      <c r="X582" s="25">
        <v>11096.03</v>
      </c>
      <c r="Y582" s="25">
        <v>1791.37</v>
      </c>
      <c r="Z582" s="17" t="e">
        <f t="shared" ref="Z582:Z645" si="215">X582/S582</f>
        <v>#DIV/0!</v>
      </c>
      <c r="AA582" s="18">
        <v>6.7500000000000004E-2</v>
      </c>
      <c r="AB582" s="16">
        <f t="shared" si="212"/>
        <v>748.98202500000014</v>
      </c>
      <c r="AC582" s="16">
        <v>0</v>
      </c>
      <c r="AD582" s="16">
        <v>0</v>
      </c>
      <c r="AE582" s="16">
        <v>0</v>
      </c>
      <c r="AF582" s="16">
        <f t="shared" ref="AF582:AF645" si="216">SUM(AB582:AE582)</f>
        <v>748.98202500000014</v>
      </c>
      <c r="AG582" s="16">
        <f t="shared" si="210"/>
        <v>119.83712400000002</v>
      </c>
      <c r="AH582" s="16">
        <f t="shared" ref="AH582:AH645" si="217">AF582+AG582</f>
        <v>868.81914900000015</v>
      </c>
      <c r="AI582" s="16">
        <f t="shared" si="211"/>
        <v>14.979640500000002</v>
      </c>
      <c r="AJ582" s="16">
        <v>0</v>
      </c>
      <c r="AK582" s="16">
        <f t="shared" ref="AK582:AK645" si="218">AI582-AJ582</f>
        <v>14.979640500000002</v>
      </c>
      <c r="AL582" s="19"/>
      <c r="AM582" s="16">
        <f t="shared" si="208"/>
        <v>734.00238450000018</v>
      </c>
      <c r="AN582" s="16" t="s">
        <v>228</v>
      </c>
      <c r="AO582" s="20"/>
      <c r="AP582" s="16">
        <f t="shared" ref="AP582:AP645" si="219">AO582*AM582</f>
        <v>0</v>
      </c>
      <c r="AQ582" s="16"/>
      <c r="AR582" s="15"/>
      <c r="AS582" s="16">
        <f t="shared" ref="AS582:AS645" si="220">AP582-AQ582</f>
        <v>0</v>
      </c>
      <c r="AT582" s="16"/>
      <c r="AU582" s="16">
        <v>868.81914900000015</v>
      </c>
      <c r="AV582" s="16">
        <f t="shared" si="213"/>
        <v>868.81914900000015</v>
      </c>
      <c r="AW582" s="16">
        <f t="shared" ref="AW582:AW645" si="221">AV582-AU582</f>
        <v>0</v>
      </c>
      <c r="AX582" s="16" t="str">
        <f t="shared" si="204"/>
        <v>RAWSUR</v>
      </c>
      <c r="AY582" s="22">
        <v>45153</v>
      </c>
      <c r="AZ582" s="22"/>
      <c r="BA582" s="1"/>
      <c r="BB582" s="22"/>
      <c r="BC582" s="1"/>
      <c r="BD582" s="1"/>
      <c r="BE582" s="1"/>
    </row>
    <row r="583" spans="1:57" ht="15.75" hidden="1" customHeight="1">
      <c r="A583" s="2" t="s">
        <v>406</v>
      </c>
      <c r="B583" s="1" t="s">
        <v>58</v>
      </c>
      <c r="C583" s="27">
        <v>45118</v>
      </c>
      <c r="D583" s="27">
        <v>45078</v>
      </c>
      <c r="E583" s="27">
        <v>45017</v>
      </c>
      <c r="F583" s="27">
        <v>45382</v>
      </c>
      <c r="G583" s="13" t="str">
        <f t="shared" si="214"/>
        <v>000-582/AIB RDC/2023</v>
      </c>
      <c r="H583" s="1">
        <v>1</v>
      </c>
      <c r="I583" s="1" t="s">
        <v>68</v>
      </c>
      <c r="J583" s="2">
        <v>59000004</v>
      </c>
      <c r="K583" s="2" t="s">
        <v>242</v>
      </c>
      <c r="L583" s="1" t="s">
        <v>243</v>
      </c>
      <c r="M583" s="1" t="s">
        <v>63</v>
      </c>
      <c r="N583" s="1" t="s">
        <v>64</v>
      </c>
      <c r="O583" s="1" t="s">
        <v>284</v>
      </c>
      <c r="P583" s="1" t="s">
        <v>285</v>
      </c>
      <c r="Q583" s="1" t="s">
        <v>135</v>
      </c>
      <c r="R583" s="1" t="s">
        <v>135</v>
      </c>
      <c r="S583" s="25">
        <v>0</v>
      </c>
      <c r="T583" s="25">
        <v>24602.61</v>
      </c>
      <c r="U583" s="16">
        <v>0</v>
      </c>
      <c r="V583" s="16">
        <v>0</v>
      </c>
      <c r="W583" s="25">
        <v>100</v>
      </c>
      <c r="X583" s="25">
        <v>20749.66</v>
      </c>
      <c r="Y583" s="25">
        <v>3335.95</v>
      </c>
      <c r="Z583" s="17" t="e">
        <f t="shared" si="215"/>
        <v>#DIV/0!</v>
      </c>
      <c r="AA583" s="18">
        <v>0.15</v>
      </c>
      <c r="AB583" s="16">
        <f t="shared" si="212"/>
        <v>3112.4490000000001</v>
      </c>
      <c r="AC583" s="16">
        <v>0</v>
      </c>
      <c r="AD583" s="16">
        <v>0</v>
      </c>
      <c r="AE583" s="16">
        <v>0</v>
      </c>
      <c r="AF583" s="16">
        <f t="shared" si="216"/>
        <v>3112.4490000000001</v>
      </c>
      <c r="AG583" s="16">
        <f t="shared" si="210"/>
        <v>497.99184000000002</v>
      </c>
      <c r="AH583" s="16">
        <f t="shared" si="217"/>
        <v>3610.4408400000002</v>
      </c>
      <c r="AI583" s="16">
        <f t="shared" si="211"/>
        <v>62.248980000000003</v>
      </c>
      <c r="AJ583" s="16">
        <v>0</v>
      </c>
      <c r="AK583" s="16">
        <f t="shared" si="218"/>
        <v>62.248980000000003</v>
      </c>
      <c r="AL583" s="19"/>
      <c r="AM583" s="16">
        <f t="shared" si="208"/>
        <v>3050.2000200000002</v>
      </c>
      <c r="AN583" s="16" t="s">
        <v>228</v>
      </c>
      <c r="AO583" s="20"/>
      <c r="AP583" s="16">
        <f t="shared" si="219"/>
        <v>0</v>
      </c>
      <c r="AQ583" s="16"/>
      <c r="AR583" s="15"/>
      <c r="AS583" s="16">
        <f t="shared" si="220"/>
        <v>0</v>
      </c>
      <c r="AT583" s="16"/>
      <c r="AU583" s="16">
        <v>3610.4408400000002</v>
      </c>
      <c r="AV583" s="16">
        <f t="shared" si="213"/>
        <v>3610.4408400000002</v>
      </c>
      <c r="AW583" s="16">
        <f t="shared" si="221"/>
        <v>0</v>
      </c>
      <c r="AX583" s="16" t="str">
        <f t="shared" ref="AX583:AX646" si="222">Q583</f>
        <v>RAWSUR</v>
      </c>
      <c r="AY583" s="22">
        <v>45153</v>
      </c>
      <c r="AZ583" s="22"/>
      <c r="BA583" s="1"/>
      <c r="BB583" s="22"/>
      <c r="BC583" s="1"/>
      <c r="BD583" s="1"/>
      <c r="BE583" s="1"/>
    </row>
    <row r="584" spans="1:57" ht="15.75" hidden="1" customHeight="1">
      <c r="A584" s="2" t="s">
        <v>212</v>
      </c>
      <c r="B584" s="1" t="s">
        <v>58</v>
      </c>
      <c r="C584" s="27">
        <v>45118</v>
      </c>
      <c r="D584" s="27">
        <v>45084</v>
      </c>
      <c r="E584" s="27">
        <v>45081</v>
      </c>
      <c r="F584" s="27">
        <v>45141</v>
      </c>
      <c r="G584" s="13" t="str">
        <f t="shared" si="214"/>
        <v>000-583/AIB RDC/2023</v>
      </c>
      <c r="H584" s="1">
        <v>0</v>
      </c>
      <c r="I584" s="1" t="s">
        <v>83</v>
      </c>
      <c r="J584" s="2">
        <v>70100035</v>
      </c>
      <c r="K584" s="1" t="s">
        <v>197</v>
      </c>
      <c r="L584" s="1"/>
      <c r="M584" s="1" t="s">
        <v>95</v>
      </c>
      <c r="N584" s="1" t="s">
        <v>146</v>
      </c>
      <c r="O584" s="1" t="s">
        <v>104</v>
      </c>
      <c r="P584" s="1" t="s">
        <v>105</v>
      </c>
      <c r="Q584" s="1" t="s">
        <v>135</v>
      </c>
      <c r="R584" s="1" t="s">
        <v>135</v>
      </c>
      <c r="S584" s="25">
        <v>0</v>
      </c>
      <c r="T584" s="25">
        <v>1391.8</v>
      </c>
      <c r="U584" s="25">
        <v>0</v>
      </c>
      <c r="V584" s="25">
        <v>0</v>
      </c>
      <c r="W584" s="25">
        <v>222</v>
      </c>
      <c r="X584" s="25">
        <v>957.49</v>
      </c>
      <c r="Y584" s="25">
        <v>188.71</v>
      </c>
      <c r="Z584" s="17" t="e">
        <f t="shared" si="215"/>
        <v>#DIV/0!</v>
      </c>
      <c r="AA584" s="18">
        <v>0.15</v>
      </c>
      <c r="AB584" s="16">
        <f t="shared" si="212"/>
        <v>143.62350000000001</v>
      </c>
      <c r="AC584" s="16">
        <v>0</v>
      </c>
      <c r="AD584" s="16">
        <v>0</v>
      </c>
      <c r="AE584" s="16">
        <v>0</v>
      </c>
      <c r="AF584" s="16">
        <f t="shared" si="216"/>
        <v>143.62350000000001</v>
      </c>
      <c r="AG584" s="16">
        <f t="shared" si="210"/>
        <v>22.979760000000002</v>
      </c>
      <c r="AH584" s="16">
        <f t="shared" si="217"/>
        <v>166.60326000000001</v>
      </c>
      <c r="AI584" s="16">
        <f t="shared" si="211"/>
        <v>2.8724700000000003</v>
      </c>
      <c r="AJ584" s="16">
        <v>0</v>
      </c>
      <c r="AK584" s="16">
        <f t="shared" si="218"/>
        <v>2.8724700000000003</v>
      </c>
      <c r="AL584" s="19"/>
      <c r="AM584" s="16">
        <f t="shared" si="208"/>
        <v>140.75103000000001</v>
      </c>
      <c r="AN584" s="16" t="s">
        <v>147</v>
      </c>
      <c r="AO584" s="20">
        <v>0.4</v>
      </c>
      <c r="AP584" s="16">
        <f t="shared" si="219"/>
        <v>56.300412000000009</v>
      </c>
      <c r="AQ584" s="16">
        <v>56.300412000000009</v>
      </c>
      <c r="AR584" s="15">
        <v>45229</v>
      </c>
      <c r="AS584" s="16">
        <f t="shared" si="220"/>
        <v>0</v>
      </c>
      <c r="AT584" s="16"/>
      <c r="AU584" s="16">
        <v>166.60326000000001</v>
      </c>
      <c r="AV584" s="16">
        <f t="shared" si="213"/>
        <v>166.60326000000001</v>
      </c>
      <c r="AW584" s="16">
        <f t="shared" si="221"/>
        <v>0</v>
      </c>
      <c r="AX584" s="16" t="str">
        <f t="shared" si="222"/>
        <v>RAWSUR</v>
      </c>
      <c r="AY584" s="22">
        <v>45153</v>
      </c>
      <c r="AZ584" s="22"/>
      <c r="BA584" s="1" t="s">
        <v>148</v>
      </c>
      <c r="BB584" s="22" t="str">
        <f>O584</f>
        <v>MARINE CARGO / GIT</v>
      </c>
      <c r="BC584" s="1"/>
      <c r="BD584" s="1"/>
      <c r="BE584" s="1"/>
    </row>
    <row r="585" spans="1:57" ht="15.75" hidden="1" customHeight="1">
      <c r="A585" s="2" t="s">
        <v>212</v>
      </c>
      <c r="B585" s="1" t="s">
        <v>169</v>
      </c>
      <c r="C585" s="27">
        <v>45118</v>
      </c>
      <c r="D585" s="27">
        <v>45084</v>
      </c>
      <c r="E585" s="27">
        <v>45084</v>
      </c>
      <c r="F585" s="27">
        <v>45175</v>
      </c>
      <c r="G585" s="13" t="str">
        <f t="shared" si="214"/>
        <v>000-584/AIB RDC/2023</v>
      </c>
      <c r="H585" s="1">
        <v>0</v>
      </c>
      <c r="I585" s="1" t="s">
        <v>83</v>
      </c>
      <c r="J585" s="2">
        <v>70100038</v>
      </c>
      <c r="K585" s="1" t="s">
        <v>197</v>
      </c>
      <c r="L585" s="1"/>
      <c r="M585" s="1" t="s">
        <v>95</v>
      </c>
      <c r="N585" s="1" t="s">
        <v>146</v>
      </c>
      <c r="O585" s="1" t="s">
        <v>104</v>
      </c>
      <c r="P585" s="1" t="s">
        <v>105</v>
      </c>
      <c r="Q585" s="1" t="s">
        <v>135</v>
      </c>
      <c r="R585" s="1" t="s">
        <v>135</v>
      </c>
      <c r="S585" s="25">
        <v>0</v>
      </c>
      <c r="T585" s="25">
        <v>1593.7</v>
      </c>
      <c r="U585" s="25">
        <v>0</v>
      </c>
      <c r="V585" s="25">
        <v>0</v>
      </c>
      <c r="W585" s="25">
        <v>259</v>
      </c>
      <c r="X585" s="25">
        <v>1091.5899999999999</v>
      </c>
      <c r="Y585" s="25">
        <v>216.09</v>
      </c>
      <c r="Z585" s="17" t="e">
        <f t="shared" si="215"/>
        <v>#DIV/0!</v>
      </c>
      <c r="AA585" s="18">
        <v>0.15</v>
      </c>
      <c r="AB585" s="16">
        <f t="shared" si="212"/>
        <v>163.73849999999999</v>
      </c>
      <c r="AC585" s="16">
        <v>0</v>
      </c>
      <c r="AD585" s="16">
        <v>0</v>
      </c>
      <c r="AE585" s="16">
        <v>0</v>
      </c>
      <c r="AF585" s="16">
        <f t="shared" si="216"/>
        <v>163.73849999999999</v>
      </c>
      <c r="AG585" s="16">
        <f t="shared" si="210"/>
        <v>26.198159999999998</v>
      </c>
      <c r="AH585" s="16">
        <f t="shared" si="217"/>
        <v>189.93665999999999</v>
      </c>
      <c r="AI585" s="16">
        <f t="shared" si="211"/>
        <v>3.2747699999999997</v>
      </c>
      <c r="AJ585" s="16">
        <v>0</v>
      </c>
      <c r="AK585" s="16">
        <f t="shared" si="218"/>
        <v>3.2747699999999997</v>
      </c>
      <c r="AL585" s="19"/>
      <c r="AM585" s="16">
        <f t="shared" si="208"/>
        <v>160.46373</v>
      </c>
      <c r="AN585" s="16" t="s">
        <v>147</v>
      </c>
      <c r="AO585" s="20">
        <v>0.4</v>
      </c>
      <c r="AP585" s="16">
        <f t="shared" si="219"/>
        <v>64.185491999999996</v>
      </c>
      <c r="AQ585" s="16">
        <v>64.185491999999996</v>
      </c>
      <c r="AR585" s="15">
        <v>45229</v>
      </c>
      <c r="AS585" s="16">
        <f t="shared" si="220"/>
        <v>0</v>
      </c>
      <c r="AT585" s="16"/>
      <c r="AU585" s="16">
        <v>189.93665999999999</v>
      </c>
      <c r="AV585" s="16">
        <f t="shared" si="213"/>
        <v>189.93665999999999</v>
      </c>
      <c r="AW585" s="16">
        <f t="shared" si="221"/>
        <v>0</v>
      </c>
      <c r="AX585" s="16" t="str">
        <f t="shared" si="222"/>
        <v>RAWSUR</v>
      </c>
      <c r="AY585" s="22">
        <v>45153</v>
      </c>
      <c r="AZ585" s="22"/>
      <c r="BA585" s="1" t="s">
        <v>148</v>
      </c>
      <c r="BB585" s="22" t="str">
        <f>O585</f>
        <v>MARINE CARGO / GIT</v>
      </c>
      <c r="BC585" s="1"/>
      <c r="BD585" s="1"/>
      <c r="BE585" s="1"/>
    </row>
    <row r="586" spans="1:57" ht="15.75" hidden="1" customHeight="1">
      <c r="A586" s="2" t="s">
        <v>212</v>
      </c>
      <c r="B586" s="1" t="s">
        <v>58</v>
      </c>
      <c r="C586" s="27">
        <v>45118</v>
      </c>
      <c r="D586" s="27">
        <v>45092</v>
      </c>
      <c r="E586" s="27">
        <v>45083</v>
      </c>
      <c r="F586" s="27">
        <v>45143</v>
      </c>
      <c r="G586" s="13" t="str">
        <f t="shared" si="214"/>
        <v>000-585/AIB RDC/2023</v>
      </c>
      <c r="H586" s="1">
        <v>0</v>
      </c>
      <c r="I586" s="1" t="s">
        <v>83</v>
      </c>
      <c r="J586" s="29">
        <v>70100036</v>
      </c>
      <c r="K586" s="2" t="s">
        <v>403</v>
      </c>
      <c r="L586" s="1"/>
      <c r="M586" s="1" t="s">
        <v>95</v>
      </c>
      <c r="N586" s="1" t="s">
        <v>146</v>
      </c>
      <c r="O586" s="1" t="s">
        <v>104</v>
      </c>
      <c r="P586" s="1" t="s">
        <v>105</v>
      </c>
      <c r="Q586" s="1" t="s">
        <v>135</v>
      </c>
      <c r="R586" s="1" t="s">
        <v>135</v>
      </c>
      <c r="S586" s="25">
        <f>16292.96+20792.96+11613.12+19781+18331+19781+19781+47952.58+28735+54587.76</f>
        <v>257648.38</v>
      </c>
      <c r="T586" s="25">
        <v>1882.23</v>
      </c>
      <c r="U586" s="25">
        <v>0</v>
      </c>
      <c r="V586" s="25">
        <v>0</v>
      </c>
      <c r="W586" s="25">
        <v>370</v>
      </c>
      <c r="X586" s="25">
        <v>1225.0999999999999</v>
      </c>
      <c r="Y586" s="25">
        <v>255.22</v>
      </c>
      <c r="Z586" s="17">
        <f t="shared" si="215"/>
        <v>4.7549299553135164E-3</v>
      </c>
      <c r="AA586" s="18">
        <v>0.15</v>
      </c>
      <c r="AB586" s="16">
        <f t="shared" si="212"/>
        <v>183.76499999999999</v>
      </c>
      <c r="AC586" s="16">
        <v>0</v>
      </c>
      <c r="AD586" s="16">
        <v>0</v>
      </c>
      <c r="AE586" s="16">
        <v>0</v>
      </c>
      <c r="AF586" s="16">
        <f t="shared" si="216"/>
        <v>183.76499999999999</v>
      </c>
      <c r="AG586" s="16">
        <f t="shared" si="210"/>
        <v>29.4024</v>
      </c>
      <c r="AH586" s="16">
        <f t="shared" si="217"/>
        <v>213.16739999999999</v>
      </c>
      <c r="AI586" s="16">
        <f t="shared" si="211"/>
        <v>3.6753</v>
      </c>
      <c r="AJ586" s="16">
        <v>0</v>
      </c>
      <c r="AK586" s="16">
        <f t="shared" si="218"/>
        <v>3.6753</v>
      </c>
      <c r="AL586" s="19"/>
      <c r="AM586" s="16">
        <f t="shared" si="208"/>
        <v>180.08969999999999</v>
      </c>
      <c r="AN586" s="16" t="s">
        <v>147</v>
      </c>
      <c r="AO586" s="20">
        <v>0.4</v>
      </c>
      <c r="AP586" s="16">
        <f t="shared" si="219"/>
        <v>72.035880000000006</v>
      </c>
      <c r="AQ586" s="16">
        <v>72.035880000000006</v>
      </c>
      <c r="AR586" s="15">
        <v>45229</v>
      </c>
      <c r="AS586" s="16">
        <f t="shared" si="220"/>
        <v>0</v>
      </c>
      <c r="AT586" s="16"/>
      <c r="AU586" s="16">
        <v>213.16739999999999</v>
      </c>
      <c r="AV586" s="16">
        <f t="shared" si="213"/>
        <v>213.16739999999999</v>
      </c>
      <c r="AW586" s="16">
        <f t="shared" si="221"/>
        <v>0</v>
      </c>
      <c r="AX586" s="16" t="str">
        <f t="shared" si="222"/>
        <v>RAWSUR</v>
      </c>
      <c r="AY586" s="22">
        <v>45153</v>
      </c>
      <c r="AZ586" s="22"/>
      <c r="BA586" s="1" t="s">
        <v>148</v>
      </c>
      <c r="BB586" s="1" t="s">
        <v>104</v>
      </c>
      <c r="BC586" s="1"/>
      <c r="BD586" s="1"/>
      <c r="BE586" s="1"/>
    </row>
    <row r="587" spans="1:57" ht="15.75" hidden="1" customHeight="1">
      <c r="A587" s="2" t="s">
        <v>212</v>
      </c>
      <c r="B587" s="1" t="s">
        <v>169</v>
      </c>
      <c r="C587" s="27">
        <v>45118</v>
      </c>
      <c r="D587" s="27">
        <v>45096</v>
      </c>
      <c r="E587" s="27">
        <v>45096</v>
      </c>
      <c r="F587" s="27">
        <v>45187</v>
      </c>
      <c r="G587" s="13" t="str">
        <f t="shared" si="214"/>
        <v>000-586/AIB RDC/2023</v>
      </c>
      <c r="H587" s="1">
        <v>0</v>
      </c>
      <c r="I587" s="1" t="s">
        <v>83</v>
      </c>
      <c r="J587" s="29">
        <v>70100037</v>
      </c>
      <c r="K587" s="2" t="s">
        <v>403</v>
      </c>
      <c r="L587" s="1"/>
      <c r="M587" s="1" t="s">
        <v>95</v>
      </c>
      <c r="N587" s="1" t="s">
        <v>146</v>
      </c>
      <c r="O587" s="1" t="s">
        <v>104</v>
      </c>
      <c r="P587" s="1" t="s">
        <v>105</v>
      </c>
      <c r="Q587" s="1" t="s">
        <v>135</v>
      </c>
      <c r="R587" s="1" t="s">
        <v>135</v>
      </c>
      <c r="S587" s="25">
        <v>0</v>
      </c>
      <c r="T587" s="25">
        <v>861.41</v>
      </c>
      <c r="U587" s="25">
        <v>0</v>
      </c>
      <c r="V587" s="25">
        <v>0</v>
      </c>
      <c r="W587" s="25">
        <v>148</v>
      </c>
      <c r="X587" s="25">
        <v>582.02</v>
      </c>
      <c r="Y587" s="25">
        <v>116.8</v>
      </c>
      <c r="Z587" s="17" t="e">
        <f t="shared" si="215"/>
        <v>#DIV/0!</v>
      </c>
      <c r="AA587" s="18">
        <v>0.15</v>
      </c>
      <c r="AB587" s="16">
        <f t="shared" si="212"/>
        <v>87.302999999999997</v>
      </c>
      <c r="AC587" s="16">
        <v>0</v>
      </c>
      <c r="AD587" s="16">
        <v>0</v>
      </c>
      <c r="AE587" s="16">
        <v>0</v>
      </c>
      <c r="AF587" s="16">
        <f t="shared" si="216"/>
        <v>87.302999999999997</v>
      </c>
      <c r="AG587" s="16">
        <f t="shared" si="210"/>
        <v>13.96848</v>
      </c>
      <c r="AH587" s="16">
        <f t="shared" si="217"/>
        <v>101.27148</v>
      </c>
      <c r="AI587" s="16">
        <f t="shared" si="211"/>
        <v>1.7460599999999999</v>
      </c>
      <c r="AJ587" s="16">
        <v>0</v>
      </c>
      <c r="AK587" s="16">
        <f t="shared" si="218"/>
        <v>1.7460599999999999</v>
      </c>
      <c r="AL587" s="19"/>
      <c r="AM587" s="16">
        <f t="shared" si="208"/>
        <v>85.556939999999997</v>
      </c>
      <c r="AN587" s="16" t="s">
        <v>147</v>
      </c>
      <c r="AO587" s="20">
        <v>0.4</v>
      </c>
      <c r="AP587" s="16">
        <f t="shared" si="219"/>
        <v>34.222776000000003</v>
      </c>
      <c r="AQ587" s="16">
        <v>34.222776000000003</v>
      </c>
      <c r="AR587" s="15">
        <v>45229</v>
      </c>
      <c r="AS587" s="16">
        <f t="shared" si="220"/>
        <v>0</v>
      </c>
      <c r="AT587" s="16"/>
      <c r="AU587" s="16">
        <v>101.27148</v>
      </c>
      <c r="AV587" s="16">
        <f t="shared" si="213"/>
        <v>101.27148</v>
      </c>
      <c r="AW587" s="16">
        <f t="shared" si="221"/>
        <v>0</v>
      </c>
      <c r="AX587" s="16" t="str">
        <f t="shared" si="222"/>
        <v>RAWSUR</v>
      </c>
      <c r="AY587" s="22">
        <v>45153</v>
      </c>
      <c r="AZ587" s="22"/>
      <c r="BA587" s="1" t="s">
        <v>148</v>
      </c>
      <c r="BB587" s="1" t="s">
        <v>104</v>
      </c>
      <c r="BC587" s="1"/>
      <c r="BD587" s="1"/>
      <c r="BE587" s="1"/>
    </row>
    <row r="588" spans="1:57" ht="15.75" hidden="1" customHeight="1">
      <c r="A588" s="2" t="s">
        <v>230</v>
      </c>
      <c r="B588" s="1" t="s">
        <v>58</v>
      </c>
      <c r="C588" s="27">
        <v>45119</v>
      </c>
      <c r="D588" s="27">
        <v>45092</v>
      </c>
      <c r="E588" s="27">
        <v>45070</v>
      </c>
      <c r="F588" s="27">
        <v>45435</v>
      </c>
      <c r="G588" s="13" t="str">
        <f t="shared" si="214"/>
        <v>000-587/AIB RDC/2023</v>
      </c>
      <c r="H588" s="1">
        <v>0</v>
      </c>
      <c r="I588" s="1" t="s">
        <v>83</v>
      </c>
      <c r="J588" s="29" t="s">
        <v>828</v>
      </c>
      <c r="K588" s="2" t="s">
        <v>826</v>
      </c>
      <c r="L588" s="1"/>
      <c r="M588" s="1" t="s">
        <v>74</v>
      </c>
      <c r="N588" s="1" t="s">
        <v>75</v>
      </c>
      <c r="O588" s="1" t="s">
        <v>104</v>
      </c>
      <c r="P588" s="1" t="s">
        <v>105</v>
      </c>
      <c r="Q588" s="1" t="s">
        <v>66</v>
      </c>
      <c r="R588" s="1" t="s">
        <v>66</v>
      </c>
      <c r="S588" s="25">
        <v>0</v>
      </c>
      <c r="T588" s="25">
        <v>439.65</v>
      </c>
      <c r="U588" s="25">
        <v>0</v>
      </c>
      <c r="V588" s="25">
        <v>0</v>
      </c>
      <c r="W588" s="25">
        <v>2</v>
      </c>
      <c r="X588" s="25">
        <v>344.45</v>
      </c>
      <c r="Y588" s="25">
        <v>57.19</v>
      </c>
      <c r="Z588" s="17" t="e">
        <f t="shared" si="215"/>
        <v>#DIV/0!</v>
      </c>
      <c r="AA588" s="18">
        <v>0.15</v>
      </c>
      <c r="AB588" s="16">
        <f t="shared" si="212"/>
        <v>51.667499999999997</v>
      </c>
      <c r="AC588" s="16">
        <v>0</v>
      </c>
      <c r="AD588" s="16">
        <v>0</v>
      </c>
      <c r="AE588" s="16">
        <v>0</v>
      </c>
      <c r="AF588" s="16">
        <f t="shared" si="216"/>
        <v>51.667499999999997</v>
      </c>
      <c r="AG588" s="16">
        <f t="shared" si="210"/>
        <v>8.2667999999999999</v>
      </c>
      <c r="AH588" s="16">
        <f t="shared" si="217"/>
        <v>59.934299999999993</v>
      </c>
      <c r="AI588" s="16">
        <f t="shared" si="211"/>
        <v>1.03335</v>
      </c>
      <c r="AJ588" s="16">
        <v>0</v>
      </c>
      <c r="AK588" s="16">
        <f t="shared" si="218"/>
        <v>1.03335</v>
      </c>
      <c r="AL588" s="19"/>
      <c r="AM588" s="16">
        <f t="shared" si="208"/>
        <v>50.634149999999998</v>
      </c>
      <c r="AN588" s="16"/>
      <c r="AO588" s="20"/>
      <c r="AP588" s="16">
        <f t="shared" si="219"/>
        <v>0</v>
      </c>
      <c r="AQ588" s="16"/>
      <c r="AR588" s="15"/>
      <c r="AS588" s="16">
        <f t="shared" si="220"/>
        <v>0</v>
      </c>
      <c r="AT588" s="16"/>
      <c r="AU588" s="16">
        <v>59.934299999999993</v>
      </c>
      <c r="AV588" s="16">
        <f t="shared" si="213"/>
        <v>59.934299999999993</v>
      </c>
      <c r="AW588" s="16">
        <f t="shared" si="221"/>
        <v>0</v>
      </c>
      <c r="AX588" s="16" t="str">
        <f t="shared" si="222"/>
        <v>SFA</v>
      </c>
      <c r="AY588" s="22">
        <v>45135</v>
      </c>
      <c r="AZ588" s="22"/>
      <c r="BA588" s="1"/>
      <c r="BB588" s="1"/>
      <c r="BC588" s="1"/>
      <c r="BD588" s="1"/>
      <c r="BE588" s="1"/>
    </row>
    <row r="589" spans="1:57" ht="15.75" hidden="1" customHeight="1">
      <c r="A589" s="2" t="s">
        <v>230</v>
      </c>
      <c r="B589" s="1" t="s">
        <v>58</v>
      </c>
      <c r="C589" s="27">
        <v>45119</v>
      </c>
      <c r="D589" s="27">
        <v>45092</v>
      </c>
      <c r="E589" s="27">
        <v>45070</v>
      </c>
      <c r="F589" s="27">
        <v>45435</v>
      </c>
      <c r="G589" s="13" t="str">
        <f t="shared" si="214"/>
        <v>000-588/AIB RDC/2023</v>
      </c>
      <c r="H589" s="1">
        <v>0</v>
      </c>
      <c r="I589" s="1" t="s">
        <v>83</v>
      </c>
      <c r="J589" s="29" t="s">
        <v>829</v>
      </c>
      <c r="K589" s="2" t="s">
        <v>532</v>
      </c>
      <c r="L589" s="1"/>
      <c r="M589" s="2" t="s">
        <v>95</v>
      </c>
      <c r="N589" s="2" t="s">
        <v>146</v>
      </c>
      <c r="O589" s="2" t="s">
        <v>104</v>
      </c>
      <c r="P589" s="2" t="s">
        <v>105</v>
      </c>
      <c r="Q589" s="2" t="s">
        <v>66</v>
      </c>
      <c r="R589" s="2" t="s">
        <v>66</v>
      </c>
      <c r="S589" s="25">
        <v>0</v>
      </c>
      <c r="T589" s="25">
        <v>390.12</v>
      </c>
      <c r="U589" s="25">
        <v>0</v>
      </c>
      <c r="V589" s="25">
        <v>0</v>
      </c>
      <c r="W589" s="25">
        <v>2</v>
      </c>
      <c r="X589" s="25">
        <v>302.58999999999997</v>
      </c>
      <c r="Y589" s="25">
        <v>50.36</v>
      </c>
      <c r="Z589" s="17" t="e">
        <f t="shared" si="215"/>
        <v>#DIV/0!</v>
      </c>
      <c r="AA589" s="18">
        <v>0.15</v>
      </c>
      <c r="AB589" s="16">
        <f t="shared" si="212"/>
        <v>45.388499999999993</v>
      </c>
      <c r="AC589" s="16">
        <v>0</v>
      </c>
      <c r="AD589" s="16">
        <v>0</v>
      </c>
      <c r="AE589" s="16">
        <v>0</v>
      </c>
      <c r="AF589" s="16">
        <f t="shared" si="216"/>
        <v>45.388499999999993</v>
      </c>
      <c r="AG589" s="16">
        <f t="shared" si="210"/>
        <v>7.2621599999999988</v>
      </c>
      <c r="AH589" s="16">
        <f t="shared" si="217"/>
        <v>52.650659999999995</v>
      </c>
      <c r="AI589" s="16">
        <f t="shared" si="211"/>
        <v>0.90776999999999985</v>
      </c>
      <c r="AJ589" s="16"/>
      <c r="AK589" s="16">
        <f t="shared" si="218"/>
        <v>0.90776999999999985</v>
      </c>
      <c r="AL589" s="19"/>
      <c r="AM589" s="16">
        <f t="shared" si="208"/>
        <v>44.480729999999994</v>
      </c>
      <c r="AN589" s="16" t="s">
        <v>147</v>
      </c>
      <c r="AO589" s="20">
        <v>0.4</v>
      </c>
      <c r="AP589" s="16">
        <f t="shared" si="219"/>
        <v>17.792292</v>
      </c>
      <c r="AQ589" s="16">
        <v>17.792292</v>
      </c>
      <c r="AR589" s="15">
        <v>45229</v>
      </c>
      <c r="AS589" s="16">
        <f t="shared" si="220"/>
        <v>0</v>
      </c>
      <c r="AT589" s="16"/>
      <c r="AU589" s="16">
        <v>52.650659999999995</v>
      </c>
      <c r="AV589" s="16">
        <f t="shared" si="213"/>
        <v>52.650659999999995</v>
      </c>
      <c r="AW589" s="16">
        <f t="shared" si="221"/>
        <v>0</v>
      </c>
      <c r="AX589" s="16" t="str">
        <f t="shared" si="222"/>
        <v>SFA</v>
      </c>
      <c r="AY589" s="22">
        <v>45135</v>
      </c>
      <c r="AZ589" s="22"/>
      <c r="BA589" s="1" t="s">
        <v>148</v>
      </c>
      <c r="BB589" s="1" t="s">
        <v>104</v>
      </c>
      <c r="BC589" s="1"/>
      <c r="BD589" s="1"/>
      <c r="BE589" s="1"/>
    </row>
    <row r="590" spans="1:57" ht="15.75" hidden="1" customHeight="1">
      <c r="A590" s="2" t="s">
        <v>212</v>
      </c>
      <c r="B590" s="1" t="s">
        <v>58</v>
      </c>
      <c r="C590" s="27">
        <v>45100</v>
      </c>
      <c r="D590" s="27">
        <v>45124</v>
      </c>
      <c r="E590" s="27">
        <v>45082</v>
      </c>
      <c r="F590" s="27">
        <v>45176</v>
      </c>
      <c r="G590" s="13" t="str">
        <f t="shared" si="214"/>
        <v>000-589/AIB RDC/2023</v>
      </c>
      <c r="H590" s="1">
        <v>1</v>
      </c>
      <c r="I590" s="1" t="s">
        <v>59</v>
      </c>
      <c r="J590" s="30" t="s">
        <v>830</v>
      </c>
      <c r="K590" s="2" t="s">
        <v>807</v>
      </c>
      <c r="L590" s="1" t="s">
        <v>139</v>
      </c>
      <c r="M590" s="1" t="s">
        <v>63</v>
      </c>
      <c r="N590" s="1" t="s">
        <v>71</v>
      </c>
      <c r="O590" s="1" t="s">
        <v>65</v>
      </c>
      <c r="P590" s="1" t="s">
        <v>65</v>
      </c>
      <c r="Q590" s="1" t="s">
        <v>66</v>
      </c>
      <c r="R590" s="1" t="s">
        <v>66</v>
      </c>
      <c r="S590" s="25">
        <v>0</v>
      </c>
      <c r="T590" s="25">
        <v>84.94</v>
      </c>
      <c r="U590" s="25">
        <v>0</v>
      </c>
      <c r="V590" s="25">
        <v>0</v>
      </c>
      <c r="W590" s="25">
        <v>4.42</v>
      </c>
      <c r="X590" s="25">
        <v>68.81</v>
      </c>
      <c r="Y590" s="25">
        <v>11.71</v>
      </c>
      <c r="Z590" s="17" t="e">
        <f t="shared" si="215"/>
        <v>#DIV/0!</v>
      </c>
      <c r="AA590" s="18">
        <v>0.125</v>
      </c>
      <c r="AB590" s="16">
        <f t="shared" si="212"/>
        <v>8.6012500000000003</v>
      </c>
      <c r="AC590" s="16">
        <v>0</v>
      </c>
      <c r="AD590" s="16">
        <v>0</v>
      </c>
      <c r="AE590" s="16">
        <v>0</v>
      </c>
      <c r="AF590" s="16">
        <f t="shared" si="216"/>
        <v>8.6012500000000003</v>
      </c>
      <c r="AG590" s="16">
        <f t="shared" si="210"/>
        <v>1.3762000000000001</v>
      </c>
      <c r="AH590" s="16">
        <f t="shared" si="217"/>
        <v>9.977450000000001</v>
      </c>
      <c r="AI590" s="16">
        <f t="shared" si="211"/>
        <v>0.17202500000000001</v>
      </c>
      <c r="AJ590" s="16">
        <v>0</v>
      </c>
      <c r="AK590" s="16">
        <f t="shared" si="218"/>
        <v>0.17202500000000001</v>
      </c>
      <c r="AL590" s="19"/>
      <c r="AM590" s="16">
        <f t="shared" si="208"/>
        <v>8.4292250000000006</v>
      </c>
      <c r="AN590" s="16"/>
      <c r="AO590" s="20"/>
      <c r="AP590" s="16">
        <f t="shared" si="219"/>
        <v>0</v>
      </c>
      <c r="AQ590" s="16"/>
      <c r="AR590" s="15"/>
      <c r="AS590" s="16">
        <f t="shared" si="220"/>
        <v>0</v>
      </c>
      <c r="AT590" s="16"/>
      <c r="AU590" s="16">
        <v>9.977450000000001</v>
      </c>
      <c r="AV590" s="16">
        <f t="shared" si="213"/>
        <v>9.977450000000001</v>
      </c>
      <c r="AW590" s="16">
        <f t="shared" si="221"/>
        <v>0</v>
      </c>
      <c r="AX590" s="16" t="str">
        <f t="shared" si="222"/>
        <v>SFA</v>
      </c>
      <c r="AY590" s="22">
        <v>45163</v>
      </c>
      <c r="AZ590" s="22"/>
      <c r="BA590" s="1"/>
      <c r="BB590" s="22"/>
      <c r="BC590" s="1"/>
      <c r="BD590" s="1"/>
      <c r="BE590" s="1"/>
    </row>
    <row r="591" spans="1:57" ht="15.75" hidden="1" customHeight="1">
      <c r="A591" s="2" t="s">
        <v>212</v>
      </c>
      <c r="B591" s="1" t="s">
        <v>169</v>
      </c>
      <c r="C591" s="27">
        <v>45119</v>
      </c>
      <c r="D591" s="27">
        <v>45098</v>
      </c>
      <c r="E591" s="27">
        <v>45093</v>
      </c>
      <c r="F591" s="27">
        <v>45457</v>
      </c>
      <c r="G591" s="13" t="str">
        <f t="shared" si="214"/>
        <v>000-590/AIB RDC/2023</v>
      </c>
      <c r="H591" s="1">
        <v>0</v>
      </c>
      <c r="I591" s="1" t="s">
        <v>83</v>
      </c>
      <c r="J591" s="29" t="s">
        <v>831</v>
      </c>
      <c r="K591" s="2" t="s">
        <v>532</v>
      </c>
      <c r="L591" s="1"/>
      <c r="M591" s="2" t="s">
        <v>95</v>
      </c>
      <c r="N591" s="2" t="s">
        <v>146</v>
      </c>
      <c r="O591" s="2" t="s">
        <v>104</v>
      </c>
      <c r="P591" s="2" t="s">
        <v>105</v>
      </c>
      <c r="Q591" s="2" t="s">
        <v>66</v>
      </c>
      <c r="R591" s="2" t="s">
        <v>66</v>
      </c>
      <c r="S591" s="25">
        <v>0</v>
      </c>
      <c r="T591" s="25">
        <v>503.41</v>
      </c>
      <c r="U591" s="25">
        <v>0</v>
      </c>
      <c r="V591" s="25">
        <v>0</v>
      </c>
      <c r="W591" s="25">
        <v>2</v>
      </c>
      <c r="X591" s="25">
        <v>398.33</v>
      </c>
      <c r="Y591" s="25">
        <v>65.989999999999995</v>
      </c>
      <c r="Z591" s="17" t="e">
        <f t="shared" si="215"/>
        <v>#DIV/0!</v>
      </c>
      <c r="AA591" s="18">
        <v>0.15</v>
      </c>
      <c r="AB591" s="16">
        <f t="shared" si="212"/>
        <v>59.749499999999998</v>
      </c>
      <c r="AC591" s="16">
        <v>0</v>
      </c>
      <c r="AD591" s="16">
        <v>0</v>
      </c>
      <c r="AE591" s="16">
        <v>0</v>
      </c>
      <c r="AF591" s="16">
        <f t="shared" si="216"/>
        <v>59.749499999999998</v>
      </c>
      <c r="AG591" s="16">
        <f t="shared" ref="AG591:AG622" si="223">16%*AF591</f>
        <v>9.55992</v>
      </c>
      <c r="AH591" s="16">
        <f t="shared" si="217"/>
        <v>69.309420000000003</v>
      </c>
      <c r="AI591" s="16">
        <f t="shared" ref="AI591:AI622" si="224">2%*(AB591+AC591+AD591)</f>
        <v>1.19499</v>
      </c>
      <c r="AJ591" s="16"/>
      <c r="AK591" s="16">
        <f t="shared" si="218"/>
        <v>1.19499</v>
      </c>
      <c r="AL591" s="19"/>
      <c r="AM591" s="16">
        <f t="shared" si="208"/>
        <v>58.554510000000001</v>
      </c>
      <c r="AN591" s="16" t="s">
        <v>147</v>
      </c>
      <c r="AO591" s="20">
        <v>0.4</v>
      </c>
      <c r="AP591" s="16">
        <f t="shared" si="219"/>
        <v>23.421804000000002</v>
      </c>
      <c r="AQ591" s="16">
        <v>23.421804000000002</v>
      </c>
      <c r="AR591" s="15">
        <v>45229</v>
      </c>
      <c r="AS591" s="16">
        <f t="shared" si="220"/>
        <v>0</v>
      </c>
      <c r="AT591" s="16"/>
      <c r="AU591" s="16">
        <v>69.309420000000003</v>
      </c>
      <c r="AV591" s="16">
        <f t="shared" si="213"/>
        <v>69.309420000000003</v>
      </c>
      <c r="AW591" s="16">
        <f t="shared" si="221"/>
        <v>0</v>
      </c>
      <c r="AX591" s="16" t="str">
        <f t="shared" si="222"/>
        <v>SFA</v>
      </c>
      <c r="AY591" s="22">
        <v>45135</v>
      </c>
      <c r="AZ591" s="22"/>
      <c r="BA591" s="1" t="s">
        <v>148</v>
      </c>
      <c r="BB591" s="1" t="s">
        <v>104</v>
      </c>
      <c r="BC591" s="1"/>
      <c r="BD591" s="1"/>
      <c r="BE591" s="1"/>
    </row>
    <row r="592" spans="1:57" ht="15.75" hidden="1" customHeight="1">
      <c r="A592" s="2" t="s">
        <v>212</v>
      </c>
      <c r="B592" s="1" t="s">
        <v>169</v>
      </c>
      <c r="C592" s="27">
        <v>45098</v>
      </c>
      <c r="D592" s="27">
        <v>45098</v>
      </c>
      <c r="E592" s="27">
        <v>45090</v>
      </c>
      <c r="F592" s="27">
        <v>45454</v>
      </c>
      <c r="G592" s="13" t="str">
        <f t="shared" si="214"/>
        <v>000-591/AIB RDC/2023</v>
      </c>
      <c r="H592" s="1">
        <v>0</v>
      </c>
      <c r="I592" s="1" t="s">
        <v>83</v>
      </c>
      <c r="J592" s="29" t="s">
        <v>832</v>
      </c>
      <c r="K592" s="2" t="s">
        <v>209</v>
      </c>
      <c r="L592" s="1"/>
      <c r="M592" s="2" t="s">
        <v>95</v>
      </c>
      <c r="N592" s="2" t="s">
        <v>146</v>
      </c>
      <c r="O592" s="2" t="s">
        <v>104</v>
      </c>
      <c r="P592" s="2" t="s">
        <v>105</v>
      </c>
      <c r="Q592" s="2" t="s">
        <v>66</v>
      </c>
      <c r="R592" s="2" t="s">
        <v>66</v>
      </c>
      <c r="S592" s="25">
        <v>1047541.79</v>
      </c>
      <c r="T592" s="25">
        <v>2263.12</v>
      </c>
      <c r="U592" s="25">
        <v>0</v>
      </c>
      <c r="V592" s="25">
        <v>0</v>
      </c>
      <c r="W592" s="25">
        <v>2</v>
      </c>
      <c r="X592" s="25">
        <v>1885.58</v>
      </c>
      <c r="Y592" s="25">
        <v>308.70999999999998</v>
      </c>
      <c r="Z592" s="17">
        <f t="shared" si="215"/>
        <v>1.8000045611545482E-3</v>
      </c>
      <c r="AA592" s="18">
        <v>0.15</v>
      </c>
      <c r="AB592" s="16">
        <f t="shared" si="212"/>
        <v>282.83699999999999</v>
      </c>
      <c r="AC592" s="16">
        <v>0</v>
      </c>
      <c r="AD592" s="16">
        <v>0</v>
      </c>
      <c r="AE592" s="16">
        <v>0</v>
      </c>
      <c r="AF592" s="16">
        <f t="shared" si="216"/>
        <v>282.83699999999999</v>
      </c>
      <c r="AG592" s="16">
        <f t="shared" si="223"/>
        <v>45.253920000000001</v>
      </c>
      <c r="AH592" s="16">
        <f t="shared" si="217"/>
        <v>328.09091999999998</v>
      </c>
      <c r="AI592" s="16">
        <f t="shared" si="224"/>
        <v>5.6567400000000001</v>
      </c>
      <c r="AJ592" s="16">
        <v>0</v>
      </c>
      <c r="AK592" s="16">
        <f t="shared" si="218"/>
        <v>5.6567400000000001</v>
      </c>
      <c r="AL592" s="19"/>
      <c r="AM592" s="16">
        <f t="shared" si="208"/>
        <v>277.18025999999998</v>
      </c>
      <c r="AN592" s="16" t="s">
        <v>147</v>
      </c>
      <c r="AO592" s="20">
        <v>0.4</v>
      </c>
      <c r="AP592" s="16">
        <f t="shared" si="219"/>
        <v>110.87210399999999</v>
      </c>
      <c r="AQ592" s="16">
        <v>110.87210399999999</v>
      </c>
      <c r="AR592" s="15">
        <v>45229</v>
      </c>
      <c r="AS592" s="16">
        <f t="shared" si="220"/>
        <v>0</v>
      </c>
      <c r="AT592" s="16"/>
      <c r="AU592" s="16">
        <v>328.09091999999998</v>
      </c>
      <c r="AV592" s="16">
        <f t="shared" si="213"/>
        <v>328.09091999999998</v>
      </c>
      <c r="AW592" s="16">
        <f t="shared" si="221"/>
        <v>0</v>
      </c>
      <c r="AX592" s="16" t="str">
        <f t="shared" si="222"/>
        <v>SFA</v>
      </c>
      <c r="AY592" s="22">
        <v>45135</v>
      </c>
      <c r="AZ592" s="22"/>
      <c r="BA592" s="1" t="s">
        <v>148</v>
      </c>
      <c r="BB592" s="22" t="str">
        <f>O592</f>
        <v>MARINE CARGO / GIT</v>
      </c>
      <c r="BC592" s="1"/>
      <c r="BD592" s="1"/>
      <c r="BE592" s="1"/>
    </row>
    <row r="593" spans="1:57" ht="15.75" hidden="1" customHeight="1">
      <c r="A593" s="2" t="s">
        <v>230</v>
      </c>
      <c r="B593" s="1" t="s">
        <v>58</v>
      </c>
      <c r="C593" s="27">
        <v>45119</v>
      </c>
      <c r="D593" s="27">
        <v>45099</v>
      </c>
      <c r="E593" s="27">
        <v>45069</v>
      </c>
      <c r="F593" s="27">
        <v>45434</v>
      </c>
      <c r="G593" s="13" t="str">
        <f t="shared" si="214"/>
        <v>000-592/AIB RDC/2023</v>
      </c>
      <c r="H593" s="1">
        <v>0</v>
      </c>
      <c r="I593" s="1" t="s">
        <v>83</v>
      </c>
      <c r="J593" s="29" t="s">
        <v>833</v>
      </c>
      <c r="K593" s="2" t="s">
        <v>532</v>
      </c>
      <c r="L593" s="1"/>
      <c r="M593" s="2" t="s">
        <v>95</v>
      </c>
      <c r="N593" s="2" t="s">
        <v>146</v>
      </c>
      <c r="O593" s="2" t="s">
        <v>104</v>
      </c>
      <c r="P593" s="2" t="s">
        <v>105</v>
      </c>
      <c r="Q593" s="2" t="s">
        <v>66</v>
      </c>
      <c r="R593" s="2" t="s">
        <v>66</v>
      </c>
      <c r="S593" s="25">
        <v>331299.03000000003</v>
      </c>
      <c r="T593" s="25">
        <v>1125.76</v>
      </c>
      <c r="U593" s="25">
        <v>0</v>
      </c>
      <c r="V593" s="25">
        <v>0</v>
      </c>
      <c r="W593" s="25">
        <v>2</v>
      </c>
      <c r="X593" s="25">
        <v>924.32</v>
      </c>
      <c r="Y593" s="25">
        <v>151.83000000000001</v>
      </c>
      <c r="Z593" s="17">
        <f t="shared" si="215"/>
        <v>2.789987039805097E-3</v>
      </c>
      <c r="AA593" s="18">
        <v>0.15</v>
      </c>
      <c r="AB593" s="16">
        <f t="shared" si="212"/>
        <v>138.648</v>
      </c>
      <c r="AC593" s="16">
        <v>0</v>
      </c>
      <c r="AD593" s="16">
        <v>0</v>
      </c>
      <c r="AE593" s="16">
        <v>0</v>
      </c>
      <c r="AF593" s="16">
        <f t="shared" si="216"/>
        <v>138.648</v>
      </c>
      <c r="AG593" s="16">
        <f t="shared" si="223"/>
        <v>22.183679999999999</v>
      </c>
      <c r="AH593" s="16">
        <f t="shared" si="217"/>
        <v>160.83168000000001</v>
      </c>
      <c r="AI593" s="16">
        <f t="shared" si="224"/>
        <v>2.7729599999999999</v>
      </c>
      <c r="AJ593" s="16"/>
      <c r="AK593" s="16">
        <f t="shared" si="218"/>
        <v>2.7729599999999999</v>
      </c>
      <c r="AL593" s="19"/>
      <c r="AM593" s="16">
        <f t="shared" si="208"/>
        <v>135.87503999999998</v>
      </c>
      <c r="AN593" s="16" t="s">
        <v>147</v>
      </c>
      <c r="AO593" s="20">
        <v>0.4</v>
      </c>
      <c r="AP593" s="16">
        <f t="shared" si="219"/>
        <v>54.350015999999997</v>
      </c>
      <c r="AQ593" s="16">
        <v>54.350015999999997</v>
      </c>
      <c r="AR593" s="15">
        <v>45229</v>
      </c>
      <c r="AS593" s="16">
        <f t="shared" si="220"/>
        <v>0</v>
      </c>
      <c r="AT593" s="16"/>
      <c r="AU593" s="16">
        <v>160.83168000000001</v>
      </c>
      <c r="AV593" s="16">
        <f t="shared" si="213"/>
        <v>160.83168000000001</v>
      </c>
      <c r="AW593" s="16">
        <f t="shared" si="221"/>
        <v>0</v>
      </c>
      <c r="AX593" s="16" t="str">
        <f t="shared" si="222"/>
        <v>SFA</v>
      </c>
      <c r="AY593" s="22">
        <v>45135</v>
      </c>
      <c r="AZ593" s="22"/>
      <c r="BA593" s="1" t="s">
        <v>148</v>
      </c>
      <c r="BB593" s="1" t="s">
        <v>104</v>
      </c>
      <c r="BC593" s="1"/>
      <c r="BD593" s="1"/>
      <c r="BE593" s="1"/>
    </row>
    <row r="594" spans="1:57" ht="15.75" hidden="1" customHeight="1">
      <c r="A594" s="2" t="s">
        <v>212</v>
      </c>
      <c r="B594" s="1" t="s">
        <v>58</v>
      </c>
      <c r="C594" s="27">
        <v>45124</v>
      </c>
      <c r="D594" s="27">
        <v>45079</v>
      </c>
      <c r="E594" s="27">
        <v>45079</v>
      </c>
      <c r="F594" s="27">
        <v>45374</v>
      </c>
      <c r="G594" s="13" t="str">
        <f t="shared" si="214"/>
        <v>000-593/AIB RDC/2023</v>
      </c>
      <c r="H594" s="1">
        <v>1</v>
      </c>
      <c r="I594" s="1" t="s">
        <v>443</v>
      </c>
      <c r="J594" s="29" t="s">
        <v>279</v>
      </c>
      <c r="K594" s="1" t="s">
        <v>280</v>
      </c>
      <c r="L594" s="1"/>
      <c r="M594" s="1" t="s">
        <v>99</v>
      </c>
      <c r="N594" s="1" t="s">
        <v>100</v>
      </c>
      <c r="O594" s="1" t="s">
        <v>107</v>
      </c>
      <c r="P594" s="1" t="s">
        <v>108</v>
      </c>
      <c r="Q594" s="1" t="s">
        <v>127</v>
      </c>
      <c r="R594" s="1" t="s">
        <v>127</v>
      </c>
      <c r="S594" s="25">
        <v>0</v>
      </c>
      <c r="T594" s="25">
        <v>-37.44</v>
      </c>
      <c r="U594" s="25">
        <v>0</v>
      </c>
      <c r="V594" s="25">
        <v>0</v>
      </c>
      <c r="W594" s="25">
        <v>0</v>
      </c>
      <c r="X594" s="25">
        <v>-31.73</v>
      </c>
      <c r="Y594" s="25">
        <v>-5.08</v>
      </c>
      <c r="Z594" s="17" t="e">
        <f t="shared" si="215"/>
        <v>#DIV/0!</v>
      </c>
      <c r="AA594" s="18">
        <v>0.15</v>
      </c>
      <c r="AB594" s="16">
        <f t="shared" si="212"/>
        <v>-4.7595000000000001</v>
      </c>
      <c r="AC594" s="16">
        <v>0</v>
      </c>
      <c r="AD594" s="16">
        <v>0</v>
      </c>
      <c r="AE594" s="16">
        <v>0</v>
      </c>
      <c r="AF594" s="16">
        <f t="shared" si="216"/>
        <v>-4.7595000000000001</v>
      </c>
      <c r="AG594" s="16">
        <f t="shared" si="223"/>
        <v>-0.76151999999999997</v>
      </c>
      <c r="AH594" s="16">
        <f t="shared" si="217"/>
        <v>-5.52102</v>
      </c>
      <c r="AI594" s="16">
        <f t="shared" si="224"/>
        <v>-9.5189999999999997E-2</v>
      </c>
      <c r="AJ594" s="16">
        <v>0</v>
      </c>
      <c r="AK594" s="16">
        <f t="shared" si="218"/>
        <v>-9.5189999999999997E-2</v>
      </c>
      <c r="AL594" s="19"/>
      <c r="AM594" s="16">
        <f t="shared" si="208"/>
        <v>-4.6643100000000004</v>
      </c>
      <c r="AN594" s="16"/>
      <c r="AO594" s="20"/>
      <c r="AP594" s="16">
        <f t="shared" si="219"/>
        <v>0</v>
      </c>
      <c r="AQ594" s="16"/>
      <c r="AR594" s="15"/>
      <c r="AS594" s="16">
        <f t="shared" si="220"/>
        <v>0</v>
      </c>
      <c r="AT594" s="16"/>
      <c r="AU594" s="16">
        <v>-5.52102</v>
      </c>
      <c r="AV594" s="16">
        <f t="shared" si="213"/>
        <v>-5.52102</v>
      </c>
      <c r="AW594" s="16">
        <f t="shared" si="221"/>
        <v>0</v>
      </c>
      <c r="AX594" s="16" t="str">
        <f t="shared" si="222"/>
        <v>MAYFAIR</v>
      </c>
      <c r="AY594" s="22">
        <v>45146</v>
      </c>
      <c r="AZ594" s="22"/>
      <c r="BA594" s="1"/>
      <c r="BB594" s="1"/>
      <c r="BC594" s="1"/>
      <c r="BD594" s="1"/>
      <c r="BE594" s="1"/>
    </row>
    <row r="595" spans="1:57" ht="15.75" hidden="1" customHeight="1">
      <c r="A595" s="2" t="s">
        <v>212</v>
      </c>
      <c r="B595" s="1" t="s">
        <v>169</v>
      </c>
      <c r="C595" s="27">
        <v>45125</v>
      </c>
      <c r="D595" s="27">
        <v>45082</v>
      </c>
      <c r="E595" s="27">
        <v>45082</v>
      </c>
      <c r="F595" s="27">
        <v>45447</v>
      </c>
      <c r="G595" s="13" t="str">
        <f t="shared" si="214"/>
        <v>000-594/AIB RDC/2023</v>
      </c>
      <c r="H595" s="1">
        <v>0</v>
      </c>
      <c r="I595" s="1" t="s">
        <v>83</v>
      </c>
      <c r="J595" s="29" t="s">
        <v>834</v>
      </c>
      <c r="K595" s="1" t="s">
        <v>566</v>
      </c>
      <c r="L595" s="1"/>
      <c r="M595" s="1" t="s">
        <v>63</v>
      </c>
      <c r="N595" s="2" t="s">
        <v>64</v>
      </c>
      <c r="O595" s="1" t="s">
        <v>65</v>
      </c>
      <c r="P595" s="1" t="s">
        <v>65</v>
      </c>
      <c r="Q595" s="1" t="s">
        <v>76</v>
      </c>
      <c r="R595" s="1" t="s">
        <v>76</v>
      </c>
      <c r="S595" s="25">
        <v>0</v>
      </c>
      <c r="T595" s="25">
        <v>259.83999999999997</v>
      </c>
      <c r="U595" s="25">
        <v>0</v>
      </c>
      <c r="V595" s="25">
        <v>0</v>
      </c>
      <c r="W595" s="25">
        <v>10</v>
      </c>
      <c r="X595" s="25">
        <v>214</v>
      </c>
      <c r="Y595" s="25">
        <v>35.840000000000003</v>
      </c>
      <c r="Z595" s="17" t="e">
        <f t="shared" si="215"/>
        <v>#DIV/0!</v>
      </c>
      <c r="AA595" s="18">
        <v>0.125</v>
      </c>
      <c r="AB595" s="16">
        <f t="shared" si="212"/>
        <v>26.75</v>
      </c>
      <c r="AC595" s="16">
        <v>0</v>
      </c>
      <c r="AD595" s="16">
        <v>0</v>
      </c>
      <c r="AE595" s="16">
        <v>0</v>
      </c>
      <c r="AF595" s="16">
        <f t="shared" si="216"/>
        <v>26.75</v>
      </c>
      <c r="AG595" s="16">
        <f t="shared" si="223"/>
        <v>4.28</v>
      </c>
      <c r="AH595" s="16">
        <f t="shared" si="217"/>
        <v>31.03</v>
      </c>
      <c r="AI595" s="16">
        <f t="shared" si="224"/>
        <v>0.53500000000000003</v>
      </c>
      <c r="AJ595" s="16">
        <v>0</v>
      </c>
      <c r="AK595" s="16">
        <f t="shared" si="218"/>
        <v>0.53500000000000003</v>
      </c>
      <c r="AL595" s="19"/>
      <c r="AM595" s="16">
        <f t="shared" si="208"/>
        <v>26.215</v>
      </c>
      <c r="AN595" s="16"/>
      <c r="AO595" s="20"/>
      <c r="AP595" s="16">
        <f t="shared" si="219"/>
        <v>0</v>
      </c>
      <c r="AQ595" s="16"/>
      <c r="AR595" s="15"/>
      <c r="AS595" s="16">
        <f t="shared" si="220"/>
        <v>0</v>
      </c>
      <c r="AT595" s="16"/>
      <c r="AU595" s="16">
        <v>31.03</v>
      </c>
      <c r="AV595" s="16">
        <f t="shared" si="213"/>
        <v>31.03</v>
      </c>
      <c r="AW595" s="16">
        <f t="shared" si="221"/>
        <v>0</v>
      </c>
      <c r="AX595" s="16" t="str">
        <f t="shared" si="222"/>
        <v>ACTIVA</v>
      </c>
      <c r="AY595" s="22">
        <v>45153</v>
      </c>
      <c r="AZ595" s="22"/>
      <c r="BA595" s="1"/>
      <c r="BB595" s="22" t="str">
        <f>O595</f>
        <v>MOTOR TPL</v>
      </c>
      <c r="BC595" s="1"/>
      <c r="BD595" s="1"/>
      <c r="BE595" s="1"/>
    </row>
    <row r="596" spans="1:57" ht="15.75" hidden="1" customHeight="1">
      <c r="A596" s="2" t="s">
        <v>770</v>
      </c>
      <c r="B596" s="1" t="s">
        <v>58</v>
      </c>
      <c r="C596" s="27">
        <v>45126</v>
      </c>
      <c r="D596" s="27">
        <v>45126</v>
      </c>
      <c r="E596" s="27">
        <v>45119</v>
      </c>
      <c r="F596" s="27">
        <v>45483</v>
      </c>
      <c r="G596" s="13" t="str">
        <f t="shared" si="214"/>
        <v>000-595/AIB RDC/2023</v>
      </c>
      <c r="H596" s="1">
        <v>0</v>
      </c>
      <c r="I596" s="1" t="s">
        <v>83</v>
      </c>
      <c r="J596" s="46" t="s">
        <v>835</v>
      </c>
      <c r="K596" s="1" t="s">
        <v>163</v>
      </c>
      <c r="L596" s="1"/>
      <c r="M596" s="1" t="s">
        <v>95</v>
      </c>
      <c r="N596" s="2" t="s">
        <v>836</v>
      </c>
      <c r="O596" s="1" t="s">
        <v>104</v>
      </c>
      <c r="P596" s="1" t="s">
        <v>105</v>
      </c>
      <c r="Q596" s="1" t="s">
        <v>66</v>
      </c>
      <c r="R596" s="1" t="s">
        <v>66</v>
      </c>
      <c r="S596" s="25">
        <v>48600</v>
      </c>
      <c r="T596" s="25">
        <v>153.9</v>
      </c>
      <c r="U596" s="25">
        <v>0</v>
      </c>
      <c r="V596" s="25">
        <v>0</v>
      </c>
      <c r="W596" s="25">
        <v>13.76</v>
      </c>
      <c r="X596" s="25">
        <v>75.819999999999993</v>
      </c>
      <c r="Y596" s="25">
        <v>14.32</v>
      </c>
      <c r="Z596" s="17">
        <f t="shared" si="215"/>
        <v>1.5600823045267488E-3</v>
      </c>
      <c r="AA596" s="18">
        <v>0.15</v>
      </c>
      <c r="AB596" s="16">
        <f t="shared" si="212"/>
        <v>11.372999999999999</v>
      </c>
      <c r="AC596" s="16">
        <v>0</v>
      </c>
      <c r="AD596" s="16">
        <v>0</v>
      </c>
      <c r="AE596" s="16">
        <v>0</v>
      </c>
      <c r="AF596" s="16">
        <f t="shared" si="216"/>
        <v>11.372999999999999</v>
      </c>
      <c r="AG596" s="16">
        <f t="shared" si="223"/>
        <v>1.81968</v>
      </c>
      <c r="AH596" s="16">
        <f t="shared" si="217"/>
        <v>13.192679999999999</v>
      </c>
      <c r="AI596" s="16">
        <f t="shared" si="224"/>
        <v>0.22746</v>
      </c>
      <c r="AJ596" s="16">
        <v>0</v>
      </c>
      <c r="AK596" s="16">
        <f t="shared" si="218"/>
        <v>0.22746</v>
      </c>
      <c r="AL596" s="19"/>
      <c r="AM596" s="16">
        <f t="shared" si="208"/>
        <v>11.145539999999999</v>
      </c>
      <c r="AN596" s="16" t="s">
        <v>147</v>
      </c>
      <c r="AO596" s="20">
        <v>0.4</v>
      </c>
      <c r="AP596" s="16">
        <f t="shared" si="219"/>
        <v>4.4582159999999993</v>
      </c>
      <c r="AQ596" s="16">
        <v>4.4582159999999993</v>
      </c>
      <c r="AR596" s="15">
        <v>45229</v>
      </c>
      <c r="AS596" s="16">
        <f t="shared" si="220"/>
        <v>0</v>
      </c>
      <c r="AT596" s="16"/>
      <c r="AU596" s="16">
        <v>13.192679999999999</v>
      </c>
      <c r="AV596" s="16">
        <f t="shared" si="213"/>
        <v>13.192679999999999</v>
      </c>
      <c r="AW596" s="16">
        <f t="shared" si="221"/>
        <v>0</v>
      </c>
      <c r="AX596" s="16" t="str">
        <f t="shared" si="222"/>
        <v>SFA</v>
      </c>
      <c r="AY596" s="22">
        <v>45163</v>
      </c>
      <c r="AZ596" s="22"/>
      <c r="BA596" s="1" t="s">
        <v>148</v>
      </c>
      <c r="BB596" s="22" t="str">
        <f>O596</f>
        <v>MARINE CARGO / GIT</v>
      </c>
      <c r="BC596" s="1"/>
      <c r="BD596" s="1"/>
      <c r="BE596" s="1"/>
    </row>
    <row r="597" spans="1:57" ht="15.75" hidden="1" customHeight="1">
      <c r="A597" s="2" t="s">
        <v>770</v>
      </c>
      <c r="B597" s="1" t="s">
        <v>169</v>
      </c>
      <c r="C597" s="27">
        <v>45126</v>
      </c>
      <c r="D597" s="27">
        <v>45106</v>
      </c>
      <c r="E597" s="27">
        <v>45113</v>
      </c>
      <c r="F597" s="27">
        <v>45478</v>
      </c>
      <c r="G597" s="13" t="str">
        <f t="shared" si="214"/>
        <v>000-596/AIB RDC/2023</v>
      </c>
      <c r="H597" s="1">
        <v>2</v>
      </c>
      <c r="I597" s="1" t="s">
        <v>68</v>
      </c>
      <c r="J597" s="29" t="s">
        <v>837</v>
      </c>
      <c r="K597" s="1" t="s">
        <v>421</v>
      </c>
      <c r="L597" s="1"/>
      <c r="M597" s="1" t="s">
        <v>63</v>
      </c>
      <c r="N597" s="1" t="s">
        <v>64</v>
      </c>
      <c r="O597" s="1" t="s">
        <v>65</v>
      </c>
      <c r="P597" s="1" t="s">
        <v>65</v>
      </c>
      <c r="Q597" s="1" t="s">
        <v>76</v>
      </c>
      <c r="R597" s="1" t="s">
        <v>76</v>
      </c>
      <c r="S597" s="25">
        <v>0</v>
      </c>
      <c r="T597" s="25">
        <v>2192.6</v>
      </c>
      <c r="U597" s="25">
        <v>0</v>
      </c>
      <c r="V597" s="25">
        <v>0</v>
      </c>
      <c r="W597" s="25">
        <v>20</v>
      </c>
      <c r="X597" s="25">
        <v>2172.6</v>
      </c>
      <c r="Y597" s="25">
        <v>0</v>
      </c>
      <c r="Z597" s="17" t="e">
        <f t="shared" si="215"/>
        <v>#DIV/0!</v>
      </c>
      <c r="AA597" s="18">
        <v>0.1</v>
      </c>
      <c r="AB597" s="16">
        <f t="shared" si="212"/>
        <v>217.26</v>
      </c>
      <c r="AC597" s="16">
        <v>0</v>
      </c>
      <c r="AD597" s="16">
        <v>0</v>
      </c>
      <c r="AE597" s="16">
        <v>0</v>
      </c>
      <c r="AF597" s="16">
        <f t="shared" si="216"/>
        <v>217.26</v>
      </c>
      <c r="AG597" s="16">
        <f t="shared" si="223"/>
        <v>34.761600000000001</v>
      </c>
      <c r="AH597" s="16">
        <f t="shared" si="217"/>
        <v>252.02159999999998</v>
      </c>
      <c r="AI597" s="16">
        <f t="shared" si="224"/>
        <v>4.3452000000000002</v>
      </c>
      <c r="AJ597" s="16">
        <v>0</v>
      </c>
      <c r="AK597" s="16">
        <f t="shared" si="218"/>
        <v>4.3452000000000002</v>
      </c>
      <c r="AL597" s="19"/>
      <c r="AM597" s="16">
        <f t="shared" si="208"/>
        <v>212.91479999999999</v>
      </c>
      <c r="AN597" s="16" t="s">
        <v>77</v>
      </c>
      <c r="AO597" s="20"/>
      <c r="AP597" s="16">
        <f t="shared" si="219"/>
        <v>0</v>
      </c>
      <c r="AQ597" s="16"/>
      <c r="AR597" s="15"/>
      <c r="AS597" s="16">
        <f t="shared" si="220"/>
        <v>0</v>
      </c>
      <c r="AT597" s="16"/>
      <c r="AU597" s="16">
        <v>252.02159999999998</v>
      </c>
      <c r="AV597" s="16">
        <f t="shared" si="213"/>
        <v>252.02159999999998</v>
      </c>
      <c r="AW597" s="16">
        <f t="shared" si="221"/>
        <v>0</v>
      </c>
      <c r="AX597" s="16" t="str">
        <f t="shared" si="222"/>
        <v>ACTIVA</v>
      </c>
      <c r="AY597" s="22">
        <v>45153</v>
      </c>
      <c r="AZ597" s="22"/>
      <c r="BA597" s="1"/>
      <c r="BB597" s="1" t="s">
        <v>65</v>
      </c>
      <c r="BC597" s="1"/>
      <c r="BD597" s="1"/>
      <c r="BE597" s="1"/>
    </row>
    <row r="598" spans="1:57" ht="15.75" hidden="1" customHeight="1">
      <c r="A598" s="2" t="s">
        <v>212</v>
      </c>
      <c r="B598" s="1" t="s">
        <v>58</v>
      </c>
      <c r="C598" s="27">
        <v>45126</v>
      </c>
      <c r="D598" s="27">
        <v>45083</v>
      </c>
      <c r="E598" s="27">
        <v>45083</v>
      </c>
      <c r="F598" s="27">
        <v>45112</v>
      </c>
      <c r="G598" s="13" t="str">
        <f t="shared" si="214"/>
        <v>000-597/AIB RDC/2023</v>
      </c>
      <c r="H598" s="1">
        <v>0</v>
      </c>
      <c r="I598" s="1" t="s">
        <v>83</v>
      </c>
      <c r="J598" s="29" t="s">
        <v>838</v>
      </c>
      <c r="K598" s="1" t="s">
        <v>480</v>
      </c>
      <c r="L598" s="1"/>
      <c r="M598" s="1" t="s">
        <v>95</v>
      </c>
      <c r="N598" s="1" t="s">
        <v>644</v>
      </c>
      <c r="O598" s="1" t="s">
        <v>104</v>
      </c>
      <c r="P598" s="1" t="s">
        <v>105</v>
      </c>
      <c r="Q598" s="1" t="s">
        <v>76</v>
      </c>
      <c r="R598" s="1" t="s">
        <v>76</v>
      </c>
      <c r="S598" s="25">
        <v>101294.47</v>
      </c>
      <c r="T598" s="25">
        <v>424.36</v>
      </c>
      <c r="U598" s="25">
        <v>0</v>
      </c>
      <c r="V598" s="25">
        <v>0</v>
      </c>
      <c r="W598" s="25">
        <v>10</v>
      </c>
      <c r="X598" s="25">
        <v>334.27</v>
      </c>
      <c r="Y598" s="25">
        <v>55.08</v>
      </c>
      <c r="Z598" s="17">
        <f t="shared" si="215"/>
        <v>3.2999827137651242E-3</v>
      </c>
      <c r="AA598" s="18">
        <v>0.15</v>
      </c>
      <c r="AB598" s="16">
        <f t="shared" si="212"/>
        <v>50.140499999999996</v>
      </c>
      <c r="AC598" s="16">
        <v>0</v>
      </c>
      <c r="AD598" s="16">
        <v>0</v>
      </c>
      <c r="AE598" s="16">
        <v>0</v>
      </c>
      <c r="AF598" s="16">
        <f t="shared" si="216"/>
        <v>50.140499999999996</v>
      </c>
      <c r="AG598" s="16">
        <f t="shared" si="223"/>
        <v>8.0224799999999998</v>
      </c>
      <c r="AH598" s="16">
        <f t="shared" si="217"/>
        <v>58.162979999999997</v>
      </c>
      <c r="AI598" s="16">
        <f t="shared" si="224"/>
        <v>1.00281</v>
      </c>
      <c r="AJ598" s="16">
        <v>0</v>
      </c>
      <c r="AK598" s="16">
        <f t="shared" si="218"/>
        <v>1.00281</v>
      </c>
      <c r="AL598" s="19"/>
      <c r="AM598" s="16">
        <f t="shared" si="208"/>
        <v>49.137689999999999</v>
      </c>
      <c r="AN598" s="16"/>
      <c r="AO598" s="20"/>
      <c r="AP598" s="16">
        <f t="shared" si="219"/>
        <v>0</v>
      </c>
      <c r="AQ598" s="16"/>
      <c r="AR598" s="15"/>
      <c r="AS598" s="16">
        <f t="shared" si="220"/>
        <v>0</v>
      </c>
      <c r="AT598" s="16"/>
      <c r="AU598" s="16">
        <v>58.162979999999997</v>
      </c>
      <c r="AV598" s="16">
        <f t="shared" si="213"/>
        <v>58.162979999999997</v>
      </c>
      <c r="AW598" s="16">
        <f t="shared" si="221"/>
        <v>0</v>
      </c>
      <c r="AX598" s="16" t="str">
        <f t="shared" si="222"/>
        <v>ACTIVA</v>
      </c>
      <c r="AY598" s="22">
        <v>45153</v>
      </c>
      <c r="AZ598" s="22"/>
      <c r="BA598" s="1" t="s">
        <v>148</v>
      </c>
      <c r="BB598" s="22" t="str">
        <f>O598</f>
        <v>MARINE CARGO / GIT</v>
      </c>
      <c r="BC598" s="1"/>
      <c r="BD598" s="1"/>
      <c r="BE598" s="1"/>
    </row>
    <row r="599" spans="1:57" ht="15.75" hidden="1" customHeight="1">
      <c r="A599" s="2" t="s">
        <v>212</v>
      </c>
      <c r="B599" s="1" t="s">
        <v>169</v>
      </c>
      <c r="C599" s="27">
        <v>45126</v>
      </c>
      <c r="D599" s="27">
        <v>45083</v>
      </c>
      <c r="E599" s="27">
        <v>45083</v>
      </c>
      <c r="F599" s="27">
        <v>45112</v>
      </c>
      <c r="G599" s="13" t="str">
        <f t="shared" si="214"/>
        <v>000-598/AIB RDC/2023</v>
      </c>
      <c r="H599" s="1">
        <v>0</v>
      </c>
      <c r="I599" s="1" t="s">
        <v>83</v>
      </c>
      <c r="J599" s="29" t="s">
        <v>839</v>
      </c>
      <c r="K599" s="1" t="s">
        <v>480</v>
      </c>
      <c r="L599" s="1"/>
      <c r="M599" s="1" t="s">
        <v>95</v>
      </c>
      <c r="N599" s="1" t="s">
        <v>644</v>
      </c>
      <c r="O599" s="1" t="s">
        <v>104</v>
      </c>
      <c r="P599" s="1" t="s">
        <v>105</v>
      </c>
      <c r="Q599" s="1" t="s">
        <v>76</v>
      </c>
      <c r="R599" s="1" t="s">
        <v>76</v>
      </c>
      <c r="S599" s="25">
        <v>0</v>
      </c>
      <c r="T599" s="25"/>
      <c r="U599" s="25">
        <v>0</v>
      </c>
      <c r="V599" s="25">
        <v>0</v>
      </c>
      <c r="W599" s="25"/>
      <c r="X599" s="25">
        <v>321.33</v>
      </c>
      <c r="Y599" s="25">
        <v>0</v>
      </c>
      <c r="Z599" s="17" t="e">
        <f t="shared" si="215"/>
        <v>#DIV/0!</v>
      </c>
      <c r="AA599" s="18">
        <v>0.15</v>
      </c>
      <c r="AB599" s="16">
        <f t="shared" si="212"/>
        <v>48.199499999999993</v>
      </c>
      <c r="AC599" s="16">
        <v>0</v>
      </c>
      <c r="AD599" s="16">
        <v>0</v>
      </c>
      <c r="AE599" s="16">
        <v>0</v>
      </c>
      <c r="AF599" s="16">
        <f t="shared" si="216"/>
        <v>48.199499999999993</v>
      </c>
      <c r="AG599" s="16">
        <f t="shared" si="223"/>
        <v>7.7119199999999992</v>
      </c>
      <c r="AH599" s="16">
        <f t="shared" si="217"/>
        <v>55.911419999999993</v>
      </c>
      <c r="AI599" s="16">
        <f t="shared" si="224"/>
        <v>0.9639899999999999</v>
      </c>
      <c r="AJ599" s="16">
        <v>0</v>
      </c>
      <c r="AK599" s="16">
        <f t="shared" si="218"/>
        <v>0.9639899999999999</v>
      </c>
      <c r="AL599" s="19"/>
      <c r="AM599" s="16">
        <f t="shared" si="208"/>
        <v>47.235509999999991</v>
      </c>
      <c r="AN599" s="16"/>
      <c r="AO599" s="20"/>
      <c r="AP599" s="16">
        <f t="shared" si="219"/>
        <v>0</v>
      </c>
      <c r="AQ599" s="16"/>
      <c r="AR599" s="15"/>
      <c r="AS599" s="16">
        <f t="shared" si="220"/>
        <v>0</v>
      </c>
      <c r="AT599" s="16"/>
      <c r="AU599" s="16">
        <v>55.911419999999993</v>
      </c>
      <c r="AV599" s="16">
        <f t="shared" si="213"/>
        <v>55.911419999999993</v>
      </c>
      <c r="AW599" s="16">
        <f t="shared" si="221"/>
        <v>0</v>
      </c>
      <c r="AX599" s="16" t="str">
        <f t="shared" si="222"/>
        <v>ACTIVA</v>
      </c>
      <c r="AY599" s="22">
        <v>45153</v>
      </c>
      <c r="AZ599" s="22"/>
      <c r="BA599" s="1" t="s">
        <v>148</v>
      </c>
      <c r="BB599" s="22" t="str">
        <f>O599</f>
        <v>MARINE CARGO / GIT</v>
      </c>
      <c r="BC599" s="1"/>
      <c r="BD599" s="1"/>
      <c r="BE599" s="1"/>
    </row>
    <row r="600" spans="1:57" ht="15.75" hidden="1" customHeight="1">
      <c r="A600" s="2" t="s">
        <v>212</v>
      </c>
      <c r="B600" s="1" t="s">
        <v>169</v>
      </c>
      <c r="C600" s="27">
        <v>45126</v>
      </c>
      <c r="D600" s="27">
        <v>45084</v>
      </c>
      <c r="E600" s="27">
        <v>45085</v>
      </c>
      <c r="F600" s="27">
        <v>45129</v>
      </c>
      <c r="G600" s="13" t="str">
        <f t="shared" si="214"/>
        <v>000-599/AIB RDC/2023</v>
      </c>
      <c r="H600" s="1">
        <v>0</v>
      </c>
      <c r="I600" s="1" t="s">
        <v>83</v>
      </c>
      <c r="J600" s="29" t="s">
        <v>840</v>
      </c>
      <c r="K600" s="1" t="s">
        <v>480</v>
      </c>
      <c r="L600" s="1"/>
      <c r="M600" s="1" t="s">
        <v>95</v>
      </c>
      <c r="N600" s="1" t="s">
        <v>644</v>
      </c>
      <c r="O600" s="1" t="s">
        <v>104</v>
      </c>
      <c r="P600" s="1" t="s">
        <v>105</v>
      </c>
      <c r="Q600" s="1" t="s">
        <v>76</v>
      </c>
      <c r="R600" s="1" t="s">
        <v>76</v>
      </c>
      <c r="S600" s="25">
        <v>0</v>
      </c>
      <c r="T600" s="25"/>
      <c r="U600" s="25">
        <v>0</v>
      </c>
      <c r="V600" s="25">
        <v>0</v>
      </c>
      <c r="W600" s="25"/>
      <c r="X600" s="25">
        <v>471.17</v>
      </c>
      <c r="Y600" s="25">
        <v>0</v>
      </c>
      <c r="Z600" s="17" t="e">
        <f t="shared" si="215"/>
        <v>#DIV/0!</v>
      </c>
      <c r="AA600" s="18">
        <v>0.15</v>
      </c>
      <c r="AB600" s="16">
        <f t="shared" ref="AB600:AB631" si="225">AA600*X600</f>
        <v>70.6755</v>
      </c>
      <c r="AC600" s="16">
        <v>0</v>
      </c>
      <c r="AD600" s="16">
        <v>0</v>
      </c>
      <c r="AE600" s="16">
        <v>0</v>
      </c>
      <c r="AF600" s="16">
        <f t="shared" si="216"/>
        <v>70.6755</v>
      </c>
      <c r="AG600" s="16">
        <f t="shared" si="223"/>
        <v>11.30808</v>
      </c>
      <c r="AH600" s="16">
        <f t="shared" si="217"/>
        <v>81.983580000000003</v>
      </c>
      <c r="AI600" s="16">
        <f t="shared" si="224"/>
        <v>1.41351</v>
      </c>
      <c r="AJ600" s="16">
        <v>0</v>
      </c>
      <c r="AK600" s="16">
        <f t="shared" si="218"/>
        <v>1.41351</v>
      </c>
      <c r="AL600" s="19"/>
      <c r="AM600" s="16">
        <f t="shared" si="208"/>
        <v>69.261989999999997</v>
      </c>
      <c r="AN600" s="16"/>
      <c r="AO600" s="20"/>
      <c r="AP600" s="16">
        <f t="shared" si="219"/>
        <v>0</v>
      </c>
      <c r="AQ600" s="16"/>
      <c r="AR600" s="15"/>
      <c r="AS600" s="16">
        <f t="shared" si="220"/>
        <v>0</v>
      </c>
      <c r="AT600" s="16"/>
      <c r="AU600" s="16">
        <v>81.983580000000003</v>
      </c>
      <c r="AV600" s="16">
        <f t="shared" si="213"/>
        <v>81.983580000000003</v>
      </c>
      <c r="AW600" s="16">
        <f t="shared" si="221"/>
        <v>0</v>
      </c>
      <c r="AX600" s="16" t="str">
        <f t="shared" si="222"/>
        <v>ACTIVA</v>
      </c>
      <c r="AY600" s="22">
        <v>45153</v>
      </c>
      <c r="AZ600" s="22"/>
      <c r="BA600" s="1" t="s">
        <v>148</v>
      </c>
      <c r="BB600" s="22" t="str">
        <f>O600</f>
        <v>MARINE CARGO / GIT</v>
      </c>
      <c r="BC600" s="1"/>
      <c r="BD600" s="1"/>
      <c r="BE600" s="1"/>
    </row>
    <row r="601" spans="1:57" ht="15.75" hidden="1" customHeight="1">
      <c r="A601" s="2" t="s">
        <v>212</v>
      </c>
      <c r="B601" s="1" t="s">
        <v>58</v>
      </c>
      <c r="C601" s="27">
        <v>45127</v>
      </c>
      <c r="D601" s="27">
        <v>45126</v>
      </c>
      <c r="E601" s="27">
        <v>45085</v>
      </c>
      <c r="F601" s="27">
        <v>45449</v>
      </c>
      <c r="G601" s="13" t="str">
        <f t="shared" si="214"/>
        <v>000-600/AIB RDC/2023</v>
      </c>
      <c r="H601" s="1">
        <v>0</v>
      </c>
      <c r="I601" s="1" t="s">
        <v>83</v>
      </c>
      <c r="J601" s="46" t="s">
        <v>841</v>
      </c>
      <c r="K601" s="1" t="s">
        <v>163</v>
      </c>
      <c r="L601" s="1"/>
      <c r="M601" s="1" t="s">
        <v>95</v>
      </c>
      <c r="N601" s="2" t="s">
        <v>836</v>
      </c>
      <c r="O601" s="1" t="s">
        <v>104</v>
      </c>
      <c r="P601" s="1" t="s">
        <v>105</v>
      </c>
      <c r="Q601" s="1" t="s">
        <v>66</v>
      </c>
      <c r="R601" s="1" t="s">
        <v>66</v>
      </c>
      <c r="S601" s="25">
        <v>150451</v>
      </c>
      <c r="T601" s="25">
        <v>416.7</v>
      </c>
      <c r="U601" s="25">
        <v>0</v>
      </c>
      <c r="V601" s="25">
        <v>0</v>
      </c>
      <c r="W601" s="25">
        <v>23.78</v>
      </c>
      <c r="X601" s="25">
        <v>270.81</v>
      </c>
      <c r="Y601" s="25">
        <v>47.11</v>
      </c>
      <c r="Z601" s="17">
        <f t="shared" si="215"/>
        <v>1.7999880359718446E-3</v>
      </c>
      <c r="AA601" s="18">
        <v>0.15</v>
      </c>
      <c r="AB601" s="16">
        <f t="shared" si="225"/>
        <v>40.621499999999997</v>
      </c>
      <c r="AC601" s="16">
        <v>0</v>
      </c>
      <c r="AD601" s="16">
        <v>0</v>
      </c>
      <c r="AE601" s="16">
        <v>0</v>
      </c>
      <c r="AF601" s="16">
        <f t="shared" si="216"/>
        <v>40.621499999999997</v>
      </c>
      <c r="AG601" s="16">
        <f t="shared" si="223"/>
        <v>6.4994399999999999</v>
      </c>
      <c r="AH601" s="16">
        <f t="shared" si="217"/>
        <v>47.120939999999997</v>
      </c>
      <c r="AI601" s="16">
        <f t="shared" si="224"/>
        <v>0.81242999999999999</v>
      </c>
      <c r="AJ601" s="16">
        <v>0</v>
      </c>
      <c r="AK601" s="16">
        <f t="shared" si="218"/>
        <v>0.81242999999999999</v>
      </c>
      <c r="AL601" s="19"/>
      <c r="AM601" s="16">
        <f t="shared" si="208"/>
        <v>39.809069999999998</v>
      </c>
      <c r="AN601" s="16" t="s">
        <v>147</v>
      </c>
      <c r="AO601" s="20">
        <v>0.4</v>
      </c>
      <c r="AP601" s="16">
        <f t="shared" si="219"/>
        <v>15.923628000000001</v>
      </c>
      <c r="AQ601" s="16">
        <v>15.923628000000001</v>
      </c>
      <c r="AR601" s="15">
        <v>45229</v>
      </c>
      <c r="AS601" s="16">
        <f t="shared" si="220"/>
        <v>0</v>
      </c>
      <c r="AT601" s="16"/>
      <c r="AU601" s="16">
        <v>47.120939999999997</v>
      </c>
      <c r="AV601" s="16">
        <f t="shared" si="213"/>
        <v>47.120939999999997</v>
      </c>
      <c r="AW601" s="16">
        <f t="shared" si="221"/>
        <v>0</v>
      </c>
      <c r="AX601" s="16" t="str">
        <f t="shared" si="222"/>
        <v>SFA</v>
      </c>
      <c r="AY601" s="22">
        <v>45163</v>
      </c>
      <c r="AZ601" s="22"/>
      <c r="BA601" s="1" t="s">
        <v>148</v>
      </c>
      <c r="BB601" s="22" t="str">
        <f>O601</f>
        <v>MARINE CARGO / GIT</v>
      </c>
      <c r="BC601" s="1"/>
      <c r="BD601" s="1"/>
      <c r="BE601" s="1"/>
    </row>
    <row r="602" spans="1:57" ht="15.75" hidden="1" customHeight="1">
      <c r="A602" s="2" t="s">
        <v>212</v>
      </c>
      <c r="B602" s="1" t="s">
        <v>58</v>
      </c>
      <c r="C602" s="27">
        <v>45127</v>
      </c>
      <c r="D602" s="27">
        <v>45085</v>
      </c>
      <c r="E602" s="27">
        <v>45079</v>
      </c>
      <c r="F602" s="27">
        <v>45123</v>
      </c>
      <c r="G602" s="13" t="str">
        <f t="shared" si="214"/>
        <v>000-601/AIB RDC/2023</v>
      </c>
      <c r="H602" s="1">
        <v>0</v>
      </c>
      <c r="I602" s="1" t="s">
        <v>83</v>
      </c>
      <c r="J602" s="29" t="s">
        <v>842</v>
      </c>
      <c r="K602" s="1" t="s">
        <v>480</v>
      </c>
      <c r="L602" s="1"/>
      <c r="M602" s="1" t="s">
        <v>95</v>
      </c>
      <c r="N602" s="1" t="s">
        <v>644</v>
      </c>
      <c r="O602" s="1" t="s">
        <v>104</v>
      </c>
      <c r="P602" s="1" t="s">
        <v>105</v>
      </c>
      <c r="Q602" s="1" t="s">
        <v>76</v>
      </c>
      <c r="R602" s="1" t="s">
        <v>76</v>
      </c>
      <c r="S602" s="25">
        <v>110023.52</v>
      </c>
      <c r="T602" s="25">
        <v>598.16</v>
      </c>
      <c r="U602" s="25">
        <v>0</v>
      </c>
      <c r="V602" s="25">
        <v>0</v>
      </c>
      <c r="W602" s="25">
        <v>10</v>
      </c>
      <c r="X602" s="25">
        <v>484.1</v>
      </c>
      <c r="Y602" s="25">
        <v>79.06</v>
      </c>
      <c r="Z602" s="17">
        <f t="shared" si="215"/>
        <v>4.3999682976876217E-3</v>
      </c>
      <c r="AA602" s="18">
        <v>0.15</v>
      </c>
      <c r="AB602" s="16">
        <f t="shared" si="225"/>
        <v>72.614999999999995</v>
      </c>
      <c r="AC602" s="16">
        <v>0</v>
      </c>
      <c r="AD602" s="16">
        <v>0</v>
      </c>
      <c r="AE602" s="16">
        <v>0</v>
      </c>
      <c r="AF602" s="16">
        <f t="shared" si="216"/>
        <v>72.614999999999995</v>
      </c>
      <c r="AG602" s="16">
        <f t="shared" si="223"/>
        <v>11.618399999999999</v>
      </c>
      <c r="AH602" s="16">
        <f t="shared" si="217"/>
        <v>84.233399999999989</v>
      </c>
      <c r="AI602" s="16">
        <f t="shared" si="224"/>
        <v>1.4522999999999999</v>
      </c>
      <c r="AJ602" s="16">
        <v>0</v>
      </c>
      <c r="AK602" s="16">
        <f t="shared" si="218"/>
        <v>1.4522999999999999</v>
      </c>
      <c r="AL602" s="19"/>
      <c r="AM602" s="16">
        <f t="shared" si="208"/>
        <v>71.162700000000001</v>
      </c>
      <c r="AN602" s="16"/>
      <c r="AO602" s="20"/>
      <c r="AP602" s="16">
        <f t="shared" si="219"/>
        <v>0</v>
      </c>
      <c r="AQ602" s="16"/>
      <c r="AR602" s="15"/>
      <c r="AS602" s="16">
        <f t="shared" si="220"/>
        <v>0</v>
      </c>
      <c r="AT602" s="16"/>
      <c r="AU602" s="16">
        <v>84.233399999999989</v>
      </c>
      <c r="AV602" s="16">
        <f t="shared" si="213"/>
        <v>84.233399999999989</v>
      </c>
      <c r="AW602" s="16">
        <f t="shared" si="221"/>
        <v>0</v>
      </c>
      <c r="AX602" s="16" t="str">
        <f t="shared" si="222"/>
        <v>ACTIVA</v>
      </c>
      <c r="AY602" s="22">
        <v>45170</v>
      </c>
      <c r="AZ602" s="22"/>
      <c r="BA602" s="1" t="s">
        <v>148</v>
      </c>
      <c r="BB602" s="22" t="str">
        <f>O602</f>
        <v>MARINE CARGO / GIT</v>
      </c>
      <c r="BC602" s="1"/>
      <c r="BD602" s="1"/>
      <c r="BE602" s="1"/>
    </row>
    <row r="603" spans="1:57" ht="15.75" customHeight="1">
      <c r="A603" s="2" t="s">
        <v>165</v>
      </c>
      <c r="B603" s="1" t="s">
        <v>58</v>
      </c>
      <c r="C603" s="27">
        <v>45100</v>
      </c>
      <c r="D603" s="27">
        <v>45001</v>
      </c>
      <c r="E603" s="27">
        <v>45004</v>
      </c>
      <c r="F603" s="27">
        <v>45134</v>
      </c>
      <c r="G603" s="13" t="str">
        <f t="shared" si="214"/>
        <v>000-602/AIB RDC/2023</v>
      </c>
      <c r="H603" s="1">
        <v>1</v>
      </c>
      <c r="I603" s="1" t="s">
        <v>59</v>
      </c>
      <c r="J603" s="2" t="s">
        <v>800</v>
      </c>
      <c r="K603" s="2" t="s">
        <v>801</v>
      </c>
      <c r="L603" s="1" t="s">
        <v>62</v>
      </c>
      <c r="M603" s="1" t="s">
        <v>63</v>
      </c>
      <c r="N603" s="1" t="s">
        <v>64</v>
      </c>
      <c r="O603" s="1" t="s">
        <v>250</v>
      </c>
      <c r="P603" s="1" t="s">
        <v>251</v>
      </c>
      <c r="Q603" s="1" t="s">
        <v>66</v>
      </c>
      <c r="R603" s="1" t="s">
        <v>66</v>
      </c>
      <c r="S603" s="25">
        <v>25000000</v>
      </c>
      <c r="T603" s="25">
        <v>33466.22</v>
      </c>
      <c r="U603" s="25">
        <v>4223.2299999999996</v>
      </c>
      <c r="V603" s="25">
        <v>-1578.24</v>
      </c>
      <c r="W603" s="25">
        <v>695.35</v>
      </c>
      <c r="X603" s="25">
        <v>23931.61</v>
      </c>
      <c r="Y603" s="25">
        <v>4616.03</v>
      </c>
      <c r="Z603" s="17">
        <f t="shared" si="215"/>
        <v>9.5726440000000002E-4</v>
      </c>
      <c r="AA603" s="18">
        <v>0</v>
      </c>
      <c r="AB603" s="16">
        <f t="shared" si="225"/>
        <v>0</v>
      </c>
      <c r="AC603" s="16">
        <f>30%*(U603+V603)</f>
        <v>793.49699999999996</v>
      </c>
      <c r="AD603" s="16">
        <f>(5%*X603)/1.16</f>
        <v>1031.5349137931034</v>
      </c>
      <c r="AE603" s="16">
        <v>0</v>
      </c>
      <c r="AF603" s="16">
        <f t="shared" si="216"/>
        <v>1825.0319137931033</v>
      </c>
      <c r="AG603" s="16">
        <f t="shared" si="223"/>
        <v>292.00510620689653</v>
      </c>
      <c r="AH603" s="16">
        <f t="shared" si="217"/>
        <v>2117.0370199999998</v>
      </c>
      <c r="AI603" s="16">
        <f t="shared" si="224"/>
        <v>36.500638275862066</v>
      </c>
      <c r="AJ603" s="16">
        <v>0</v>
      </c>
      <c r="AK603" s="16">
        <f t="shared" si="218"/>
        <v>36.500638275862066</v>
      </c>
      <c r="AL603" s="19"/>
      <c r="AM603" s="16">
        <f t="shared" si="208"/>
        <v>1788.5312755172413</v>
      </c>
      <c r="AN603" s="16"/>
      <c r="AO603" s="20"/>
      <c r="AP603" s="16">
        <f t="shared" si="219"/>
        <v>0</v>
      </c>
      <c r="AQ603" s="16"/>
      <c r="AR603" s="15"/>
      <c r="AS603" s="16">
        <f t="shared" si="220"/>
        <v>0</v>
      </c>
      <c r="AT603" s="16"/>
      <c r="AU603" s="16"/>
      <c r="AV603" s="16">
        <f t="shared" si="213"/>
        <v>2117.0370199999998</v>
      </c>
      <c r="AW603" s="60">
        <f t="shared" si="221"/>
        <v>2117.0370199999998</v>
      </c>
      <c r="AX603" s="16" t="str">
        <f t="shared" si="222"/>
        <v>SFA</v>
      </c>
      <c r="AY603" s="22"/>
      <c r="AZ603" s="22"/>
      <c r="BA603" s="1"/>
      <c r="BB603" s="22"/>
      <c r="BC603" s="1"/>
      <c r="BD603" s="1"/>
      <c r="BE603" s="1"/>
    </row>
    <row r="604" spans="1:57" ht="15.75" hidden="1" customHeight="1">
      <c r="A604" s="2" t="s">
        <v>770</v>
      </c>
      <c r="B604" s="1" t="s">
        <v>58</v>
      </c>
      <c r="C604" s="27">
        <v>45131</v>
      </c>
      <c r="D604" s="27">
        <v>45119</v>
      </c>
      <c r="E604" s="27">
        <v>45119</v>
      </c>
      <c r="F604" s="27">
        <v>45484</v>
      </c>
      <c r="G604" s="13" t="str">
        <f t="shared" si="214"/>
        <v>000-603/AIB RDC/2023</v>
      </c>
      <c r="H604" s="1">
        <v>0</v>
      </c>
      <c r="I604" s="1" t="s">
        <v>83</v>
      </c>
      <c r="J604" s="46" t="s">
        <v>844</v>
      </c>
      <c r="K604" s="1" t="s">
        <v>845</v>
      </c>
      <c r="L604" s="1"/>
      <c r="M604" s="1" t="s">
        <v>63</v>
      </c>
      <c r="N604" s="1" t="s">
        <v>71</v>
      </c>
      <c r="O604" s="1" t="s">
        <v>133</v>
      </c>
      <c r="P604" s="1" t="s">
        <v>134</v>
      </c>
      <c r="Q604" s="1" t="s">
        <v>66</v>
      </c>
      <c r="R604" s="1" t="s">
        <v>66</v>
      </c>
      <c r="S604" s="25">
        <v>120000</v>
      </c>
      <c r="T604" s="25">
        <v>5300.08</v>
      </c>
      <c r="U604" s="25">
        <v>0</v>
      </c>
      <c r="V604" s="25">
        <v>0</v>
      </c>
      <c r="W604" s="25">
        <v>159.63999999999999</v>
      </c>
      <c r="X604" s="25">
        <v>4409.3999999999996</v>
      </c>
      <c r="Y604" s="25">
        <v>731.04</v>
      </c>
      <c r="Z604" s="17">
        <f t="shared" si="215"/>
        <v>3.6745E-2</v>
      </c>
      <c r="AA604" s="18">
        <v>0.15</v>
      </c>
      <c r="AB604" s="16">
        <f t="shared" si="225"/>
        <v>661.41</v>
      </c>
      <c r="AC604" s="16">
        <v>0</v>
      </c>
      <c r="AD604" s="16">
        <v>0</v>
      </c>
      <c r="AE604" s="16">
        <v>0</v>
      </c>
      <c r="AF604" s="16">
        <f t="shared" si="216"/>
        <v>661.41</v>
      </c>
      <c r="AG604" s="16">
        <f t="shared" si="223"/>
        <v>105.82559999999999</v>
      </c>
      <c r="AH604" s="16">
        <f t="shared" si="217"/>
        <v>767.23559999999998</v>
      </c>
      <c r="AI604" s="16">
        <f t="shared" si="224"/>
        <v>13.228199999999999</v>
      </c>
      <c r="AJ604" s="16">
        <v>0</v>
      </c>
      <c r="AK604" s="16">
        <f t="shared" si="218"/>
        <v>13.228199999999999</v>
      </c>
      <c r="AL604" s="19"/>
      <c r="AM604" s="16">
        <f t="shared" si="208"/>
        <v>648.18179999999995</v>
      </c>
      <c r="AN604" s="16"/>
      <c r="AO604" s="20"/>
      <c r="AP604" s="16">
        <f t="shared" si="219"/>
        <v>0</v>
      </c>
      <c r="AQ604" s="16"/>
      <c r="AR604" s="15"/>
      <c r="AS604" s="16">
        <f t="shared" si="220"/>
        <v>0</v>
      </c>
      <c r="AT604" s="16"/>
      <c r="AU604" s="16">
        <v>767.23559999999998</v>
      </c>
      <c r="AV604" s="16">
        <f t="shared" si="213"/>
        <v>767.23559999999998</v>
      </c>
      <c r="AW604" s="16">
        <f t="shared" si="221"/>
        <v>0</v>
      </c>
      <c r="AX604" s="16" t="str">
        <f t="shared" si="222"/>
        <v>SFA</v>
      </c>
      <c r="AY604" s="22">
        <v>45163</v>
      </c>
      <c r="AZ604" s="22"/>
      <c r="BA604" s="1"/>
      <c r="BB604" s="22"/>
      <c r="BC604" s="1"/>
      <c r="BD604" s="1"/>
      <c r="BE604" s="1"/>
    </row>
    <row r="605" spans="1:57" ht="15.75" hidden="1" customHeight="1">
      <c r="A605" s="2" t="s">
        <v>770</v>
      </c>
      <c r="B605" s="1" t="s">
        <v>58</v>
      </c>
      <c r="C605" s="27">
        <v>45131</v>
      </c>
      <c r="D605" s="27">
        <v>45133</v>
      </c>
      <c r="E605" s="27">
        <v>45122</v>
      </c>
      <c r="F605" s="27">
        <v>45487</v>
      </c>
      <c r="G605" s="13" t="str">
        <f t="shared" si="214"/>
        <v>000-604/AIB RDC/2023</v>
      </c>
      <c r="H605" s="1">
        <v>0</v>
      </c>
      <c r="I605" s="1" t="s">
        <v>83</v>
      </c>
      <c r="J605" s="46" t="s">
        <v>846</v>
      </c>
      <c r="K605" s="1" t="s">
        <v>847</v>
      </c>
      <c r="L605" s="1" t="s">
        <v>116</v>
      </c>
      <c r="M605" s="1" t="s">
        <v>63</v>
      </c>
      <c r="N605" s="1" t="s">
        <v>71</v>
      </c>
      <c r="O605" s="1" t="s">
        <v>250</v>
      </c>
      <c r="P605" s="1" t="s">
        <v>251</v>
      </c>
      <c r="Q605" s="1" t="s">
        <v>66</v>
      </c>
      <c r="R605" s="1" t="s">
        <v>848</v>
      </c>
      <c r="S605" s="25">
        <v>600000</v>
      </c>
      <c r="T605" s="25">
        <v>26678.47</v>
      </c>
      <c r="U605" s="25">
        <v>3366.35</v>
      </c>
      <c r="V605" s="25">
        <v>0</v>
      </c>
      <c r="W605" s="25">
        <v>556.33000000000004</v>
      </c>
      <c r="X605" s="25">
        <v>19076</v>
      </c>
      <c r="Y605" s="25">
        <v>3679.79</v>
      </c>
      <c r="Z605" s="17">
        <f t="shared" si="215"/>
        <v>3.1793333333333333E-2</v>
      </c>
      <c r="AA605" s="18">
        <v>0</v>
      </c>
      <c r="AB605" s="16">
        <f t="shared" si="225"/>
        <v>0</v>
      </c>
      <c r="AC605" s="16">
        <f>30%*(U605+V605)</f>
        <v>1009.905</v>
      </c>
      <c r="AD605" s="16">
        <f>4.25386%*X605</f>
        <v>811.4663336000001</v>
      </c>
      <c r="AE605" s="16">
        <v>0</v>
      </c>
      <c r="AF605" s="16">
        <f t="shared" si="216"/>
        <v>1821.3713336000001</v>
      </c>
      <c r="AG605" s="16">
        <f t="shared" si="223"/>
        <v>291.41941337600002</v>
      </c>
      <c r="AH605" s="16">
        <f t="shared" si="217"/>
        <v>2112.7907469760003</v>
      </c>
      <c r="AI605" s="16">
        <f t="shared" si="224"/>
        <v>36.427426672000003</v>
      </c>
      <c r="AJ605" s="16">
        <v>0</v>
      </c>
      <c r="AK605" s="16">
        <f t="shared" si="218"/>
        <v>36.427426672000003</v>
      </c>
      <c r="AL605" s="19"/>
      <c r="AM605" s="16">
        <f t="shared" ref="AM605:AM668" si="226">AF605-AI605</f>
        <v>1784.9439069280002</v>
      </c>
      <c r="AN605" s="16"/>
      <c r="AO605" s="20"/>
      <c r="AP605" s="16">
        <f t="shared" si="219"/>
        <v>0</v>
      </c>
      <c r="AQ605" s="16"/>
      <c r="AR605" s="15"/>
      <c r="AS605" s="16">
        <f t="shared" si="220"/>
        <v>0</v>
      </c>
      <c r="AT605" s="16"/>
      <c r="AU605" s="16">
        <v>2112.7907469760003</v>
      </c>
      <c r="AV605" s="16">
        <f t="shared" si="213"/>
        <v>2112.7907469760003</v>
      </c>
      <c r="AW605" s="16">
        <f t="shared" si="221"/>
        <v>0</v>
      </c>
      <c r="AX605" s="16" t="str">
        <f t="shared" si="222"/>
        <v>SFA</v>
      </c>
      <c r="AY605" s="22">
        <v>45163</v>
      </c>
      <c r="AZ605" s="22"/>
      <c r="BA605" s="1"/>
      <c r="BB605" s="22"/>
      <c r="BC605" s="1"/>
      <c r="BD605" s="1"/>
      <c r="BE605" s="1"/>
    </row>
    <row r="606" spans="1:57" ht="15.75" hidden="1" customHeight="1">
      <c r="A606" s="2" t="s">
        <v>770</v>
      </c>
      <c r="B606" s="1" t="s">
        <v>169</v>
      </c>
      <c r="C606" s="27">
        <v>45131</v>
      </c>
      <c r="D606" s="27"/>
      <c r="E606" s="27">
        <v>45125</v>
      </c>
      <c r="F606" s="27">
        <v>45216</v>
      </c>
      <c r="G606" s="13" t="str">
        <f t="shared" si="214"/>
        <v>000-605/AIB RDC/2023</v>
      </c>
      <c r="H606" s="1">
        <v>0</v>
      </c>
      <c r="I606" s="1" t="s">
        <v>83</v>
      </c>
      <c r="J606" s="29" t="s">
        <v>849</v>
      </c>
      <c r="K606" s="2" t="s">
        <v>807</v>
      </c>
      <c r="L606" s="1" t="s">
        <v>850</v>
      </c>
      <c r="M606" s="1" t="s">
        <v>63</v>
      </c>
      <c r="N606" s="1" t="s">
        <v>71</v>
      </c>
      <c r="O606" s="1" t="s">
        <v>104</v>
      </c>
      <c r="P606" s="1" t="s">
        <v>105</v>
      </c>
      <c r="Q606" s="1" t="s">
        <v>127</v>
      </c>
      <c r="R606" s="1" t="s">
        <v>127</v>
      </c>
      <c r="S606" s="25">
        <v>16500</v>
      </c>
      <c r="T606" s="25">
        <v>202</v>
      </c>
      <c r="U606" s="25">
        <v>0</v>
      </c>
      <c r="V606" s="25">
        <v>0</v>
      </c>
      <c r="W606" s="25">
        <v>25</v>
      </c>
      <c r="X606" s="25">
        <v>125</v>
      </c>
      <c r="Y606" s="25">
        <v>24</v>
      </c>
      <c r="Z606" s="17">
        <f t="shared" si="215"/>
        <v>7.575757575757576E-3</v>
      </c>
      <c r="AA606" s="18">
        <v>0.15</v>
      </c>
      <c r="AB606" s="16">
        <f t="shared" si="225"/>
        <v>18.75</v>
      </c>
      <c r="AC606" s="16">
        <v>0</v>
      </c>
      <c r="AD606" s="16">
        <v>0</v>
      </c>
      <c r="AE606" s="16">
        <v>0</v>
      </c>
      <c r="AF606" s="16">
        <f t="shared" si="216"/>
        <v>18.75</v>
      </c>
      <c r="AG606" s="16">
        <f t="shared" si="223"/>
        <v>3</v>
      </c>
      <c r="AH606" s="16">
        <f t="shared" si="217"/>
        <v>21.75</v>
      </c>
      <c r="AI606" s="16">
        <f t="shared" si="224"/>
        <v>0.375</v>
      </c>
      <c r="AJ606" s="16">
        <v>0</v>
      </c>
      <c r="AK606" s="16">
        <f t="shared" si="218"/>
        <v>0.375</v>
      </c>
      <c r="AL606" s="19"/>
      <c r="AM606" s="16">
        <f t="shared" si="226"/>
        <v>18.375</v>
      </c>
      <c r="AN606" s="16"/>
      <c r="AO606" s="20"/>
      <c r="AP606" s="16">
        <f t="shared" si="219"/>
        <v>0</v>
      </c>
      <c r="AQ606" s="16"/>
      <c r="AR606" s="15"/>
      <c r="AS606" s="16">
        <f t="shared" si="220"/>
        <v>0</v>
      </c>
      <c r="AT606" s="16"/>
      <c r="AU606" s="16">
        <v>21.75</v>
      </c>
      <c r="AV606" s="16">
        <f t="shared" si="213"/>
        <v>21.75</v>
      </c>
      <c r="AW606" s="16">
        <f t="shared" si="221"/>
        <v>0</v>
      </c>
      <c r="AX606" s="16" t="str">
        <f t="shared" si="222"/>
        <v>MAYFAIR</v>
      </c>
      <c r="AY606" s="22">
        <v>45169</v>
      </c>
      <c r="AZ606" s="22"/>
      <c r="BA606" s="1"/>
      <c r="BB606" s="22"/>
      <c r="BC606" s="1"/>
      <c r="BD606" s="1"/>
      <c r="BE606" s="1"/>
    </row>
    <row r="607" spans="1:57" ht="15.75" hidden="1" customHeight="1">
      <c r="A607" s="2" t="s">
        <v>770</v>
      </c>
      <c r="B607" s="1" t="s">
        <v>169</v>
      </c>
      <c r="C607" s="27">
        <v>45131</v>
      </c>
      <c r="D607" s="27"/>
      <c r="E607" s="27">
        <v>45126</v>
      </c>
      <c r="F607" s="27">
        <v>45491</v>
      </c>
      <c r="G607" s="13" t="str">
        <f t="shared" si="214"/>
        <v>000-606/AIB RDC/2023</v>
      </c>
      <c r="H607" s="1">
        <v>0</v>
      </c>
      <c r="I607" s="1" t="s">
        <v>83</v>
      </c>
      <c r="J607" s="29" t="s">
        <v>851</v>
      </c>
      <c r="K607" s="1" t="s">
        <v>852</v>
      </c>
      <c r="L607" s="1"/>
      <c r="M607" s="1" t="s">
        <v>63</v>
      </c>
      <c r="N607" s="1" t="s">
        <v>71</v>
      </c>
      <c r="O607" s="1" t="s">
        <v>65</v>
      </c>
      <c r="P607" s="1" t="s">
        <v>65</v>
      </c>
      <c r="Q607" s="1" t="s">
        <v>76</v>
      </c>
      <c r="R607" s="1" t="s">
        <v>76</v>
      </c>
      <c r="S607" s="25">
        <v>0</v>
      </c>
      <c r="T607" s="25">
        <v>288.63</v>
      </c>
      <c r="U607" s="25">
        <v>0</v>
      </c>
      <c r="V607" s="25">
        <v>0</v>
      </c>
      <c r="W607" s="25">
        <v>10</v>
      </c>
      <c r="X607" s="25">
        <v>238.82</v>
      </c>
      <c r="Y607" s="25">
        <v>39.81</v>
      </c>
      <c r="Z607" s="17" t="e">
        <f t="shared" si="215"/>
        <v>#DIV/0!</v>
      </c>
      <c r="AA607" s="18">
        <v>0.13185662842307999</v>
      </c>
      <c r="AB607" s="16">
        <f t="shared" si="225"/>
        <v>31.489999999999963</v>
      </c>
      <c r="AC607" s="16">
        <v>0</v>
      </c>
      <c r="AD607" s="16">
        <v>0</v>
      </c>
      <c r="AE607" s="16">
        <v>0</v>
      </c>
      <c r="AF607" s="16">
        <f t="shared" si="216"/>
        <v>31.489999999999963</v>
      </c>
      <c r="AG607" s="16">
        <f t="shared" si="223"/>
        <v>5.038399999999994</v>
      </c>
      <c r="AH607" s="16">
        <f t="shared" si="217"/>
        <v>36.528399999999955</v>
      </c>
      <c r="AI607" s="16">
        <f t="shared" si="224"/>
        <v>0.62979999999999925</v>
      </c>
      <c r="AJ607" s="16">
        <v>0</v>
      </c>
      <c r="AK607" s="16">
        <f t="shared" si="218"/>
        <v>0.62979999999999925</v>
      </c>
      <c r="AL607" s="19"/>
      <c r="AM607" s="16">
        <f t="shared" si="226"/>
        <v>30.860199999999963</v>
      </c>
      <c r="AN607" s="16"/>
      <c r="AO607" s="20"/>
      <c r="AP607" s="16">
        <f t="shared" si="219"/>
        <v>0</v>
      </c>
      <c r="AQ607" s="16"/>
      <c r="AR607" s="15"/>
      <c r="AS607" s="16">
        <f t="shared" si="220"/>
        <v>0</v>
      </c>
      <c r="AT607" s="16"/>
      <c r="AU607" s="16">
        <v>36.528399999999955</v>
      </c>
      <c r="AV607" s="16">
        <f t="shared" si="213"/>
        <v>36.528399999999955</v>
      </c>
      <c r="AW607" s="16">
        <f t="shared" si="221"/>
        <v>0</v>
      </c>
      <c r="AX607" s="16" t="str">
        <f t="shared" si="222"/>
        <v>ACTIVA</v>
      </c>
      <c r="AY607" s="22">
        <v>45170</v>
      </c>
      <c r="AZ607" s="22"/>
      <c r="BA607" s="1"/>
      <c r="BB607" s="22"/>
      <c r="BC607" s="1"/>
      <c r="BD607" s="1"/>
      <c r="BE607" s="1"/>
    </row>
    <row r="608" spans="1:57" ht="15.75" hidden="1" customHeight="1">
      <c r="A608" s="2" t="s">
        <v>770</v>
      </c>
      <c r="B608" s="1" t="s">
        <v>58</v>
      </c>
      <c r="C608" s="27">
        <v>45131</v>
      </c>
      <c r="D608" s="27">
        <v>45121</v>
      </c>
      <c r="E608" s="27">
        <v>45121</v>
      </c>
      <c r="F608" s="27">
        <v>45322</v>
      </c>
      <c r="G608" s="13" t="str">
        <f t="shared" si="214"/>
        <v>000-607/AIB RDC/2023</v>
      </c>
      <c r="H608" s="1">
        <v>37</v>
      </c>
      <c r="I608" s="1" t="s">
        <v>59</v>
      </c>
      <c r="J608" s="29" t="s">
        <v>239</v>
      </c>
      <c r="K608" s="1" t="s">
        <v>240</v>
      </c>
      <c r="L608" s="1" t="s">
        <v>139</v>
      </c>
      <c r="M608" s="1" t="s">
        <v>63</v>
      </c>
      <c r="N608" s="1" t="s">
        <v>71</v>
      </c>
      <c r="O608" s="1" t="s">
        <v>133</v>
      </c>
      <c r="P608" s="1" t="s">
        <v>134</v>
      </c>
      <c r="Q608" s="1" t="s">
        <v>76</v>
      </c>
      <c r="R608" s="1" t="s">
        <v>76</v>
      </c>
      <c r="S608" s="25">
        <v>444655</v>
      </c>
      <c r="T608" s="25">
        <v>12531.24</v>
      </c>
      <c r="U608" s="25">
        <v>0</v>
      </c>
      <c r="V608" s="25">
        <v>0</v>
      </c>
      <c r="W608" s="25">
        <v>106.96</v>
      </c>
      <c r="X608" s="25">
        <v>10695.84</v>
      </c>
      <c r="Y608" s="25">
        <v>1728.45</v>
      </c>
      <c r="Z608" s="17">
        <f t="shared" si="215"/>
        <v>2.4054244301762041E-2</v>
      </c>
      <c r="AA608" s="18">
        <v>0.14952369287844</v>
      </c>
      <c r="AB608" s="16">
        <f t="shared" si="225"/>
        <v>1599.2814952369338</v>
      </c>
      <c r="AC608" s="16">
        <v>0</v>
      </c>
      <c r="AD608" s="16">
        <v>0</v>
      </c>
      <c r="AE608" s="16">
        <f>3%*X608</f>
        <v>320.87520000000001</v>
      </c>
      <c r="AF608" s="16">
        <f t="shared" si="216"/>
        <v>1920.1566952369337</v>
      </c>
      <c r="AG608" s="16">
        <f t="shared" si="223"/>
        <v>307.22507123790939</v>
      </c>
      <c r="AH608" s="16">
        <f t="shared" si="217"/>
        <v>2227.3817664748431</v>
      </c>
      <c r="AI608" s="16">
        <f t="shared" si="224"/>
        <v>31.985629904738676</v>
      </c>
      <c r="AJ608" s="16">
        <v>0</v>
      </c>
      <c r="AK608" s="16">
        <f t="shared" si="218"/>
        <v>31.985629904738676</v>
      </c>
      <c r="AL608" s="19"/>
      <c r="AM608" s="16">
        <f t="shared" si="226"/>
        <v>1888.171065332195</v>
      </c>
      <c r="AN608" s="16" t="s">
        <v>228</v>
      </c>
      <c r="AO608" s="20"/>
      <c r="AP608" s="16">
        <f t="shared" si="219"/>
        <v>0</v>
      </c>
      <c r="AQ608" s="16"/>
      <c r="AR608" s="15"/>
      <c r="AS608" s="16">
        <f t="shared" si="220"/>
        <v>0</v>
      </c>
      <c r="AT608" s="16"/>
      <c r="AU608" s="16">
        <f>372.22+1855.16176647484</f>
        <v>2227.3817664748403</v>
      </c>
      <c r="AV608" s="16">
        <f t="shared" si="213"/>
        <v>2227.3817664748431</v>
      </c>
      <c r="AW608" s="16">
        <f t="shared" si="221"/>
        <v>0</v>
      </c>
      <c r="AX608" s="16" t="str">
        <f t="shared" si="222"/>
        <v>ACTIVA</v>
      </c>
      <c r="AY608" s="22">
        <v>45170</v>
      </c>
      <c r="AZ608" s="22"/>
      <c r="BA608" s="1"/>
      <c r="BB608" s="22"/>
      <c r="BC608" s="16"/>
      <c r="BD608" s="1"/>
      <c r="BE608" s="1"/>
    </row>
    <row r="609" spans="1:57" ht="15.75" hidden="1" customHeight="1">
      <c r="A609" s="2" t="s">
        <v>770</v>
      </c>
      <c r="B609" s="1" t="s">
        <v>169</v>
      </c>
      <c r="C609" s="27">
        <v>45133</v>
      </c>
      <c r="D609" s="27">
        <v>45133</v>
      </c>
      <c r="E609" s="27">
        <v>45132</v>
      </c>
      <c r="F609" s="27">
        <v>45497</v>
      </c>
      <c r="G609" s="13" t="str">
        <f t="shared" si="214"/>
        <v>000-608/AIB RDC/2023</v>
      </c>
      <c r="H609" s="1">
        <v>1</v>
      </c>
      <c r="I609" s="1" t="s">
        <v>68</v>
      </c>
      <c r="J609" s="29" t="s">
        <v>853</v>
      </c>
      <c r="K609" s="1" t="s">
        <v>854</v>
      </c>
      <c r="L609" s="1" t="s">
        <v>855</v>
      </c>
      <c r="M609" s="1" t="s">
        <v>63</v>
      </c>
      <c r="N609" s="1" t="s">
        <v>64</v>
      </c>
      <c r="O609" s="1" t="s">
        <v>107</v>
      </c>
      <c r="P609" s="1" t="s">
        <v>108</v>
      </c>
      <c r="Q609" s="1" t="s">
        <v>127</v>
      </c>
      <c r="R609" s="1" t="s">
        <v>127</v>
      </c>
      <c r="S609" s="25">
        <v>1130000</v>
      </c>
      <c r="T609" s="25">
        <v>2858.52</v>
      </c>
      <c r="U609" s="25">
        <v>0</v>
      </c>
      <c r="V609" s="25">
        <v>0</v>
      </c>
      <c r="W609" s="25">
        <v>20</v>
      </c>
      <c r="X609" s="25">
        <v>2402.4699999999998</v>
      </c>
      <c r="Y609" s="25">
        <v>387.6</v>
      </c>
      <c r="Z609" s="17">
        <f t="shared" si="215"/>
        <v>2.1260796460176989E-3</v>
      </c>
      <c r="AA609" s="18">
        <v>0.15</v>
      </c>
      <c r="AB609" s="16">
        <f t="shared" si="225"/>
        <v>360.37049999999994</v>
      </c>
      <c r="AC609" s="16">
        <v>0</v>
      </c>
      <c r="AD609" s="16">
        <v>0</v>
      </c>
      <c r="AE609" s="16">
        <v>0</v>
      </c>
      <c r="AF609" s="16">
        <f t="shared" si="216"/>
        <v>360.37049999999994</v>
      </c>
      <c r="AG609" s="16">
        <f t="shared" si="223"/>
        <v>57.659279999999988</v>
      </c>
      <c r="AH609" s="16">
        <f t="shared" si="217"/>
        <v>418.0297799999999</v>
      </c>
      <c r="AI609" s="16">
        <f t="shared" si="224"/>
        <v>7.2074099999999985</v>
      </c>
      <c r="AJ609" s="16">
        <v>0</v>
      </c>
      <c r="AK609" s="16">
        <f t="shared" si="218"/>
        <v>7.2074099999999985</v>
      </c>
      <c r="AL609" s="19"/>
      <c r="AM609" s="16">
        <f t="shared" si="226"/>
        <v>353.16308999999995</v>
      </c>
      <c r="AN609" s="16"/>
      <c r="AO609" s="20"/>
      <c r="AP609" s="16">
        <f t="shared" si="219"/>
        <v>0</v>
      </c>
      <c r="AQ609" s="16"/>
      <c r="AR609" s="15"/>
      <c r="AS609" s="16">
        <f t="shared" si="220"/>
        <v>0</v>
      </c>
      <c r="AT609" s="16"/>
      <c r="AU609" s="16">
        <v>418.0297799999999</v>
      </c>
      <c r="AV609" s="16">
        <f t="shared" si="213"/>
        <v>418.0297799999999</v>
      </c>
      <c r="AW609" s="16">
        <f t="shared" si="221"/>
        <v>0</v>
      </c>
      <c r="AX609" s="16" t="str">
        <f t="shared" si="222"/>
        <v>MAYFAIR</v>
      </c>
      <c r="AY609" s="22">
        <v>45169</v>
      </c>
      <c r="AZ609" s="22"/>
      <c r="BA609" s="1"/>
      <c r="BB609" s="22"/>
      <c r="BC609" s="1"/>
      <c r="BD609" s="1"/>
      <c r="BE609" s="1"/>
    </row>
    <row r="610" spans="1:57" ht="15.75" customHeight="1">
      <c r="A610" s="2" t="s">
        <v>871</v>
      </c>
      <c r="B610" s="1" t="s">
        <v>58</v>
      </c>
      <c r="C610" s="27">
        <v>45026</v>
      </c>
      <c r="D610" s="27">
        <v>45216</v>
      </c>
      <c r="E610" s="27">
        <v>45139</v>
      </c>
      <c r="F610" s="27">
        <v>45747</v>
      </c>
      <c r="G610" s="13" t="str">
        <f t="shared" si="214"/>
        <v>000-609/AIB RDC/2023</v>
      </c>
      <c r="H610" s="1">
        <v>0</v>
      </c>
      <c r="I610" s="1" t="s">
        <v>83</v>
      </c>
      <c r="J610" s="29" t="s">
        <v>1108</v>
      </c>
      <c r="K610" s="2" t="s">
        <v>1109</v>
      </c>
      <c r="L610" s="1" t="s">
        <v>62</v>
      </c>
      <c r="M610" s="1" t="s">
        <v>63</v>
      </c>
      <c r="N610" s="1" t="s">
        <v>64</v>
      </c>
      <c r="O610" s="1" t="s">
        <v>233</v>
      </c>
      <c r="P610" s="1" t="s">
        <v>234</v>
      </c>
      <c r="Q610" s="1" t="s">
        <v>66</v>
      </c>
      <c r="R610" s="1" t="s">
        <v>66</v>
      </c>
      <c r="S610" s="25">
        <v>0</v>
      </c>
      <c r="T610" s="25">
        <v>797988.91</v>
      </c>
      <c r="U610" s="25">
        <v>76813.05</v>
      </c>
      <c r="V610" s="25">
        <v>0</v>
      </c>
      <c r="W610" s="25">
        <v>16471.84</v>
      </c>
      <c r="X610" s="25">
        <v>594636.57999999996</v>
      </c>
      <c r="Y610" s="25">
        <v>110067.44</v>
      </c>
      <c r="Z610" s="17" t="e">
        <f t="shared" si="215"/>
        <v>#DIV/0!</v>
      </c>
      <c r="AA610" s="18">
        <v>3.8231990369647299E-2</v>
      </c>
      <c r="AB610" s="16">
        <f t="shared" si="225"/>
        <v>22734.140000000003</v>
      </c>
      <c r="AC610" s="16">
        <v>0</v>
      </c>
      <c r="AD610" s="16">
        <v>5000</v>
      </c>
      <c r="AE610" s="16">
        <v>0</v>
      </c>
      <c r="AF610" s="16">
        <f t="shared" si="216"/>
        <v>27734.140000000003</v>
      </c>
      <c r="AG610" s="16">
        <f t="shared" si="223"/>
        <v>4437.4624000000003</v>
      </c>
      <c r="AH610" s="16">
        <f t="shared" si="217"/>
        <v>32171.602400000003</v>
      </c>
      <c r="AI610" s="16">
        <f t="shared" si="224"/>
        <v>554.68280000000004</v>
      </c>
      <c r="AJ610" s="16">
        <v>0</v>
      </c>
      <c r="AK610" s="16">
        <f t="shared" si="218"/>
        <v>554.68280000000004</v>
      </c>
      <c r="AL610" s="19"/>
      <c r="AM610" s="16">
        <f t="shared" si="226"/>
        <v>27179.457200000004</v>
      </c>
      <c r="AN610" s="16" t="s">
        <v>228</v>
      </c>
      <c r="AO610" s="20"/>
      <c r="AP610" s="16">
        <f t="shared" si="219"/>
        <v>0</v>
      </c>
      <c r="AQ610" s="16"/>
      <c r="AR610" s="15"/>
      <c r="AS610" s="16">
        <f t="shared" si="220"/>
        <v>0</v>
      </c>
      <c r="AT610" s="16"/>
      <c r="AU610" s="16">
        <v>26371.599999999999</v>
      </c>
      <c r="AV610" s="16">
        <f t="shared" si="213"/>
        <v>32171.602400000003</v>
      </c>
      <c r="AW610" s="60">
        <f t="shared" si="221"/>
        <v>5800.0024000000049</v>
      </c>
      <c r="AX610" s="16" t="str">
        <f t="shared" si="222"/>
        <v>SFA</v>
      </c>
      <c r="AY610" s="22">
        <v>45237</v>
      </c>
      <c r="BA610" s="1"/>
      <c r="BB610" s="22" t="str">
        <f>O610</f>
        <v>CAR</v>
      </c>
      <c r="BC610" s="1"/>
      <c r="BD610" s="1"/>
      <c r="BE610" s="1"/>
    </row>
    <row r="611" spans="1:57" ht="15.75" hidden="1" customHeight="1">
      <c r="A611" s="2" t="s">
        <v>770</v>
      </c>
      <c r="B611" s="1" t="s">
        <v>58</v>
      </c>
      <c r="C611" s="27">
        <v>45112</v>
      </c>
      <c r="D611" s="27">
        <v>45149</v>
      </c>
      <c r="E611" s="27">
        <v>45149</v>
      </c>
      <c r="F611" s="27">
        <v>45332</v>
      </c>
      <c r="G611" s="13" t="str">
        <f t="shared" si="214"/>
        <v>000-610/AIB RDC/2023</v>
      </c>
      <c r="H611" s="1">
        <v>0</v>
      </c>
      <c r="I611" s="1" t="s">
        <v>83</v>
      </c>
      <c r="J611" s="29" t="s">
        <v>857</v>
      </c>
      <c r="K611" s="1" t="s">
        <v>858</v>
      </c>
      <c r="L611" s="1"/>
      <c r="M611" s="1" t="s">
        <v>99</v>
      </c>
      <c r="N611" s="1" t="s">
        <v>100</v>
      </c>
      <c r="O611" s="1" t="s">
        <v>65</v>
      </c>
      <c r="P611" s="1" t="s">
        <v>65</v>
      </c>
      <c r="Q611" s="1" t="s">
        <v>117</v>
      </c>
      <c r="R611" s="1" t="s">
        <v>117</v>
      </c>
      <c r="S611" s="25">
        <v>0</v>
      </c>
      <c r="T611" s="25">
        <v>160.54</v>
      </c>
      <c r="U611" s="25">
        <v>0</v>
      </c>
      <c r="V611" s="25">
        <v>0</v>
      </c>
      <c r="W611" s="25">
        <v>10</v>
      </c>
      <c r="X611" s="25">
        <v>128.4</v>
      </c>
      <c r="Y611" s="25">
        <v>22.14</v>
      </c>
      <c r="Z611" s="17" t="e">
        <f t="shared" si="215"/>
        <v>#DIV/0!</v>
      </c>
      <c r="AA611" s="18">
        <v>0.125</v>
      </c>
      <c r="AB611" s="16">
        <f t="shared" si="225"/>
        <v>16.05</v>
      </c>
      <c r="AC611" s="16">
        <v>0</v>
      </c>
      <c r="AD611" s="16">
        <v>0</v>
      </c>
      <c r="AE611" s="16">
        <v>0</v>
      </c>
      <c r="AF611" s="16">
        <f t="shared" si="216"/>
        <v>16.05</v>
      </c>
      <c r="AG611" s="16">
        <f t="shared" si="223"/>
        <v>2.5680000000000001</v>
      </c>
      <c r="AH611" s="16">
        <f t="shared" si="217"/>
        <v>18.618000000000002</v>
      </c>
      <c r="AI611" s="16">
        <f t="shared" si="224"/>
        <v>0.32100000000000001</v>
      </c>
      <c r="AJ611" s="16">
        <v>0</v>
      </c>
      <c r="AK611" s="16">
        <f t="shared" si="218"/>
        <v>0.32100000000000001</v>
      </c>
      <c r="AL611" s="19"/>
      <c r="AM611" s="16">
        <f t="shared" si="226"/>
        <v>15.729000000000001</v>
      </c>
      <c r="AN611" s="16"/>
      <c r="AO611" s="20"/>
      <c r="AP611" s="16">
        <f t="shared" si="219"/>
        <v>0</v>
      </c>
      <c r="AQ611" s="16"/>
      <c r="AR611" s="15"/>
      <c r="AS611" s="16">
        <f t="shared" si="220"/>
        <v>0</v>
      </c>
      <c r="AT611" s="16"/>
      <c r="AU611" s="16">
        <v>18.618000000000002</v>
      </c>
      <c r="AV611" s="16">
        <f t="shared" si="213"/>
        <v>18.618000000000002</v>
      </c>
      <c r="AW611" s="16">
        <f t="shared" si="221"/>
        <v>0</v>
      </c>
      <c r="AX611" s="16" t="str">
        <f t="shared" si="222"/>
        <v>SUNU</v>
      </c>
      <c r="AY611" s="22">
        <v>45218</v>
      </c>
      <c r="AZ611" s="22"/>
      <c r="BA611" s="1"/>
      <c r="BB611" s="1" t="s">
        <v>65</v>
      </c>
      <c r="BC611" s="1"/>
      <c r="BD611" s="1"/>
      <c r="BE611" s="1"/>
    </row>
    <row r="612" spans="1:57" ht="15.75" customHeight="1">
      <c r="A612" s="2" t="s">
        <v>770</v>
      </c>
      <c r="B612" s="1" t="s">
        <v>169</v>
      </c>
      <c r="C612" s="27">
        <v>45109</v>
      </c>
      <c r="D612" s="27"/>
      <c r="E612" s="27">
        <v>45135</v>
      </c>
      <c r="F612" s="27">
        <v>45500</v>
      </c>
      <c r="G612" s="13" t="str">
        <f t="shared" si="214"/>
        <v>000-611/AIB RDC/2023</v>
      </c>
      <c r="H612" s="1">
        <v>1</v>
      </c>
      <c r="I612" s="1" t="s">
        <v>68</v>
      </c>
      <c r="J612" s="29"/>
      <c r="K612" s="1" t="s">
        <v>856</v>
      </c>
      <c r="L612" s="1" t="s">
        <v>62</v>
      </c>
      <c r="M612" s="1" t="s">
        <v>63</v>
      </c>
      <c r="N612" s="1" t="s">
        <v>64</v>
      </c>
      <c r="O612" s="1" t="s">
        <v>250</v>
      </c>
      <c r="P612" s="1" t="s">
        <v>251</v>
      </c>
      <c r="Q612" s="1" t="s">
        <v>66</v>
      </c>
      <c r="R612" s="1" t="s">
        <v>66</v>
      </c>
      <c r="S612" s="25">
        <v>0</v>
      </c>
      <c r="T612" s="25">
        <v>314924.34000000003</v>
      </c>
      <c r="U612" s="25">
        <v>39758.82</v>
      </c>
      <c r="V612" s="25">
        <v>-14858.08</v>
      </c>
      <c r="W612" s="25">
        <v>6427.68</v>
      </c>
      <c r="X612" s="25">
        <v>225300</v>
      </c>
      <c r="Y612" s="25">
        <v>43437.87</v>
      </c>
      <c r="Z612" s="17" t="e">
        <f t="shared" si="215"/>
        <v>#DIV/0!</v>
      </c>
      <c r="AA612" s="18">
        <v>0</v>
      </c>
      <c r="AB612" s="16">
        <f t="shared" si="225"/>
        <v>0</v>
      </c>
      <c r="AC612" s="16">
        <f>30%*(U612+V612)</f>
        <v>7470.2219999999988</v>
      </c>
      <c r="AD612" s="16">
        <f>4.3103448%*X612</f>
        <v>9711.2068343999999</v>
      </c>
      <c r="AE612" s="16">
        <v>0</v>
      </c>
      <c r="AF612" s="16">
        <f t="shared" si="216"/>
        <v>17181.428834399998</v>
      </c>
      <c r="AG612" s="16">
        <f t="shared" si="223"/>
        <v>2749.0286135039996</v>
      </c>
      <c r="AH612" s="16">
        <f t="shared" si="217"/>
        <v>19930.457447903998</v>
      </c>
      <c r="AI612" s="16">
        <f t="shared" si="224"/>
        <v>343.62857668799995</v>
      </c>
      <c r="AJ612" s="16">
        <v>0</v>
      </c>
      <c r="AK612" s="16">
        <f t="shared" si="218"/>
        <v>343.62857668799995</v>
      </c>
      <c r="AL612" s="19"/>
      <c r="AM612" s="16">
        <f t="shared" si="226"/>
        <v>16837.800257711999</v>
      </c>
      <c r="AN612" s="16"/>
      <c r="AO612" s="20"/>
      <c r="AP612" s="16">
        <f t="shared" si="219"/>
        <v>0</v>
      </c>
      <c r="AQ612" s="16"/>
      <c r="AR612" s="15"/>
      <c r="AS612" s="16">
        <f t="shared" si="220"/>
        <v>0</v>
      </c>
      <c r="AT612" s="16"/>
      <c r="AU612" s="16"/>
      <c r="AV612" s="16">
        <f t="shared" si="213"/>
        <v>19930.457447903998</v>
      </c>
      <c r="AW612" s="60">
        <f t="shared" si="221"/>
        <v>19930.457447903998</v>
      </c>
      <c r="AX612" s="16" t="str">
        <f t="shared" si="222"/>
        <v>SFA</v>
      </c>
      <c r="AY612" s="22"/>
      <c r="AZ612" s="22"/>
      <c r="BA612" s="1"/>
      <c r="BB612" s="22"/>
      <c r="BC612" s="1"/>
      <c r="BD612" s="1"/>
      <c r="BE612" s="1"/>
    </row>
    <row r="613" spans="1:57" ht="15.75" hidden="1" customHeight="1">
      <c r="A613" s="2" t="s">
        <v>770</v>
      </c>
      <c r="B613" s="1" t="s">
        <v>58</v>
      </c>
      <c r="C613" s="27">
        <v>45118</v>
      </c>
      <c r="D613" s="27">
        <v>45118</v>
      </c>
      <c r="E613" s="27">
        <v>45118</v>
      </c>
      <c r="F613" s="27">
        <v>45342</v>
      </c>
      <c r="G613" s="13" t="str">
        <f t="shared" si="214"/>
        <v>000-612/AIB RDC/2023</v>
      </c>
      <c r="H613" s="1">
        <v>5</v>
      </c>
      <c r="I613" s="1" t="s">
        <v>59</v>
      </c>
      <c r="J613" s="29" t="s">
        <v>273</v>
      </c>
      <c r="K613" s="2" t="s">
        <v>150</v>
      </c>
      <c r="L613" s="24" t="s">
        <v>151</v>
      </c>
      <c r="M613" s="1" t="s">
        <v>99</v>
      </c>
      <c r="N613" s="1" t="s">
        <v>100</v>
      </c>
      <c r="O613" s="1" t="s">
        <v>133</v>
      </c>
      <c r="P613" s="1" t="s">
        <v>134</v>
      </c>
      <c r="Q613" s="1" t="s">
        <v>76</v>
      </c>
      <c r="R613" s="1" t="s">
        <v>76</v>
      </c>
      <c r="S613" s="25">
        <v>45000</v>
      </c>
      <c r="T613" s="25">
        <v>1143.73</v>
      </c>
      <c r="U613" s="25">
        <v>0</v>
      </c>
      <c r="V613" s="25">
        <v>0</v>
      </c>
      <c r="W613" s="25">
        <v>10</v>
      </c>
      <c r="X613" s="25">
        <v>975.97</v>
      </c>
      <c r="Y613" s="25">
        <v>157.76</v>
      </c>
      <c r="Z613" s="17">
        <f t="shared" si="215"/>
        <v>2.1688222222222223E-2</v>
      </c>
      <c r="AA613" s="18">
        <v>0.14192034591227201</v>
      </c>
      <c r="AB613" s="16">
        <f t="shared" si="225"/>
        <v>138.5100000000001</v>
      </c>
      <c r="AC613" s="16">
        <v>0</v>
      </c>
      <c r="AD613" s="16">
        <v>0</v>
      </c>
      <c r="AE613" s="16">
        <v>0</v>
      </c>
      <c r="AF613" s="16">
        <f t="shared" si="216"/>
        <v>138.5100000000001</v>
      </c>
      <c r="AG613" s="16">
        <f t="shared" si="223"/>
        <v>22.161600000000018</v>
      </c>
      <c r="AH613" s="16">
        <f t="shared" si="217"/>
        <v>160.67160000000013</v>
      </c>
      <c r="AI613" s="16">
        <f t="shared" si="224"/>
        <v>2.7702000000000022</v>
      </c>
      <c r="AJ613" s="16">
        <v>0</v>
      </c>
      <c r="AK613" s="16">
        <f t="shared" si="218"/>
        <v>2.7702000000000022</v>
      </c>
      <c r="AL613" s="19"/>
      <c r="AM613" s="16">
        <f t="shared" si="226"/>
        <v>135.73980000000012</v>
      </c>
      <c r="AN613" s="16"/>
      <c r="AO613" s="20"/>
      <c r="AP613" s="16">
        <f t="shared" si="219"/>
        <v>0</v>
      </c>
      <c r="AQ613" s="16"/>
      <c r="AR613" s="15"/>
      <c r="AS613" s="16">
        <f t="shared" si="220"/>
        <v>0</v>
      </c>
      <c r="AT613" s="16"/>
      <c r="AU613" s="16">
        <v>160.67160000000013</v>
      </c>
      <c r="AV613" s="16">
        <f t="shared" si="213"/>
        <v>160.67160000000013</v>
      </c>
      <c r="AW613" s="16">
        <f t="shared" si="221"/>
        <v>0</v>
      </c>
      <c r="AX613" s="16" t="str">
        <f t="shared" si="222"/>
        <v>ACTIVA</v>
      </c>
      <c r="AY613" s="22">
        <v>45170</v>
      </c>
      <c r="AZ613" s="22"/>
      <c r="BA613" s="1"/>
      <c r="BB613" s="1" t="s">
        <v>133</v>
      </c>
      <c r="BC613" s="1"/>
      <c r="BD613" s="1"/>
      <c r="BE613" s="1"/>
    </row>
    <row r="614" spans="1:57" ht="15.75" hidden="1" customHeight="1">
      <c r="A614" s="2" t="s">
        <v>770</v>
      </c>
      <c r="B614" s="1" t="s">
        <v>169</v>
      </c>
      <c r="C614" s="27">
        <v>45118</v>
      </c>
      <c r="D614" s="27">
        <v>45118</v>
      </c>
      <c r="E614" s="27">
        <v>45117</v>
      </c>
      <c r="F614" s="27">
        <v>45329</v>
      </c>
      <c r="G614" s="13" t="str">
        <f t="shared" si="214"/>
        <v>000-613/AIB RDC/2023</v>
      </c>
      <c r="H614" s="1"/>
      <c r="I614" s="1" t="s">
        <v>860</v>
      </c>
      <c r="J614" s="29" t="s">
        <v>273</v>
      </c>
      <c r="K614" s="2" t="s">
        <v>150</v>
      </c>
      <c r="L614" s="24" t="s">
        <v>151</v>
      </c>
      <c r="M614" s="1" t="s">
        <v>99</v>
      </c>
      <c r="N614" s="1" t="s">
        <v>100</v>
      </c>
      <c r="O614" s="1" t="s">
        <v>133</v>
      </c>
      <c r="P614" s="1" t="s">
        <v>134</v>
      </c>
      <c r="Q614" s="1" t="s">
        <v>76</v>
      </c>
      <c r="R614" s="1" t="s">
        <v>76</v>
      </c>
      <c r="S614" s="25">
        <v>0</v>
      </c>
      <c r="T614" s="25">
        <v>0</v>
      </c>
      <c r="U614" s="25">
        <v>0</v>
      </c>
      <c r="V614" s="25">
        <v>0</v>
      </c>
      <c r="W614" s="25">
        <v>10</v>
      </c>
      <c r="X614" s="25">
        <v>0</v>
      </c>
      <c r="Y614" s="25">
        <v>1.6</v>
      </c>
      <c r="Z614" s="17" t="e">
        <f t="shared" si="215"/>
        <v>#DIV/0!</v>
      </c>
      <c r="AA614" s="18"/>
      <c r="AB614" s="16">
        <f t="shared" si="225"/>
        <v>0</v>
      </c>
      <c r="AC614" s="16">
        <v>0</v>
      </c>
      <c r="AD614" s="16">
        <v>0</v>
      </c>
      <c r="AE614" s="16">
        <v>0</v>
      </c>
      <c r="AF614" s="16">
        <f t="shared" si="216"/>
        <v>0</v>
      </c>
      <c r="AG614" s="16">
        <f t="shared" si="223"/>
        <v>0</v>
      </c>
      <c r="AH614" s="16">
        <f t="shared" si="217"/>
        <v>0</v>
      </c>
      <c r="AI614" s="16">
        <f t="shared" si="224"/>
        <v>0</v>
      </c>
      <c r="AJ614" s="16">
        <v>0</v>
      </c>
      <c r="AK614" s="16">
        <f t="shared" si="218"/>
        <v>0</v>
      </c>
      <c r="AL614" s="19"/>
      <c r="AM614" s="16">
        <f t="shared" si="226"/>
        <v>0</v>
      </c>
      <c r="AN614" s="16"/>
      <c r="AO614" s="20"/>
      <c r="AP614" s="16">
        <f t="shared" si="219"/>
        <v>0</v>
      </c>
      <c r="AQ614" s="16"/>
      <c r="AR614" s="15"/>
      <c r="AS614" s="16">
        <f t="shared" si="220"/>
        <v>0</v>
      </c>
      <c r="AT614" s="16"/>
      <c r="AU614" s="16"/>
      <c r="AV614" s="16">
        <f t="shared" si="213"/>
        <v>0</v>
      </c>
      <c r="AW614" s="16">
        <f t="shared" si="221"/>
        <v>0</v>
      </c>
      <c r="AX614" s="16" t="str">
        <f t="shared" si="222"/>
        <v>ACTIVA</v>
      </c>
      <c r="AY614" s="22"/>
      <c r="AZ614" s="22"/>
      <c r="BA614" s="1"/>
      <c r="BB614" s="1" t="s">
        <v>133</v>
      </c>
      <c r="BC614" s="1"/>
      <c r="BD614" s="1"/>
      <c r="BE614" s="1"/>
    </row>
    <row r="615" spans="1:57" ht="15.75" hidden="1" customHeight="1">
      <c r="A615" s="2" t="s">
        <v>770</v>
      </c>
      <c r="B615" s="1" t="s">
        <v>58</v>
      </c>
      <c r="C615" s="27">
        <v>45118</v>
      </c>
      <c r="D615" s="27">
        <v>45118</v>
      </c>
      <c r="E615" s="27">
        <v>45117</v>
      </c>
      <c r="F615" s="27">
        <v>45209</v>
      </c>
      <c r="G615" s="13" t="str">
        <f t="shared" si="214"/>
        <v>000-614/AIB RDC/2023</v>
      </c>
      <c r="H615" s="1">
        <v>4</v>
      </c>
      <c r="I615" s="1" t="s">
        <v>443</v>
      </c>
      <c r="J615" s="29" t="s">
        <v>273</v>
      </c>
      <c r="K615" s="2" t="s">
        <v>150</v>
      </c>
      <c r="L615" s="24" t="s">
        <v>151</v>
      </c>
      <c r="M615" s="1" t="s">
        <v>99</v>
      </c>
      <c r="N615" s="1" t="s">
        <v>100</v>
      </c>
      <c r="O615" s="1" t="s">
        <v>133</v>
      </c>
      <c r="P615" s="1" t="s">
        <v>134</v>
      </c>
      <c r="Q615" s="1" t="s">
        <v>76</v>
      </c>
      <c r="R615" s="1" t="s">
        <v>76</v>
      </c>
      <c r="S615" s="25">
        <v>35000</v>
      </c>
      <c r="T615" s="25">
        <v>-2548.9</v>
      </c>
      <c r="U615" s="25">
        <v>0</v>
      </c>
      <c r="V615" s="25">
        <v>0</v>
      </c>
      <c r="W615" s="25">
        <v>0</v>
      </c>
      <c r="X615" s="25">
        <v>-2197.33</v>
      </c>
      <c r="Y615" s="25">
        <v>-351.57</v>
      </c>
      <c r="Z615" s="17">
        <f t="shared" si="215"/>
        <v>-6.2780857142857138E-2</v>
      </c>
      <c r="AA615" s="18">
        <v>6.3963992663823799E-2</v>
      </c>
      <c r="AB615" s="16">
        <f t="shared" si="225"/>
        <v>-140.54999999999995</v>
      </c>
      <c r="AC615" s="16">
        <v>0</v>
      </c>
      <c r="AD615" s="16">
        <v>0</v>
      </c>
      <c r="AE615" s="16">
        <v>0</v>
      </c>
      <c r="AF615" s="16">
        <f t="shared" si="216"/>
        <v>-140.54999999999995</v>
      </c>
      <c r="AG615" s="16">
        <f t="shared" si="223"/>
        <v>-22.487999999999992</v>
      </c>
      <c r="AH615" s="16">
        <f t="shared" si="217"/>
        <v>-163.03799999999995</v>
      </c>
      <c r="AI615" s="16">
        <f t="shared" si="224"/>
        <v>-2.8109999999999991</v>
      </c>
      <c r="AJ615" s="16">
        <v>0</v>
      </c>
      <c r="AK615" s="16">
        <f t="shared" si="218"/>
        <v>-2.8109999999999991</v>
      </c>
      <c r="AL615" s="19"/>
      <c r="AM615" s="16">
        <f t="shared" si="226"/>
        <v>-137.73899999999995</v>
      </c>
      <c r="AN615" s="16"/>
      <c r="AO615" s="20"/>
      <c r="AP615" s="16">
        <f t="shared" si="219"/>
        <v>0</v>
      </c>
      <c r="AQ615" s="16"/>
      <c r="AR615" s="15"/>
      <c r="AS615" s="16">
        <f t="shared" si="220"/>
        <v>0</v>
      </c>
      <c r="AT615" s="16"/>
      <c r="AU615" s="16">
        <v>-163.03799999999995</v>
      </c>
      <c r="AV615" s="16">
        <f t="shared" si="213"/>
        <v>-163.03799999999995</v>
      </c>
      <c r="AW615" s="16">
        <f t="shared" si="221"/>
        <v>0</v>
      </c>
      <c r="AX615" s="16" t="str">
        <f t="shared" si="222"/>
        <v>ACTIVA</v>
      </c>
      <c r="AY615" s="22">
        <v>45170</v>
      </c>
      <c r="AZ615" s="22"/>
      <c r="BA615" s="1"/>
      <c r="BB615" s="1" t="s">
        <v>133</v>
      </c>
      <c r="BC615" s="1"/>
      <c r="BD615" s="1"/>
      <c r="BE615" s="1"/>
    </row>
    <row r="616" spans="1:57" ht="15.75" hidden="1" customHeight="1">
      <c r="A616" s="2" t="s">
        <v>770</v>
      </c>
      <c r="B616" s="1" t="s">
        <v>58</v>
      </c>
      <c r="C616" s="27">
        <v>45119</v>
      </c>
      <c r="D616" s="27">
        <v>45119</v>
      </c>
      <c r="E616" s="27">
        <v>45119</v>
      </c>
      <c r="F616" s="27">
        <v>45484</v>
      </c>
      <c r="G616" s="13" t="str">
        <f t="shared" si="214"/>
        <v>000-615/AIB RDC/2023</v>
      </c>
      <c r="H616" s="1">
        <v>0</v>
      </c>
      <c r="I616" s="1" t="s">
        <v>83</v>
      </c>
      <c r="J616" s="46" t="s">
        <v>861</v>
      </c>
      <c r="K616" s="1" t="s">
        <v>862</v>
      </c>
      <c r="L616" s="1"/>
      <c r="M616" s="1" t="s">
        <v>99</v>
      </c>
      <c r="N616" s="1" t="s">
        <v>100</v>
      </c>
      <c r="O616" s="1" t="s">
        <v>129</v>
      </c>
      <c r="P616" s="1" t="s">
        <v>108</v>
      </c>
      <c r="Q616" s="1" t="s">
        <v>66</v>
      </c>
      <c r="R616" s="1" t="s">
        <v>66</v>
      </c>
      <c r="S616" s="25">
        <v>354526</v>
      </c>
      <c r="T616" s="25">
        <v>439.41</v>
      </c>
      <c r="U616" s="25">
        <v>0</v>
      </c>
      <c r="V616" s="25">
        <v>0</v>
      </c>
      <c r="W616" s="25">
        <v>19.23</v>
      </c>
      <c r="X616" s="25">
        <v>359.57</v>
      </c>
      <c r="Y616" s="25">
        <v>60.61</v>
      </c>
      <c r="Z616" s="17">
        <f t="shared" si="215"/>
        <v>1.0142274473522394E-3</v>
      </c>
      <c r="AA616" s="18">
        <v>0.2</v>
      </c>
      <c r="AB616" s="16">
        <f t="shared" si="225"/>
        <v>71.914000000000001</v>
      </c>
      <c r="AC616" s="16">
        <v>0</v>
      </c>
      <c r="AD616" s="16">
        <v>0</v>
      </c>
      <c r="AE616" s="16">
        <v>0</v>
      </c>
      <c r="AF616" s="16">
        <f t="shared" si="216"/>
        <v>71.914000000000001</v>
      </c>
      <c r="AG616" s="16">
        <f t="shared" si="223"/>
        <v>11.50624</v>
      </c>
      <c r="AH616" s="16">
        <f t="shared" si="217"/>
        <v>83.420240000000007</v>
      </c>
      <c r="AI616" s="16">
        <f t="shared" si="224"/>
        <v>1.43828</v>
      </c>
      <c r="AJ616" s="16">
        <v>0</v>
      </c>
      <c r="AK616" s="16">
        <f t="shared" si="218"/>
        <v>1.43828</v>
      </c>
      <c r="AL616" s="19"/>
      <c r="AM616" s="16">
        <f t="shared" si="226"/>
        <v>70.475719999999995</v>
      </c>
      <c r="AN616" s="16"/>
      <c r="AO616" s="20"/>
      <c r="AP616" s="16">
        <f t="shared" si="219"/>
        <v>0</v>
      </c>
      <c r="AQ616" s="16"/>
      <c r="AR616" s="15"/>
      <c r="AS616" s="16">
        <f t="shared" si="220"/>
        <v>0</v>
      </c>
      <c r="AT616" s="16"/>
      <c r="AU616" s="16">
        <v>83.420240000000007</v>
      </c>
      <c r="AV616" s="16">
        <f t="shared" si="213"/>
        <v>83.420240000000007</v>
      </c>
      <c r="AW616" s="16">
        <f t="shared" si="221"/>
        <v>0</v>
      </c>
      <c r="AX616" s="16" t="str">
        <f t="shared" si="222"/>
        <v>SFA</v>
      </c>
      <c r="AY616" s="22">
        <v>45163</v>
      </c>
      <c r="AZ616" s="22"/>
      <c r="BA616" s="1"/>
      <c r="BB616" s="1" t="s">
        <v>129</v>
      </c>
      <c r="BC616" s="1"/>
      <c r="BD616" s="1"/>
      <c r="BE616" s="1"/>
    </row>
    <row r="617" spans="1:57" ht="15.75" hidden="1" customHeight="1">
      <c r="A617" s="2" t="s">
        <v>770</v>
      </c>
      <c r="B617" s="1" t="s">
        <v>58</v>
      </c>
      <c r="C617" s="27">
        <v>45119</v>
      </c>
      <c r="D617" s="27">
        <v>45119</v>
      </c>
      <c r="E617" s="27">
        <v>45117</v>
      </c>
      <c r="F617" s="27">
        <v>45482</v>
      </c>
      <c r="G617" s="13" t="str">
        <f t="shared" si="214"/>
        <v>000-616/AIB RDC/2023</v>
      </c>
      <c r="H617" s="1">
        <v>0</v>
      </c>
      <c r="I617" s="1" t="s">
        <v>83</v>
      </c>
      <c r="J617" s="46" t="s">
        <v>863</v>
      </c>
      <c r="K617" s="1" t="s">
        <v>98</v>
      </c>
      <c r="L617" s="1"/>
      <c r="M617" s="1" t="s">
        <v>99</v>
      </c>
      <c r="N617" s="1" t="s">
        <v>100</v>
      </c>
      <c r="O617" s="1" t="s">
        <v>309</v>
      </c>
      <c r="P617" s="1" t="s">
        <v>234</v>
      </c>
      <c r="Q617" s="1" t="s">
        <v>66</v>
      </c>
      <c r="R617" s="1" t="s">
        <v>66</v>
      </c>
      <c r="S617" s="25">
        <v>500000</v>
      </c>
      <c r="T617" s="25">
        <v>2930</v>
      </c>
      <c r="U617" s="25">
        <v>0</v>
      </c>
      <c r="V617" s="25">
        <v>0</v>
      </c>
      <c r="W617" s="25">
        <v>71.8</v>
      </c>
      <c r="X617" s="25">
        <v>2454.06</v>
      </c>
      <c r="Y617" s="25">
        <v>404.14</v>
      </c>
      <c r="Z617" s="17">
        <f t="shared" si="215"/>
        <v>4.9081200000000002E-3</v>
      </c>
      <c r="AA617" s="18">
        <v>0.15</v>
      </c>
      <c r="AB617" s="16">
        <f t="shared" si="225"/>
        <v>368.10899999999998</v>
      </c>
      <c r="AC617" s="16">
        <v>0</v>
      </c>
      <c r="AD617" s="16">
        <v>0</v>
      </c>
      <c r="AE617" s="16">
        <v>0</v>
      </c>
      <c r="AF617" s="16">
        <f t="shared" si="216"/>
        <v>368.10899999999998</v>
      </c>
      <c r="AG617" s="16">
        <f t="shared" si="223"/>
        <v>58.897439999999996</v>
      </c>
      <c r="AH617" s="16">
        <f t="shared" si="217"/>
        <v>427.00644</v>
      </c>
      <c r="AI617" s="16">
        <f t="shared" si="224"/>
        <v>7.3621799999999995</v>
      </c>
      <c r="AJ617" s="16">
        <v>0</v>
      </c>
      <c r="AK617" s="16">
        <f t="shared" si="218"/>
        <v>7.3621799999999995</v>
      </c>
      <c r="AL617" s="19"/>
      <c r="AM617" s="16">
        <f t="shared" si="226"/>
        <v>360.74681999999996</v>
      </c>
      <c r="AN617" s="16"/>
      <c r="AO617" s="20"/>
      <c r="AP617" s="16">
        <f t="shared" si="219"/>
        <v>0</v>
      </c>
      <c r="AQ617" s="16"/>
      <c r="AR617" s="15"/>
      <c r="AS617" s="16">
        <f t="shared" si="220"/>
        <v>0</v>
      </c>
      <c r="AT617" s="16"/>
      <c r="AU617" s="16">
        <v>427.00644</v>
      </c>
      <c r="AV617" s="16">
        <f t="shared" si="213"/>
        <v>427.00644</v>
      </c>
      <c r="AW617" s="16">
        <f t="shared" si="221"/>
        <v>0</v>
      </c>
      <c r="AX617" s="16" t="str">
        <f t="shared" si="222"/>
        <v>SFA</v>
      </c>
      <c r="AY617" s="22">
        <v>45163</v>
      </c>
      <c r="AZ617" s="22"/>
      <c r="BA617" s="1"/>
      <c r="BB617" s="1" t="s">
        <v>309</v>
      </c>
      <c r="BC617" s="1"/>
      <c r="BD617" s="1"/>
      <c r="BE617" s="1"/>
    </row>
    <row r="618" spans="1:57" ht="15.75" hidden="1" customHeight="1">
      <c r="A618" s="2" t="s">
        <v>770</v>
      </c>
      <c r="B618" s="1" t="s">
        <v>58</v>
      </c>
      <c r="C618" s="27">
        <v>45121</v>
      </c>
      <c r="D618" s="27">
        <v>45125</v>
      </c>
      <c r="E618" s="27">
        <v>45118</v>
      </c>
      <c r="F618" s="27">
        <v>45416</v>
      </c>
      <c r="G618" s="13" t="str">
        <f t="shared" si="214"/>
        <v>000-617/AIB RDC/2023</v>
      </c>
      <c r="H618" s="1">
        <v>1</v>
      </c>
      <c r="I618" s="1" t="s">
        <v>59</v>
      </c>
      <c r="J618" s="29" t="s">
        <v>653</v>
      </c>
      <c r="K618" s="1" t="s">
        <v>409</v>
      </c>
      <c r="L618" s="1"/>
      <c r="M618" s="1" t="s">
        <v>99</v>
      </c>
      <c r="N618" s="1" t="s">
        <v>100</v>
      </c>
      <c r="O618" s="1" t="s">
        <v>65</v>
      </c>
      <c r="P618" s="1" t="s">
        <v>65</v>
      </c>
      <c r="Q618" s="1" t="s">
        <v>76</v>
      </c>
      <c r="R618" s="1" t="s">
        <v>76</v>
      </c>
      <c r="S618" s="25">
        <v>0</v>
      </c>
      <c r="T618" s="25">
        <v>253.01</v>
      </c>
      <c r="U618" s="25">
        <v>0</v>
      </c>
      <c r="V618" s="25">
        <v>0</v>
      </c>
      <c r="W618" s="25">
        <v>10</v>
      </c>
      <c r="X618" s="25">
        <v>243.01</v>
      </c>
      <c r="Y618" s="25">
        <v>0</v>
      </c>
      <c r="Z618" s="17" t="e">
        <f t="shared" si="215"/>
        <v>#DIV/0!</v>
      </c>
      <c r="AA618" s="18">
        <v>0.103864038516933</v>
      </c>
      <c r="AB618" s="16">
        <f t="shared" si="225"/>
        <v>25.239999999999888</v>
      </c>
      <c r="AC618" s="16">
        <v>0</v>
      </c>
      <c r="AD618" s="16">
        <v>0</v>
      </c>
      <c r="AE618" s="16">
        <v>0</v>
      </c>
      <c r="AF618" s="16">
        <f t="shared" si="216"/>
        <v>25.239999999999888</v>
      </c>
      <c r="AG618" s="16">
        <f t="shared" si="223"/>
        <v>4.0383999999999824</v>
      </c>
      <c r="AH618" s="16">
        <f t="shared" si="217"/>
        <v>29.27839999999987</v>
      </c>
      <c r="AI618" s="16">
        <f t="shared" si="224"/>
        <v>0.50479999999999781</v>
      </c>
      <c r="AJ618" s="16">
        <v>0</v>
      </c>
      <c r="AK618" s="16">
        <f t="shared" si="218"/>
        <v>0.50479999999999781</v>
      </c>
      <c r="AL618" s="19"/>
      <c r="AM618" s="16">
        <f t="shared" si="226"/>
        <v>24.735199999999889</v>
      </c>
      <c r="AN618" s="16"/>
      <c r="AO618" s="20"/>
      <c r="AP618" s="16">
        <f t="shared" si="219"/>
        <v>0</v>
      </c>
      <c r="AQ618" s="16"/>
      <c r="AR618" s="15"/>
      <c r="AS618" s="16">
        <f t="shared" si="220"/>
        <v>0</v>
      </c>
      <c r="AT618" s="16"/>
      <c r="AU618" s="16">
        <v>29.27839999999987</v>
      </c>
      <c r="AV618" s="16">
        <f t="shared" si="213"/>
        <v>29.27839999999987</v>
      </c>
      <c r="AW618" s="16">
        <f t="shared" si="221"/>
        <v>0</v>
      </c>
      <c r="AX618" s="16" t="str">
        <f t="shared" si="222"/>
        <v>ACTIVA</v>
      </c>
      <c r="AY618" s="22">
        <v>45170</v>
      </c>
      <c r="AZ618" s="22"/>
      <c r="BA618" s="1"/>
      <c r="BB618" s="1" t="s">
        <v>65</v>
      </c>
      <c r="BC618" s="1"/>
      <c r="BD618" s="1"/>
      <c r="BE618" s="1"/>
    </row>
    <row r="619" spans="1:57" ht="15.75" hidden="1" customHeight="1">
      <c r="A619" s="2" t="s">
        <v>770</v>
      </c>
      <c r="B619" s="1" t="s">
        <v>58</v>
      </c>
      <c r="C619" s="27">
        <v>45124</v>
      </c>
      <c r="D619" s="27">
        <v>45124</v>
      </c>
      <c r="E619" s="27">
        <v>45121</v>
      </c>
      <c r="F619" s="27">
        <v>45216</v>
      </c>
      <c r="G619" s="13" t="str">
        <f t="shared" si="214"/>
        <v>000-618/AIB RDC/2023</v>
      </c>
      <c r="H619" s="1">
        <v>8</v>
      </c>
      <c r="I619" s="1" t="s">
        <v>59</v>
      </c>
      <c r="J619" s="46" t="s">
        <v>294</v>
      </c>
      <c r="K619" s="2" t="s">
        <v>295</v>
      </c>
      <c r="L619" s="1"/>
      <c r="M619" s="1" t="s">
        <v>99</v>
      </c>
      <c r="N619" s="1" t="s">
        <v>100</v>
      </c>
      <c r="O619" s="1" t="s">
        <v>65</v>
      </c>
      <c r="P619" s="1" t="s">
        <v>65</v>
      </c>
      <c r="Q619" s="1" t="s">
        <v>66</v>
      </c>
      <c r="R619" s="1" t="s">
        <v>66</v>
      </c>
      <c r="S619" s="25">
        <v>0</v>
      </c>
      <c r="T619" s="25">
        <v>501.41</v>
      </c>
      <c r="U619" s="25">
        <v>0</v>
      </c>
      <c r="V619" s="25">
        <v>0</v>
      </c>
      <c r="W619" s="25">
        <v>22.43</v>
      </c>
      <c r="X619" s="25">
        <v>409.82</v>
      </c>
      <c r="Y619" s="25">
        <v>69.16</v>
      </c>
      <c r="Z619" s="17" t="e">
        <f t="shared" si="215"/>
        <v>#DIV/0!</v>
      </c>
      <c r="AA619" s="18">
        <v>0.1</v>
      </c>
      <c r="AB619" s="16">
        <f t="shared" si="225"/>
        <v>40.981999999999999</v>
      </c>
      <c r="AC619" s="16">
        <v>0</v>
      </c>
      <c r="AD619" s="16">
        <v>0</v>
      </c>
      <c r="AE619" s="16">
        <v>0</v>
      </c>
      <c r="AF619" s="16">
        <f t="shared" si="216"/>
        <v>40.981999999999999</v>
      </c>
      <c r="AG619" s="16">
        <f t="shared" si="223"/>
        <v>6.5571200000000003</v>
      </c>
      <c r="AH619" s="16">
        <f t="shared" si="217"/>
        <v>47.539119999999997</v>
      </c>
      <c r="AI619" s="16">
        <f t="shared" si="224"/>
        <v>0.81964000000000004</v>
      </c>
      <c r="AJ619" s="16">
        <v>0</v>
      </c>
      <c r="AK619" s="16">
        <f t="shared" si="218"/>
        <v>0.81964000000000004</v>
      </c>
      <c r="AL619" s="19"/>
      <c r="AM619" s="16">
        <f t="shared" si="226"/>
        <v>40.16236</v>
      </c>
      <c r="AN619" s="16"/>
      <c r="AO619" s="20"/>
      <c r="AP619" s="16">
        <f t="shared" si="219"/>
        <v>0</v>
      </c>
      <c r="AQ619" s="16"/>
      <c r="AR619" s="15"/>
      <c r="AS619" s="16">
        <f t="shared" si="220"/>
        <v>0</v>
      </c>
      <c r="AT619" s="16"/>
      <c r="AU619" s="16">
        <v>47.539119999999997</v>
      </c>
      <c r="AV619" s="16">
        <f t="shared" si="213"/>
        <v>47.539119999999997</v>
      </c>
      <c r="AW619" s="16">
        <f t="shared" si="221"/>
        <v>0</v>
      </c>
      <c r="AX619" s="16" t="str">
        <f t="shared" si="222"/>
        <v>SFA</v>
      </c>
      <c r="AY619" s="22">
        <v>45163</v>
      </c>
      <c r="AZ619" s="22"/>
      <c r="BA619" s="1"/>
      <c r="BB619" s="1" t="s">
        <v>65</v>
      </c>
      <c r="BC619" s="1"/>
      <c r="BD619" s="1"/>
      <c r="BE619" s="1"/>
    </row>
    <row r="620" spans="1:57" ht="15.75" hidden="1" customHeight="1">
      <c r="A620" s="2" t="s">
        <v>770</v>
      </c>
      <c r="B620" s="1" t="s">
        <v>58</v>
      </c>
      <c r="C620" s="27">
        <v>45126</v>
      </c>
      <c r="D620" s="27">
        <v>45126</v>
      </c>
      <c r="E620" s="27">
        <v>45137</v>
      </c>
      <c r="F620" s="27">
        <v>45168</v>
      </c>
      <c r="G620" s="13" t="str">
        <f t="shared" si="214"/>
        <v>000-619/AIB RDC/2023</v>
      </c>
      <c r="H620" s="1">
        <v>0</v>
      </c>
      <c r="I620" s="1" t="s">
        <v>83</v>
      </c>
      <c r="J620" s="29">
        <v>14400004</v>
      </c>
      <c r="K620" s="1" t="s">
        <v>864</v>
      </c>
      <c r="L620" s="1"/>
      <c r="M620" s="1" t="s">
        <v>99</v>
      </c>
      <c r="N620" s="1" t="s">
        <v>100</v>
      </c>
      <c r="O620" s="1" t="s">
        <v>302</v>
      </c>
      <c r="P620" s="1" t="s">
        <v>81</v>
      </c>
      <c r="Q620" s="1" t="s">
        <v>135</v>
      </c>
      <c r="R620" s="1" t="s">
        <v>135</v>
      </c>
      <c r="S620" s="25">
        <v>0</v>
      </c>
      <c r="T620" s="25">
        <v>259.37</v>
      </c>
      <c r="U620" s="25">
        <v>0</v>
      </c>
      <c r="V620" s="25">
        <v>0</v>
      </c>
      <c r="W620" s="25">
        <v>2</v>
      </c>
      <c r="X620" s="25">
        <v>217.8</v>
      </c>
      <c r="Y620" s="25">
        <v>35.18</v>
      </c>
      <c r="Z620" s="17" t="e">
        <f t="shared" si="215"/>
        <v>#DIV/0!</v>
      </c>
      <c r="AA620" s="18">
        <v>0.2</v>
      </c>
      <c r="AB620" s="16">
        <f t="shared" si="225"/>
        <v>43.56</v>
      </c>
      <c r="AC620" s="16">
        <v>0</v>
      </c>
      <c r="AD620" s="16">
        <v>0</v>
      </c>
      <c r="AE620" s="16">
        <v>0</v>
      </c>
      <c r="AF620" s="16">
        <f t="shared" si="216"/>
        <v>43.56</v>
      </c>
      <c r="AG620" s="16">
        <f t="shared" si="223"/>
        <v>6.9696000000000007</v>
      </c>
      <c r="AH620" s="16">
        <f t="shared" si="217"/>
        <v>50.529600000000002</v>
      </c>
      <c r="AI620" s="16">
        <f t="shared" si="224"/>
        <v>0.87120000000000009</v>
      </c>
      <c r="AJ620" s="16">
        <v>0</v>
      </c>
      <c r="AK620" s="16">
        <f t="shared" si="218"/>
        <v>0.87120000000000009</v>
      </c>
      <c r="AL620" s="19"/>
      <c r="AM620" s="16">
        <f t="shared" si="226"/>
        <v>42.688800000000001</v>
      </c>
      <c r="AN620" s="16"/>
      <c r="AO620" s="20"/>
      <c r="AP620" s="16">
        <f t="shared" si="219"/>
        <v>0</v>
      </c>
      <c r="AQ620" s="16"/>
      <c r="AR620" s="15"/>
      <c r="AS620" s="16">
        <f t="shared" si="220"/>
        <v>0</v>
      </c>
      <c r="AT620" s="16"/>
      <c r="AU620" s="16">
        <v>50.529600000000002</v>
      </c>
      <c r="AV620" s="16">
        <f t="shared" si="213"/>
        <v>50.529600000000002</v>
      </c>
      <c r="AW620" s="16">
        <f t="shared" si="221"/>
        <v>0</v>
      </c>
      <c r="AX620" s="16" t="str">
        <f t="shared" si="222"/>
        <v>RAWSUR</v>
      </c>
      <c r="AY620" s="22">
        <v>45174</v>
      </c>
      <c r="AZ620" s="22"/>
      <c r="BA620" s="1"/>
      <c r="BB620" s="1" t="s">
        <v>302</v>
      </c>
      <c r="BC620" s="1"/>
      <c r="BD620" s="1"/>
      <c r="BE620" s="1"/>
    </row>
    <row r="621" spans="1:57" ht="15.75" customHeight="1">
      <c r="A621" s="2" t="s">
        <v>230</v>
      </c>
      <c r="B621" s="1" t="s">
        <v>58</v>
      </c>
      <c r="C621" s="27">
        <v>45089</v>
      </c>
      <c r="D621" s="27">
        <v>45091</v>
      </c>
      <c r="E621" s="27">
        <v>45078</v>
      </c>
      <c r="F621" s="27">
        <v>45443</v>
      </c>
      <c r="G621" s="13" t="str">
        <f t="shared" si="214"/>
        <v>000-620/AIB RDC/2023</v>
      </c>
      <c r="H621" s="1">
        <v>1</v>
      </c>
      <c r="I621" s="1" t="s">
        <v>68</v>
      </c>
      <c r="J621" s="2" t="s">
        <v>778</v>
      </c>
      <c r="K621" s="1" t="s">
        <v>289</v>
      </c>
      <c r="L621" s="1"/>
      <c r="M621" s="1" t="s">
        <v>99</v>
      </c>
      <c r="N621" s="1" t="s">
        <v>100</v>
      </c>
      <c r="O621" s="1" t="s">
        <v>194</v>
      </c>
      <c r="P621" s="1" t="s">
        <v>108</v>
      </c>
      <c r="Q621" s="1" t="s">
        <v>127</v>
      </c>
      <c r="R621" s="1" t="s">
        <v>127</v>
      </c>
      <c r="S621" s="25">
        <v>25282343</v>
      </c>
      <c r="T621" s="25">
        <v>60219</v>
      </c>
      <c r="U621" s="25">
        <v>0</v>
      </c>
      <c r="V621" s="25">
        <v>0</v>
      </c>
      <c r="W621" s="25">
        <v>100</v>
      </c>
      <c r="X621" s="25">
        <v>50933</v>
      </c>
      <c r="Y621" s="25">
        <v>8165</v>
      </c>
      <c r="Z621" s="17">
        <f t="shared" si="215"/>
        <v>2.0145680327175374E-3</v>
      </c>
      <c r="AA621" s="18">
        <v>0.15</v>
      </c>
      <c r="AB621" s="16">
        <f t="shared" si="225"/>
        <v>7639.95</v>
      </c>
      <c r="AC621" s="16">
        <v>0</v>
      </c>
      <c r="AD621" s="16">
        <v>0</v>
      </c>
      <c r="AE621" s="16">
        <v>0</v>
      </c>
      <c r="AF621" s="16">
        <f t="shared" si="216"/>
        <v>7639.95</v>
      </c>
      <c r="AG621" s="16">
        <f t="shared" si="223"/>
        <v>1222.3920000000001</v>
      </c>
      <c r="AH621" s="16">
        <f t="shared" si="217"/>
        <v>8862.3420000000006</v>
      </c>
      <c r="AI621" s="16">
        <f t="shared" si="224"/>
        <v>152.79900000000001</v>
      </c>
      <c r="AJ621" s="16">
        <v>0</v>
      </c>
      <c r="AK621" s="16">
        <f t="shared" si="218"/>
        <v>152.79900000000001</v>
      </c>
      <c r="AL621" s="19"/>
      <c r="AM621" s="16">
        <f t="shared" si="226"/>
        <v>7487.1509999999998</v>
      </c>
      <c r="AN621" s="16"/>
      <c r="AO621" s="20"/>
      <c r="AP621" s="16">
        <f t="shared" si="219"/>
        <v>0</v>
      </c>
      <c r="AQ621" s="16"/>
      <c r="AR621" s="15"/>
      <c r="AS621" s="16">
        <f t="shared" si="220"/>
        <v>0</v>
      </c>
      <c r="AT621" s="16"/>
      <c r="AU621" s="16">
        <v>4431.17</v>
      </c>
      <c r="AV621" s="16">
        <f t="shared" si="213"/>
        <v>8862.3420000000006</v>
      </c>
      <c r="AW621" s="61">
        <f t="shared" si="221"/>
        <v>4431.1720000000005</v>
      </c>
      <c r="AX621" s="16" t="str">
        <f t="shared" si="222"/>
        <v>MAYFAIR</v>
      </c>
      <c r="AY621" s="22">
        <v>45146</v>
      </c>
      <c r="AZ621" s="22"/>
      <c r="BA621" s="1"/>
      <c r="BB621" s="22"/>
      <c r="BC621" s="1"/>
      <c r="BD621" s="1"/>
      <c r="BE621" s="46" t="s">
        <v>779</v>
      </c>
    </row>
    <row r="622" spans="1:57" ht="15.75" hidden="1" customHeight="1">
      <c r="A622" s="2" t="s">
        <v>770</v>
      </c>
      <c r="B622" s="1" t="s">
        <v>169</v>
      </c>
      <c r="C622" s="27">
        <v>45131</v>
      </c>
      <c r="D622" s="27">
        <v>45215</v>
      </c>
      <c r="E622" s="27">
        <v>45199</v>
      </c>
      <c r="F622" s="27">
        <v>45381</v>
      </c>
      <c r="G622" s="13" t="str">
        <f t="shared" si="214"/>
        <v>000-621/AIB RDC/2023</v>
      </c>
      <c r="H622" s="1">
        <v>3</v>
      </c>
      <c r="I622" s="1" t="s">
        <v>59</v>
      </c>
      <c r="J622" s="29" t="s">
        <v>216</v>
      </c>
      <c r="K622" s="1" t="s">
        <v>217</v>
      </c>
      <c r="L622" s="1"/>
      <c r="M622" s="1" t="s">
        <v>99</v>
      </c>
      <c r="N622" s="1" t="s">
        <v>100</v>
      </c>
      <c r="O622" s="1" t="s">
        <v>104</v>
      </c>
      <c r="P622" s="1" t="s">
        <v>105</v>
      </c>
      <c r="Q622" s="1" t="s">
        <v>135</v>
      </c>
      <c r="R622" s="1" t="s">
        <v>135</v>
      </c>
      <c r="S622" s="25">
        <v>22000000</v>
      </c>
      <c r="T622" s="25">
        <v>41654</v>
      </c>
      <c r="U622" s="25">
        <v>0</v>
      </c>
      <c r="V622" s="25">
        <v>0</v>
      </c>
      <c r="W622" s="25">
        <v>100</v>
      </c>
      <c r="X622" s="25">
        <v>35200</v>
      </c>
      <c r="Y622" s="25">
        <v>5648</v>
      </c>
      <c r="Z622" s="17">
        <f t="shared" si="215"/>
        <v>1.6000000000000001E-3</v>
      </c>
      <c r="AA622" s="18">
        <v>0.15</v>
      </c>
      <c r="AB622" s="16">
        <f t="shared" si="225"/>
        <v>5280</v>
      </c>
      <c r="AC622" s="16">
        <v>0</v>
      </c>
      <c r="AD622" s="16">
        <v>0</v>
      </c>
      <c r="AE622" s="16">
        <v>0</v>
      </c>
      <c r="AF622" s="16">
        <f t="shared" si="216"/>
        <v>5280</v>
      </c>
      <c r="AG622" s="16">
        <f t="shared" si="223"/>
        <v>844.80000000000007</v>
      </c>
      <c r="AH622" s="16">
        <f t="shared" si="217"/>
        <v>6124.8</v>
      </c>
      <c r="AI622" s="16">
        <f t="shared" si="224"/>
        <v>105.60000000000001</v>
      </c>
      <c r="AJ622" s="16">
        <v>0</v>
      </c>
      <c r="AK622" s="16">
        <f t="shared" si="218"/>
        <v>105.60000000000001</v>
      </c>
      <c r="AL622" s="19"/>
      <c r="AM622" s="16">
        <f t="shared" si="226"/>
        <v>5174.3999999999996</v>
      </c>
      <c r="AN622" s="16" t="s">
        <v>147</v>
      </c>
      <c r="AO622" s="20">
        <v>0.4</v>
      </c>
      <c r="AP622" s="16">
        <f t="shared" si="219"/>
        <v>2069.7599999999998</v>
      </c>
      <c r="AQ622" s="16"/>
      <c r="AR622" s="15"/>
      <c r="AS622" s="16">
        <f t="shared" si="220"/>
        <v>2069.7599999999998</v>
      </c>
      <c r="AT622" s="16"/>
      <c r="AU622" s="16">
        <v>6124.8</v>
      </c>
      <c r="AV622" s="16">
        <f t="shared" si="213"/>
        <v>6124.8</v>
      </c>
      <c r="AW622" s="16">
        <f t="shared" si="221"/>
        <v>0</v>
      </c>
      <c r="AX622" s="16" t="str">
        <f t="shared" si="222"/>
        <v>RAWSUR</v>
      </c>
      <c r="AY622" s="22">
        <v>45240</v>
      </c>
      <c r="AZ622" s="22"/>
      <c r="BA622" s="1"/>
      <c r="BB622" s="1" t="s">
        <v>104</v>
      </c>
      <c r="BC622" s="1"/>
      <c r="BD622" s="1"/>
      <c r="BE622" s="1"/>
    </row>
    <row r="623" spans="1:57" ht="15.75" hidden="1" customHeight="1">
      <c r="A623" s="2" t="s">
        <v>770</v>
      </c>
      <c r="B623" s="1" t="s">
        <v>58</v>
      </c>
      <c r="C623" s="27">
        <v>45131</v>
      </c>
      <c r="D623" s="27">
        <v>45131</v>
      </c>
      <c r="E623" s="27">
        <v>45131</v>
      </c>
      <c r="F623" s="27">
        <v>45381</v>
      </c>
      <c r="G623" s="13" t="str">
        <f t="shared" si="214"/>
        <v>000-622/AIB RDC/2023</v>
      </c>
      <c r="H623" s="1">
        <v>3</v>
      </c>
      <c r="I623" s="1" t="s">
        <v>59</v>
      </c>
      <c r="J623" s="29" t="s">
        <v>218</v>
      </c>
      <c r="K623" s="1" t="s">
        <v>219</v>
      </c>
      <c r="L623" s="1"/>
      <c r="M623" s="1" t="s">
        <v>99</v>
      </c>
      <c r="N623" s="1" t="s">
        <v>100</v>
      </c>
      <c r="O623" s="1" t="s">
        <v>104</v>
      </c>
      <c r="P623" s="1" t="s">
        <v>105</v>
      </c>
      <c r="Q623" s="1" t="s">
        <v>135</v>
      </c>
      <c r="R623" s="1" t="s">
        <v>135</v>
      </c>
      <c r="S623" s="25">
        <v>32000000</v>
      </c>
      <c r="T623" s="25">
        <v>60534</v>
      </c>
      <c r="U623" s="25">
        <v>0</v>
      </c>
      <c r="V623" s="25">
        <v>0</v>
      </c>
      <c r="W623" s="25">
        <v>100</v>
      </c>
      <c r="X623" s="25">
        <v>51200</v>
      </c>
      <c r="Y623" s="25">
        <v>8208</v>
      </c>
      <c r="Z623" s="17">
        <f t="shared" si="215"/>
        <v>1.6000000000000001E-3</v>
      </c>
      <c r="AA623" s="18">
        <v>0.15</v>
      </c>
      <c r="AB623" s="16">
        <f t="shared" si="225"/>
        <v>7680</v>
      </c>
      <c r="AC623" s="16">
        <v>0</v>
      </c>
      <c r="AD623" s="16">
        <v>0</v>
      </c>
      <c r="AE623" s="16">
        <v>0</v>
      </c>
      <c r="AF623" s="16">
        <f t="shared" si="216"/>
        <v>7680</v>
      </c>
      <c r="AG623" s="16">
        <f t="shared" ref="AG623:AG654" si="227">16%*AF623</f>
        <v>1228.8</v>
      </c>
      <c r="AH623" s="16">
        <f t="shared" si="217"/>
        <v>8908.7999999999993</v>
      </c>
      <c r="AI623" s="16">
        <f t="shared" ref="AI623:AI654" si="228">2%*(AB623+AC623+AD623)</f>
        <v>153.6</v>
      </c>
      <c r="AJ623" s="16">
        <v>0</v>
      </c>
      <c r="AK623" s="16">
        <f t="shared" si="218"/>
        <v>153.6</v>
      </c>
      <c r="AL623" s="19"/>
      <c r="AM623" s="16">
        <f t="shared" si="226"/>
        <v>7526.4</v>
      </c>
      <c r="AN623" s="16" t="s">
        <v>147</v>
      </c>
      <c r="AO623" s="20">
        <v>0.4</v>
      </c>
      <c r="AP623" s="16">
        <f t="shared" si="219"/>
        <v>3010.56</v>
      </c>
      <c r="AQ623" s="16">
        <v>3010.56</v>
      </c>
      <c r="AR623" s="15">
        <v>45229</v>
      </c>
      <c r="AS623" s="16">
        <f t="shared" si="220"/>
        <v>0</v>
      </c>
      <c r="AT623" s="16"/>
      <c r="AU623" s="16">
        <v>8908.7999999999993</v>
      </c>
      <c r="AV623" s="16">
        <f t="shared" si="213"/>
        <v>8908.7999999999993</v>
      </c>
      <c r="AW623" s="16">
        <f t="shared" si="221"/>
        <v>0</v>
      </c>
      <c r="AX623" s="16" t="str">
        <f t="shared" si="222"/>
        <v>RAWSUR</v>
      </c>
      <c r="AY623" s="22">
        <v>45174</v>
      </c>
      <c r="AZ623" s="22"/>
      <c r="BA623" s="1"/>
      <c r="BB623" s="1" t="s">
        <v>104</v>
      </c>
      <c r="BC623" s="1"/>
      <c r="BD623" s="1"/>
      <c r="BE623" s="1"/>
    </row>
    <row r="624" spans="1:57" ht="15.75" hidden="1" customHeight="1">
      <c r="A624" s="2" t="s">
        <v>770</v>
      </c>
      <c r="B624" s="1" t="s">
        <v>58</v>
      </c>
      <c r="C624" s="27">
        <v>45134</v>
      </c>
      <c r="D624" s="27">
        <v>45141</v>
      </c>
      <c r="E624" s="27">
        <v>45128</v>
      </c>
      <c r="F624" s="27">
        <v>45291</v>
      </c>
      <c r="G624" s="13" t="str">
        <f t="shared" si="214"/>
        <v>000-623/AIB RDC/2023</v>
      </c>
      <c r="H624" s="1">
        <v>5</v>
      </c>
      <c r="I624" s="1" t="s">
        <v>59</v>
      </c>
      <c r="J624" s="14" t="s">
        <v>109</v>
      </c>
      <c r="K624" s="1" t="s">
        <v>103</v>
      </c>
      <c r="L624" s="1"/>
      <c r="M624" s="1" t="s">
        <v>99</v>
      </c>
      <c r="N624" s="1" t="s">
        <v>100</v>
      </c>
      <c r="O624" s="1" t="s">
        <v>133</v>
      </c>
      <c r="P624" s="1" t="s">
        <v>134</v>
      </c>
      <c r="Q624" s="1" t="s">
        <v>76</v>
      </c>
      <c r="R624" s="1" t="s">
        <v>76</v>
      </c>
      <c r="S624" s="25">
        <v>109913.8</v>
      </c>
      <c r="T624" s="25">
        <v>3994.92</v>
      </c>
      <c r="U624" s="25">
        <v>0</v>
      </c>
      <c r="V624" s="25">
        <v>0</v>
      </c>
      <c r="W624" s="25">
        <v>39.549999999999997</v>
      </c>
      <c r="X624" s="25">
        <v>3954.85</v>
      </c>
      <c r="Y624" s="25">
        <v>0</v>
      </c>
      <c r="Z624" s="17">
        <f t="shared" si="215"/>
        <v>3.5981378134501765E-2</v>
      </c>
      <c r="AA624" s="18">
        <v>0.14518629025121099</v>
      </c>
      <c r="AB624" s="16">
        <f t="shared" si="225"/>
        <v>574.19000000000176</v>
      </c>
      <c r="AC624" s="16">
        <v>0</v>
      </c>
      <c r="AD624" s="16">
        <v>0</v>
      </c>
      <c r="AE624" s="16">
        <v>0</v>
      </c>
      <c r="AF624" s="16">
        <f t="shared" si="216"/>
        <v>574.19000000000176</v>
      </c>
      <c r="AG624" s="16">
        <f t="shared" si="227"/>
        <v>91.870400000000288</v>
      </c>
      <c r="AH624" s="16">
        <f t="shared" si="217"/>
        <v>666.06040000000201</v>
      </c>
      <c r="AI624" s="16">
        <f t="shared" si="228"/>
        <v>11.483800000000036</v>
      </c>
      <c r="AJ624" s="16">
        <v>0</v>
      </c>
      <c r="AK624" s="16">
        <f t="shared" si="218"/>
        <v>11.483800000000036</v>
      </c>
      <c r="AL624" s="19"/>
      <c r="AM624" s="16">
        <f t="shared" si="226"/>
        <v>562.70620000000167</v>
      </c>
      <c r="AN624" s="16"/>
      <c r="AO624" s="20"/>
      <c r="AP624" s="16">
        <f t="shared" si="219"/>
        <v>0</v>
      </c>
      <c r="AQ624" s="16"/>
      <c r="AR624" s="15"/>
      <c r="AS624" s="16">
        <f t="shared" si="220"/>
        <v>0</v>
      </c>
      <c r="AT624" s="16"/>
      <c r="AU624" s="16">
        <v>666.06040000000201</v>
      </c>
      <c r="AV624" s="16">
        <f t="shared" si="213"/>
        <v>666.06040000000201</v>
      </c>
      <c r="AW624" s="16">
        <f t="shared" si="221"/>
        <v>0</v>
      </c>
      <c r="AX624" s="16" t="str">
        <f t="shared" si="222"/>
        <v>ACTIVA</v>
      </c>
      <c r="AY624" s="22"/>
      <c r="AZ624" s="22"/>
      <c r="BA624" s="1"/>
      <c r="BB624" s="1" t="s">
        <v>133</v>
      </c>
      <c r="BC624" s="1"/>
      <c r="BD624" s="1"/>
      <c r="BE624" s="1" t="s">
        <v>867</v>
      </c>
    </row>
    <row r="625" spans="1:57" ht="15.75" customHeight="1">
      <c r="A625" s="2" t="s">
        <v>784</v>
      </c>
      <c r="B625" s="1" t="s">
        <v>169</v>
      </c>
      <c r="C625" s="27">
        <v>45167</v>
      </c>
      <c r="D625" s="27"/>
      <c r="E625" s="27">
        <v>45170</v>
      </c>
      <c r="F625" s="21">
        <v>45443</v>
      </c>
      <c r="G625" s="13" t="str">
        <f t="shared" si="214"/>
        <v>000-624/AIB RDC/2023</v>
      </c>
      <c r="H625" s="1">
        <v>2</v>
      </c>
      <c r="I625" s="1" t="s">
        <v>68</v>
      </c>
      <c r="J625" s="14" t="s">
        <v>943</v>
      </c>
      <c r="K625" s="1" t="s">
        <v>289</v>
      </c>
      <c r="L625" s="1"/>
      <c r="M625" s="1" t="s">
        <v>99</v>
      </c>
      <c r="N625" s="1" t="s">
        <v>100</v>
      </c>
      <c r="O625" s="1" t="s">
        <v>284</v>
      </c>
      <c r="P625" s="1" t="s">
        <v>285</v>
      </c>
      <c r="Q625" s="1" t="s">
        <v>127</v>
      </c>
      <c r="R625" s="1" t="s">
        <v>127</v>
      </c>
      <c r="S625" s="25">
        <v>10000000</v>
      </c>
      <c r="T625" s="25">
        <v>49488.02</v>
      </c>
      <c r="U625" s="25">
        <v>0</v>
      </c>
      <c r="V625" s="25">
        <v>0</v>
      </c>
      <c r="W625" s="25">
        <v>100</v>
      </c>
      <c r="X625" s="25">
        <v>41835</v>
      </c>
      <c r="Y625" s="25">
        <v>6710.24</v>
      </c>
      <c r="Z625" s="17">
        <f t="shared" si="215"/>
        <v>4.1834999999999997E-3</v>
      </c>
      <c r="AA625" s="18">
        <v>0.15</v>
      </c>
      <c r="AB625" s="16">
        <f t="shared" si="225"/>
        <v>6275.25</v>
      </c>
      <c r="AC625" s="16">
        <v>0</v>
      </c>
      <c r="AD625" s="16">
        <v>0</v>
      </c>
      <c r="AE625" s="16">
        <v>0</v>
      </c>
      <c r="AF625" s="16">
        <f t="shared" si="216"/>
        <v>6275.25</v>
      </c>
      <c r="AG625" s="16">
        <f t="shared" si="227"/>
        <v>1004.0400000000001</v>
      </c>
      <c r="AH625" s="16">
        <f t="shared" si="217"/>
        <v>7279.29</v>
      </c>
      <c r="AI625" s="16">
        <f t="shared" si="228"/>
        <v>125.50500000000001</v>
      </c>
      <c r="AJ625" s="16">
        <v>0</v>
      </c>
      <c r="AK625" s="16">
        <f t="shared" si="218"/>
        <v>125.50500000000001</v>
      </c>
      <c r="AL625" s="19"/>
      <c r="AM625" s="16">
        <f t="shared" si="226"/>
        <v>6149.7449999999999</v>
      </c>
      <c r="AN625" s="16"/>
      <c r="AO625" s="20"/>
      <c r="AP625" s="16">
        <f t="shared" si="219"/>
        <v>0</v>
      </c>
      <c r="AQ625" s="16"/>
      <c r="AR625" s="15"/>
      <c r="AS625" s="16">
        <f t="shared" si="220"/>
        <v>0</v>
      </c>
      <c r="AT625" s="16"/>
      <c r="AU625" s="16"/>
      <c r="AV625" s="16">
        <f t="shared" si="213"/>
        <v>7279.29</v>
      </c>
      <c r="AW625" s="60">
        <f t="shared" si="221"/>
        <v>7279.29</v>
      </c>
      <c r="AX625" s="16" t="str">
        <f t="shared" si="222"/>
        <v>MAYFAIR</v>
      </c>
      <c r="AY625" s="22"/>
      <c r="AZ625" s="22"/>
      <c r="BA625" s="1"/>
      <c r="BB625" s="22"/>
      <c r="BC625" s="1"/>
      <c r="BD625" s="1"/>
      <c r="BE625" s="1"/>
    </row>
    <row r="626" spans="1:57" ht="15.75" hidden="1" customHeight="1">
      <c r="A626" s="2" t="s">
        <v>770</v>
      </c>
      <c r="B626" s="1" t="s">
        <v>58</v>
      </c>
      <c r="C626" s="27">
        <v>45135</v>
      </c>
      <c r="D626" s="27">
        <v>45135</v>
      </c>
      <c r="E626" s="27">
        <v>45135</v>
      </c>
      <c r="F626" s="27">
        <v>45135</v>
      </c>
      <c r="G626" s="13" t="str">
        <f t="shared" si="214"/>
        <v>000-625/AIB RDC/2023</v>
      </c>
      <c r="H626" s="1">
        <v>3</v>
      </c>
      <c r="I626" s="1" t="s">
        <v>443</v>
      </c>
      <c r="J626" s="29" t="s">
        <v>859</v>
      </c>
      <c r="K626" s="1" t="s">
        <v>777</v>
      </c>
      <c r="L626" s="1"/>
      <c r="M626" s="1" t="s">
        <v>99</v>
      </c>
      <c r="N626" s="1" t="s">
        <v>100</v>
      </c>
      <c r="O626" s="1" t="s">
        <v>65</v>
      </c>
      <c r="P626" s="1" t="s">
        <v>65</v>
      </c>
      <c r="Q626" s="1" t="s">
        <v>127</v>
      </c>
      <c r="R626" s="1" t="s">
        <v>127</v>
      </c>
      <c r="S626" s="25">
        <v>0</v>
      </c>
      <c r="T626" s="25">
        <v>-1220.8499999999999</v>
      </c>
      <c r="U626" s="25">
        <v>0</v>
      </c>
      <c r="V626" s="25">
        <v>0</v>
      </c>
      <c r="W626" s="25">
        <v>-20</v>
      </c>
      <c r="X626" s="25">
        <v>-1034.6199999999999</v>
      </c>
      <c r="Y626" s="25">
        <v>-165.54</v>
      </c>
      <c r="Z626" s="17" t="e">
        <f t="shared" si="215"/>
        <v>#DIV/0!</v>
      </c>
      <c r="AA626" s="18">
        <v>0.1</v>
      </c>
      <c r="AB626" s="16">
        <f t="shared" si="225"/>
        <v>-103.46199999999999</v>
      </c>
      <c r="AC626" s="16">
        <v>0</v>
      </c>
      <c r="AD626" s="16">
        <v>0</v>
      </c>
      <c r="AE626" s="16">
        <v>0</v>
      </c>
      <c r="AF626" s="16">
        <f t="shared" si="216"/>
        <v>-103.46199999999999</v>
      </c>
      <c r="AG626" s="16">
        <f t="shared" si="227"/>
        <v>-16.553919999999998</v>
      </c>
      <c r="AH626" s="16">
        <f t="shared" si="217"/>
        <v>-120.01591999999999</v>
      </c>
      <c r="AI626" s="16">
        <f t="shared" si="228"/>
        <v>-2.0692399999999997</v>
      </c>
      <c r="AJ626" s="16">
        <v>0</v>
      </c>
      <c r="AK626" s="16">
        <f t="shared" si="218"/>
        <v>-2.0692399999999997</v>
      </c>
      <c r="AL626" s="19"/>
      <c r="AM626" s="16">
        <f t="shared" si="226"/>
        <v>-101.39276</v>
      </c>
      <c r="AN626" s="16"/>
      <c r="AO626" s="20"/>
      <c r="AP626" s="16">
        <f t="shared" si="219"/>
        <v>0</v>
      </c>
      <c r="AQ626" s="16"/>
      <c r="AR626" s="15"/>
      <c r="AS626" s="16">
        <f t="shared" si="220"/>
        <v>0</v>
      </c>
      <c r="AT626" s="16"/>
      <c r="AU626" s="16">
        <v>-120.01591999999999</v>
      </c>
      <c r="AV626" s="16">
        <f t="shared" si="213"/>
        <v>-120.01591999999999</v>
      </c>
      <c r="AW626" s="16">
        <f t="shared" si="221"/>
        <v>0</v>
      </c>
      <c r="AX626" s="16" t="str">
        <f t="shared" si="222"/>
        <v>MAYFAIR</v>
      </c>
      <c r="AY626" s="22">
        <v>45169</v>
      </c>
      <c r="AZ626" s="22"/>
      <c r="BA626" s="1"/>
      <c r="BB626" s="1" t="s">
        <v>65</v>
      </c>
      <c r="BC626" s="1"/>
      <c r="BD626" s="1"/>
      <c r="BE626" s="1"/>
    </row>
    <row r="627" spans="1:57" ht="15.75" hidden="1" customHeight="1">
      <c r="A627" s="2" t="s">
        <v>770</v>
      </c>
      <c r="B627" s="1" t="s">
        <v>58</v>
      </c>
      <c r="C627" s="27">
        <v>45135</v>
      </c>
      <c r="D627" s="27">
        <v>45135</v>
      </c>
      <c r="E627" s="27">
        <v>45133</v>
      </c>
      <c r="F627" s="27">
        <v>45216</v>
      </c>
      <c r="G627" s="13" t="str">
        <f t="shared" si="214"/>
        <v>000-626/AIB RDC/2023</v>
      </c>
      <c r="H627" s="1">
        <v>9</v>
      </c>
      <c r="I627" s="1" t="s">
        <v>59</v>
      </c>
      <c r="J627" s="46" t="s">
        <v>791</v>
      </c>
      <c r="K627" s="2" t="s">
        <v>295</v>
      </c>
      <c r="L627" s="1"/>
      <c r="M627" s="1" t="s">
        <v>99</v>
      </c>
      <c r="N627" s="1" t="s">
        <v>100</v>
      </c>
      <c r="O627" s="1" t="s">
        <v>65</v>
      </c>
      <c r="P627" s="1" t="s">
        <v>65</v>
      </c>
      <c r="Q627" s="1" t="s">
        <v>66</v>
      </c>
      <c r="R627" s="1" t="s">
        <v>66</v>
      </c>
      <c r="S627" s="25">
        <v>0</v>
      </c>
      <c r="T627" s="25">
        <v>669.55</v>
      </c>
      <c r="U627" s="25">
        <v>0</v>
      </c>
      <c r="V627" s="25">
        <v>0</v>
      </c>
      <c r="W627" s="25">
        <v>25.44</v>
      </c>
      <c r="X627" s="25">
        <v>551.76</v>
      </c>
      <c r="Y627" s="25">
        <v>92.35</v>
      </c>
      <c r="Z627" s="17" t="e">
        <f t="shared" si="215"/>
        <v>#DIV/0!</v>
      </c>
      <c r="AA627" s="18">
        <v>0.1</v>
      </c>
      <c r="AB627" s="16">
        <f t="shared" si="225"/>
        <v>55.176000000000002</v>
      </c>
      <c r="AC627" s="16">
        <v>0</v>
      </c>
      <c r="AD627" s="16">
        <v>0</v>
      </c>
      <c r="AE627" s="16">
        <v>0</v>
      </c>
      <c r="AF627" s="16">
        <f t="shared" si="216"/>
        <v>55.176000000000002</v>
      </c>
      <c r="AG627" s="16">
        <f t="shared" si="227"/>
        <v>8.8281600000000005</v>
      </c>
      <c r="AH627" s="16">
        <f t="shared" si="217"/>
        <v>64.004159999999999</v>
      </c>
      <c r="AI627" s="16">
        <f t="shared" si="228"/>
        <v>1.1035200000000001</v>
      </c>
      <c r="AJ627" s="16">
        <v>0</v>
      </c>
      <c r="AK627" s="16">
        <f t="shared" si="218"/>
        <v>1.1035200000000001</v>
      </c>
      <c r="AL627" s="19"/>
      <c r="AM627" s="16">
        <f t="shared" si="226"/>
        <v>54.072479999999999</v>
      </c>
      <c r="AN627" s="16"/>
      <c r="AO627" s="20"/>
      <c r="AP627" s="16">
        <f t="shared" si="219"/>
        <v>0</v>
      </c>
      <c r="AQ627" s="16"/>
      <c r="AR627" s="15"/>
      <c r="AS627" s="16">
        <f t="shared" si="220"/>
        <v>0</v>
      </c>
      <c r="AT627" s="16"/>
      <c r="AU627" s="16">
        <v>64.004159999999999</v>
      </c>
      <c r="AV627" s="16">
        <f t="shared" si="213"/>
        <v>64.004159999999999</v>
      </c>
      <c r="AW627" s="16">
        <f t="shared" si="221"/>
        <v>0</v>
      </c>
      <c r="AX627" s="16" t="str">
        <f t="shared" si="222"/>
        <v>SFA</v>
      </c>
      <c r="AY627" s="22">
        <v>45163</v>
      </c>
      <c r="AZ627" s="22"/>
      <c r="BA627" s="1"/>
      <c r="BB627" s="1" t="s">
        <v>65</v>
      </c>
      <c r="BC627" s="1"/>
      <c r="BD627" s="1"/>
      <c r="BE627" s="1"/>
    </row>
    <row r="628" spans="1:57" ht="15.75" hidden="1" customHeight="1">
      <c r="A628" s="2" t="s">
        <v>770</v>
      </c>
      <c r="B628" s="1" t="s">
        <v>58</v>
      </c>
      <c r="C628" s="27">
        <v>45114</v>
      </c>
      <c r="D628" s="27">
        <v>45160</v>
      </c>
      <c r="E628" s="27">
        <v>45114</v>
      </c>
      <c r="F628" s="27">
        <v>45479</v>
      </c>
      <c r="G628" s="13" t="str">
        <f t="shared" si="214"/>
        <v>000-627/AIB RDC/2023</v>
      </c>
      <c r="H628" s="1">
        <v>0</v>
      </c>
      <c r="I628" s="1" t="s">
        <v>83</v>
      </c>
      <c r="J628" s="29" t="s">
        <v>869</v>
      </c>
      <c r="K628" s="1" t="s">
        <v>870</v>
      </c>
      <c r="L628" s="1" t="s">
        <v>116</v>
      </c>
      <c r="M628" s="1" t="s">
        <v>99</v>
      </c>
      <c r="N628" s="1" t="s">
        <v>100</v>
      </c>
      <c r="O628" s="1" t="s">
        <v>104</v>
      </c>
      <c r="P628" s="1" t="s">
        <v>105</v>
      </c>
      <c r="Q628" s="1" t="s">
        <v>66</v>
      </c>
      <c r="R628" s="1" t="s">
        <v>66</v>
      </c>
      <c r="S628" s="25">
        <v>13614.26</v>
      </c>
      <c r="T628" s="25">
        <v>69.540000000000006</v>
      </c>
      <c r="U628" s="25">
        <v>0</v>
      </c>
      <c r="V628" s="25">
        <v>0</v>
      </c>
      <c r="W628" s="25">
        <v>6.75</v>
      </c>
      <c r="X628" s="25">
        <v>31.65</v>
      </c>
      <c r="Y628" s="25">
        <v>6.14</v>
      </c>
      <c r="Z628" s="17">
        <f t="shared" si="215"/>
        <v>2.3247682944207027E-3</v>
      </c>
      <c r="AA628" s="18">
        <v>0.15</v>
      </c>
      <c r="AB628" s="16">
        <f t="shared" si="225"/>
        <v>4.7474999999999996</v>
      </c>
      <c r="AC628" s="16">
        <v>0</v>
      </c>
      <c r="AD628" s="16">
        <v>0</v>
      </c>
      <c r="AE628" s="16">
        <v>0</v>
      </c>
      <c r="AF628" s="16">
        <f t="shared" si="216"/>
        <v>4.7474999999999996</v>
      </c>
      <c r="AG628" s="16">
        <f t="shared" si="227"/>
        <v>0.75959999999999994</v>
      </c>
      <c r="AH628" s="16">
        <f t="shared" si="217"/>
        <v>5.5070999999999994</v>
      </c>
      <c r="AI628" s="16">
        <f t="shared" si="228"/>
        <v>9.4949999999999993E-2</v>
      </c>
      <c r="AJ628" s="16">
        <v>0</v>
      </c>
      <c r="AK628" s="16">
        <f t="shared" si="218"/>
        <v>9.4949999999999993E-2</v>
      </c>
      <c r="AL628" s="19"/>
      <c r="AM628" s="16">
        <f t="shared" si="226"/>
        <v>4.6525499999999997</v>
      </c>
      <c r="AN628" s="16"/>
      <c r="AO628" s="20"/>
      <c r="AP628" s="16">
        <f t="shared" si="219"/>
        <v>0</v>
      </c>
      <c r="AQ628" s="16"/>
      <c r="AR628" s="15"/>
      <c r="AS628" s="16">
        <f t="shared" si="220"/>
        <v>0</v>
      </c>
      <c r="AT628" s="16"/>
      <c r="AU628" s="16">
        <v>5.5070999999999994</v>
      </c>
      <c r="AV628" s="16">
        <f t="shared" si="213"/>
        <v>5.5070999999999994</v>
      </c>
      <c r="AW628" s="16">
        <f t="shared" si="221"/>
        <v>0</v>
      </c>
      <c r="AX628" s="16" t="str">
        <f t="shared" si="222"/>
        <v>SFA</v>
      </c>
      <c r="AY628" s="22">
        <v>45197</v>
      </c>
      <c r="AZ628" t="s">
        <v>155</v>
      </c>
      <c r="BA628" s="1"/>
      <c r="BB628" s="1"/>
      <c r="BC628" s="1"/>
      <c r="BD628" s="1"/>
      <c r="BE628" s="1"/>
    </row>
    <row r="629" spans="1:57" ht="15.75" hidden="1" customHeight="1">
      <c r="A629" s="2" t="s">
        <v>871</v>
      </c>
      <c r="B629" s="1" t="s">
        <v>58</v>
      </c>
      <c r="C629" s="27">
        <v>45114</v>
      </c>
      <c r="D629" s="27">
        <v>45167</v>
      </c>
      <c r="E629" s="27">
        <v>45167</v>
      </c>
      <c r="F629" s="27">
        <v>45532</v>
      </c>
      <c r="G629" s="13" t="str">
        <f t="shared" si="214"/>
        <v>000-628/AIB RDC/2023</v>
      </c>
      <c r="H629" s="1">
        <v>0</v>
      </c>
      <c r="I629" s="1" t="s">
        <v>83</v>
      </c>
      <c r="J629" s="29" t="s">
        <v>872</v>
      </c>
      <c r="K629" s="1" t="s">
        <v>870</v>
      </c>
      <c r="L629" s="1" t="s">
        <v>116</v>
      </c>
      <c r="M629" s="1" t="s">
        <v>99</v>
      </c>
      <c r="N629" s="1" t="s">
        <v>100</v>
      </c>
      <c r="O629" s="1" t="s">
        <v>104</v>
      </c>
      <c r="P629" s="1" t="s">
        <v>105</v>
      </c>
      <c r="Q629" s="1" t="s">
        <v>66</v>
      </c>
      <c r="R629" s="1" t="s">
        <v>66</v>
      </c>
      <c r="S629" s="25">
        <v>343830.83</v>
      </c>
      <c r="T629" s="25">
        <v>977.96</v>
      </c>
      <c r="U629" s="25">
        <v>0</v>
      </c>
      <c r="V629" s="25">
        <v>0</v>
      </c>
      <c r="W629" s="25">
        <v>22.11</v>
      </c>
      <c r="X629" s="25">
        <v>799.41</v>
      </c>
      <c r="Y629" s="25">
        <v>131.44</v>
      </c>
      <c r="Z629" s="17">
        <f t="shared" si="215"/>
        <v>2.325009656638411E-3</v>
      </c>
      <c r="AA629" s="18">
        <v>0.15</v>
      </c>
      <c r="AB629" s="16">
        <f t="shared" si="225"/>
        <v>119.91149999999999</v>
      </c>
      <c r="AC629" s="16">
        <v>0</v>
      </c>
      <c r="AD629" s="16">
        <v>0</v>
      </c>
      <c r="AE629" s="16">
        <v>0</v>
      </c>
      <c r="AF629" s="16">
        <f t="shared" si="216"/>
        <v>119.91149999999999</v>
      </c>
      <c r="AG629" s="16">
        <f t="shared" si="227"/>
        <v>19.185839999999999</v>
      </c>
      <c r="AH629" s="16">
        <f t="shared" si="217"/>
        <v>139.09733999999997</v>
      </c>
      <c r="AI629" s="16">
        <f t="shared" si="228"/>
        <v>2.3982299999999999</v>
      </c>
      <c r="AJ629" s="16">
        <v>0</v>
      </c>
      <c r="AK629" s="16">
        <f t="shared" si="218"/>
        <v>2.3982299999999999</v>
      </c>
      <c r="AL629" s="19"/>
      <c r="AM629" s="16">
        <f t="shared" si="226"/>
        <v>117.51326999999999</v>
      </c>
      <c r="AN629" s="16"/>
      <c r="AO629" s="20"/>
      <c r="AP629" s="16">
        <f t="shared" si="219"/>
        <v>0</v>
      </c>
      <c r="AQ629" s="16"/>
      <c r="AR629" s="15"/>
      <c r="AS629" s="16">
        <f t="shared" si="220"/>
        <v>0</v>
      </c>
      <c r="AT629" s="16"/>
      <c r="AU629" s="16">
        <v>139.09733999999997</v>
      </c>
      <c r="AV629" s="16">
        <f t="shared" si="213"/>
        <v>139.09733999999997</v>
      </c>
      <c r="AW629" s="16">
        <f t="shared" si="221"/>
        <v>0</v>
      </c>
      <c r="AX629" s="16" t="str">
        <f t="shared" si="222"/>
        <v>SFA</v>
      </c>
      <c r="AY629" s="22">
        <v>45197</v>
      </c>
      <c r="AZ629" t="s">
        <v>155</v>
      </c>
      <c r="BA629" s="1"/>
      <c r="BB629" s="1"/>
      <c r="BC629" s="1"/>
      <c r="BD629" s="1"/>
      <c r="BE629" s="1"/>
    </row>
    <row r="630" spans="1:57" ht="15.75" hidden="1" customHeight="1">
      <c r="A630" s="2" t="s">
        <v>871</v>
      </c>
      <c r="B630" s="1" t="s">
        <v>58</v>
      </c>
      <c r="C630" s="27">
        <v>45133</v>
      </c>
      <c r="D630" s="27">
        <v>45138</v>
      </c>
      <c r="E630" s="27">
        <v>45139</v>
      </c>
      <c r="F630" s="27">
        <v>45138</v>
      </c>
      <c r="G630" s="13" t="str">
        <f t="shared" si="214"/>
        <v>000-629/AIB RDC/2023</v>
      </c>
      <c r="H630" s="1">
        <v>0</v>
      </c>
      <c r="I630" s="1" t="s">
        <v>83</v>
      </c>
      <c r="J630" s="46" t="s">
        <v>873</v>
      </c>
      <c r="K630" s="1" t="s">
        <v>874</v>
      </c>
      <c r="L630" s="1"/>
      <c r="M630" s="1" t="s">
        <v>99</v>
      </c>
      <c r="N630" s="1" t="s">
        <v>100</v>
      </c>
      <c r="O630" s="1" t="s">
        <v>133</v>
      </c>
      <c r="P630" s="1" t="s">
        <v>134</v>
      </c>
      <c r="Q630" s="1" t="s">
        <v>66</v>
      </c>
      <c r="R630" s="1" t="s">
        <v>66</v>
      </c>
      <c r="S630" s="25">
        <v>127000</v>
      </c>
      <c r="T630" s="25">
        <v>10682.23</v>
      </c>
      <c r="U630" s="25">
        <v>0</v>
      </c>
      <c r="V630" s="25">
        <v>0</v>
      </c>
      <c r="W630" s="25">
        <v>331.32</v>
      </c>
      <c r="X630" s="25">
        <v>8877.5</v>
      </c>
      <c r="Y630" s="25">
        <v>1473.41</v>
      </c>
      <c r="Z630" s="17">
        <f t="shared" si="215"/>
        <v>6.990157480314961E-2</v>
      </c>
      <c r="AA630" s="18">
        <v>0.15</v>
      </c>
      <c r="AB630" s="16">
        <f t="shared" si="225"/>
        <v>1331.625</v>
      </c>
      <c r="AC630" s="16">
        <v>0</v>
      </c>
      <c r="AD630" s="16">
        <v>0</v>
      </c>
      <c r="AE630" s="16">
        <v>0</v>
      </c>
      <c r="AF630" s="16">
        <f t="shared" si="216"/>
        <v>1331.625</v>
      </c>
      <c r="AG630" s="16">
        <f t="shared" si="227"/>
        <v>213.06</v>
      </c>
      <c r="AH630" s="16">
        <f t="shared" si="217"/>
        <v>1544.6849999999999</v>
      </c>
      <c r="AI630" s="16">
        <f t="shared" si="228"/>
        <v>26.6325</v>
      </c>
      <c r="AJ630" s="16">
        <v>0</v>
      </c>
      <c r="AK630" s="16">
        <f t="shared" si="218"/>
        <v>26.6325</v>
      </c>
      <c r="AL630" s="19"/>
      <c r="AM630" s="16">
        <f t="shared" si="226"/>
        <v>1304.9925000000001</v>
      </c>
      <c r="AN630" s="16"/>
      <c r="AO630" s="20"/>
      <c r="AP630" s="16">
        <f t="shared" si="219"/>
        <v>0</v>
      </c>
      <c r="AQ630" s="16"/>
      <c r="AR630" s="15"/>
      <c r="AS630" s="16">
        <f t="shared" si="220"/>
        <v>0</v>
      </c>
      <c r="AT630" s="16"/>
      <c r="AU630" s="16">
        <v>1544.6849999999999</v>
      </c>
      <c r="AV630" s="16">
        <f t="shared" si="213"/>
        <v>1544.6849999999999</v>
      </c>
      <c r="AW630" s="16">
        <f t="shared" si="221"/>
        <v>0</v>
      </c>
      <c r="AX630" s="16" t="str">
        <f t="shared" si="222"/>
        <v>SFA</v>
      </c>
      <c r="AY630" s="22">
        <v>45163</v>
      </c>
      <c r="AZ630" s="22"/>
      <c r="BA630" s="1"/>
      <c r="BB630" s="1"/>
      <c r="BC630" s="1"/>
      <c r="BD630" s="1"/>
      <c r="BE630" s="1"/>
    </row>
    <row r="631" spans="1:57" ht="15.75" hidden="1" customHeight="1">
      <c r="A631" s="2" t="s">
        <v>871</v>
      </c>
      <c r="B631" s="1" t="s">
        <v>58</v>
      </c>
      <c r="C631" s="27">
        <v>45134</v>
      </c>
      <c r="D631" s="27">
        <v>45139</v>
      </c>
      <c r="E631" s="27">
        <v>45139</v>
      </c>
      <c r="F631" s="27">
        <v>45504</v>
      </c>
      <c r="G631" s="13" t="str">
        <f t="shared" si="214"/>
        <v>000-630/AIB RDC/2023</v>
      </c>
      <c r="H631" s="1">
        <v>1</v>
      </c>
      <c r="I631" s="1" t="s">
        <v>68</v>
      </c>
      <c r="J631" s="29" t="s">
        <v>875</v>
      </c>
      <c r="K631" s="1" t="s">
        <v>874</v>
      </c>
      <c r="L631" s="1"/>
      <c r="M631" s="1" t="s">
        <v>99</v>
      </c>
      <c r="N631" s="1" t="s">
        <v>100</v>
      </c>
      <c r="O631" s="1" t="s">
        <v>101</v>
      </c>
      <c r="P631" s="1" t="s">
        <v>81</v>
      </c>
      <c r="Q631" s="1" t="s">
        <v>117</v>
      </c>
      <c r="R631" s="1" t="s">
        <v>117</v>
      </c>
      <c r="S631" s="25">
        <v>222000</v>
      </c>
      <c r="T631" s="25">
        <v>2444.88</v>
      </c>
      <c r="U631" s="25">
        <v>0</v>
      </c>
      <c r="V631" s="25">
        <v>0</v>
      </c>
      <c r="W631" s="25">
        <v>20.86</v>
      </c>
      <c r="X631" s="25">
        <v>2086.8000000000002</v>
      </c>
      <c r="Y631" s="25">
        <v>337.22</v>
      </c>
      <c r="Z631" s="17">
        <f t="shared" si="215"/>
        <v>9.4000000000000004E-3</v>
      </c>
      <c r="AA631" s="18">
        <v>0.1</v>
      </c>
      <c r="AB631" s="16">
        <f t="shared" si="225"/>
        <v>208.68000000000004</v>
      </c>
      <c r="AC631" s="16">
        <v>0</v>
      </c>
      <c r="AD631" s="16">
        <v>0</v>
      </c>
      <c r="AE631" s="16">
        <v>0</v>
      </c>
      <c r="AF631" s="16">
        <f t="shared" si="216"/>
        <v>208.68000000000004</v>
      </c>
      <c r="AG631" s="16">
        <f t="shared" si="227"/>
        <v>33.388800000000003</v>
      </c>
      <c r="AH631" s="16">
        <f t="shared" si="217"/>
        <v>242.06880000000004</v>
      </c>
      <c r="AI631" s="16">
        <f t="shared" si="228"/>
        <v>4.1736000000000004</v>
      </c>
      <c r="AJ631" s="16">
        <v>0</v>
      </c>
      <c r="AK631" s="16">
        <f t="shared" si="218"/>
        <v>4.1736000000000004</v>
      </c>
      <c r="AL631" s="19"/>
      <c r="AM631" s="16">
        <f t="shared" si="226"/>
        <v>204.50640000000004</v>
      </c>
      <c r="AN631" s="16"/>
      <c r="AO631" s="20"/>
      <c r="AP631" s="16">
        <f t="shared" si="219"/>
        <v>0</v>
      </c>
      <c r="AQ631" s="16"/>
      <c r="AR631" s="15"/>
      <c r="AS631" s="16">
        <f t="shared" si="220"/>
        <v>0</v>
      </c>
      <c r="AT631" s="16"/>
      <c r="AU631" s="16">
        <v>242.06880000000004</v>
      </c>
      <c r="AV631" s="16">
        <f t="shared" si="213"/>
        <v>242.06880000000004</v>
      </c>
      <c r="AW631" s="16">
        <f t="shared" si="221"/>
        <v>0</v>
      </c>
      <c r="AX631" s="16" t="str">
        <f t="shared" si="222"/>
        <v>SUNU</v>
      </c>
      <c r="AY631" s="22">
        <v>45218</v>
      </c>
      <c r="AZ631" s="22"/>
      <c r="BA631" s="1"/>
      <c r="BB631" s="1"/>
      <c r="BC631" s="1"/>
      <c r="BD631" s="1"/>
      <c r="BE631" s="1"/>
    </row>
    <row r="632" spans="1:57" ht="15.75" hidden="1" customHeight="1">
      <c r="A632" s="2" t="s">
        <v>871</v>
      </c>
      <c r="B632" s="1" t="s">
        <v>58</v>
      </c>
      <c r="C632" s="27">
        <v>45135</v>
      </c>
      <c r="D632" s="27">
        <v>45149</v>
      </c>
      <c r="E632" s="27">
        <v>45149</v>
      </c>
      <c r="F632" s="27">
        <v>45514</v>
      </c>
      <c r="G632" s="13" t="str">
        <f t="shared" si="214"/>
        <v>000-631/AIB RDC/2023</v>
      </c>
      <c r="H632" s="1">
        <v>1</v>
      </c>
      <c r="I632" s="1" t="s">
        <v>68</v>
      </c>
      <c r="J632" s="29" t="s">
        <v>876</v>
      </c>
      <c r="K632" s="1" t="s">
        <v>874</v>
      </c>
      <c r="L632" s="1"/>
      <c r="M632" s="1" t="s">
        <v>99</v>
      </c>
      <c r="N632" s="1" t="s">
        <v>100</v>
      </c>
      <c r="O632" s="1" t="s">
        <v>111</v>
      </c>
      <c r="P632" s="1" t="s">
        <v>112</v>
      </c>
      <c r="Q632" s="1" t="s">
        <v>117</v>
      </c>
      <c r="R632" s="1" t="s">
        <v>117</v>
      </c>
      <c r="S632" s="25">
        <v>1000000</v>
      </c>
      <c r="T632" s="25">
        <v>5627.5</v>
      </c>
      <c r="U632" s="25">
        <v>0</v>
      </c>
      <c r="V632" s="25">
        <v>0</v>
      </c>
      <c r="W632" s="25">
        <v>48.03</v>
      </c>
      <c r="X632" s="25">
        <v>4803.2700000000004</v>
      </c>
      <c r="Y632" s="25">
        <v>776.2</v>
      </c>
      <c r="Z632" s="17">
        <f t="shared" si="215"/>
        <v>4.8032700000000001E-3</v>
      </c>
      <c r="AA632" s="18">
        <v>0.1</v>
      </c>
      <c r="AB632" s="16">
        <f t="shared" ref="AB632:AB663" si="229">AA632*X632</f>
        <v>480.32700000000006</v>
      </c>
      <c r="AC632" s="16">
        <v>0</v>
      </c>
      <c r="AD632" s="16">
        <v>0</v>
      </c>
      <c r="AE632" s="16">
        <v>0</v>
      </c>
      <c r="AF632" s="16">
        <f t="shared" si="216"/>
        <v>480.32700000000006</v>
      </c>
      <c r="AG632" s="16">
        <f t="shared" si="227"/>
        <v>76.852320000000006</v>
      </c>
      <c r="AH632" s="16">
        <f t="shared" si="217"/>
        <v>557.17932000000008</v>
      </c>
      <c r="AI632" s="16">
        <f t="shared" si="228"/>
        <v>9.6065400000000007</v>
      </c>
      <c r="AJ632" s="16">
        <v>0</v>
      </c>
      <c r="AK632" s="16">
        <f t="shared" si="218"/>
        <v>9.6065400000000007</v>
      </c>
      <c r="AL632" s="19"/>
      <c r="AM632" s="16">
        <f t="shared" si="226"/>
        <v>470.72046000000006</v>
      </c>
      <c r="AN632" s="16"/>
      <c r="AO632" s="20"/>
      <c r="AP632" s="16">
        <f t="shared" si="219"/>
        <v>0</v>
      </c>
      <c r="AQ632" s="16"/>
      <c r="AR632" s="15"/>
      <c r="AS632" s="16">
        <f t="shared" si="220"/>
        <v>0</v>
      </c>
      <c r="AT632" s="16"/>
      <c r="AU632" s="16">
        <v>557.17932000000008</v>
      </c>
      <c r="AV632" s="16">
        <f t="shared" si="213"/>
        <v>557.17932000000008</v>
      </c>
      <c r="AW632" s="16">
        <f t="shared" si="221"/>
        <v>0</v>
      </c>
      <c r="AX632" s="16" t="str">
        <f t="shared" si="222"/>
        <v>SUNU</v>
      </c>
      <c r="AY632" s="22">
        <v>45218</v>
      </c>
      <c r="AZ632" s="22"/>
      <c r="BA632" s="1"/>
      <c r="BB632" s="1"/>
      <c r="BC632" s="1"/>
      <c r="BD632" s="1"/>
      <c r="BE632" s="1"/>
    </row>
    <row r="633" spans="1:57" ht="15.75" hidden="1" customHeight="1">
      <c r="A633" s="2" t="s">
        <v>871</v>
      </c>
      <c r="B633" s="1" t="s">
        <v>58</v>
      </c>
      <c r="C633" s="27">
        <v>45135</v>
      </c>
      <c r="D633" s="27">
        <v>45141</v>
      </c>
      <c r="E633" s="27">
        <v>45141</v>
      </c>
      <c r="F633" s="27">
        <v>45216</v>
      </c>
      <c r="G633" s="13" t="str">
        <f t="shared" si="214"/>
        <v>000-632/AIB RDC/2023</v>
      </c>
      <c r="H633" s="1">
        <v>10</v>
      </c>
      <c r="I633" s="1" t="s">
        <v>59</v>
      </c>
      <c r="J633" s="29" t="s">
        <v>294</v>
      </c>
      <c r="K633" s="2" t="s">
        <v>295</v>
      </c>
      <c r="L633" s="1"/>
      <c r="M633" s="1" t="s">
        <v>99</v>
      </c>
      <c r="N633" s="1" t="s">
        <v>100</v>
      </c>
      <c r="O633" s="1" t="s">
        <v>65</v>
      </c>
      <c r="P633" s="1" t="s">
        <v>65</v>
      </c>
      <c r="Q633" s="1" t="s">
        <v>66</v>
      </c>
      <c r="R633" s="1" t="s">
        <v>66</v>
      </c>
      <c r="S633" s="25">
        <v>0</v>
      </c>
      <c r="T633" s="25">
        <v>207.9</v>
      </c>
      <c r="U633" s="25">
        <v>0</v>
      </c>
      <c r="V633" s="25">
        <v>0</v>
      </c>
      <c r="W633" s="25">
        <v>8.0500000000000007</v>
      </c>
      <c r="X633" s="25">
        <v>171.18</v>
      </c>
      <c r="Y633" s="25">
        <v>28.67</v>
      </c>
      <c r="Z633" s="17" t="e">
        <f t="shared" si="215"/>
        <v>#DIV/0!</v>
      </c>
      <c r="AA633" s="18">
        <v>0.1</v>
      </c>
      <c r="AB633" s="16">
        <f t="shared" si="229"/>
        <v>17.118000000000002</v>
      </c>
      <c r="AC633" s="16">
        <v>0</v>
      </c>
      <c r="AD633" s="16">
        <v>0</v>
      </c>
      <c r="AE633" s="16">
        <v>0</v>
      </c>
      <c r="AF633" s="16">
        <f t="shared" si="216"/>
        <v>17.118000000000002</v>
      </c>
      <c r="AG633" s="16">
        <f t="shared" si="227"/>
        <v>2.7388800000000004</v>
      </c>
      <c r="AH633" s="16">
        <f t="shared" si="217"/>
        <v>19.856880000000004</v>
      </c>
      <c r="AI633" s="16">
        <f t="shared" si="228"/>
        <v>0.34236000000000005</v>
      </c>
      <c r="AJ633" s="16">
        <v>0</v>
      </c>
      <c r="AK633" s="16">
        <f t="shared" si="218"/>
        <v>0.34236000000000005</v>
      </c>
      <c r="AL633" s="19"/>
      <c r="AM633" s="16">
        <f t="shared" si="226"/>
        <v>16.775640000000003</v>
      </c>
      <c r="AN633" s="16"/>
      <c r="AO633" s="20"/>
      <c r="AP633" s="16">
        <f t="shared" si="219"/>
        <v>0</v>
      </c>
      <c r="AQ633" s="16"/>
      <c r="AR633" s="15"/>
      <c r="AS633" s="16">
        <f t="shared" si="220"/>
        <v>0</v>
      </c>
      <c r="AT633" s="16"/>
      <c r="AU633" s="16">
        <v>19.856880000000004</v>
      </c>
      <c r="AV633" s="16">
        <f t="shared" ref="AV633:AV696" si="230">AH633</f>
        <v>19.856880000000004</v>
      </c>
      <c r="AW633" s="16">
        <f t="shared" si="221"/>
        <v>0</v>
      </c>
      <c r="AX633" s="16" t="str">
        <f t="shared" si="222"/>
        <v>SFA</v>
      </c>
      <c r="AY633" s="22">
        <v>45197</v>
      </c>
      <c r="AZ633" t="s">
        <v>155</v>
      </c>
      <c r="BA633" s="1"/>
      <c r="BB633" s="1"/>
      <c r="BC633" s="1"/>
      <c r="BD633" s="1"/>
      <c r="BE633" s="1"/>
    </row>
    <row r="634" spans="1:57" ht="15.75" hidden="1" customHeight="1">
      <c r="A634" s="2" t="s">
        <v>871</v>
      </c>
      <c r="B634" s="1" t="s">
        <v>58</v>
      </c>
      <c r="C634" s="27">
        <v>45177</v>
      </c>
      <c r="D634" s="27">
        <v>45138</v>
      </c>
      <c r="E634" s="27">
        <v>45139</v>
      </c>
      <c r="F634" s="27">
        <v>45504</v>
      </c>
      <c r="G634" s="13" t="str">
        <f t="shared" si="214"/>
        <v>000-633/AIB RDC/2023</v>
      </c>
      <c r="H634" s="1">
        <v>0</v>
      </c>
      <c r="I634" s="1" t="s">
        <v>83</v>
      </c>
      <c r="J634" s="29" t="s">
        <v>877</v>
      </c>
      <c r="K634" s="1" t="s">
        <v>878</v>
      </c>
      <c r="L634" s="1"/>
      <c r="M634" s="1" t="s">
        <v>99</v>
      </c>
      <c r="N634" s="1" t="s">
        <v>100</v>
      </c>
      <c r="O634" s="1" t="s">
        <v>879</v>
      </c>
      <c r="P634" s="1" t="s">
        <v>112</v>
      </c>
      <c r="Q634" s="1" t="s">
        <v>66</v>
      </c>
      <c r="R634" s="1" t="s">
        <v>880</v>
      </c>
      <c r="S634" s="25">
        <v>5000000</v>
      </c>
      <c r="T634" s="25">
        <v>35026.19</v>
      </c>
      <c r="U634" s="25">
        <v>1704.18</v>
      </c>
      <c r="V634" s="25">
        <v>0</v>
      </c>
      <c r="W634" s="25">
        <v>148.75</v>
      </c>
      <c r="X634" s="25">
        <v>27750</v>
      </c>
      <c r="Y634" s="25">
        <v>4831.2</v>
      </c>
      <c r="Z634" s="17">
        <f t="shared" si="215"/>
        <v>5.5500000000000002E-3</v>
      </c>
      <c r="AA634" s="18">
        <v>2.3299161230195702E-2</v>
      </c>
      <c r="AB634" s="16">
        <v>0</v>
      </c>
      <c r="AC634" s="16">
        <f>U634/1.16</f>
        <v>1469.1206896551726</v>
      </c>
      <c r="AD634" s="16">
        <f>AA634*X634</f>
        <v>646.55172413793071</v>
      </c>
      <c r="AE634" s="16">
        <v>0</v>
      </c>
      <c r="AF634" s="16">
        <f t="shared" si="216"/>
        <v>2115.6724137931033</v>
      </c>
      <c r="AG634" s="16">
        <f t="shared" si="227"/>
        <v>338.50758620689652</v>
      </c>
      <c r="AH634" s="16">
        <f t="shared" si="217"/>
        <v>2454.1799999999998</v>
      </c>
      <c r="AI634" s="16">
        <f t="shared" si="228"/>
        <v>42.313448275862065</v>
      </c>
      <c r="AJ634" s="16">
        <v>0</v>
      </c>
      <c r="AK634" s="16">
        <f t="shared" si="218"/>
        <v>42.313448275862065</v>
      </c>
      <c r="AL634" s="19"/>
      <c r="AM634" s="16">
        <f t="shared" si="226"/>
        <v>2073.3589655172414</v>
      </c>
      <c r="AN634" s="16"/>
      <c r="AO634" s="20"/>
      <c r="AP634" s="16">
        <f t="shared" si="219"/>
        <v>0</v>
      </c>
      <c r="AQ634" s="16"/>
      <c r="AR634" s="15"/>
      <c r="AS634" s="16">
        <f t="shared" si="220"/>
        <v>0</v>
      </c>
      <c r="AT634" s="16"/>
      <c r="AU634" s="16">
        <v>2454.1799999999998</v>
      </c>
      <c r="AV634" s="16">
        <f t="shared" si="230"/>
        <v>2454.1799999999998</v>
      </c>
      <c r="AW634" s="16">
        <f t="shared" si="221"/>
        <v>0</v>
      </c>
      <c r="AX634" s="16" t="str">
        <f t="shared" si="222"/>
        <v>SFA</v>
      </c>
      <c r="AY634" s="22">
        <v>45197</v>
      </c>
      <c r="AZ634" t="s">
        <v>155</v>
      </c>
      <c r="BA634" s="1"/>
      <c r="BB634" s="1"/>
      <c r="BC634" s="1"/>
      <c r="BD634" s="1"/>
      <c r="BE634" s="1"/>
    </row>
    <row r="635" spans="1:57" ht="15.75" hidden="1" customHeight="1">
      <c r="A635" s="2" t="s">
        <v>770</v>
      </c>
      <c r="B635" s="1" t="s">
        <v>58</v>
      </c>
      <c r="C635" s="27">
        <v>45140</v>
      </c>
      <c r="D635" s="27">
        <v>45117</v>
      </c>
      <c r="E635" s="27">
        <v>45117</v>
      </c>
      <c r="F635" s="27">
        <v>45291</v>
      </c>
      <c r="G635" s="13" t="str">
        <f t="shared" si="214"/>
        <v>000-634/AIB RDC/2023</v>
      </c>
      <c r="H635" s="1">
        <v>3</v>
      </c>
      <c r="I635" s="1" t="s">
        <v>443</v>
      </c>
      <c r="J635" s="29" t="s">
        <v>92</v>
      </c>
      <c r="K635" s="1" t="s">
        <v>93</v>
      </c>
      <c r="L635" s="1" t="s">
        <v>94</v>
      </c>
      <c r="M635" s="1" t="s">
        <v>95</v>
      </c>
      <c r="N635" s="1" t="s">
        <v>96</v>
      </c>
      <c r="O635" s="1" t="s">
        <v>65</v>
      </c>
      <c r="P635" s="1" t="s">
        <v>65</v>
      </c>
      <c r="Q635" s="1" t="s">
        <v>76</v>
      </c>
      <c r="R635" s="1" t="s">
        <v>76</v>
      </c>
      <c r="S635" s="25">
        <v>0</v>
      </c>
      <c r="T635" s="25">
        <v>-547</v>
      </c>
      <c r="U635" s="25">
        <v>0</v>
      </c>
      <c r="V635" s="25">
        <v>0</v>
      </c>
      <c r="W635" s="25">
        <v>0</v>
      </c>
      <c r="X635" s="25">
        <v>-471.79</v>
      </c>
      <c r="Y635" s="25">
        <v>-75.5</v>
      </c>
      <c r="Z635" s="17" t="e">
        <f t="shared" si="215"/>
        <v>#DIV/0!</v>
      </c>
      <c r="AA635" s="18">
        <v>0.1</v>
      </c>
      <c r="AB635" s="16">
        <f t="shared" ref="AB635:AB678" si="231">AA635*X635</f>
        <v>-47.179000000000002</v>
      </c>
      <c r="AC635" s="16">
        <v>0</v>
      </c>
      <c r="AD635" s="16">
        <v>0</v>
      </c>
      <c r="AE635" s="16">
        <v>0</v>
      </c>
      <c r="AF635" s="16">
        <f t="shared" si="216"/>
        <v>-47.179000000000002</v>
      </c>
      <c r="AG635" s="16">
        <f t="shared" si="227"/>
        <v>-7.5486400000000007</v>
      </c>
      <c r="AH635" s="16">
        <f t="shared" si="217"/>
        <v>-54.727640000000001</v>
      </c>
      <c r="AI635" s="16">
        <f t="shared" si="228"/>
        <v>-0.94358000000000009</v>
      </c>
      <c r="AJ635" s="16">
        <v>0</v>
      </c>
      <c r="AK635" s="16">
        <f t="shared" si="218"/>
        <v>-0.94358000000000009</v>
      </c>
      <c r="AL635" s="19"/>
      <c r="AM635" s="16">
        <f t="shared" si="226"/>
        <v>-46.235420000000005</v>
      </c>
      <c r="AN635" s="16" t="s">
        <v>77</v>
      </c>
      <c r="AO635" s="20"/>
      <c r="AP635" s="16">
        <f t="shared" si="219"/>
        <v>0</v>
      </c>
      <c r="AQ635" s="16"/>
      <c r="AR635" s="15"/>
      <c r="AS635" s="16">
        <f t="shared" si="220"/>
        <v>0</v>
      </c>
      <c r="AT635" s="16"/>
      <c r="AU635" s="16">
        <v>-54.727640000000001</v>
      </c>
      <c r="AV635" s="16">
        <f t="shared" si="230"/>
        <v>-54.727640000000001</v>
      </c>
      <c r="AW635" s="16">
        <f t="shared" si="221"/>
        <v>0</v>
      </c>
      <c r="AX635" s="16" t="str">
        <f t="shared" si="222"/>
        <v>ACTIVA</v>
      </c>
      <c r="AY635" s="22">
        <v>45170</v>
      </c>
      <c r="AZ635" s="22"/>
      <c r="BA635" s="1"/>
      <c r="BB635" s="22" t="str">
        <f>O635</f>
        <v>MOTOR TPL</v>
      </c>
      <c r="BC635" s="1"/>
      <c r="BD635" s="1"/>
      <c r="BE635" s="1"/>
    </row>
    <row r="636" spans="1:57" ht="15.75" hidden="1" customHeight="1">
      <c r="A636" s="2" t="s">
        <v>770</v>
      </c>
      <c r="B636" s="1" t="s">
        <v>58</v>
      </c>
      <c r="C636" s="27">
        <v>45140</v>
      </c>
      <c r="D636" s="27">
        <v>45135</v>
      </c>
      <c r="E636" s="27">
        <v>45135</v>
      </c>
      <c r="F636" s="27">
        <v>45500</v>
      </c>
      <c r="G636" s="13" t="str">
        <f t="shared" si="214"/>
        <v>000-635/AIB RDC/2023</v>
      </c>
      <c r="H636" s="1">
        <v>0</v>
      </c>
      <c r="I636" s="1" t="s">
        <v>83</v>
      </c>
      <c r="J636" s="29" t="s">
        <v>881</v>
      </c>
      <c r="K636" s="1" t="s">
        <v>882</v>
      </c>
      <c r="L636" s="1"/>
      <c r="M636" s="1" t="s">
        <v>95</v>
      </c>
      <c r="N636" s="1" t="s">
        <v>96</v>
      </c>
      <c r="O636" s="1" t="s">
        <v>65</v>
      </c>
      <c r="P636" s="1" t="s">
        <v>65</v>
      </c>
      <c r="Q636" s="1" t="s">
        <v>66</v>
      </c>
      <c r="R636" s="1" t="s">
        <v>66</v>
      </c>
      <c r="S636" s="25">
        <v>0</v>
      </c>
      <c r="T636" s="25">
        <v>319.37</v>
      </c>
      <c r="U636" s="25">
        <v>0</v>
      </c>
      <c r="V636" s="25">
        <v>0</v>
      </c>
      <c r="W636" s="25">
        <v>11.32</v>
      </c>
      <c r="X636" s="25">
        <v>264</v>
      </c>
      <c r="Y636" s="25">
        <v>44.05</v>
      </c>
      <c r="Z636" s="17" t="e">
        <f t="shared" si="215"/>
        <v>#DIV/0!</v>
      </c>
      <c r="AA636" s="18">
        <v>0.125</v>
      </c>
      <c r="AB636" s="16">
        <f t="shared" si="231"/>
        <v>33</v>
      </c>
      <c r="AC636" s="16">
        <v>0</v>
      </c>
      <c r="AD636" s="16">
        <v>0</v>
      </c>
      <c r="AE636" s="16">
        <v>0</v>
      </c>
      <c r="AF636" s="16">
        <f t="shared" si="216"/>
        <v>33</v>
      </c>
      <c r="AG636" s="16">
        <f t="shared" si="227"/>
        <v>5.28</v>
      </c>
      <c r="AH636" s="16">
        <f t="shared" si="217"/>
        <v>38.28</v>
      </c>
      <c r="AI636" s="16">
        <f t="shared" si="228"/>
        <v>0.66</v>
      </c>
      <c r="AJ636" s="16">
        <v>0</v>
      </c>
      <c r="AK636" s="16">
        <f t="shared" si="218"/>
        <v>0.66</v>
      </c>
      <c r="AL636" s="19"/>
      <c r="AM636" s="16">
        <f t="shared" si="226"/>
        <v>32.340000000000003</v>
      </c>
      <c r="AN636" s="16"/>
      <c r="AO636" s="20"/>
      <c r="AP636" s="16">
        <f t="shared" si="219"/>
        <v>0</v>
      </c>
      <c r="AQ636" s="16"/>
      <c r="AR636" s="15"/>
      <c r="AS636" s="16">
        <f t="shared" si="220"/>
        <v>0</v>
      </c>
      <c r="AT636" s="16"/>
      <c r="AU636" s="16">
        <v>38.28</v>
      </c>
      <c r="AV636" s="16">
        <f t="shared" si="230"/>
        <v>38.28</v>
      </c>
      <c r="AW636" s="16">
        <f t="shared" si="221"/>
        <v>0</v>
      </c>
      <c r="AX636" s="16" t="str">
        <f t="shared" si="222"/>
        <v>SFA</v>
      </c>
      <c r="AY636" s="22">
        <v>45197</v>
      </c>
      <c r="AZ636" t="s">
        <v>155</v>
      </c>
      <c r="BA636" s="1"/>
      <c r="BB636" s="1"/>
      <c r="BC636" s="1"/>
      <c r="BD636" s="1"/>
      <c r="BE636" s="1"/>
    </row>
    <row r="637" spans="1:57" ht="15.75" hidden="1" customHeight="1">
      <c r="A637" s="2" t="s">
        <v>770</v>
      </c>
      <c r="B637" s="1" t="s">
        <v>58</v>
      </c>
      <c r="C637" s="27">
        <v>45140</v>
      </c>
      <c r="D637" s="27">
        <v>45138</v>
      </c>
      <c r="E637" s="27">
        <v>45138</v>
      </c>
      <c r="F637" s="27">
        <v>45310</v>
      </c>
      <c r="G637" s="13" t="str">
        <f t="shared" si="214"/>
        <v>000-636/AIB RDC/2023</v>
      </c>
      <c r="H637" s="1">
        <v>23</v>
      </c>
      <c r="I637" s="1" t="s">
        <v>59</v>
      </c>
      <c r="J637" s="46" t="s">
        <v>153</v>
      </c>
      <c r="K637" s="1" t="s">
        <v>154</v>
      </c>
      <c r="L637" s="1"/>
      <c r="M637" s="1" t="s">
        <v>95</v>
      </c>
      <c r="N637" s="1" t="s">
        <v>96</v>
      </c>
      <c r="O637" s="1" t="s">
        <v>65</v>
      </c>
      <c r="P637" s="1" t="s">
        <v>65</v>
      </c>
      <c r="Q637" s="1" t="s">
        <v>66</v>
      </c>
      <c r="R637" s="1" t="s">
        <v>66</v>
      </c>
      <c r="S637" s="25"/>
      <c r="T637" s="25">
        <v>202.71</v>
      </c>
      <c r="U637" s="25">
        <v>0</v>
      </c>
      <c r="V637" s="25">
        <v>0</v>
      </c>
      <c r="W637" s="25">
        <v>7.89</v>
      </c>
      <c r="X637" s="25">
        <v>166.86</v>
      </c>
      <c r="Y637" s="25">
        <v>27.96</v>
      </c>
      <c r="Z637" s="17" t="e">
        <f t="shared" si="215"/>
        <v>#DIV/0!</v>
      </c>
      <c r="AA637" s="18">
        <v>0.1</v>
      </c>
      <c r="AB637" s="16">
        <f t="shared" si="231"/>
        <v>16.686000000000003</v>
      </c>
      <c r="AC637" s="16">
        <v>0</v>
      </c>
      <c r="AD637" s="16">
        <v>0</v>
      </c>
      <c r="AE637" s="16">
        <v>0</v>
      </c>
      <c r="AF637" s="16">
        <f t="shared" si="216"/>
        <v>16.686000000000003</v>
      </c>
      <c r="AG637" s="16">
        <f t="shared" si="227"/>
        <v>2.6697600000000006</v>
      </c>
      <c r="AH637" s="16">
        <f t="shared" si="217"/>
        <v>19.355760000000004</v>
      </c>
      <c r="AI637" s="16">
        <f t="shared" si="228"/>
        <v>0.33372000000000007</v>
      </c>
      <c r="AJ637" s="16">
        <v>0</v>
      </c>
      <c r="AK637" s="16">
        <f t="shared" si="218"/>
        <v>0.33372000000000007</v>
      </c>
      <c r="AL637" s="19"/>
      <c r="AM637" s="16">
        <f t="shared" si="226"/>
        <v>16.352280000000004</v>
      </c>
      <c r="AN637" s="16"/>
      <c r="AO637" s="20"/>
      <c r="AP637" s="16">
        <f t="shared" si="219"/>
        <v>0</v>
      </c>
      <c r="AQ637" s="16"/>
      <c r="AR637" s="15"/>
      <c r="AS637" s="16">
        <f t="shared" si="220"/>
        <v>0</v>
      </c>
      <c r="AT637" s="16"/>
      <c r="AU637" s="16">
        <v>19.355760000000004</v>
      </c>
      <c r="AV637" s="16">
        <f t="shared" si="230"/>
        <v>19.355760000000004</v>
      </c>
      <c r="AW637" s="16">
        <f t="shared" si="221"/>
        <v>0</v>
      </c>
      <c r="AX637" s="16" t="str">
        <f t="shared" si="222"/>
        <v>SFA</v>
      </c>
      <c r="AY637" s="22">
        <v>45163</v>
      </c>
      <c r="AZ637" s="22"/>
      <c r="BA637" s="1"/>
      <c r="BB637" s="1"/>
      <c r="BC637" s="1"/>
      <c r="BD637" s="1"/>
      <c r="BE637" s="1"/>
    </row>
    <row r="638" spans="1:57" ht="15.75" hidden="1" customHeight="1">
      <c r="A638" s="2" t="s">
        <v>770</v>
      </c>
      <c r="B638" s="1" t="s">
        <v>58</v>
      </c>
      <c r="C638" s="27">
        <v>45140</v>
      </c>
      <c r="D638" s="27">
        <v>45117</v>
      </c>
      <c r="E638" s="27">
        <v>45116</v>
      </c>
      <c r="F638" s="27">
        <v>45480</v>
      </c>
      <c r="G638" s="13" t="str">
        <f t="shared" si="214"/>
        <v>000-637/AIB RDC/2023</v>
      </c>
      <c r="H638" s="1">
        <v>0</v>
      </c>
      <c r="I638" s="1" t="s">
        <v>83</v>
      </c>
      <c r="J638" s="46" t="s">
        <v>883</v>
      </c>
      <c r="K638" s="2" t="s">
        <v>447</v>
      </c>
      <c r="L638" s="1"/>
      <c r="M638" s="1" t="s">
        <v>95</v>
      </c>
      <c r="N638" s="1" t="s">
        <v>96</v>
      </c>
      <c r="O638" s="1" t="s">
        <v>111</v>
      </c>
      <c r="P638" s="1" t="s">
        <v>112</v>
      </c>
      <c r="Q638" s="1" t="s">
        <v>66</v>
      </c>
      <c r="R638" s="1" t="s">
        <v>66</v>
      </c>
      <c r="S638" s="25">
        <v>0</v>
      </c>
      <c r="T638" s="25">
        <v>2912.76</v>
      </c>
      <c r="U638" s="25">
        <v>189.1</v>
      </c>
      <c r="V638" s="25">
        <v>0</v>
      </c>
      <c r="W638" s="25">
        <v>71.900000000000006</v>
      </c>
      <c r="X638" s="25">
        <v>2250</v>
      </c>
      <c r="Y638" s="25">
        <v>401.76</v>
      </c>
      <c r="Z638" s="17" t="e">
        <f t="shared" si="215"/>
        <v>#DIV/0!</v>
      </c>
      <c r="AA638" s="18">
        <v>0.15</v>
      </c>
      <c r="AB638" s="16">
        <f t="shared" si="231"/>
        <v>337.5</v>
      </c>
      <c r="AC638" s="16">
        <v>0</v>
      </c>
      <c r="AD638" s="16">
        <v>0</v>
      </c>
      <c r="AE638" s="16">
        <v>0</v>
      </c>
      <c r="AF638" s="16">
        <f t="shared" si="216"/>
        <v>337.5</v>
      </c>
      <c r="AG638" s="16">
        <f t="shared" si="227"/>
        <v>54</v>
      </c>
      <c r="AH638" s="16">
        <f t="shared" si="217"/>
        <v>391.5</v>
      </c>
      <c r="AI638" s="16">
        <f t="shared" si="228"/>
        <v>6.75</v>
      </c>
      <c r="AJ638" s="16">
        <v>0</v>
      </c>
      <c r="AK638" s="16">
        <f t="shared" si="218"/>
        <v>6.75</v>
      </c>
      <c r="AL638" s="19"/>
      <c r="AM638" s="16">
        <f t="shared" si="226"/>
        <v>330.75</v>
      </c>
      <c r="AN638" s="16"/>
      <c r="AO638" s="20"/>
      <c r="AP638" s="16">
        <f t="shared" si="219"/>
        <v>0</v>
      </c>
      <c r="AQ638" s="16"/>
      <c r="AR638" s="15"/>
      <c r="AS638" s="16">
        <f t="shared" si="220"/>
        <v>0</v>
      </c>
      <c r="AT638" s="16"/>
      <c r="AU638" s="16">
        <v>391.5</v>
      </c>
      <c r="AV638" s="16">
        <f t="shared" si="230"/>
        <v>391.5</v>
      </c>
      <c r="AW638" s="16">
        <f t="shared" si="221"/>
        <v>0</v>
      </c>
      <c r="AX638" s="16" t="str">
        <f t="shared" si="222"/>
        <v>SFA</v>
      </c>
      <c r="AY638" s="22">
        <v>45163</v>
      </c>
      <c r="AZ638" s="22"/>
      <c r="BA638" s="1"/>
      <c r="BB638" s="1"/>
      <c r="BC638" s="1"/>
      <c r="BD638" s="1"/>
      <c r="BE638" s="1"/>
    </row>
    <row r="639" spans="1:57" ht="15.75" hidden="1" customHeight="1">
      <c r="A639" s="2" t="s">
        <v>770</v>
      </c>
      <c r="B639" s="1" t="s">
        <v>169</v>
      </c>
      <c r="C639" s="27">
        <v>45140</v>
      </c>
      <c r="D639" s="27">
        <v>45121</v>
      </c>
      <c r="E639" s="27">
        <v>45124</v>
      </c>
      <c r="F639" s="27">
        <v>45489</v>
      </c>
      <c r="G639" s="13" t="str">
        <f t="shared" si="214"/>
        <v>000-638/AIB RDC/2023</v>
      </c>
      <c r="H639" s="1">
        <v>2</v>
      </c>
      <c r="I639" s="1" t="s">
        <v>68</v>
      </c>
      <c r="J639" s="29" t="s">
        <v>884</v>
      </c>
      <c r="K639" s="1" t="s">
        <v>885</v>
      </c>
      <c r="L639" s="1"/>
      <c r="M639" s="1" t="s">
        <v>95</v>
      </c>
      <c r="N639" s="1" t="s">
        <v>71</v>
      </c>
      <c r="O639" s="1" t="s">
        <v>107</v>
      </c>
      <c r="P639" s="1" t="s">
        <v>108</v>
      </c>
      <c r="Q639" s="1" t="s">
        <v>127</v>
      </c>
      <c r="R639" s="1" t="s">
        <v>127</v>
      </c>
      <c r="S639" s="25"/>
      <c r="T639" s="25">
        <v>4474</v>
      </c>
      <c r="U639" s="25">
        <v>0</v>
      </c>
      <c r="V639" s="25">
        <v>0</v>
      </c>
      <c r="W639" s="25">
        <v>50</v>
      </c>
      <c r="X639" s="25">
        <v>3741</v>
      </c>
      <c r="Y639" s="25">
        <v>607</v>
      </c>
      <c r="Z639" s="17" t="e">
        <f t="shared" si="215"/>
        <v>#DIV/0!</v>
      </c>
      <c r="AA639" s="18">
        <v>0.15</v>
      </c>
      <c r="AB639" s="16">
        <f t="shared" si="231"/>
        <v>561.15</v>
      </c>
      <c r="AC639" s="16">
        <v>0</v>
      </c>
      <c r="AD639" s="16">
        <v>0</v>
      </c>
      <c r="AE639" s="16">
        <v>0</v>
      </c>
      <c r="AF639" s="16">
        <f t="shared" si="216"/>
        <v>561.15</v>
      </c>
      <c r="AG639" s="16">
        <f t="shared" si="227"/>
        <v>89.783999999999992</v>
      </c>
      <c r="AH639" s="16">
        <f t="shared" si="217"/>
        <v>650.93399999999997</v>
      </c>
      <c r="AI639" s="16">
        <f t="shared" si="228"/>
        <v>11.222999999999999</v>
      </c>
      <c r="AJ639" s="16">
        <v>0</v>
      </c>
      <c r="AK639" s="16">
        <f t="shared" si="218"/>
        <v>11.222999999999999</v>
      </c>
      <c r="AL639" s="19"/>
      <c r="AM639" s="16">
        <f t="shared" si="226"/>
        <v>549.92700000000002</v>
      </c>
      <c r="AN639" s="16"/>
      <c r="AO639" s="20"/>
      <c r="AP639" s="16">
        <f t="shared" si="219"/>
        <v>0</v>
      </c>
      <c r="AQ639" s="16"/>
      <c r="AR639" s="15"/>
      <c r="AS639" s="16">
        <f t="shared" si="220"/>
        <v>0</v>
      </c>
      <c r="AT639" s="16"/>
      <c r="AU639" s="16">
        <v>650.93399999999997</v>
      </c>
      <c r="AV639" s="16">
        <f t="shared" si="230"/>
        <v>650.93399999999997</v>
      </c>
      <c r="AW639" s="16">
        <f t="shared" si="221"/>
        <v>0</v>
      </c>
      <c r="AX639" s="16" t="str">
        <f t="shared" si="222"/>
        <v>MAYFAIR</v>
      </c>
      <c r="AY639" s="22">
        <v>45169</v>
      </c>
      <c r="AZ639" s="22"/>
      <c r="BA639" s="1"/>
      <c r="BB639" s="1"/>
      <c r="BC639" s="1"/>
      <c r="BD639" s="1"/>
      <c r="BE639" s="1"/>
    </row>
    <row r="640" spans="1:57" ht="15.75" hidden="1" customHeight="1">
      <c r="A640" s="2" t="s">
        <v>770</v>
      </c>
      <c r="B640" s="1" t="s">
        <v>169</v>
      </c>
      <c r="C640" s="27">
        <v>45140</v>
      </c>
      <c r="D640" s="27">
        <v>45121</v>
      </c>
      <c r="E640" s="27">
        <v>45124</v>
      </c>
      <c r="F640" s="27">
        <v>45489</v>
      </c>
      <c r="G640" s="13" t="str">
        <f t="shared" si="214"/>
        <v>000-639/AIB RDC/2023</v>
      </c>
      <c r="H640" s="1">
        <v>2</v>
      </c>
      <c r="I640" s="1" t="s">
        <v>68</v>
      </c>
      <c r="J640" s="29" t="s">
        <v>886</v>
      </c>
      <c r="K640" s="1" t="s">
        <v>885</v>
      </c>
      <c r="L640" s="1"/>
      <c r="M640" s="1" t="s">
        <v>95</v>
      </c>
      <c r="N640" s="1" t="s">
        <v>71</v>
      </c>
      <c r="O640" s="1" t="s">
        <v>284</v>
      </c>
      <c r="P640" s="1" t="s">
        <v>285</v>
      </c>
      <c r="Q640" s="1" t="s">
        <v>127</v>
      </c>
      <c r="R640" s="1" t="s">
        <v>127</v>
      </c>
      <c r="S640" s="25"/>
      <c r="T640" s="25">
        <v>13986.46</v>
      </c>
      <c r="U640" s="25">
        <v>0</v>
      </c>
      <c r="V640" s="25">
        <v>0</v>
      </c>
      <c r="W640" s="25">
        <v>50</v>
      </c>
      <c r="X640" s="25">
        <v>11679</v>
      </c>
      <c r="Y640" s="25">
        <v>1879.52</v>
      </c>
      <c r="Z640" s="17" t="e">
        <f t="shared" si="215"/>
        <v>#DIV/0!</v>
      </c>
      <c r="AA640" s="18">
        <v>0.15</v>
      </c>
      <c r="AB640" s="16">
        <f t="shared" si="231"/>
        <v>1751.85</v>
      </c>
      <c r="AC640" s="16">
        <v>0</v>
      </c>
      <c r="AD640" s="16">
        <v>0</v>
      </c>
      <c r="AE640" s="16">
        <v>0</v>
      </c>
      <c r="AF640" s="16">
        <f t="shared" si="216"/>
        <v>1751.85</v>
      </c>
      <c r="AG640" s="16">
        <f t="shared" si="227"/>
        <v>280.29599999999999</v>
      </c>
      <c r="AH640" s="16">
        <f t="shared" si="217"/>
        <v>2032.146</v>
      </c>
      <c r="AI640" s="16">
        <f t="shared" si="228"/>
        <v>35.036999999999999</v>
      </c>
      <c r="AJ640" s="16">
        <v>0</v>
      </c>
      <c r="AK640" s="16">
        <f t="shared" si="218"/>
        <v>35.036999999999999</v>
      </c>
      <c r="AL640" s="19"/>
      <c r="AM640" s="16">
        <f t="shared" si="226"/>
        <v>1716.8129999999999</v>
      </c>
      <c r="AN640" s="16"/>
      <c r="AO640" s="20"/>
      <c r="AP640" s="16">
        <f t="shared" si="219"/>
        <v>0</v>
      </c>
      <c r="AQ640" s="16"/>
      <c r="AR640" s="15"/>
      <c r="AS640" s="16">
        <f t="shared" si="220"/>
        <v>0</v>
      </c>
      <c r="AT640" s="16"/>
      <c r="AU640" s="16">
        <v>2032.146</v>
      </c>
      <c r="AV640" s="16">
        <f t="shared" si="230"/>
        <v>2032.146</v>
      </c>
      <c r="AW640" s="16">
        <f t="shared" si="221"/>
        <v>0</v>
      </c>
      <c r="AX640" s="16" t="str">
        <f t="shared" si="222"/>
        <v>MAYFAIR</v>
      </c>
      <c r="AY640" s="22">
        <v>45169</v>
      </c>
      <c r="AZ640" s="22"/>
      <c r="BA640" s="1"/>
      <c r="BB640" s="1"/>
      <c r="BC640" s="1"/>
      <c r="BD640" s="1"/>
      <c r="BE640" s="1"/>
    </row>
    <row r="641" spans="1:57" ht="15.75" hidden="1" customHeight="1">
      <c r="A641" s="2" t="s">
        <v>770</v>
      </c>
      <c r="B641" s="1" t="s">
        <v>169</v>
      </c>
      <c r="C641" s="27">
        <v>45140</v>
      </c>
      <c r="D641" s="27">
        <v>45121</v>
      </c>
      <c r="E641" s="27">
        <v>45124</v>
      </c>
      <c r="F641" s="27">
        <v>45489</v>
      </c>
      <c r="G641" s="13" t="str">
        <f t="shared" si="214"/>
        <v>000-640/AIB RDC/2023</v>
      </c>
      <c r="H641" s="1">
        <v>2</v>
      </c>
      <c r="I641" s="1" t="s">
        <v>68</v>
      </c>
      <c r="J641" s="29" t="s">
        <v>887</v>
      </c>
      <c r="K641" s="1" t="s">
        <v>885</v>
      </c>
      <c r="L641" s="1"/>
      <c r="M641" s="1" t="s">
        <v>95</v>
      </c>
      <c r="N641" s="1" t="s">
        <v>71</v>
      </c>
      <c r="O641" s="1" t="s">
        <v>385</v>
      </c>
      <c r="P641" s="1" t="s">
        <v>112</v>
      </c>
      <c r="Q641" s="1" t="s">
        <v>127</v>
      </c>
      <c r="R641" s="1" t="s">
        <v>127</v>
      </c>
      <c r="S641" s="25"/>
      <c r="T641" s="25">
        <v>613.6</v>
      </c>
      <c r="U641" s="25">
        <v>0</v>
      </c>
      <c r="V641" s="25">
        <v>0</v>
      </c>
      <c r="W641" s="25">
        <v>20</v>
      </c>
      <c r="X641" s="25">
        <v>500</v>
      </c>
      <c r="Y641" s="25">
        <v>83.2</v>
      </c>
      <c r="Z641" s="17" t="e">
        <f t="shared" si="215"/>
        <v>#DIV/0!</v>
      </c>
      <c r="AA641" s="18">
        <v>0.1</v>
      </c>
      <c r="AB641" s="16">
        <f t="shared" si="231"/>
        <v>50</v>
      </c>
      <c r="AC641" s="16">
        <v>0</v>
      </c>
      <c r="AD641" s="16">
        <v>0</v>
      </c>
      <c r="AE641" s="16">
        <v>0</v>
      </c>
      <c r="AF641" s="16">
        <f t="shared" si="216"/>
        <v>50</v>
      </c>
      <c r="AG641" s="16">
        <f t="shared" si="227"/>
        <v>8</v>
      </c>
      <c r="AH641" s="16">
        <f t="shared" si="217"/>
        <v>58</v>
      </c>
      <c r="AI641" s="16">
        <f t="shared" si="228"/>
        <v>1</v>
      </c>
      <c r="AJ641" s="16">
        <v>0</v>
      </c>
      <c r="AK641" s="16">
        <f t="shared" si="218"/>
        <v>1</v>
      </c>
      <c r="AL641" s="19"/>
      <c r="AM641" s="16">
        <f t="shared" si="226"/>
        <v>49</v>
      </c>
      <c r="AN641" s="16"/>
      <c r="AO641" s="20"/>
      <c r="AP641" s="16">
        <f t="shared" si="219"/>
        <v>0</v>
      </c>
      <c r="AQ641" s="16"/>
      <c r="AR641" s="15"/>
      <c r="AS641" s="16">
        <f t="shared" si="220"/>
        <v>0</v>
      </c>
      <c r="AT641" s="16"/>
      <c r="AU641" s="16">
        <v>58</v>
      </c>
      <c r="AV641" s="16">
        <f t="shared" si="230"/>
        <v>58</v>
      </c>
      <c r="AW641" s="16">
        <f t="shared" si="221"/>
        <v>0</v>
      </c>
      <c r="AX641" s="16" t="str">
        <f t="shared" si="222"/>
        <v>MAYFAIR</v>
      </c>
      <c r="AY641" s="22">
        <v>45169</v>
      </c>
      <c r="AZ641" s="22"/>
      <c r="BA641" s="1"/>
      <c r="BB641" s="1"/>
      <c r="BC641" s="1"/>
      <c r="BD641" s="1"/>
      <c r="BE641" s="1"/>
    </row>
    <row r="642" spans="1:57" ht="15.75" hidden="1" customHeight="1">
      <c r="A642" s="2" t="s">
        <v>770</v>
      </c>
      <c r="B642" s="1" t="s">
        <v>169</v>
      </c>
      <c r="C642" s="27">
        <v>45140</v>
      </c>
      <c r="D642" s="27">
        <v>45133</v>
      </c>
      <c r="E642" s="27">
        <v>45127</v>
      </c>
      <c r="F642" s="27">
        <v>45492</v>
      </c>
      <c r="G642" s="13" t="str">
        <f t="shared" si="214"/>
        <v>000-641/AIB RDC/2023</v>
      </c>
      <c r="H642" s="1">
        <v>0</v>
      </c>
      <c r="I642" s="1" t="s">
        <v>83</v>
      </c>
      <c r="J642" s="29" t="s">
        <v>888</v>
      </c>
      <c r="K642" s="1" t="s">
        <v>496</v>
      </c>
      <c r="L642" s="1"/>
      <c r="M642" s="1" t="s">
        <v>95</v>
      </c>
      <c r="N642" s="1" t="s">
        <v>96</v>
      </c>
      <c r="O642" s="1" t="s">
        <v>111</v>
      </c>
      <c r="P642" s="1" t="s">
        <v>112</v>
      </c>
      <c r="Q642" s="1" t="s">
        <v>127</v>
      </c>
      <c r="R642" s="1" t="s">
        <v>127</v>
      </c>
      <c r="S642" s="25"/>
      <c r="T642" s="25">
        <v>4194</v>
      </c>
      <c r="U642" s="25">
        <v>0</v>
      </c>
      <c r="V642" s="25">
        <v>0</v>
      </c>
      <c r="W642" s="25">
        <v>50</v>
      </c>
      <c r="X642" s="25">
        <v>3504</v>
      </c>
      <c r="Y642" s="25">
        <v>569</v>
      </c>
      <c r="Z642" s="17" t="e">
        <f t="shared" si="215"/>
        <v>#DIV/0!</v>
      </c>
      <c r="AA642" s="18">
        <v>0.1</v>
      </c>
      <c r="AB642" s="16">
        <f t="shared" si="231"/>
        <v>350.40000000000003</v>
      </c>
      <c r="AC642" s="16">
        <v>0</v>
      </c>
      <c r="AD642" s="16">
        <v>0</v>
      </c>
      <c r="AE642" s="16">
        <v>0</v>
      </c>
      <c r="AF642" s="16">
        <f t="shared" si="216"/>
        <v>350.40000000000003</v>
      </c>
      <c r="AG642" s="16">
        <f t="shared" si="227"/>
        <v>56.064000000000007</v>
      </c>
      <c r="AH642" s="16">
        <f t="shared" si="217"/>
        <v>406.46400000000006</v>
      </c>
      <c r="AI642" s="16">
        <f t="shared" si="228"/>
        <v>7.0080000000000009</v>
      </c>
      <c r="AJ642" s="16">
        <v>0</v>
      </c>
      <c r="AK642" s="16">
        <f t="shared" si="218"/>
        <v>7.0080000000000009</v>
      </c>
      <c r="AL642" s="19"/>
      <c r="AM642" s="16">
        <f t="shared" si="226"/>
        <v>343.39200000000005</v>
      </c>
      <c r="AN642" s="16"/>
      <c r="AO642" s="20"/>
      <c r="AP642" s="16">
        <f t="shared" si="219"/>
        <v>0</v>
      </c>
      <c r="AQ642" s="16"/>
      <c r="AR642" s="15"/>
      <c r="AS642" s="16">
        <f t="shared" si="220"/>
        <v>0</v>
      </c>
      <c r="AT642" s="16"/>
      <c r="AU642" s="16">
        <v>406.46400000000006</v>
      </c>
      <c r="AV642" s="16">
        <f t="shared" si="230"/>
        <v>406.46400000000006</v>
      </c>
      <c r="AW642" s="16">
        <f t="shared" si="221"/>
        <v>0</v>
      </c>
      <c r="AX642" s="16" t="str">
        <f t="shared" si="222"/>
        <v>MAYFAIR</v>
      </c>
      <c r="AY642" s="22">
        <v>45169</v>
      </c>
      <c r="AZ642" s="22"/>
      <c r="BA642" s="1"/>
      <c r="BB642" s="1"/>
      <c r="BC642" s="1"/>
      <c r="BD642" s="1"/>
      <c r="BE642" s="1"/>
    </row>
    <row r="643" spans="1:57" ht="15.75" hidden="1" customHeight="1">
      <c r="A643" s="2" t="s">
        <v>770</v>
      </c>
      <c r="B643" s="1" t="s">
        <v>58</v>
      </c>
      <c r="C643" s="27">
        <v>45140</v>
      </c>
      <c r="D643" s="27">
        <v>45136</v>
      </c>
      <c r="E643" s="27">
        <v>45116</v>
      </c>
      <c r="F643" s="27">
        <v>45283</v>
      </c>
      <c r="G643" s="13" t="str">
        <f t="shared" si="214"/>
        <v>000-642/AIB RDC/2023</v>
      </c>
      <c r="H643" s="1">
        <v>0</v>
      </c>
      <c r="I643" s="1" t="s">
        <v>83</v>
      </c>
      <c r="J643" s="46" t="s">
        <v>889</v>
      </c>
      <c r="K643" s="1" t="s">
        <v>496</v>
      </c>
      <c r="L643" s="1"/>
      <c r="M643" s="1" t="s">
        <v>95</v>
      </c>
      <c r="N643" s="1" t="s">
        <v>96</v>
      </c>
      <c r="O643" s="1" t="s">
        <v>233</v>
      </c>
      <c r="P643" s="1" t="s">
        <v>234</v>
      </c>
      <c r="Q643" s="1" t="s">
        <v>66</v>
      </c>
      <c r="R643" s="1" t="s">
        <v>66</v>
      </c>
      <c r="S643" s="25"/>
      <c r="T643" s="25">
        <v>1397.75</v>
      </c>
      <c r="U643" s="25">
        <v>0</v>
      </c>
      <c r="V643" s="25">
        <v>0</v>
      </c>
      <c r="W643" s="25">
        <v>39.46</v>
      </c>
      <c r="X643" s="25">
        <v>1165.5</v>
      </c>
      <c r="Y643" s="25">
        <v>192.79</v>
      </c>
      <c r="Z643" s="17" t="e">
        <f t="shared" si="215"/>
        <v>#DIV/0!</v>
      </c>
      <c r="AA643" s="18">
        <v>0.15</v>
      </c>
      <c r="AB643" s="16">
        <f t="shared" si="231"/>
        <v>174.82499999999999</v>
      </c>
      <c r="AC643" s="16">
        <v>0</v>
      </c>
      <c r="AD643" s="16">
        <v>0</v>
      </c>
      <c r="AE643" s="16">
        <v>0</v>
      </c>
      <c r="AF643" s="16">
        <f t="shared" si="216"/>
        <v>174.82499999999999</v>
      </c>
      <c r="AG643" s="16">
        <f t="shared" si="227"/>
        <v>27.971999999999998</v>
      </c>
      <c r="AH643" s="16">
        <f t="shared" si="217"/>
        <v>202.797</v>
      </c>
      <c r="AI643" s="16">
        <f t="shared" si="228"/>
        <v>3.4964999999999997</v>
      </c>
      <c r="AJ643" s="16">
        <v>0</v>
      </c>
      <c r="AK643" s="16">
        <f t="shared" si="218"/>
        <v>3.4964999999999997</v>
      </c>
      <c r="AL643" s="19"/>
      <c r="AM643" s="16">
        <f t="shared" si="226"/>
        <v>171.32849999999999</v>
      </c>
      <c r="AN643" s="16"/>
      <c r="AO643" s="20"/>
      <c r="AP643" s="16">
        <f t="shared" si="219"/>
        <v>0</v>
      </c>
      <c r="AQ643" s="16"/>
      <c r="AR643" s="15"/>
      <c r="AS643" s="16">
        <f t="shared" si="220"/>
        <v>0</v>
      </c>
      <c r="AT643" s="16"/>
      <c r="AU643" s="16">
        <v>202.797</v>
      </c>
      <c r="AV643" s="16">
        <f t="shared" si="230"/>
        <v>202.797</v>
      </c>
      <c r="AW643" s="16">
        <f t="shared" si="221"/>
        <v>0</v>
      </c>
      <c r="AX643" s="16" t="str">
        <f t="shared" si="222"/>
        <v>SFA</v>
      </c>
      <c r="AY643" s="22">
        <v>45163</v>
      </c>
      <c r="AZ643" s="22"/>
      <c r="BA643" s="1"/>
      <c r="BB643" s="1"/>
      <c r="BC643" s="1"/>
      <c r="BD643" s="1"/>
      <c r="BE643" s="1"/>
    </row>
    <row r="644" spans="1:57" ht="15.75" hidden="1" customHeight="1">
      <c r="A644" s="2" t="s">
        <v>770</v>
      </c>
      <c r="B644" s="1" t="s">
        <v>58</v>
      </c>
      <c r="C644" s="27">
        <v>45140</v>
      </c>
      <c r="D644" s="27">
        <v>45135</v>
      </c>
      <c r="E644" s="27">
        <v>45135</v>
      </c>
      <c r="F644" s="27">
        <v>45500</v>
      </c>
      <c r="G644" s="13" t="str">
        <f t="shared" si="214"/>
        <v>000-643/AIB RDC/2023</v>
      </c>
      <c r="H644" s="1">
        <v>0</v>
      </c>
      <c r="I644" s="1" t="s">
        <v>83</v>
      </c>
      <c r="J644" s="46" t="s">
        <v>890</v>
      </c>
      <c r="K644" s="1" t="s">
        <v>638</v>
      </c>
      <c r="L644" s="1"/>
      <c r="M644" s="1" t="s">
        <v>95</v>
      </c>
      <c r="N644" s="1" t="s">
        <v>96</v>
      </c>
      <c r="O644" s="1" t="s">
        <v>104</v>
      </c>
      <c r="P644" s="1" t="s">
        <v>105</v>
      </c>
      <c r="Q644" s="1" t="s">
        <v>66</v>
      </c>
      <c r="R644" s="1" t="s">
        <v>66</v>
      </c>
      <c r="S644" s="25">
        <v>0</v>
      </c>
      <c r="T644" s="25">
        <v>900.72</v>
      </c>
      <c r="U644" s="25">
        <v>0</v>
      </c>
      <c r="V644" s="25">
        <v>0</v>
      </c>
      <c r="W644" s="25">
        <v>26.48</v>
      </c>
      <c r="X644" s="25">
        <v>750</v>
      </c>
      <c r="Y644" s="25">
        <v>124.24</v>
      </c>
      <c r="Z644" s="17" t="e">
        <f t="shared" si="215"/>
        <v>#DIV/0!</v>
      </c>
      <c r="AA644" s="18">
        <v>0.15</v>
      </c>
      <c r="AB644" s="16">
        <f t="shared" si="231"/>
        <v>112.5</v>
      </c>
      <c r="AC644" s="16">
        <v>0</v>
      </c>
      <c r="AD644" s="16">
        <v>0</v>
      </c>
      <c r="AE644" s="16">
        <v>0</v>
      </c>
      <c r="AF644" s="16">
        <f t="shared" si="216"/>
        <v>112.5</v>
      </c>
      <c r="AG644" s="16">
        <f t="shared" si="227"/>
        <v>18</v>
      </c>
      <c r="AH644" s="16">
        <f t="shared" si="217"/>
        <v>130.5</v>
      </c>
      <c r="AI644" s="16">
        <f t="shared" si="228"/>
        <v>2.25</v>
      </c>
      <c r="AJ644" s="16">
        <v>0</v>
      </c>
      <c r="AK644" s="16">
        <f t="shared" si="218"/>
        <v>2.25</v>
      </c>
      <c r="AL644" s="19"/>
      <c r="AM644" s="16">
        <f t="shared" si="226"/>
        <v>110.25</v>
      </c>
      <c r="AN644" s="16"/>
      <c r="AO644" s="20"/>
      <c r="AP644" s="16">
        <f t="shared" si="219"/>
        <v>0</v>
      </c>
      <c r="AQ644" s="16"/>
      <c r="AR644" s="15"/>
      <c r="AS644" s="16">
        <f t="shared" si="220"/>
        <v>0</v>
      </c>
      <c r="AT644" s="16"/>
      <c r="AU644" s="16">
        <v>130.5</v>
      </c>
      <c r="AV644" s="16">
        <f t="shared" si="230"/>
        <v>130.5</v>
      </c>
      <c r="AW644" s="16">
        <f t="shared" si="221"/>
        <v>0</v>
      </c>
      <c r="AX644" s="16" t="str">
        <f t="shared" si="222"/>
        <v>SFA</v>
      </c>
      <c r="AY644" s="22">
        <v>45163</v>
      </c>
      <c r="AZ644" s="22"/>
      <c r="BA644" s="1"/>
      <c r="BB644" s="1"/>
      <c r="BC644" s="1"/>
      <c r="BD644" s="1"/>
      <c r="BE644" s="1"/>
    </row>
    <row r="645" spans="1:57" ht="15.75" hidden="1" customHeight="1">
      <c r="A645" s="2" t="s">
        <v>770</v>
      </c>
      <c r="B645" s="1" t="s">
        <v>58</v>
      </c>
      <c r="C645" s="27">
        <v>45140</v>
      </c>
      <c r="D645" s="27">
        <v>45135</v>
      </c>
      <c r="E645" s="27">
        <v>45135</v>
      </c>
      <c r="F645" s="27">
        <v>45500</v>
      </c>
      <c r="G645" s="13" t="str">
        <f t="shared" si="214"/>
        <v>000-644/AIB RDC/2023</v>
      </c>
      <c r="H645" s="1">
        <v>0</v>
      </c>
      <c r="I645" s="1" t="s">
        <v>83</v>
      </c>
      <c r="J645" s="46" t="s">
        <v>891</v>
      </c>
      <c r="K645" s="1" t="s">
        <v>638</v>
      </c>
      <c r="L645" s="1"/>
      <c r="M645" s="1" t="s">
        <v>95</v>
      </c>
      <c r="N645" s="1" t="s">
        <v>96</v>
      </c>
      <c r="O645" s="1" t="s">
        <v>104</v>
      </c>
      <c r="P645" s="1" t="s">
        <v>105</v>
      </c>
      <c r="Q645" s="1" t="s">
        <v>66</v>
      </c>
      <c r="R645" s="1" t="s">
        <v>66</v>
      </c>
      <c r="S645" s="25">
        <v>0</v>
      </c>
      <c r="T645" s="25">
        <v>1020.81</v>
      </c>
      <c r="U645" s="25">
        <v>0</v>
      </c>
      <c r="V645" s="25">
        <v>0</v>
      </c>
      <c r="W645" s="25">
        <v>30.01</v>
      </c>
      <c r="X645" s="25">
        <v>850</v>
      </c>
      <c r="Y645" s="25">
        <v>140.80000000000001</v>
      </c>
      <c r="Z645" s="17" t="e">
        <f t="shared" si="215"/>
        <v>#DIV/0!</v>
      </c>
      <c r="AA645" s="18">
        <v>0.15</v>
      </c>
      <c r="AB645" s="16">
        <f t="shared" si="231"/>
        <v>127.5</v>
      </c>
      <c r="AC645" s="16">
        <v>0</v>
      </c>
      <c r="AD645" s="16">
        <v>0</v>
      </c>
      <c r="AE645" s="16">
        <v>0</v>
      </c>
      <c r="AF645" s="16">
        <f t="shared" si="216"/>
        <v>127.5</v>
      </c>
      <c r="AG645" s="16">
        <f t="shared" si="227"/>
        <v>20.400000000000002</v>
      </c>
      <c r="AH645" s="16">
        <f t="shared" si="217"/>
        <v>147.9</v>
      </c>
      <c r="AI645" s="16">
        <f t="shared" si="228"/>
        <v>2.5500000000000003</v>
      </c>
      <c r="AJ645" s="16">
        <v>0</v>
      </c>
      <c r="AK645" s="16">
        <f t="shared" si="218"/>
        <v>2.5500000000000003</v>
      </c>
      <c r="AL645" s="19"/>
      <c r="AM645" s="16">
        <f t="shared" si="226"/>
        <v>124.95</v>
      </c>
      <c r="AN645" s="16"/>
      <c r="AO645" s="20"/>
      <c r="AP645" s="16">
        <f t="shared" si="219"/>
        <v>0</v>
      </c>
      <c r="AQ645" s="16"/>
      <c r="AR645" s="15"/>
      <c r="AS645" s="16">
        <f t="shared" si="220"/>
        <v>0</v>
      </c>
      <c r="AT645" s="16"/>
      <c r="AU645" s="16">
        <v>147.9</v>
      </c>
      <c r="AV645" s="16">
        <f t="shared" si="230"/>
        <v>147.9</v>
      </c>
      <c r="AW645" s="16">
        <f t="shared" si="221"/>
        <v>0</v>
      </c>
      <c r="AX645" s="16" t="str">
        <f t="shared" si="222"/>
        <v>SFA</v>
      </c>
      <c r="AY645" s="22">
        <v>45163</v>
      </c>
      <c r="AZ645" s="22"/>
      <c r="BA645" s="1"/>
      <c r="BB645" s="1"/>
      <c r="BC645" s="1"/>
      <c r="BD645" s="1"/>
      <c r="BE645" s="1"/>
    </row>
    <row r="646" spans="1:57" ht="15.75" hidden="1" customHeight="1">
      <c r="A646" s="2" t="s">
        <v>770</v>
      </c>
      <c r="B646" s="1" t="s">
        <v>58</v>
      </c>
      <c r="C646" s="27">
        <v>45140</v>
      </c>
      <c r="D646" s="27">
        <v>45125</v>
      </c>
      <c r="E646" s="27">
        <v>45125</v>
      </c>
      <c r="F646" s="27">
        <v>45186</v>
      </c>
      <c r="G646" s="13" t="str">
        <f t="shared" ref="G646:G659" si="232">TEXT(ROW(G646)-1,"000-000") &amp; "/AIB RDC/2023"</f>
        <v>000-645/AIB RDC/2023</v>
      </c>
      <c r="H646" s="1">
        <v>0</v>
      </c>
      <c r="I646" s="1" t="s">
        <v>83</v>
      </c>
      <c r="J646" s="29">
        <v>70100046</v>
      </c>
      <c r="K646" s="1" t="s">
        <v>163</v>
      </c>
      <c r="L646" s="1"/>
      <c r="M646" s="1" t="s">
        <v>95</v>
      </c>
      <c r="N646" s="1" t="s">
        <v>836</v>
      </c>
      <c r="O646" s="1" t="s">
        <v>104</v>
      </c>
      <c r="P646" s="1" t="s">
        <v>105</v>
      </c>
      <c r="Q646" s="1" t="s">
        <v>135</v>
      </c>
      <c r="R646" s="1" t="s">
        <v>135</v>
      </c>
      <c r="S646" s="25">
        <v>0</v>
      </c>
      <c r="T646" s="25">
        <v>2374.0500000000002</v>
      </c>
      <c r="U646" s="25">
        <v>0</v>
      </c>
      <c r="V646" s="25">
        <v>0</v>
      </c>
      <c r="W646" s="25">
        <v>148</v>
      </c>
      <c r="X646" s="25">
        <v>1863.92</v>
      </c>
      <c r="Y646" s="25">
        <v>321.89999999999998</v>
      </c>
      <c r="Z646" s="17" t="e">
        <f t="shared" ref="Z646:Z709" si="233">X646/S646</f>
        <v>#DIV/0!</v>
      </c>
      <c r="AA646" s="18">
        <v>0.15</v>
      </c>
      <c r="AB646" s="16">
        <f t="shared" si="231"/>
        <v>279.58800000000002</v>
      </c>
      <c r="AC646" s="16">
        <v>0</v>
      </c>
      <c r="AD646" s="16">
        <v>0</v>
      </c>
      <c r="AE646" s="16">
        <v>0</v>
      </c>
      <c r="AF646" s="16">
        <f t="shared" ref="AF646:AF709" si="234">SUM(AB646:AE646)</f>
        <v>279.58800000000002</v>
      </c>
      <c r="AG646" s="16">
        <f t="shared" si="227"/>
        <v>44.734080000000006</v>
      </c>
      <c r="AH646" s="16">
        <f t="shared" ref="AH646:AH709" si="235">AF646+AG646</f>
        <v>324.32208000000003</v>
      </c>
      <c r="AI646" s="16">
        <f t="shared" si="228"/>
        <v>5.5917600000000007</v>
      </c>
      <c r="AJ646" s="16">
        <v>0</v>
      </c>
      <c r="AK646" s="16">
        <f t="shared" ref="AK646:AK709" si="236">AI646-AJ646</f>
        <v>5.5917600000000007</v>
      </c>
      <c r="AL646" s="19"/>
      <c r="AM646" s="16">
        <f t="shared" si="226"/>
        <v>273.99624</v>
      </c>
      <c r="AN646" s="16" t="s">
        <v>147</v>
      </c>
      <c r="AO646" s="20">
        <v>0.4</v>
      </c>
      <c r="AP646" s="16">
        <f t="shared" ref="AP646:AP709" si="237">AO646*AM646</f>
        <v>109.59849600000001</v>
      </c>
      <c r="AQ646" s="16">
        <v>109.59849600000001</v>
      </c>
      <c r="AR646" s="15">
        <v>45229</v>
      </c>
      <c r="AS646" s="16">
        <f t="shared" ref="AS646:AS659" si="238">AP646-AQ646</f>
        <v>0</v>
      </c>
      <c r="AT646" s="16"/>
      <c r="AU646" s="16">
        <v>324.32208000000003</v>
      </c>
      <c r="AV646" s="16">
        <f t="shared" si="230"/>
        <v>324.32208000000003</v>
      </c>
      <c r="AW646" s="16">
        <f t="shared" ref="AW646:AW709" si="239">AV646-AU646</f>
        <v>0</v>
      </c>
      <c r="AX646" s="16" t="str">
        <f t="shared" si="222"/>
        <v>RAWSUR</v>
      </c>
      <c r="AY646" s="22">
        <v>45174</v>
      </c>
      <c r="AZ646" s="22"/>
      <c r="BA646" s="1" t="s">
        <v>148</v>
      </c>
      <c r="BB646" s="22" t="str">
        <f>O646</f>
        <v>MARINE CARGO / GIT</v>
      </c>
      <c r="BC646" s="1"/>
      <c r="BD646" s="1"/>
      <c r="BE646" s="1"/>
    </row>
    <row r="647" spans="1:57" ht="15.75" hidden="1" customHeight="1">
      <c r="A647" s="2" t="s">
        <v>212</v>
      </c>
      <c r="B647" s="1" t="s">
        <v>58</v>
      </c>
      <c r="C647" s="27">
        <v>45140</v>
      </c>
      <c r="D647" s="27">
        <v>45126</v>
      </c>
      <c r="E647" s="27">
        <v>45094</v>
      </c>
      <c r="F647" s="27">
        <v>45458</v>
      </c>
      <c r="G647" s="13" t="str">
        <f t="shared" si="232"/>
        <v>000-646/AIB RDC/2023</v>
      </c>
      <c r="H647" s="1">
        <v>0</v>
      </c>
      <c r="I647" s="1" t="s">
        <v>83</v>
      </c>
      <c r="J647" s="46" t="s">
        <v>892</v>
      </c>
      <c r="K647" s="1" t="s">
        <v>163</v>
      </c>
      <c r="L647" s="1"/>
      <c r="M647" s="1" t="s">
        <v>95</v>
      </c>
      <c r="N647" s="1" t="s">
        <v>836</v>
      </c>
      <c r="O647" s="1" t="s">
        <v>104</v>
      </c>
      <c r="P647" s="1" t="s">
        <v>105</v>
      </c>
      <c r="Q647" s="1" t="s">
        <v>66</v>
      </c>
      <c r="R647" s="1" t="s">
        <v>66</v>
      </c>
      <c r="S647" s="25">
        <v>0</v>
      </c>
      <c r="T647" s="25">
        <v>1918.76</v>
      </c>
      <c r="U647" s="25">
        <v>0</v>
      </c>
      <c r="V647" s="25">
        <v>0</v>
      </c>
      <c r="W647" s="25">
        <v>74.430000000000007</v>
      </c>
      <c r="X647" s="25">
        <v>1579.67</v>
      </c>
      <c r="Y647" s="25">
        <v>264.66000000000003</v>
      </c>
      <c r="Z647" s="17" t="e">
        <f t="shared" si="233"/>
        <v>#DIV/0!</v>
      </c>
      <c r="AA647" s="18">
        <v>0.15</v>
      </c>
      <c r="AB647" s="16">
        <f t="shared" si="231"/>
        <v>236.95050000000001</v>
      </c>
      <c r="AC647" s="16">
        <v>0</v>
      </c>
      <c r="AD647" s="16">
        <v>0</v>
      </c>
      <c r="AE647" s="16">
        <v>0</v>
      </c>
      <c r="AF647" s="16">
        <f t="shared" si="234"/>
        <v>236.95050000000001</v>
      </c>
      <c r="AG647" s="16">
        <f t="shared" si="227"/>
        <v>37.912080000000003</v>
      </c>
      <c r="AH647" s="16">
        <f t="shared" si="235"/>
        <v>274.86257999999998</v>
      </c>
      <c r="AI647" s="16">
        <f t="shared" si="228"/>
        <v>4.7390100000000004</v>
      </c>
      <c r="AJ647" s="16">
        <v>0</v>
      </c>
      <c r="AK647" s="16">
        <f t="shared" si="236"/>
        <v>4.7390100000000004</v>
      </c>
      <c r="AL647" s="19"/>
      <c r="AM647" s="16">
        <f t="shared" si="226"/>
        <v>232.21149</v>
      </c>
      <c r="AN647" s="16" t="s">
        <v>147</v>
      </c>
      <c r="AO647" s="20">
        <v>0.4</v>
      </c>
      <c r="AP647" s="16">
        <f t="shared" si="237"/>
        <v>92.884596000000002</v>
      </c>
      <c r="AQ647" s="16">
        <v>92.884596000000002</v>
      </c>
      <c r="AR647" s="15">
        <v>45229</v>
      </c>
      <c r="AS647" s="16">
        <f t="shared" si="238"/>
        <v>0</v>
      </c>
      <c r="AT647" s="16"/>
      <c r="AU647" s="16">
        <v>274.86257999999998</v>
      </c>
      <c r="AV647" s="16">
        <f t="shared" si="230"/>
        <v>274.86257999999998</v>
      </c>
      <c r="AW647" s="16">
        <f t="shared" si="239"/>
        <v>0</v>
      </c>
      <c r="AX647" s="16" t="str">
        <f t="shared" ref="AX647:AX710" si="240">Q647</f>
        <v>SFA</v>
      </c>
      <c r="AY647" s="22">
        <v>45163</v>
      </c>
      <c r="AZ647" s="22"/>
      <c r="BA647" s="1" t="s">
        <v>148</v>
      </c>
      <c r="BB647" s="22" t="str">
        <f>O647</f>
        <v>MARINE CARGO / GIT</v>
      </c>
      <c r="BC647" s="1"/>
      <c r="BD647" s="1"/>
      <c r="BE647" s="1"/>
    </row>
    <row r="648" spans="1:57" ht="15.75" hidden="1" customHeight="1">
      <c r="A648" s="2" t="s">
        <v>57</v>
      </c>
      <c r="B648" s="1" t="s">
        <v>58</v>
      </c>
      <c r="C648" s="27">
        <v>44904</v>
      </c>
      <c r="D648" s="27">
        <v>45044</v>
      </c>
      <c r="E648" s="27">
        <v>44927</v>
      </c>
      <c r="F648" s="27">
        <v>45291</v>
      </c>
      <c r="G648" s="13" t="str">
        <f t="shared" si="232"/>
        <v>000-647/AIB RDC/2023</v>
      </c>
      <c r="H648" s="1">
        <v>0</v>
      </c>
      <c r="I648" s="1" t="s">
        <v>83</v>
      </c>
      <c r="J648" s="29" t="s">
        <v>893</v>
      </c>
      <c r="K648" s="1" t="s">
        <v>103</v>
      </c>
      <c r="L648" s="1"/>
      <c r="M648" s="1" t="s">
        <v>99</v>
      </c>
      <c r="N648" s="1" t="s">
        <v>100</v>
      </c>
      <c r="O648" s="1" t="s">
        <v>894</v>
      </c>
      <c r="P648" s="1" t="s">
        <v>65</v>
      </c>
      <c r="Q648" s="1" t="s">
        <v>76</v>
      </c>
      <c r="R648" s="1" t="s">
        <v>76</v>
      </c>
      <c r="S648" s="25">
        <v>0</v>
      </c>
      <c r="T648" s="25">
        <v>9444.09</v>
      </c>
      <c r="U648" s="25">
        <v>0</v>
      </c>
      <c r="V648" s="25">
        <v>0</v>
      </c>
      <c r="W648" s="25">
        <v>93.53</v>
      </c>
      <c r="X648" s="25">
        <v>9350.58</v>
      </c>
      <c r="Y648" s="25">
        <v>0</v>
      </c>
      <c r="Z648" s="17" t="e">
        <f t="shared" si="233"/>
        <v>#DIV/0!</v>
      </c>
      <c r="AA648" s="18">
        <v>0.1</v>
      </c>
      <c r="AB648" s="16">
        <f t="shared" si="231"/>
        <v>935.05799999999999</v>
      </c>
      <c r="AC648" s="16">
        <v>0</v>
      </c>
      <c r="AD648" s="16">
        <v>0</v>
      </c>
      <c r="AE648" s="16">
        <v>0</v>
      </c>
      <c r="AF648" s="16">
        <f t="shared" si="234"/>
        <v>935.05799999999999</v>
      </c>
      <c r="AG648" s="16">
        <f t="shared" si="227"/>
        <v>149.60928000000001</v>
      </c>
      <c r="AH648" s="16">
        <f t="shared" si="235"/>
        <v>1084.6672800000001</v>
      </c>
      <c r="AI648" s="16">
        <f t="shared" si="228"/>
        <v>18.701160000000002</v>
      </c>
      <c r="AJ648" s="16">
        <v>0</v>
      </c>
      <c r="AK648" s="16">
        <f t="shared" si="236"/>
        <v>18.701160000000002</v>
      </c>
      <c r="AL648" s="19"/>
      <c r="AM648" s="16">
        <f t="shared" si="226"/>
        <v>916.35684000000003</v>
      </c>
      <c r="AN648" s="16"/>
      <c r="AO648" s="20"/>
      <c r="AP648" s="16">
        <f t="shared" si="237"/>
        <v>0</v>
      </c>
      <c r="AQ648" s="16"/>
      <c r="AR648" s="15"/>
      <c r="AS648" s="16">
        <f t="shared" si="238"/>
        <v>0</v>
      </c>
      <c r="AT648" s="16"/>
      <c r="AU648" s="16">
        <v>1084.6672800000001</v>
      </c>
      <c r="AV648" s="16">
        <f t="shared" si="230"/>
        <v>1084.6672800000001</v>
      </c>
      <c r="AW648" s="16">
        <f t="shared" si="239"/>
        <v>0</v>
      </c>
      <c r="AX648" s="16" t="str">
        <f t="shared" si="240"/>
        <v>ACTIVA</v>
      </c>
      <c r="AY648" s="22">
        <v>45170</v>
      </c>
      <c r="AZ648" s="22"/>
      <c r="BA648" s="1"/>
      <c r="BB648" s="1"/>
      <c r="BC648" s="1"/>
      <c r="BD648" s="1"/>
      <c r="BE648" s="1"/>
    </row>
    <row r="649" spans="1:57" ht="15.75" hidden="1" customHeight="1">
      <c r="A649" s="2" t="s">
        <v>770</v>
      </c>
      <c r="B649" s="1" t="s">
        <v>58</v>
      </c>
      <c r="C649" s="27">
        <v>45070</v>
      </c>
      <c r="D649" s="27">
        <v>45145</v>
      </c>
      <c r="E649" s="27">
        <v>45142</v>
      </c>
      <c r="F649" s="27">
        <v>45385</v>
      </c>
      <c r="G649" s="13" t="str">
        <f t="shared" si="232"/>
        <v>000-648/AIB RDC/2023</v>
      </c>
      <c r="H649" s="1">
        <v>0</v>
      </c>
      <c r="I649" s="1" t="s">
        <v>83</v>
      </c>
      <c r="J649" s="29" t="s">
        <v>895</v>
      </c>
      <c r="K649" s="2" t="s">
        <v>257</v>
      </c>
      <c r="L649" s="1"/>
      <c r="M649" s="1" t="s">
        <v>74</v>
      </c>
      <c r="N649" s="1" t="s">
        <v>75</v>
      </c>
      <c r="O649" s="1" t="s">
        <v>107</v>
      </c>
      <c r="P649" s="1" t="s">
        <v>108</v>
      </c>
      <c r="Q649" s="1" t="s">
        <v>66</v>
      </c>
      <c r="R649" s="1" t="s">
        <v>66</v>
      </c>
      <c r="S649" s="25">
        <v>2441816</v>
      </c>
      <c r="T649" s="25">
        <v>4246.8599999999997</v>
      </c>
      <c r="U649" s="25">
        <v>0</v>
      </c>
      <c r="V649" s="25">
        <v>0</v>
      </c>
      <c r="W649" s="25">
        <v>0</v>
      </c>
      <c r="X649" s="25">
        <v>3531.43</v>
      </c>
      <c r="Y649" s="25">
        <v>585.77</v>
      </c>
      <c r="Z649" s="17">
        <f t="shared" si="233"/>
        <v>1.4462310018445287E-3</v>
      </c>
      <c r="AA649" s="18">
        <v>0.1</v>
      </c>
      <c r="AB649" s="16">
        <f t="shared" si="231"/>
        <v>353.14300000000003</v>
      </c>
      <c r="AC649" s="16">
        <v>0</v>
      </c>
      <c r="AD649" s="16">
        <v>0</v>
      </c>
      <c r="AE649" s="16">
        <v>0</v>
      </c>
      <c r="AF649" s="16">
        <f t="shared" si="234"/>
        <v>353.14300000000003</v>
      </c>
      <c r="AG649" s="16">
        <f t="shared" si="227"/>
        <v>56.502880000000005</v>
      </c>
      <c r="AH649" s="16">
        <f t="shared" si="235"/>
        <v>409.64588000000003</v>
      </c>
      <c r="AI649" s="16">
        <f t="shared" si="228"/>
        <v>7.0628600000000006</v>
      </c>
      <c r="AJ649" s="16">
        <v>0</v>
      </c>
      <c r="AK649" s="16">
        <f t="shared" si="236"/>
        <v>7.0628600000000006</v>
      </c>
      <c r="AL649" s="19"/>
      <c r="AM649" s="16">
        <f t="shared" si="226"/>
        <v>346.08014000000003</v>
      </c>
      <c r="AN649" s="16"/>
      <c r="AO649" s="20"/>
      <c r="AP649" s="16">
        <f t="shared" si="237"/>
        <v>0</v>
      </c>
      <c r="AQ649" s="16"/>
      <c r="AR649" s="15"/>
      <c r="AS649" s="16">
        <f t="shared" si="238"/>
        <v>0</v>
      </c>
      <c r="AT649" s="16"/>
      <c r="AU649" s="16">
        <v>409.64588000000003</v>
      </c>
      <c r="AV649" s="16">
        <f t="shared" si="230"/>
        <v>409.64588000000003</v>
      </c>
      <c r="AW649" s="16">
        <f t="shared" si="239"/>
        <v>0</v>
      </c>
      <c r="AX649" s="16" t="str">
        <f t="shared" si="240"/>
        <v>SFA</v>
      </c>
      <c r="AY649" s="22">
        <v>45197</v>
      </c>
      <c r="AZ649" t="s">
        <v>155</v>
      </c>
      <c r="BA649" s="1"/>
      <c r="BB649" s="1"/>
      <c r="BC649" s="1"/>
      <c r="BD649" s="1"/>
      <c r="BE649" s="1"/>
    </row>
    <row r="650" spans="1:57" ht="15.75" hidden="1" customHeight="1">
      <c r="A650" s="2" t="s">
        <v>770</v>
      </c>
      <c r="B650" s="1" t="s">
        <v>58</v>
      </c>
      <c r="C650" s="27">
        <v>45103</v>
      </c>
      <c r="D650" s="27">
        <v>45124</v>
      </c>
      <c r="E650" s="27">
        <v>45120</v>
      </c>
      <c r="F650" s="27">
        <v>45485</v>
      </c>
      <c r="G650" s="13" t="str">
        <f t="shared" si="232"/>
        <v>000-649/AIB RDC/2023</v>
      </c>
      <c r="H650" s="1">
        <v>1</v>
      </c>
      <c r="I650" s="1" t="s">
        <v>68</v>
      </c>
      <c r="J650" s="29" t="s">
        <v>896</v>
      </c>
      <c r="K650" s="2" t="s">
        <v>257</v>
      </c>
      <c r="L650" s="1"/>
      <c r="M650" s="1" t="s">
        <v>74</v>
      </c>
      <c r="N650" s="1" t="s">
        <v>75</v>
      </c>
      <c r="O650" s="1" t="s">
        <v>111</v>
      </c>
      <c r="P650" s="1" t="s">
        <v>112</v>
      </c>
      <c r="Q650" s="1" t="s">
        <v>117</v>
      </c>
      <c r="R650" s="1" t="s">
        <v>117</v>
      </c>
      <c r="S650" s="25">
        <v>0</v>
      </c>
      <c r="T650" s="25">
        <v>417.6</v>
      </c>
      <c r="U650" s="25">
        <v>0</v>
      </c>
      <c r="V650" s="25">
        <v>0</v>
      </c>
      <c r="W650" s="25">
        <v>10</v>
      </c>
      <c r="X650" s="25">
        <v>350</v>
      </c>
      <c r="Y650" s="25">
        <v>57.6</v>
      </c>
      <c r="Z650" s="17" t="e">
        <f t="shared" si="233"/>
        <v>#DIV/0!</v>
      </c>
      <c r="AA650" s="18">
        <v>0.1</v>
      </c>
      <c r="AB650" s="16">
        <f t="shared" si="231"/>
        <v>35</v>
      </c>
      <c r="AC650" s="16">
        <v>0</v>
      </c>
      <c r="AD650" s="16">
        <v>0</v>
      </c>
      <c r="AE650" s="16">
        <v>0</v>
      </c>
      <c r="AF650" s="16">
        <f t="shared" si="234"/>
        <v>35</v>
      </c>
      <c r="AG650" s="16">
        <f t="shared" si="227"/>
        <v>5.6000000000000005</v>
      </c>
      <c r="AH650" s="16">
        <f t="shared" si="235"/>
        <v>40.6</v>
      </c>
      <c r="AI650" s="16">
        <f t="shared" si="228"/>
        <v>0.70000000000000007</v>
      </c>
      <c r="AJ650" s="16">
        <v>0</v>
      </c>
      <c r="AK650" s="16">
        <f t="shared" si="236"/>
        <v>0.70000000000000007</v>
      </c>
      <c r="AL650" s="19"/>
      <c r="AM650" s="16">
        <f t="shared" si="226"/>
        <v>34.299999999999997</v>
      </c>
      <c r="AN650" s="16"/>
      <c r="AO650" s="20"/>
      <c r="AP650" s="16">
        <f t="shared" si="237"/>
        <v>0</v>
      </c>
      <c r="AQ650" s="16"/>
      <c r="AR650" s="15"/>
      <c r="AS650" s="16">
        <f t="shared" si="238"/>
        <v>0</v>
      </c>
      <c r="AT650" s="16"/>
      <c r="AU650" s="16">
        <v>40.6</v>
      </c>
      <c r="AV650" s="16">
        <f t="shared" si="230"/>
        <v>40.6</v>
      </c>
      <c r="AW650" s="16">
        <f t="shared" si="239"/>
        <v>0</v>
      </c>
      <c r="AX650" s="16" t="str">
        <f t="shared" si="240"/>
        <v>SUNU</v>
      </c>
      <c r="AY650" s="22">
        <v>45175</v>
      </c>
      <c r="AZ650" s="22"/>
      <c r="BA650" s="1"/>
      <c r="BB650" s="1"/>
      <c r="BC650" s="1"/>
      <c r="BD650" s="1"/>
      <c r="BE650" s="1"/>
    </row>
    <row r="651" spans="1:57" ht="15.75" hidden="1" customHeight="1">
      <c r="A651" s="2" t="s">
        <v>165</v>
      </c>
      <c r="B651" s="1" t="s">
        <v>58</v>
      </c>
      <c r="C651" s="27">
        <v>44993</v>
      </c>
      <c r="D651" s="27">
        <v>44994</v>
      </c>
      <c r="E651" s="27">
        <v>44992</v>
      </c>
      <c r="F651" s="27">
        <v>44992</v>
      </c>
      <c r="G651" s="13" t="str">
        <f t="shared" si="232"/>
        <v>000-650/AIB RDC/2023</v>
      </c>
      <c r="H651" s="1">
        <v>2</v>
      </c>
      <c r="I651" s="1" t="s">
        <v>443</v>
      </c>
      <c r="J651" s="29" t="s">
        <v>897</v>
      </c>
      <c r="K651" s="1" t="s">
        <v>898</v>
      </c>
      <c r="L651" s="1"/>
      <c r="M651" s="1" t="s">
        <v>74</v>
      </c>
      <c r="N651" s="1" t="s">
        <v>75</v>
      </c>
      <c r="O651" s="1" t="s">
        <v>65</v>
      </c>
      <c r="P651" s="1" t="s">
        <v>65</v>
      </c>
      <c r="Q651" s="1" t="s">
        <v>66</v>
      </c>
      <c r="R651" s="1" t="s">
        <v>66</v>
      </c>
      <c r="S651" s="25">
        <v>0</v>
      </c>
      <c r="T651" s="25">
        <v>-126.38</v>
      </c>
      <c r="U651" s="25">
        <v>0</v>
      </c>
      <c r="V651" s="25">
        <v>0</v>
      </c>
      <c r="W651" s="25">
        <v>0</v>
      </c>
      <c r="X651" s="25">
        <v>-108.95</v>
      </c>
      <c r="Y651" s="25">
        <v>-17.43</v>
      </c>
      <c r="Z651" s="17" t="e">
        <f t="shared" si="233"/>
        <v>#DIV/0!</v>
      </c>
      <c r="AA651" s="18">
        <v>0.1</v>
      </c>
      <c r="AB651" s="16">
        <f t="shared" si="231"/>
        <v>-10.895000000000001</v>
      </c>
      <c r="AC651" s="16">
        <v>0</v>
      </c>
      <c r="AD651" s="16">
        <v>0</v>
      </c>
      <c r="AE651" s="16">
        <v>0</v>
      </c>
      <c r="AF651" s="16">
        <f t="shared" si="234"/>
        <v>-10.895000000000001</v>
      </c>
      <c r="AG651" s="16">
        <f t="shared" si="227"/>
        <v>-1.7432000000000003</v>
      </c>
      <c r="AH651" s="16">
        <f t="shared" si="235"/>
        <v>-12.638200000000001</v>
      </c>
      <c r="AI651" s="16">
        <f t="shared" si="228"/>
        <v>-0.21790000000000004</v>
      </c>
      <c r="AJ651" s="16">
        <v>0</v>
      </c>
      <c r="AK651" s="16">
        <f t="shared" si="236"/>
        <v>-0.21790000000000004</v>
      </c>
      <c r="AL651" s="19"/>
      <c r="AM651" s="16">
        <f t="shared" si="226"/>
        <v>-10.677100000000001</v>
      </c>
      <c r="AN651" s="16"/>
      <c r="AO651" s="20"/>
      <c r="AP651" s="16">
        <f t="shared" si="237"/>
        <v>0</v>
      </c>
      <c r="AQ651" s="16"/>
      <c r="AR651" s="15"/>
      <c r="AS651" s="16">
        <f t="shared" si="238"/>
        <v>0</v>
      </c>
      <c r="AT651" s="16"/>
      <c r="AU651" s="16">
        <v>-12.638200000000001</v>
      </c>
      <c r="AV651" s="16">
        <f t="shared" si="230"/>
        <v>-12.638200000000001</v>
      </c>
      <c r="AW651" s="16">
        <f t="shared" si="239"/>
        <v>0</v>
      </c>
      <c r="AX651" s="16" t="str">
        <f t="shared" si="240"/>
        <v>SFA</v>
      </c>
      <c r="AY651" s="22">
        <v>45163</v>
      </c>
      <c r="AZ651" s="22"/>
      <c r="BA651" s="1"/>
      <c r="BB651" s="1"/>
      <c r="BC651" s="1"/>
      <c r="BD651" s="1"/>
      <c r="BE651" s="1"/>
    </row>
    <row r="652" spans="1:57" ht="15.75" customHeight="1">
      <c r="A652" s="2" t="s">
        <v>784</v>
      </c>
      <c r="B652" s="1" t="s">
        <v>169</v>
      </c>
      <c r="C652" s="27">
        <v>45196</v>
      </c>
      <c r="D652" s="27">
        <v>45201</v>
      </c>
      <c r="E652" s="27">
        <v>45196</v>
      </c>
      <c r="F652" s="27">
        <v>45561</v>
      </c>
      <c r="G652" s="13" t="str">
        <f t="shared" si="232"/>
        <v>000-651/AIB RDC/2023</v>
      </c>
      <c r="H652" s="1">
        <v>1</v>
      </c>
      <c r="I652" s="1" t="s">
        <v>68</v>
      </c>
      <c r="J652" s="2" t="s">
        <v>288</v>
      </c>
      <c r="K652" s="1" t="s">
        <v>289</v>
      </c>
      <c r="L652" s="1"/>
      <c r="M652" s="1" t="s">
        <v>99</v>
      </c>
      <c r="N652" s="1" t="s">
        <v>1021</v>
      </c>
      <c r="O652" s="1" t="s">
        <v>101</v>
      </c>
      <c r="P652" s="1" t="s">
        <v>81</v>
      </c>
      <c r="Q652" s="1" t="s">
        <v>127</v>
      </c>
      <c r="R652" s="1" t="s">
        <v>127</v>
      </c>
      <c r="S652" s="25">
        <v>125000</v>
      </c>
      <c r="T652" s="25">
        <v>10024</v>
      </c>
      <c r="U652" s="25">
        <v>0</v>
      </c>
      <c r="V652" s="25">
        <v>0</v>
      </c>
      <c r="W652" s="25">
        <v>252</v>
      </c>
      <c r="X652" s="25">
        <v>8389</v>
      </c>
      <c r="Y652" s="25">
        <v>1383</v>
      </c>
      <c r="Z652" s="17">
        <f t="shared" si="233"/>
        <v>6.7112000000000005E-2</v>
      </c>
      <c r="AA652" s="18">
        <v>0.1</v>
      </c>
      <c r="AB652" s="16">
        <f t="shared" si="231"/>
        <v>838.90000000000009</v>
      </c>
      <c r="AC652" s="16">
        <v>0</v>
      </c>
      <c r="AD652" s="16">
        <v>0</v>
      </c>
      <c r="AE652" s="16">
        <v>0</v>
      </c>
      <c r="AF652" s="16">
        <f t="shared" si="234"/>
        <v>838.90000000000009</v>
      </c>
      <c r="AG652" s="16">
        <f t="shared" si="227"/>
        <v>134.22400000000002</v>
      </c>
      <c r="AH652" s="16">
        <f t="shared" si="235"/>
        <v>973.12400000000014</v>
      </c>
      <c r="AI652" s="16">
        <f t="shared" si="228"/>
        <v>16.778000000000002</v>
      </c>
      <c r="AJ652" s="16">
        <v>0</v>
      </c>
      <c r="AK652" s="16">
        <f t="shared" si="236"/>
        <v>16.778000000000002</v>
      </c>
      <c r="AL652" s="19"/>
      <c r="AM652" s="16">
        <f t="shared" si="226"/>
        <v>822.12200000000007</v>
      </c>
      <c r="AN652" s="16"/>
      <c r="AO652" s="20"/>
      <c r="AP652" s="16">
        <f t="shared" si="237"/>
        <v>0</v>
      </c>
      <c r="AQ652" s="16"/>
      <c r="AR652" s="15"/>
      <c r="AS652" s="16">
        <f t="shared" si="238"/>
        <v>0</v>
      </c>
      <c r="AT652" s="16"/>
      <c r="AU652" s="16"/>
      <c r="AV652" s="16">
        <f t="shared" si="230"/>
        <v>973.12400000000014</v>
      </c>
      <c r="AW652" s="60">
        <f t="shared" si="239"/>
        <v>973.12400000000014</v>
      </c>
      <c r="AX652" s="16" t="str">
        <f t="shared" si="240"/>
        <v>MAYFAIR</v>
      </c>
      <c r="AY652" s="22"/>
      <c r="BA652" s="1"/>
      <c r="BB652" s="22"/>
      <c r="BC652" s="1"/>
      <c r="BD652" s="1"/>
      <c r="BE652" s="1"/>
    </row>
    <row r="653" spans="1:57" ht="15.75" hidden="1" customHeight="1">
      <c r="A653" s="2" t="s">
        <v>770</v>
      </c>
      <c r="B653" s="1" t="s">
        <v>58</v>
      </c>
      <c r="C653" s="27">
        <v>45110</v>
      </c>
      <c r="D653" s="27">
        <v>45110</v>
      </c>
      <c r="E653" s="27">
        <v>45111</v>
      </c>
      <c r="F653" s="27">
        <v>45202</v>
      </c>
      <c r="G653" s="13" t="str">
        <f t="shared" si="232"/>
        <v>000-652/AIB RDC/2023</v>
      </c>
      <c r="H653" s="1">
        <v>0</v>
      </c>
      <c r="I653" s="1" t="s">
        <v>83</v>
      </c>
      <c r="J653" s="29" t="s">
        <v>899</v>
      </c>
      <c r="K653" s="1" t="s">
        <v>898</v>
      </c>
      <c r="L653" s="1"/>
      <c r="M653" s="1" t="s">
        <v>74</v>
      </c>
      <c r="N653" s="1" t="s">
        <v>75</v>
      </c>
      <c r="O653" s="1" t="s">
        <v>781</v>
      </c>
      <c r="P653" s="1" t="s">
        <v>112</v>
      </c>
      <c r="Q653" s="1" t="s">
        <v>117</v>
      </c>
      <c r="R653" s="1" t="s">
        <v>117</v>
      </c>
      <c r="S653" s="25">
        <v>0</v>
      </c>
      <c r="T653" s="25">
        <v>1055.5999999999999</v>
      </c>
      <c r="U653" s="25">
        <v>0</v>
      </c>
      <c r="V653" s="25">
        <v>0</v>
      </c>
      <c r="W653" s="25">
        <v>10</v>
      </c>
      <c r="X653" s="25">
        <v>900</v>
      </c>
      <c r="Y653" s="25">
        <v>145.6</v>
      </c>
      <c r="Z653" s="17" t="e">
        <f t="shared" si="233"/>
        <v>#DIV/0!</v>
      </c>
      <c r="AA653" s="18">
        <v>0.1</v>
      </c>
      <c r="AB653" s="16">
        <f t="shared" si="231"/>
        <v>90</v>
      </c>
      <c r="AC653" s="16">
        <v>0</v>
      </c>
      <c r="AD653" s="16">
        <v>0</v>
      </c>
      <c r="AE653" s="16">
        <v>0</v>
      </c>
      <c r="AF653" s="16">
        <f t="shared" si="234"/>
        <v>90</v>
      </c>
      <c r="AG653" s="16">
        <f t="shared" si="227"/>
        <v>14.4</v>
      </c>
      <c r="AH653" s="16">
        <f t="shared" si="235"/>
        <v>104.4</v>
      </c>
      <c r="AI653" s="16">
        <f t="shared" si="228"/>
        <v>1.8</v>
      </c>
      <c r="AJ653" s="16">
        <v>0</v>
      </c>
      <c r="AK653" s="16">
        <f t="shared" si="236"/>
        <v>1.8</v>
      </c>
      <c r="AL653" s="19"/>
      <c r="AM653" s="16">
        <f t="shared" si="226"/>
        <v>88.2</v>
      </c>
      <c r="AN653" s="16"/>
      <c r="AO653" s="20"/>
      <c r="AP653" s="16">
        <f t="shared" si="237"/>
        <v>0</v>
      </c>
      <c r="AQ653" s="16"/>
      <c r="AR653" s="15"/>
      <c r="AS653" s="16">
        <f t="shared" si="238"/>
        <v>0</v>
      </c>
      <c r="AT653" s="16"/>
      <c r="AU653" s="16">
        <v>104.4</v>
      </c>
      <c r="AV653" s="16">
        <f t="shared" si="230"/>
        <v>104.4</v>
      </c>
      <c r="AW653" s="16">
        <f t="shared" si="239"/>
        <v>0</v>
      </c>
      <c r="AX653" s="16" t="str">
        <f t="shared" si="240"/>
        <v>SUNU</v>
      </c>
      <c r="AY653" s="22">
        <v>45175</v>
      </c>
      <c r="AZ653" s="22"/>
      <c r="BA653" s="1"/>
      <c r="BB653" s="1"/>
      <c r="BC653" s="1"/>
      <c r="BD653" s="1"/>
      <c r="BE653" s="1"/>
    </row>
    <row r="654" spans="1:57" ht="15.75" customHeight="1">
      <c r="A654" s="2" t="s">
        <v>784</v>
      </c>
      <c r="B654" s="1" t="s">
        <v>169</v>
      </c>
      <c r="C654" s="27">
        <v>45196</v>
      </c>
      <c r="D654" s="27">
        <v>45201</v>
      </c>
      <c r="E654" s="27">
        <v>45196</v>
      </c>
      <c r="F654" s="27">
        <v>45562</v>
      </c>
      <c r="G654" s="13" t="str">
        <f t="shared" si="232"/>
        <v>000-653/AIB RDC/2023</v>
      </c>
      <c r="H654" s="1">
        <v>1</v>
      </c>
      <c r="I654" s="1" t="s">
        <v>68</v>
      </c>
      <c r="J654" s="2" t="s">
        <v>290</v>
      </c>
      <c r="K654" s="1" t="s">
        <v>289</v>
      </c>
      <c r="L654" s="1"/>
      <c r="M654" s="1" t="s">
        <v>99</v>
      </c>
      <c r="N654" s="1" t="s">
        <v>1021</v>
      </c>
      <c r="O654" s="1" t="s">
        <v>101</v>
      </c>
      <c r="P654" s="1" t="s">
        <v>81</v>
      </c>
      <c r="Q654" s="1" t="s">
        <v>127</v>
      </c>
      <c r="R654" s="1" t="s">
        <v>127</v>
      </c>
      <c r="S654" s="25">
        <v>125000</v>
      </c>
      <c r="T654" s="25">
        <v>15016</v>
      </c>
      <c r="U654" s="25">
        <v>0</v>
      </c>
      <c r="V654" s="25">
        <v>0</v>
      </c>
      <c r="W654" s="25">
        <v>377</v>
      </c>
      <c r="X654" s="25">
        <v>12568</v>
      </c>
      <c r="Y654" s="25">
        <v>2071</v>
      </c>
      <c r="Z654" s="17">
        <f t="shared" si="233"/>
        <v>0.10054399999999999</v>
      </c>
      <c r="AA654" s="18">
        <v>0.1</v>
      </c>
      <c r="AB654" s="16">
        <f t="shared" si="231"/>
        <v>1256.8000000000002</v>
      </c>
      <c r="AC654" s="16">
        <v>0</v>
      </c>
      <c r="AD654" s="16">
        <v>0</v>
      </c>
      <c r="AE654" s="16">
        <v>0</v>
      </c>
      <c r="AF654" s="16">
        <f t="shared" si="234"/>
        <v>1256.8000000000002</v>
      </c>
      <c r="AG654" s="16">
        <f t="shared" si="227"/>
        <v>201.08800000000002</v>
      </c>
      <c r="AH654" s="16">
        <f t="shared" si="235"/>
        <v>1457.8880000000001</v>
      </c>
      <c r="AI654" s="16">
        <f t="shared" si="228"/>
        <v>25.136000000000003</v>
      </c>
      <c r="AJ654" s="16">
        <v>0</v>
      </c>
      <c r="AK654" s="16">
        <f t="shared" si="236"/>
        <v>25.136000000000003</v>
      </c>
      <c r="AL654" s="19"/>
      <c r="AM654" s="16">
        <f t="shared" si="226"/>
        <v>1231.6640000000002</v>
      </c>
      <c r="AN654" s="16"/>
      <c r="AO654" s="20"/>
      <c r="AP654" s="16">
        <f t="shared" si="237"/>
        <v>0</v>
      </c>
      <c r="AQ654" s="16"/>
      <c r="AR654" s="15"/>
      <c r="AS654" s="16">
        <f t="shared" si="238"/>
        <v>0</v>
      </c>
      <c r="AT654" s="16"/>
      <c r="AU654" s="16"/>
      <c r="AV654" s="16">
        <f t="shared" si="230"/>
        <v>1457.8880000000001</v>
      </c>
      <c r="AW654" s="60">
        <f t="shared" si="239"/>
        <v>1457.8880000000001</v>
      </c>
      <c r="AX654" s="16" t="str">
        <f t="shared" si="240"/>
        <v>MAYFAIR</v>
      </c>
      <c r="AY654" s="22"/>
      <c r="BA654" s="1"/>
      <c r="BB654" s="22"/>
      <c r="BC654" s="1"/>
      <c r="BD654" s="1"/>
      <c r="BE654" s="1"/>
    </row>
    <row r="655" spans="1:57" ht="15.75" hidden="1" customHeight="1">
      <c r="A655" s="2" t="s">
        <v>871</v>
      </c>
      <c r="B655" s="1" t="s">
        <v>58</v>
      </c>
      <c r="C655" s="27">
        <v>45128</v>
      </c>
      <c r="D655" s="27">
        <v>45133</v>
      </c>
      <c r="E655" s="27">
        <v>45139</v>
      </c>
      <c r="F655" s="27">
        <v>45504</v>
      </c>
      <c r="G655" s="13" t="str">
        <f t="shared" si="232"/>
        <v>000-654/AIB RDC/2023</v>
      </c>
      <c r="H655" s="1">
        <v>0</v>
      </c>
      <c r="I655" s="1" t="s">
        <v>83</v>
      </c>
      <c r="J655" s="29" t="s">
        <v>902</v>
      </c>
      <c r="K655" s="1" t="s">
        <v>901</v>
      </c>
      <c r="L655" s="1"/>
      <c r="M655" s="1" t="s">
        <v>74</v>
      </c>
      <c r="N655" s="1" t="s">
        <v>75</v>
      </c>
      <c r="O655" s="1" t="s">
        <v>101</v>
      </c>
      <c r="P655" s="1" t="s">
        <v>81</v>
      </c>
      <c r="Q655" s="1" t="s">
        <v>117</v>
      </c>
      <c r="R655" s="1" t="s">
        <v>117</v>
      </c>
      <c r="S655" s="25">
        <v>0</v>
      </c>
      <c r="T655" s="25">
        <v>100.34</v>
      </c>
      <c r="U655" s="25">
        <v>0</v>
      </c>
      <c r="V655" s="25">
        <v>0</v>
      </c>
      <c r="W655" s="25">
        <v>10</v>
      </c>
      <c r="X655" s="25">
        <v>76.5</v>
      </c>
      <c r="Y655" s="25">
        <v>0</v>
      </c>
      <c r="Z655" s="17" t="e">
        <f t="shared" si="233"/>
        <v>#DIV/0!</v>
      </c>
      <c r="AA655" s="18">
        <v>0.1</v>
      </c>
      <c r="AB655" s="16">
        <f t="shared" si="231"/>
        <v>7.65</v>
      </c>
      <c r="AC655" s="16">
        <v>0</v>
      </c>
      <c r="AD655" s="16">
        <v>0</v>
      </c>
      <c r="AE655" s="16">
        <v>0</v>
      </c>
      <c r="AF655" s="16">
        <f t="shared" si="234"/>
        <v>7.65</v>
      </c>
      <c r="AG655" s="16">
        <f t="shared" ref="AG655:AG686" si="241">16%*AF655</f>
        <v>1.224</v>
      </c>
      <c r="AH655" s="16">
        <f t="shared" si="235"/>
        <v>8.8740000000000006</v>
      </c>
      <c r="AI655" s="16">
        <f t="shared" ref="AI655:AI686" si="242">2%*(AB655+AC655+AD655)</f>
        <v>0.153</v>
      </c>
      <c r="AJ655" s="16">
        <v>0</v>
      </c>
      <c r="AK655" s="16">
        <f t="shared" si="236"/>
        <v>0.153</v>
      </c>
      <c r="AL655" s="19"/>
      <c r="AM655" s="16">
        <f t="shared" si="226"/>
        <v>7.4970000000000008</v>
      </c>
      <c r="AN655" s="16"/>
      <c r="AO655" s="20"/>
      <c r="AP655" s="16">
        <f t="shared" si="237"/>
        <v>0</v>
      </c>
      <c r="AQ655" s="16"/>
      <c r="AR655" s="15"/>
      <c r="AS655" s="16">
        <f t="shared" si="238"/>
        <v>0</v>
      </c>
      <c r="AT655" s="16"/>
      <c r="AU655" s="16">
        <v>8.8740000000000006</v>
      </c>
      <c r="AV655" s="16">
        <f t="shared" si="230"/>
        <v>8.8740000000000006</v>
      </c>
      <c r="AW655" s="16">
        <f t="shared" si="239"/>
        <v>0</v>
      </c>
      <c r="AX655" s="16" t="str">
        <f t="shared" si="240"/>
        <v>SUNU</v>
      </c>
      <c r="AY655" s="22">
        <v>45175</v>
      </c>
      <c r="AZ655" s="22"/>
      <c r="BA655" s="1"/>
      <c r="BB655" s="1"/>
      <c r="BC655" s="1"/>
      <c r="BD655" s="1"/>
      <c r="BE655" s="1"/>
    </row>
    <row r="656" spans="1:57" ht="15.75" hidden="1" customHeight="1">
      <c r="A656" s="2" t="s">
        <v>770</v>
      </c>
      <c r="B656" s="1" t="s">
        <v>58</v>
      </c>
      <c r="C656" s="27">
        <v>45142</v>
      </c>
      <c r="D656" s="27">
        <v>45132</v>
      </c>
      <c r="E656" s="27">
        <v>45133</v>
      </c>
      <c r="F656" s="27">
        <v>45177</v>
      </c>
      <c r="G656" s="13" t="str">
        <f t="shared" si="232"/>
        <v>000-655/AIB RDC/2023</v>
      </c>
      <c r="H656" s="1">
        <v>0</v>
      </c>
      <c r="I656" s="1" t="s">
        <v>83</v>
      </c>
      <c r="J656" s="29" t="s">
        <v>903</v>
      </c>
      <c r="K656" s="1" t="s">
        <v>904</v>
      </c>
      <c r="L656" s="1" t="s">
        <v>142</v>
      </c>
      <c r="M656" s="1" t="s">
        <v>74</v>
      </c>
      <c r="N656" s="1" t="s">
        <v>75</v>
      </c>
      <c r="O656" s="1" t="s">
        <v>302</v>
      </c>
      <c r="P656" s="1" t="s">
        <v>81</v>
      </c>
      <c r="Q656" s="1" t="s">
        <v>117</v>
      </c>
      <c r="R656" s="1" t="s">
        <v>117</v>
      </c>
      <c r="S656" s="25">
        <v>0</v>
      </c>
      <c r="T656" s="25">
        <v>197.93</v>
      </c>
      <c r="U656" s="25">
        <v>0</v>
      </c>
      <c r="V656" s="25">
        <v>0</v>
      </c>
      <c r="W656" s="25">
        <v>3.35</v>
      </c>
      <c r="X656" s="25">
        <v>167.28</v>
      </c>
      <c r="Y656" s="25">
        <v>27.3</v>
      </c>
      <c r="Z656" s="17" t="e">
        <f t="shared" si="233"/>
        <v>#DIV/0!</v>
      </c>
      <c r="AA656" s="18">
        <v>0.2</v>
      </c>
      <c r="AB656" s="16">
        <f t="shared" si="231"/>
        <v>33.456000000000003</v>
      </c>
      <c r="AC656" s="16">
        <v>0</v>
      </c>
      <c r="AD656" s="16">
        <v>0</v>
      </c>
      <c r="AE656" s="16">
        <v>0</v>
      </c>
      <c r="AF656" s="16">
        <f t="shared" si="234"/>
        <v>33.456000000000003</v>
      </c>
      <c r="AG656" s="16">
        <f t="shared" si="241"/>
        <v>5.3529600000000004</v>
      </c>
      <c r="AH656" s="16">
        <f t="shared" si="235"/>
        <v>38.808960000000006</v>
      </c>
      <c r="AI656" s="16">
        <f t="shared" si="242"/>
        <v>0.66912000000000005</v>
      </c>
      <c r="AJ656" s="16">
        <v>0</v>
      </c>
      <c r="AK656" s="16">
        <f t="shared" si="236"/>
        <v>0.66912000000000005</v>
      </c>
      <c r="AL656" s="19"/>
      <c r="AM656" s="16">
        <f t="shared" si="226"/>
        <v>32.786880000000004</v>
      </c>
      <c r="AN656" s="16"/>
      <c r="AO656" s="20"/>
      <c r="AP656" s="16">
        <f t="shared" si="237"/>
        <v>0</v>
      </c>
      <c r="AQ656" s="16"/>
      <c r="AR656" s="15"/>
      <c r="AS656" s="16">
        <f t="shared" si="238"/>
        <v>0</v>
      </c>
      <c r="AT656" s="16"/>
      <c r="AU656" s="16">
        <v>38.808960000000006</v>
      </c>
      <c r="AV656" s="16">
        <f t="shared" si="230"/>
        <v>38.808960000000006</v>
      </c>
      <c r="AW656" s="16">
        <f t="shared" si="239"/>
        <v>0</v>
      </c>
      <c r="AX656" s="16" t="str">
        <f t="shared" si="240"/>
        <v>SUNU</v>
      </c>
      <c r="AY656" s="22">
        <v>45175</v>
      </c>
      <c r="AZ656" s="22"/>
      <c r="BA656" s="1"/>
      <c r="BB656" s="1"/>
      <c r="BC656" s="1"/>
      <c r="BD656" s="1"/>
      <c r="BE656" s="1"/>
    </row>
    <row r="657" spans="1:57" ht="15.75" customHeight="1">
      <c r="A657" s="2" t="s">
        <v>770</v>
      </c>
      <c r="B657" s="1" t="s">
        <v>169</v>
      </c>
      <c r="C657" s="27">
        <v>45141</v>
      </c>
      <c r="D657" s="27">
        <v>45163</v>
      </c>
      <c r="E657" s="27">
        <v>45128</v>
      </c>
      <c r="F657" s="21">
        <v>45291</v>
      </c>
      <c r="G657" s="13" t="str">
        <f t="shared" si="232"/>
        <v>000-656/AIB RDC/2023</v>
      </c>
      <c r="H657" s="1">
        <v>1</v>
      </c>
      <c r="I657" s="1" t="s">
        <v>59</v>
      </c>
      <c r="J657" s="14" t="s">
        <v>893</v>
      </c>
      <c r="K657" s="1" t="s">
        <v>103</v>
      </c>
      <c r="L657" s="1"/>
      <c r="M657" s="1" t="s">
        <v>99</v>
      </c>
      <c r="N657" s="1" t="s">
        <v>100</v>
      </c>
      <c r="O657" s="1" t="s">
        <v>894</v>
      </c>
      <c r="P657" s="1" t="s">
        <v>65</v>
      </c>
      <c r="Q657" s="1" t="s">
        <v>76</v>
      </c>
      <c r="R657" s="1" t="s">
        <v>76</v>
      </c>
      <c r="S657" s="25">
        <v>0</v>
      </c>
      <c r="T657" s="25">
        <v>1899.79</v>
      </c>
      <c r="U657" s="25">
        <v>0</v>
      </c>
      <c r="V657" s="25">
        <v>0</v>
      </c>
      <c r="W657" s="25">
        <v>18.809999999999999</v>
      </c>
      <c r="X657" s="25">
        <v>1880.96</v>
      </c>
      <c r="Y657" s="25">
        <v>0</v>
      </c>
      <c r="Z657" s="17" t="e">
        <f t="shared" si="233"/>
        <v>#DIV/0!</v>
      </c>
      <c r="AA657" s="18">
        <v>0.1</v>
      </c>
      <c r="AB657" s="16">
        <f t="shared" si="231"/>
        <v>188.096</v>
      </c>
      <c r="AC657" s="16">
        <v>0</v>
      </c>
      <c r="AD657" s="16">
        <v>0</v>
      </c>
      <c r="AE657" s="16">
        <v>0</v>
      </c>
      <c r="AF657" s="16">
        <f t="shared" si="234"/>
        <v>188.096</v>
      </c>
      <c r="AG657" s="16">
        <f t="shared" si="241"/>
        <v>30.095359999999999</v>
      </c>
      <c r="AH657" s="16">
        <f t="shared" si="235"/>
        <v>218.19136</v>
      </c>
      <c r="AI657" s="16">
        <f t="shared" si="242"/>
        <v>3.7619199999999999</v>
      </c>
      <c r="AJ657" s="16">
        <v>0</v>
      </c>
      <c r="AK657" s="16">
        <f t="shared" si="236"/>
        <v>3.7619199999999999</v>
      </c>
      <c r="AL657" s="19"/>
      <c r="AM657" s="16">
        <f t="shared" si="226"/>
        <v>184.33408</v>
      </c>
      <c r="AN657" s="16"/>
      <c r="AO657" s="20"/>
      <c r="AP657" s="16">
        <f t="shared" si="237"/>
        <v>0</v>
      </c>
      <c r="AQ657" s="16"/>
      <c r="AR657" s="15"/>
      <c r="AS657" s="16">
        <f t="shared" si="238"/>
        <v>0</v>
      </c>
      <c r="AT657" s="16"/>
      <c r="AU657" s="16"/>
      <c r="AV657" s="16">
        <f t="shared" si="230"/>
        <v>218.19136</v>
      </c>
      <c r="AW657" s="60">
        <f t="shared" si="239"/>
        <v>218.19136</v>
      </c>
      <c r="AX657" s="16" t="str">
        <f t="shared" si="240"/>
        <v>ACTIVA</v>
      </c>
      <c r="AY657" s="22"/>
      <c r="AZ657" s="22"/>
      <c r="BA657" s="1"/>
      <c r="BB657" s="22"/>
      <c r="BC657" s="1"/>
      <c r="BD657" s="1"/>
      <c r="BE657" s="1"/>
    </row>
    <row r="658" spans="1:57" ht="15.75" hidden="1" customHeight="1">
      <c r="A658" s="2" t="s">
        <v>230</v>
      </c>
      <c r="B658" s="1" t="s">
        <v>58</v>
      </c>
      <c r="C658" s="27">
        <v>45177</v>
      </c>
      <c r="D658" s="27">
        <v>45078</v>
      </c>
      <c r="E658" s="27">
        <v>45064</v>
      </c>
      <c r="F658" s="27">
        <v>45152</v>
      </c>
      <c r="G658" s="13" t="str">
        <f t="shared" si="232"/>
        <v>000-657/AIB RDC/2023</v>
      </c>
      <c r="H658" s="1">
        <v>2</v>
      </c>
      <c r="I658" s="1" t="s">
        <v>59</v>
      </c>
      <c r="J658" s="29">
        <v>73200022</v>
      </c>
      <c r="K658" s="1" t="s">
        <v>907</v>
      </c>
      <c r="L658" s="1"/>
      <c r="M658" s="1" t="s">
        <v>74</v>
      </c>
      <c r="N658" s="1" t="s">
        <v>75</v>
      </c>
      <c r="O658" s="2" t="s">
        <v>104</v>
      </c>
      <c r="P658" s="2" t="s">
        <v>105</v>
      </c>
      <c r="Q658" s="2" t="s">
        <v>135</v>
      </c>
      <c r="R658" s="2" t="s">
        <v>135</v>
      </c>
      <c r="S658" s="25">
        <v>0</v>
      </c>
      <c r="T658" s="25">
        <v>32657.71</v>
      </c>
      <c r="U658" s="25">
        <v>0</v>
      </c>
      <c r="V658" s="25">
        <v>0</v>
      </c>
      <c r="W658" s="25">
        <v>100</v>
      </c>
      <c r="X658" s="25">
        <v>27576.03</v>
      </c>
      <c r="Y658" s="25">
        <v>4428.16</v>
      </c>
      <c r="Z658" s="17" t="e">
        <f t="shared" si="233"/>
        <v>#DIV/0!</v>
      </c>
      <c r="AA658" s="18">
        <v>0.15</v>
      </c>
      <c r="AB658" s="16">
        <f t="shared" si="231"/>
        <v>4136.4044999999996</v>
      </c>
      <c r="AC658" s="16">
        <v>0</v>
      </c>
      <c r="AD658" s="16">
        <v>0</v>
      </c>
      <c r="AE658" s="16">
        <v>0</v>
      </c>
      <c r="AF658" s="16">
        <f t="shared" si="234"/>
        <v>4136.4044999999996</v>
      </c>
      <c r="AG658" s="16">
        <f t="shared" si="241"/>
        <v>661.82471999999996</v>
      </c>
      <c r="AH658" s="16">
        <f t="shared" si="235"/>
        <v>4798.2292199999993</v>
      </c>
      <c r="AI658" s="16">
        <f t="shared" si="242"/>
        <v>82.728089999999995</v>
      </c>
      <c r="AJ658" s="16">
        <v>0</v>
      </c>
      <c r="AK658" s="16">
        <f t="shared" si="236"/>
        <v>82.728089999999995</v>
      </c>
      <c r="AL658" s="19"/>
      <c r="AM658" s="16">
        <f t="shared" si="226"/>
        <v>4053.6764099999996</v>
      </c>
      <c r="AN658" s="16"/>
      <c r="AO658" s="20"/>
      <c r="AP658" s="16">
        <f t="shared" si="237"/>
        <v>0</v>
      </c>
      <c r="AQ658" s="16"/>
      <c r="AR658" s="15"/>
      <c r="AS658" s="16">
        <f t="shared" si="238"/>
        <v>0</v>
      </c>
      <c r="AT658" s="16"/>
      <c r="AU658" s="16">
        <v>4798.2292199999993</v>
      </c>
      <c r="AV658" s="16">
        <f t="shared" si="230"/>
        <v>4798.2292199999993</v>
      </c>
      <c r="AW658" s="16">
        <f t="shared" si="239"/>
        <v>0</v>
      </c>
      <c r="AX658" s="16" t="str">
        <f t="shared" si="240"/>
        <v>RAWSUR</v>
      </c>
      <c r="AY658" s="27">
        <v>45153</v>
      </c>
      <c r="AZ658" s="22"/>
      <c r="BA658" s="1"/>
      <c r="BB658" s="1"/>
      <c r="BC658" s="1"/>
      <c r="BD658" s="1"/>
      <c r="BE658" s="1"/>
    </row>
    <row r="659" spans="1:57" ht="15.75" hidden="1" customHeight="1">
      <c r="A659" s="2" t="s">
        <v>212</v>
      </c>
      <c r="B659" s="1" t="s">
        <v>58</v>
      </c>
      <c r="C659" s="27">
        <v>45177</v>
      </c>
      <c r="D659" s="27">
        <v>45096</v>
      </c>
      <c r="E659" s="27">
        <v>45096</v>
      </c>
      <c r="F659" s="27">
        <v>45152</v>
      </c>
      <c r="G659" s="13" t="str">
        <f t="shared" si="232"/>
        <v>000-658/AIB RDC/2023</v>
      </c>
      <c r="H659" s="1">
        <v>3</v>
      </c>
      <c r="I659" s="1" t="s">
        <v>59</v>
      </c>
      <c r="J659" s="29">
        <v>73200022</v>
      </c>
      <c r="K659" s="1" t="s">
        <v>907</v>
      </c>
      <c r="L659" s="1"/>
      <c r="M659" s="1" t="s">
        <v>74</v>
      </c>
      <c r="N659" s="1" t="s">
        <v>75</v>
      </c>
      <c r="O659" s="2" t="s">
        <v>104</v>
      </c>
      <c r="P659" s="2" t="s">
        <v>105</v>
      </c>
      <c r="Q659" s="2" t="s">
        <v>135</v>
      </c>
      <c r="R659" s="2" t="s">
        <v>135</v>
      </c>
      <c r="S659" s="25">
        <v>0</v>
      </c>
      <c r="T659" s="25">
        <v>20126.25</v>
      </c>
      <c r="U659" s="25">
        <v>0</v>
      </c>
      <c r="V659" s="25">
        <v>0</v>
      </c>
      <c r="W659" s="25">
        <v>1443</v>
      </c>
      <c r="X659" s="25">
        <v>15613.15</v>
      </c>
      <c r="Y659" s="25">
        <v>2728.98</v>
      </c>
      <c r="Z659" s="17" t="e">
        <f t="shared" si="233"/>
        <v>#DIV/0!</v>
      </c>
      <c r="AA659" s="18">
        <v>0.15</v>
      </c>
      <c r="AB659" s="16">
        <f t="shared" si="231"/>
        <v>2341.9724999999999</v>
      </c>
      <c r="AC659" s="16">
        <v>0</v>
      </c>
      <c r="AD659" s="16">
        <v>0</v>
      </c>
      <c r="AE659" s="16">
        <v>0</v>
      </c>
      <c r="AF659" s="16">
        <f t="shared" si="234"/>
        <v>2341.9724999999999</v>
      </c>
      <c r="AG659" s="16">
        <f t="shared" si="241"/>
        <v>374.71559999999999</v>
      </c>
      <c r="AH659" s="16">
        <f t="shared" si="235"/>
        <v>2716.6880999999998</v>
      </c>
      <c r="AI659" s="16">
        <f t="shared" si="242"/>
        <v>46.839449999999999</v>
      </c>
      <c r="AJ659" s="16">
        <v>0</v>
      </c>
      <c r="AK659" s="16">
        <f t="shared" si="236"/>
        <v>46.839449999999999</v>
      </c>
      <c r="AL659" s="19"/>
      <c r="AM659" s="16">
        <f t="shared" si="226"/>
        <v>2295.1330499999999</v>
      </c>
      <c r="AN659" s="16"/>
      <c r="AO659" s="20"/>
      <c r="AP659" s="16">
        <f t="shared" si="237"/>
        <v>0</v>
      </c>
      <c r="AQ659" s="16"/>
      <c r="AR659" s="15"/>
      <c r="AS659" s="16">
        <f t="shared" si="238"/>
        <v>0</v>
      </c>
      <c r="AT659" s="16"/>
      <c r="AU659" s="16">
        <v>2716.6880999999998</v>
      </c>
      <c r="AV659" s="16">
        <f t="shared" si="230"/>
        <v>2716.6880999999998</v>
      </c>
      <c r="AW659" s="16">
        <f t="shared" si="239"/>
        <v>0</v>
      </c>
      <c r="AX659" s="16" t="str">
        <f t="shared" si="240"/>
        <v>RAWSUR</v>
      </c>
      <c r="AY659" s="27">
        <v>45153</v>
      </c>
      <c r="AZ659" s="22"/>
      <c r="BA659" s="1"/>
      <c r="BB659" s="1"/>
      <c r="BC659" s="1"/>
      <c r="BD659" s="1"/>
      <c r="BE659" s="1"/>
    </row>
    <row r="660" spans="1:57" ht="15.75" hidden="1" customHeight="1">
      <c r="A660" s="2" t="s">
        <v>406</v>
      </c>
      <c r="B660" s="1" t="s">
        <v>58</v>
      </c>
      <c r="C660" s="27">
        <v>45028</v>
      </c>
      <c r="D660" s="27"/>
      <c r="E660" s="27">
        <v>45170</v>
      </c>
      <c r="F660" s="27">
        <v>45382</v>
      </c>
      <c r="G660" s="13" t="s">
        <v>908</v>
      </c>
      <c r="H660" s="1">
        <v>1</v>
      </c>
      <c r="I660" s="1" t="s">
        <v>68</v>
      </c>
      <c r="J660" s="29" t="s">
        <v>692</v>
      </c>
      <c r="K660" s="1" t="s">
        <v>695</v>
      </c>
      <c r="L660" s="1"/>
      <c r="M660" s="1" t="s">
        <v>63</v>
      </c>
      <c r="N660" s="1" t="s">
        <v>64</v>
      </c>
      <c r="O660" s="2" t="s">
        <v>194</v>
      </c>
      <c r="P660" s="2" t="s">
        <v>108</v>
      </c>
      <c r="Q660" s="2" t="s">
        <v>76</v>
      </c>
      <c r="R660" s="2" t="s">
        <v>76</v>
      </c>
      <c r="S660" s="25">
        <v>0</v>
      </c>
      <c r="T660" s="25">
        <v>-134.96</v>
      </c>
      <c r="U660" s="25">
        <v>0</v>
      </c>
      <c r="V660" s="25">
        <v>0</v>
      </c>
      <c r="W660" s="25"/>
      <c r="X660" s="25">
        <v>-116.35</v>
      </c>
      <c r="Y660" s="25">
        <v>-18.62</v>
      </c>
      <c r="Z660" s="17" t="e">
        <f t="shared" si="233"/>
        <v>#DIV/0!</v>
      </c>
      <c r="AA660" s="18">
        <v>0.08</v>
      </c>
      <c r="AB660" s="16">
        <f t="shared" si="231"/>
        <v>-9.3079999999999998</v>
      </c>
      <c r="AC660" s="16"/>
      <c r="AD660" s="16"/>
      <c r="AE660" s="16">
        <v>0</v>
      </c>
      <c r="AF660" s="16">
        <f t="shared" si="234"/>
        <v>-9.3079999999999998</v>
      </c>
      <c r="AG660" s="16">
        <f t="shared" si="241"/>
        <v>-1.4892799999999999</v>
      </c>
      <c r="AH660" s="16">
        <f t="shared" si="235"/>
        <v>-10.797280000000001</v>
      </c>
      <c r="AI660" s="16">
        <f t="shared" si="242"/>
        <v>-0.18615999999999999</v>
      </c>
      <c r="AJ660" s="16">
        <v>0</v>
      </c>
      <c r="AK660" s="16">
        <f t="shared" si="236"/>
        <v>-0.18615999999999999</v>
      </c>
      <c r="AL660" s="19"/>
      <c r="AM660" s="16">
        <f t="shared" si="226"/>
        <v>-9.1218400000000006</v>
      </c>
      <c r="AN660" s="16"/>
      <c r="AO660" s="20"/>
      <c r="AP660" s="16"/>
      <c r="AQ660" s="16"/>
      <c r="AR660" s="15"/>
      <c r="AS660" s="16"/>
      <c r="AT660" s="16"/>
      <c r="AU660" s="16">
        <v>-10.797280000000001</v>
      </c>
      <c r="AV660" s="16">
        <f t="shared" si="230"/>
        <v>-10.797280000000001</v>
      </c>
      <c r="AW660" s="16">
        <f t="shared" si="239"/>
        <v>0</v>
      </c>
      <c r="AX660" s="16" t="str">
        <f t="shared" si="240"/>
        <v>ACTIVA</v>
      </c>
      <c r="AY660" s="27">
        <v>45170</v>
      </c>
      <c r="AZ660" s="22"/>
      <c r="BA660" s="1"/>
      <c r="BB660" s="1"/>
      <c r="BC660" s="1"/>
      <c r="BD660" s="1"/>
      <c r="BE660" s="1"/>
    </row>
    <row r="661" spans="1:57" ht="15.75" hidden="1" customHeight="1">
      <c r="A661" s="2" t="s">
        <v>770</v>
      </c>
      <c r="B661" s="1" t="s">
        <v>58</v>
      </c>
      <c r="C661" s="27">
        <v>45159</v>
      </c>
      <c r="D661" s="27">
        <v>45110</v>
      </c>
      <c r="E661" s="27">
        <v>45108</v>
      </c>
      <c r="F661" s="27">
        <v>45473</v>
      </c>
      <c r="G661" s="13" t="str">
        <f t="shared" ref="G661:G724" si="243">TEXT(ROW(G661)-1,"000-000") &amp; "/AIB RDC/2023"</f>
        <v>000-660/AIB RDC/2023</v>
      </c>
      <c r="H661" s="1">
        <v>0</v>
      </c>
      <c r="I661" s="1" t="s">
        <v>83</v>
      </c>
      <c r="J661" s="46" t="s">
        <v>909</v>
      </c>
      <c r="K661" s="1" t="s">
        <v>204</v>
      </c>
      <c r="L661" s="1" t="s">
        <v>123</v>
      </c>
      <c r="M661" s="1" t="s">
        <v>63</v>
      </c>
      <c r="N661" s="1" t="s">
        <v>71</v>
      </c>
      <c r="O661" s="2" t="s">
        <v>133</v>
      </c>
      <c r="P661" s="2" t="s">
        <v>134</v>
      </c>
      <c r="Q661" s="2" t="s">
        <v>66</v>
      </c>
      <c r="R661" s="2" t="s">
        <v>66</v>
      </c>
      <c r="S661" s="25">
        <v>0</v>
      </c>
      <c r="T661" s="25">
        <v>15989.38</v>
      </c>
      <c r="U661" s="25">
        <v>0</v>
      </c>
      <c r="V661" s="25">
        <v>0</v>
      </c>
      <c r="W661" s="25">
        <v>199.26</v>
      </c>
      <c r="X661" s="25">
        <v>13287.03</v>
      </c>
      <c r="Y661" s="25">
        <v>2205.4299999999998</v>
      </c>
      <c r="Z661" s="17" t="e">
        <f t="shared" si="233"/>
        <v>#DIV/0!</v>
      </c>
      <c r="AA661" s="18">
        <v>0.15</v>
      </c>
      <c r="AB661" s="16">
        <f t="shared" si="231"/>
        <v>1993.0545</v>
      </c>
      <c r="AC661" s="16">
        <v>0</v>
      </c>
      <c r="AD661" s="16">
        <v>0</v>
      </c>
      <c r="AE661" s="16">
        <v>0</v>
      </c>
      <c r="AF661" s="16">
        <f t="shared" si="234"/>
        <v>1993.0545</v>
      </c>
      <c r="AG661" s="16">
        <f t="shared" si="241"/>
        <v>318.88871999999998</v>
      </c>
      <c r="AH661" s="16">
        <f t="shared" si="235"/>
        <v>2311.9432200000001</v>
      </c>
      <c r="AI661" s="16">
        <f t="shared" si="242"/>
        <v>39.861089999999997</v>
      </c>
      <c r="AJ661" s="16">
        <v>0</v>
      </c>
      <c r="AK661" s="16">
        <f t="shared" si="236"/>
        <v>39.861089999999997</v>
      </c>
      <c r="AL661" s="19"/>
      <c r="AM661" s="16">
        <f t="shared" si="226"/>
        <v>1953.1934099999999</v>
      </c>
      <c r="AN661" s="16" t="s">
        <v>206</v>
      </c>
      <c r="AO661" s="43">
        <v>0.5</v>
      </c>
      <c r="AP661" s="16">
        <f t="shared" ref="AP661:AP724" si="244">AO661*AM661</f>
        <v>976.59670499999993</v>
      </c>
      <c r="AQ661" s="16">
        <v>976.59670499999993</v>
      </c>
      <c r="AR661" s="15">
        <v>45219</v>
      </c>
      <c r="AS661" s="16">
        <f t="shared" ref="AS661:AS671" si="245">AP661-AQ661</f>
        <v>0</v>
      </c>
      <c r="AT661" s="16"/>
      <c r="AU661" s="16">
        <v>2311.9432200000001</v>
      </c>
      <c r="AV661" s="16">
        <f t="shared" si="230"/>
        <v>2311.9432200000001</v>
      </c>
      <c r="AW661" s="44">
        <f t="shared" si="239"/>
        <v>0</v>
      </c>
      <c r="AX661" s="16" t="str">
        <f t="shared" si="240"/>
        <v>SFA</v>
      </c>
      <c r="AY661" s="27">
        <v>45163</v>
      </c>
      <c r="AZ661" s="22"/>
      <c r="BA661" s="1"/>
      <c r="BB661" s="1"/>
      <c r="BC661" s="1"/>
      <c r="BD661" s="1"/>
      <c r="BE661" s="1"/>
    </row>
    <row r="662" spans="1:57" ht="15.75" hidden="1" customHeight="1">
      <c r="A662" s="2" t="s">
        <v>770</v>
      </c>
      <c r="B662" s="1" t="s">
        <v>58</v>
      </c>
      <c r="C662" s="27">
        <v>45159</v>
      </c>
      <c r="D662" s="27">
        <v>45114</v>
      </c>
      <c r="E662" s="27">
        <v>45112</v>
      </c>
      <c r="F662" s="27">
        <v>45477</v>
      </c>
      <c r="G662" s="13" t="str">
        <f t="shared" si="243"/>
        <v>000-661/AIB RDC/2023</v>
      </c>
      <c r="H662" s="1">
        <v>0</v>
      </c>
      <c r="I662" s="1" t="s">
        <v>83</v>
      </c>
      <c r="J662" s="46" t="s">
        <v>910</v>
      </c>
      <c r="K662" s="1" t="s">
        <v>204</v>
      </c>
      <c r="L662" s="1" t="s">
        <v>123</v>
      </c>
      <c r="M662" s="1" t="s">
        <v>63</v>
      </c>
      <c r="N662" s="1" t="s">
        <v>71</v>
      </c>
      <c r="O662" s="2" t="s">
        <v>107</v>
      </c>
      <c r="P662" s="2" t="s">
        <v>108</v>
      </c>
      <c r="Q662" s="2" t="s">
        <v>66</v>
      </c>
      <c r="R662" s="2" t="s">
        <v>66</v>
      </c>
      <c r="S662" s="25">
        <v>0</v>
      </c>
      <c r="T662" s="25">
        <v>2366.77</v>
      </c>
      <c r="U662" s="25">
        <v>0</v>
      </c>
      <c r="V662" s="25">
        <v>0</v>
      </c>
      <c r="W662" s="25">
        <v>19.899999999999999</v>
      </c>
      <c r="X662" s="25">
        <v>1980.41</v>
      </c>
      <c r="Y662" s="25">
        <v>326.45</v>
      </c>
      <c r="Z662" s="17" t="e">
        <f t="shared" si="233"/>
        <v>#DIV/0!</v>
      </c>
      <c r="AA662" s="18">
        <v>0.1</v>
      </c>
      <c r="AB662" s="16">
        <f t="shared" si="231"/>
        <v>198.04100000000003</v>
      </c>
      <c r="AC662" s="16">
        <v>0</v>
      </c>
      <c r="AD662" s="16">
        <v>0</v>
      </c>
      <c r="AE662" s="16">
        <v>0</v>
      </c>
      <c r="AF662" s="16">
        <f t="shared" si="234"/>
        <v>198.04100000000003</v>
      </c>
      <c r="AG662" s="16">
        <f t="shared" si="241"/>
        <v>31.686560000000004</v>
      </c>
      <c r="AH662" s="16">
        <f t="shared" si="235"/>
        <v>229.72756000000004</v>
      </c>
      <c r="AI662" s="16">
        <f t="shared" si="242"/>
        <v>3.9608200000000005</v>
      </c>
      <c r="AJ662" s="16">
        <v>0</v>
      </c>
      <c r="AK662" s="16">
        <f t="shared" si="236"/>
        <v>3.9608200000000005</v>
      </c>
      <c r="AL662" s="19"/>
      <c r="AM662" s="16">
        <f t="shared" si="226"/>
        <v>194.08018000000001</v>
      </c>
      <c r="AN662" s="16" t="s">
        <v>206</v>
      </c>
      <c r="AO662" s="43">
        <v>0.5</v>
      </c>
      <c r="AP662" s="16">
        <f t="shared" si="244"/>
        <v>97.040090000000006</v>
      </c>
      <c r="AQ662" s="16">
        <v>97.040090000000006</v>
      </c>
      <c r="AR662" s="15">
        <v>45219</v>
      </c>
      <c r="AS662" s="16">
        <f t="shared" si="245"/>
        <v>0</v>
      </c>
      <c r="AT662" s="16"/>
      <c r="AU662" s="16">
        <v>229.72756000000004</v>
      </c>
      <c r="AV662" s="16">
        <f t="shared" si="230"/>
        <v>229.72756000000004</v>
      </c>
      <c r="AW662" s="44">
        <f t="shared" si="239"/>
        <v>0</v>
      </c>
      <c r="AX662" s="16" t="str">
        <f t="shared" si="240"/>
        <v>SFA</v>
      </c>
      <c r="AY662" s="27">
        <v>45163</v>
      </c>
      <c r="AZ662" s="22"/>
      <c r="BA662" s="1"/>
      <c r="BB662" s="1"/>
      <c r="BC662" s="1"/>
      <c r="BD662" s="1"/>
      <c r="BE662" s="1"/>
    </row>
    <row r="663" spans="1:57" ht="15.75" hidden="1" customHeight="1">
      <c r="A663" s="2" t="s">
        <v>212</v>
      </c>
      <c r="B663" s="1" t="s">
        <v>58</v>
      </c>
      <c r="C663" s="27">
        <v>45159</v>
      </c>
      <c r="D663" s="27">
        <v>45118</v>
      </c>
      <c r="E663" s="27">
        <v>45098</v>
      </c>
      <c r="F663" s="27">
        <v>45463</v>
      </c>
      <c r="G663" s="13" t="str">
        <f t="shared" si="243"/>
        <v>000-662/AIB RDC/2023</v>
      </c>
      <c r="H663" s="1">
        <v>0</v>
      </c>
      <c r="I663" s="1" t="s">
        <v>83</v>
      </c>
      <c r="J663" s="46" t="s">
        <v>911</v>
      </c>
      <c r="K663" s="1" t="s">
        <v>912</v>
      </c>
      <c r="L663" s="1"/>
      <c r="M663" s="1" t="s">
        <v>63</v>
      </c>
      <c r="N663" s="1" t="s">
        <v>358</v>
      </c>
      <c r="O663" s="2" t="s">
        <v>133</v>
      </c>
      <c r="P663" s="2" t="s">
        <v>134</v>
      </c>
      <c r="Q663" s="2" t="s">
        <v>66</v>
      </c>
      <c r="R663" s="2" t="s">
        <v>66</v>
      </c>
      <c r="S663" s="25">
        <v>0</v>
      </c>
      <c r="T663" s="25">
        <v>19202.259999999998</v>
      </c>
      <c r="U663" s="25">
        <v>0</v>
      </c>
      <c r="V663" s="25">
        <v>0</v>
      </c>
      <c r="W663" s="25">
        <v>239.31</v>
      </c>
      <c r="X663" s="25">
        <v>15958.5</v>
      </c>
      <c r="Y663" s="25">
        <v>2648.58</v>
      </c>
      <c r="Z663" s="17" t="e">
        <f t="shared" si="233"/>
        <v>#DIV/0!</v>
      </c>
      <c r="AA663" s="18">
        <v>0.15</v>
      </c>
      <c r="AB663" s="16">
        <f t="shared" si="231"/>
        <v>2393.7750000000001</v>
      </c>
      <c r="AC663" s="16">
        <v>0</v>
      </c>
      <c r="AD663" s="16">
        <v>0</v>
      </c>
      <c r="AE663" s="16">
        <v>0</v>
      </c>
      <c r="AF663" s="16">
        <f t="shared" si="234"/>
        <v>2393.7750000000001</v>
      </c>
      <c r="AG663" s="16">
        <f t="shared" si="241"/>
        <v>383.00400000000002</v>
      </c>
      <c r="AH663" s="16">
        <f t="shared" si="235"/>
        <v>2776.779</v>
      </c>
      <c r="AI663" s="16">
        <f t="shared" si="242"/>
        <v>47.875500000000002</v>
      </c>
      <c r="AJ663" s="16">
        <v>0</v>
      </c>
      <c r="AK663" s="16">
        <f t="shared" si="236"/>
        <v>47.875500000000002</v>
      </c>
      <c r="AL663" s="19"/>
      <c r="AM663" s="16">
        <f t="shared" si="226"/>
        <v>2345.8995</v>
      </c>
      <c r="AN663" s="16" t="s">
        <v>206</v>
      </c>
      <c r="AO663" s="43">
        <v>0.5</v>
      </c>
      <c r="AP663" s="16">
        <f t="shared" si="244"/>
        <v>1172.94975</v>
      </c>
      <c r="AQ663" s="16">
        <v>1172.94975</v>
      </c>
      <c r="AR663" s="15">
        <v>45219</v>
      </c>
      <c r="AS663" s="16">
        <f t="shared" si="245"/>
        <v>0</v>
      </c>
      <c r="AT663" s="16"/>
      <c r="AU663" s="16">
        <v>2776.779</v>
      </c>
      <c r="AV663" s="16">
        <f t="shared" si="230"/>
        <v>2776.779</v>
      </c>
      <c r="AW663" s="16">
        <f t="shared" si="239"/>
        <v>0</v>
      </c>
      <c r="AX663" s="16" t="str">
        <f t="shared" si="240"/>
        <v>SFA</v>
      </c>
      <c r="AY663" s="27">
        <v>45163</v>
      </c>
      <c r="AZ663" s="22"/>
      <c r="BA663" s="1"/>
      <c r="BB663" s="1"/>
      <c r="BC663" s="1"/>
      <c r="BD663" s="1"/>
      <c r="BE663" s="1"/>
    </row>
    <row r="664" spans="1:57" ht="15.75" hidden="1" customHeight="1">
      <c r="A664" s="2" t="s">
        <v>212</v>
      </c>
      <c r="B664" s="1" t="s">
        <v>58</v>
      </c>
      <c r="C664" s="27">
        <v>45160</v>
      </c>
      <c r="D664" s="27">
        <v>45126</v>
      </c>
      <c r="E664" s="27">
        <v>45093</v>
      </c>
      <c r="F664" s="27">
        <v>45457</v>
      </c>
      <c r="G664" s="13" t="str">
        <f t="shared" si="243"/>
        <v>000-663/AIB RDC/2023</v>
      </c>
      <c r="H664" s="1">
        <v>0</v>
      </c>
      <c r="I664" s="1" t="s">
        <v>83</v>
      </c>
      <c r="J664" s="46" t="s">
        <v>913</v>
      </c>
      <c r="K664" s="1" t="s">
        <v>914</v>
      </c>
      <c r="L664" s="1"/>
      <c r="M664" s="1" t="s">
        <v>95</v>
      </c>
      <c r="N664" s="1" t="s">
        <v>836</v>
      </c>
      <c r="O664" s="1" t="s">
        <v>104</v>
      </c>
      <c r="P664" s="1" t="s">
        <v>105</v>
      </c>
      <c r="Q664" s="2" t="s">
        <v>66</v>
      </c>
      <c r="R664" s="2" t="s">
        <v>66</v>
      </c>
      <c r="S664" s="25">
        <v>668.84</v>
      </c>
      <c r="T664" s="25">
        <v>49.85</v>
      </c>
      <c r="U664" s="25">
        <v>0</v>
      </c>
      <c r="V664" s="25">
        <v>0</v>
      </c>
      <c r="W664" s="25">
        <v>6.42</v>
      </c>
      <c r="X664" s="25">
        <v>15</v>
      </c>
      <c r="Y664" s="25">
        <v>3.43</v>
      </c>
      <c r="Z664" s="17">
        <f t="shared" si="233"/>
        <v>2.2426888343998565E-2</v>
      </c>
      <c r="AA664" s="18">
        <v>0.15</v>
      </c>
      <c r="AB664" s="16">
        <f t="shared" si="231"/>
        <v>2.25</v>
      </c>
      <c r="AC664" s="16">
        <v>0</v>
      </c>
      <c r="AD664" s="16">
        <v>0</v>
      </c>
      <c r="AE664" s="16">
        <v>0</v>
      </c>
      <c r="AF664" s="16">
        <f t="shared" si="234"/>
        <v>2.25</v>
      </c>
      <c r="AG664" s="16">
        <f t="shared" si="241"/>
        <v>0.36</v>
      </c>
      <c r="AH664" s="16">
        <f t="shared" si="235"/>
        <v>2.61</v>
      </c>
      <c r="AI664" s="16">
        <f t="shared" si="242"/>
        <v>4.4999999999999998E-2</v>
      </c>
      <c r="AJ664" s="16">
        <v>0</v>
      </c>
      <c r="AK664" s="16">
        <f t="shared" si="236"/>
        <v>4.4999999999999998E-2</v>
      </c>
      <c r="AL664" s="19"/>
      <c r="AM664" s="16">
        <f t="shared" si="226"/>
        <v>2.2050000000000001</v>
      </c>
      <c r="AN664" s="16" t="s">
        <v>147</v>
      </c>
      <c r="AO664" s="20">
        <v>0.4</v>
      </c>
      <c r="AP664" s="16">
        <f t="shared" si="244"/>
        <v>0.88200000000000012</v>
      </c>
      <c r="AQ664" s="16">
        <v>0.88200000000000012</v>
      </c>
      <c r="AR664" s="15"/>
      <c r="AS664" s="16">
        <f t="shared" si="245"/>
        <v>0</v>
      </c>
      <c r="AT664" s="16"/>
      <c r="AU664" s="16">
        <v>2.61</v>
      </c>
      <c r="AV664" s="16">
        <f t="shared" si="230"/>
        <v>2.61</v>
      </c>
      <c r="AW664" s="16">
        <f t="shared" si="239"/>
        <v>0</v>
      </c>
      <c r="AX664" s="16" t="str">
        <f t="shared" si="240"/>
        <v>SFA</v>
      </c>
      <c r="AY664" s="27">
        <v>45163</v>
      </c>
      <c r="AZ664" s="22"/>
      <c r="BA664" s="1" t="s">
        <v>148</v>
      </c>
      <c r="BB664" s="22" t="str">
        <f t="shared" ref="BB664:BB669" si="246">O664</f>
        <v>MARINE CARGO / GIT</v>
      </c>
      <c r="BC664" s="1"/>
      <c r="BD664" s="1"/>
      <c r="BE664" s="1"/>
    </row>
    <row r="665" spans="1:57" ht="15.75" hidden="1" customHeight="1">
      <c r="A665" s="2" t="s">
        <v>230</v>
      </c>
      <c r="B665" s="1" t="s">
        <v>58</v>
      </c>
      <c r="C665" s="27">
        <v>45160</v>
      </c>
      <c r="D665" s="27">
        <v>45094</v>
      </c>
      <c r="E665" s="27">
        <v>45064</v>
      </c>
      <c r="F665" s="27">
        <v>45428</v>
      </c>
      <c r="G665" s="13" t="str">
        <f t="shared" si="243"/>
        <v>000-664/AIB RDC/2023</v>
      </c>
      <c r="H665" s="1">
        <v>0</v>
      </c>
      <c r="I665" s="1" t="s">
        <v>83</v>
      </c>
      <c r="J665" s="29" t="s">
        <v>915</v>
      </c>
      <c r="K665" s="2" t="s">
        <v>209</v>
      </c>
      <c r="L665" s="1"/>
      <c r="M665" s="2" t="s">
        <v>95</v>
      </c>
      <c r="N665" s="2" t="s">
        <v>146</v>
      </c>
      <c r="O665" s="2" t="s">
        <v>104</v>
      </c>
      <c r="P665" s="2" t="s">
        <v>105</v>
      </c>
      <c r="Q665" s="2" t="s">
        <v>66</v>
      </c>
      <c r="R665" s="2" t="s">
        <v>66</v>
      </c>
      <c r="S665" s="25">
        <v>78821.16</v>
      </c>
      <c r="T665" s="25">
        <v>177.59</v>
      </c>
      <c r="U665" s="25">
        <v>0</v>
      </c>
      <c r="V665" s="25">
        <v>0</v>
      </c>
      <c r="W665" s="25">
        <v>8.58</v>
      </c>
      <c r="X665" s="25">
        <v>122.96</v>
      </c>
      <c r="Y665" s="25">
        <v>21.05</v>
      </c>
      <c r="Z665" s="17">
        <f t="shared" si="233"/>
        <v>1.559987191256764E-3</v>
      </c>
      <c r="AA665" s="18">
        <v>0.15</v>
      </c>
      <c r="AB665" s="16">
        <f t="shared" si="231"/>
        <v>18.443999999999999</v>
      </c>
      <c r="AC665" s="16">
        <v>0</v>
      </c>
      <c r="AD665" s="16">
        <v>0</v>
      </c>
      <c r="AE665" s="16">
        <v>0</v>
      </c>
      <c r="AF665" s="16">
        <f t="shared" si="234"/>
        <v>18.443999999999999</v>
      </c>
      <c r="AG665" s="16">
        <f t="shared" si="241"/>
        <v>2.9510399999999999</v>
      </c>
      <c r="AH665" s="16">
        <f t="shared" si="235"/>
        <v>21.395039999999998</v>
      </c>
      <c r="AI665" s="16">
        <f t="shared" si="242"/>
        <v>0.36887999999999999</v>
      </c>
      <c r="AJ665" s="16">
        <v>0</v>
      </c>
      <c r="AK665" s="16">
        <f t="shared" si="236"/>
        <v>0.36887999999999999</v>
      </c>
      <c r="AL665" s="19"/>
      <c r="AM665" s="16">
        <f t="shared" si="226"/>
        <v>18.075119999999998</v>
      </c>
      <c r="AN665" s="16" t="s">
        <v>147</v>
      </c>
      <c r="AO665" s="20">
        <v>0.4</v>
      </c>
      <c r="AP665" s="16">
        <f t="shared" si="244"/>
        <v>7.230048</v>
      </c>
      <c r="AQ665" s="16">
        <v>7.230048</v>
      </c>
      <c r="AR665" s="15">
        <v>45229</v>
      </c>
      <c r="AS665" s="16">
        <f t="shared" si="245"/>
        <v>0</v>
      </c>
      <c r="AT665" s="16"/>
      <c r="AU665" s="16">
        <v>21.395039999999998</v>
      </c>
      <c r="AV665" s="16">
        <f t="shared" si="230"/>
        <v>21.395039999999998</v>
      </c>
      <c r="AW665" s="16">
        <f t="shared" si="239"/>
        <v>0</v>
      </c>
      <c r="AX665" s="16" t="str">
        <f t="shared" si="240"/>
        <v>SFA</v>
      </c>
      <c r="AY665" s="22">
        <v>45163</v>
      </c>
      <c r="AZ665" s="22"/>
      <c r="BA665" s="1" t="s">
        <v>148</v>
      </c>
      <c r="BB665" s="22" t="str">
        <f t="shared" si="246"/>
        <v>MARINE CARGO / GIT</v>
      </c>
      <c r="BC665" s="1"/>
      <c r="BD665" s="1"/>
      <c r="BE665" s="1"/>
    </row>
    <row r="666" spans="1:57" ht="15.75" hidden="1" customHeight="1">
      <c r="A666" s="2" t="s">
        <v>770</v>
      </c>
      <c r="B666" s="1" t="s">
        <v>58</v>
      </c>
      <c r="C666" s="27">
        <v>45160</v>
      </c>
      <c r="D666" s="27">
        <v>45129</v>
      </c>
      <c r="E666" s="27">
        <v>45129</v>
      </c>
      <c r="F666" s="27">
        <v>45494</v>
      </c>
      <c r="G666" s="13" t="str">
        <f t="shared" si="243"/>
        <v>000-665/AIB RDC/2023</v>
      </c>
      <c r="H666" s="1">
        <v>0</v>
      </c>
      <c r="I666" s="1" t="s">
        <v>83</v>
      </c>
      <c r="J666" s="46" t="s">
        <v>916</v>
      </c>
      <c r="K666" s="1" t="s">
        <v>717</v>
      </c>
      <c r="L666" s="1"/>
      <c r="M666" s="2" t="s">
        <v>95</v>
      </c>
      <c r="N666" s="2" t="s">
        <v>146</v>
      </c>
      <c r="O666" s="2" t="s">
        <v>104</v>
      </c>
      <c r="P666" s="2" t="s">
        <v>105</v>
      </c>
      <c r="Q666" s="1" t="s">
        <v>66</v>
      </c>
      <c r="R666" s="1" t="s">
        <v>66</v>
      </c>
      <c r="S666" s="25">
        <v>19484.79</v>
      </c>
      <c r="T666" s="25">
        <v>54.23</v>
      </c>
      <c r="U666" s="25">
        <v>0</v>
      </c>
      <c r="V666" s="25">
        <v>0</v>
      </c>
      <c r="W666" s="25">
        <v>6.49</v>
      </c>
      <c r="X666" s="25">
        <v>18.71</v>
      </c>
      <c r="Y666" s="25">
        <v>4.03</v>
      </c>
      <c r="Z666" s="17">
        <f t="shared" si="233"/>
        <v>9.6023616369486143E-4</v>
      </c>
      <c r="AA666" s="18">
        <v>0.15</v>
      </c>
      <c r="AB666" s="16">
        <f t="shared" si="231"/>
        <v>2.8065000000000002</v>
      </c>
      <c r="AC666" s="16">
        <v>0</v>
      </c>
      <c r="AD666" s="16">
        <v>0</v>
      </c>
      <c r="AE666" s="16">
        <v>0</v>
      </c>
      <c r="AF666" s="16">
        <f t="shared" si="234"/>
        <v>2.8065000000000002</v>
      </c>
      <c r="AG666" s="16">
        <f t="shared" si="241"/>
        <v>0.44904000000000005</v>
      </c>
      <c r="AH666" s="16">
        <f t="shared" si="235"/>
        <v>3.2555400000000003</v>
      </c>
      <c r="AI666" s="16">
        <f t="shared" si="242"/>
        <v>5.6130000000000006E-2</v>
      </c>
      <c r="AJ666" s="16">
        <v>0</v>
      </c>
      <c r="AK666" s="16">
        <f t="shared" si="236"/>
        <v>5.6130000000000006E-2</v>
      </c>
      <c r="AL666" s="19"/>
      <c r="AM666" s="16">
        <f t="shared" si="226"/>
        <v>2.7503700000000002</v>
      </c>
      <c r="AN666" s="16" t="s">
        <v>147</v>
      </c>
      <c r="AO666" s="20">
        <v>0.4</v>
      </c>
      <c r="AP666" s="16">
        <f t="shared" si="244"/>
        <v>1.1001480000000001</v>
      </c>
      <c r="AQ666" s="16">
        <v>1.1001480000000001</v>
      </c>
      <c r="AR666" s="15">
        <v>45229</v>
      </c>
      <c r="AS666" s="16">
        <f t="shared" si="245"/>
        <v>0</v>
      </c>
      <c r="AT666" s="16"/>
      <c r="AU666" s="16">
        <v>3.2555400000000003</v>
      </c>
      <c r="AV666" s="16">
        <f t="shared" si="230"/>
        <v>3.2555400000000003</v>
      </c>
      <c r="AW666" s="16">
        <f t="shared" si="239"/>
        <v>0</v>
      </c>
      <c r="AX666" s="16" t="str">
        <f t="shared" si="240"/>
        <v>SFA</v>
      </c>
      <c r="AY666" s="27">
        <v>45163</v>
      </c>
      <c r="AZ666" s="22"/>
      <c r="BA666" s="1" t="s">
        <v>148</v>
      </c>
      <c r="BB666" s="22" t="str">
        <f t="shared" si="246"/>
        <v>MARINE CARGO / GIT</v>
      </c>
      <c r="BC666" s="1"/>
      <c r="BD666" s="1"/>
      <c r="BE666" s="1"/>
    </row>
    <row r="667" spans="1:57" ht="15.75" hidden="1" customHeight="1">
      <c r="A667" s="2" t="s">
        <v>871</v>
      </c>
      <c r="B667" s="1" t="s">
        <v>58</v>
      </c>
      <c r="C667" s="27">
        <v>45160</v>
      </c>
      <c r="D667" s="27">
        <v>45141</v>
      </c>
      <c r="E667" s="27">
        <v>45141</v>
      </c>
      <c r="F667" s="27">
        <v>45506</v>
      </c>
      <c r="G667" s="13" t="str">
        <f t="shared" si="243"/>
        <v>000-666/AIB RDC/2023</v>
      </c>
      <c r="H667" s="1">
        <v>0</v>
      </c>
      <c r="I667" s="1" t="s">
        <v>83</v>
      </c>
      <c r="J667" s="46" t="s">
        <v>917</v>
      </c>
      <c r="K667" s="1" t="s">
        <v>163</v>
      </c>
      <c r="L667" s="1"/>
      <c r="M667" s="1" t="s">
        <v>95</v>
      </c>
      <c r="N667" s="1" t="s">
        <v>836</v>
      </c>
      <c r="O667" s="1" t="s">
        <v>104</v>
      </c>
      <c r="P667" s="1" t="s">
        <v>105</v>
      </c>
      <c r="Q667" s="1" t="s">
        <v>66</v>
      </c>
      <c r="R667" s="1" t="s">
        <v>66</v>
      </c>
      <c r="S667" s="25">
        <v>51367.32</v>
      </c>
      <c r="T667" s="25">
        <v>90.45</v>
      </c>
      <c r="U667" s="25">
        <v>0</v>
      </c>
      <c r="V667" s="25">
        <v>0</v>
      </c>
      <c r="W667" s="25">
        <v>7.11</v>
      </c>
      <c r="X667" s="25">
        <v>49.31</v>
      </c>
      <c r="Y667" s="25">
        <v>9.0299999999999994</v>
      </c>
      <c r="Z667" s="17">
        <f t="shared" si="233"/>
        <v>9.5994885464143354E-4</v>
      </c>
      <c r="AA667" s="18">
        <v>0.15</v>
      </c>
      <c r="AB667" s="16">
        <f t="shared" si="231"/>
        <v>7.3964999999999996</v>
      </c>
      <c r="AC667" s="16">
        <v>0</v>
      </c>
      <c r="AD667" s="16">
        <v>0</v>
      </c>
      <c r="AE667" s="16">
        <v>0</v>
      </c>
      <c r="AF667" s="16">
        <f t="shared" si="234"/>
        <v>7.3964999999999996</v>
      </c>
      <c r="AG667" s="16">
        <f t="shared" si="241"/>
        <v>1.18344</v>
      </c>
      <c r="AH667" s="16">
        <f t="shared" si="235"/>
        <v>8.5799400000000006</v>
      </c>
      <c r="AI667" s="16">
        <f t="shared" si="242"/>
        <v>0.14793000000000001</v>
      </c>
      <c r="AJ667" s="16">
        <v>0</v>
      </c>
      <c r="AK667" s="16">
        <f t="shared" si="236"/>
        <v>0.14793000000000001</v>
      </c>
      <c r="AL667" s="19"/>
      <c r="AM667" s="16">
        <f t="shared" si="226"/>
        <v>7.24857</v>
      </c>
      <c r="AN667" s="16" t="s">
        <v>147</v>
      </c>
      <c r="AO667" s="20">
        <v>0.4</v>
      </c>
      <c r="AP667" s="16">
        <f t="shared" si="244"/>
        <v>2.8994280000000003</v>
      </c>
      <c r="AQ667" s="16">
        <v>2.8994280000000003</v>
      </c>
      <c r="AR667" s="15">
        <v>45229</v>
      </c>
      <c r="AS667" s="16">
        <f t="shared" si="245"/>
        <v>0</v>
      </c>
      <c r="AT667" s="16"/>
      <c r="AU667" s="16">
        <v>8.5799400000000006</v>
      </c>
      <c r="AV667" s="16">
        <f t="shared" si="230"/>
        <v>8.5799400000000006</v>
      </c>
      <c r="AW667" s="16">
        <f t="shared" si="239"/>
        <v>0</v>
      </c>
      <c r="AX667" s="16" t="str">
        <f t="shared" si="240"/>
        <v>SFA</v>
      </c>
      <c r="AY667" s="22">
        <v>45163</v>
      </c>
      <c r="AZ667" s="22"/>
      <c r="BA667" s="1" t="s">
        <v>148</v>
      </c>
      <c r="BB667" s="22" t="str">
        <f t="shared" si="246"/>
        <v>MARINE CARGO / GIT</v>
      </c>
      <c r="BC667" s="1"/>
      <c r="BD667" s="1"/>
      <c r="BE667" s="1"/>
    </row>
    <row r="668" spans="1:57" ht="15.75" hidden="1" customHeight="1">
      <c r="A668" s="2" t="s">
        <v>212</v>
      </c>
      <c r="B668" s="1" t="s">
        <v>169</v>
      </c>
      <c r="C668" s="27">
        <v>45160</v>
      </c>
      <c r="D668" s="27">
        <v>45083</v>
      </c>
      <c r="E668" s="27">
        <v>45083</v>
      </c>
      <c r="F668" s="27">
        <v>45112</v>
      </c>
      <c r="G668" s="13" t="str">
        <f t="shared" si="243"/>
        <v>000-667/AIB RDC/2023</v>
      </c>
      <c r="H668" s="1">
        <v>1</v>
      </c>
      <c r="I668" s="1" t="s">
        <v>918</v>
      </c>
      <c r="J668" s="29" t="s">
        <v>839</v>
      </c>
      <c r="K668" s="1" t="s">
        <v>480</v>
      </c>
      <c r="L668" s="1"/>
      <c r="M668" s="1" t="s">
        <v>95</v>
      </c>
      <c r="N668" s="1" t="s">
        <v>644</v>
      </c>
      <c r="O668" s="1" t="s">
        <v>104</v>
      </c>
      <c r="P668" s="1" t="s">
        <v>105</v>
      </c>
      <c r="Q668" s="1" t="s">
        <v>76</v>
      </c>
      <c r="R668" s="1" t="s">
        <v>76</v>
      </c>
      <c r="S668" s="25">
        <v>0</v>
      </c>
      <c r="T668" s="25"/>
      <c r="U668" s="25">
        <v>0</v>
      </c>
      <c r="V668" s="25">
        <v>0</v>
      </c>
      <c r="W668" s="25"/>
      <c r="X668" s="25">
        <v>-321.33</v>
      </c>
      <c r="Y668" s="25">
        <v>0</v>
      </c>
      <c r="Z668" s="17" t="e">
        <f t="shared" si="233"/>
        <v>#DIV/0!</v>
      </c>
      <c r="AA668" s="18">
        <v>0.15</v>
      </c>
      <c r="AB668" s="16">
        <f t="shared" si="231"/>
        <v>-48.199499999999993</v>
      </c>
      <c r="AC668" s="16">
        <v>0</v>
      </c>
      <c r="AD668" s="16">
        <v>0</v>
      </c>
      <c r="AE668" s="16">
        <v>0</v>
      </c>
      <c r="AF668" s="16">
        <f t="shared" si="234"/>
        <v>-48.199499999999993</v>
      </c>
      <c r="AG668" s="16">
        <f t="shared" si="241"/>
        <v>-7.7119199999999992</v>
      </c>
      <c r="AH668" s="16">
        <f t="shared" si="235"/>
        <v>-55.911419999999993</v>
      </c>
      <c r="AI668" s="16">
        <f t="shared" si="242"/>
        <v>-0.9639899999999999</v>
      </c>
      <c r="AJ668" s="16">
        <v>0</v>
      </c>
      <c r="AK668" s="16">
        <f t="shared" si="236"/>
        <v>-0.9639899999999999</v>
      </c>
      <c r="AL668" s="19"/>
      <c r="AM668" s="16">
        <f t="shared" si="226"/>
        <v>-47.235509999999991</v>
      </c>
      <c r="AN668" s="16"/>
      <c r="AO668" s="20"/>
      <c r="AP668" s="16">
        <f t="shared" si="244"/>
        <v>0</v>
      </c>
      <c r="AQ668" s="16"/>
      <c r="AR668" s="15"/>
      <c r="AS668" s="16">
        <f t="shared" si="245"/>
        <v>0</v>
      </c>
      <c r="AT668" s="16"/>
      <c r="AU668" s="16">
        <v>-55.911419999999993</v>
      </c>
      <c r="AV668" s="16">
        <f t="shared" si="230"/>
        <v>-55.911419999999993</v>
      </c>
      <c r="AW668" s="16">
        <f t="shared" si="239"/>
        <v>0</v>
      </c>
      <c r="AX668" s="16" t="str">
        <f t="shared" si="240"/>
        <v>ACTIVA</v>
      </c>
      <c r="AY668" s="22">
        <v>45170</v>
      </c>
      <c r="AZ668" s="22"/>
      <c r="BA668" s="1" t="s">
        <v>148</v>
      </c>
      <c r="BB668" s="22" t="str">
        <f t="shared" si="246"/>
        <v>MARINE CARGO / GIT</v>
      </c>
      <c r="BC668" s="1"/>
      <c r="BD668" s="1"/>
      <c r="BE668" s="1"/>
    </row>
    <row r="669" spans="1:57" ht="15.75" hidden="1" customHeight="1">
      <c r="A669" s="2" t="s">
        <v>212</v>
      </c>
      <c r="B669" s="1" t="s">
        <v>169</v>
      </c>
      <c r="C669" s="27">
        <v>45160</v>
      </c>
      <c r="D669" s="27">
        <v>45084</v>
      </c>
      <c r="E669" s="27">
        <v>45085</v>
      </c>
      <c r="F669" s="27">
        <v>45129</v>
      </c>
      <c r="G669" s="13" t="str">
        <f t="shared" si="243"/>
        <v>000-668/AIB RDC/2023</v>
      </c>
      <c r="H669" s="1">
        <v>1</v>
      </c>
      <c r="I669" s="1" t="s">
        <v>918</v>
      </c>
      <c r="J669" s="29" t="s">
        <v>840</v>
      </c>
      <c r="K669" s="1" t="s">
        <v>480</v>
      </c>
      <c r="L669" s="1"/>
      <c r="M669" s="1" t="s">
        <v>95</v>
      </c>
      <c r="N669" s="1" t="s">
        <v>644</v>
      </c>
      <c r="O669" s="1" t="s">
        <v>104</v>
      </c>
      <c r="P669" s="1" t="s">
        <v>105</v>
      </c>
      <c r="Q669" s="1" t="s">
        <v>76</v>
      </c>
      <c r="R669" s="1" t="s">
        <v>76</v>
      </c>
      <c r="S669" s="25">
        <v>0</v>
      </c>
      <c r="T669" s="25"/>
      <c r="U669" s="25">
        <v>0</v>
      </c>
      <c r="V669" s="25">
        <v>0</v>
      </c>
      <c r="W669" s="25"/>
      <c r="X669" s="25">
        <v>-471.17</v>
      </c>
      <c r="Y669" s="25">
        <v>0</v>
      </c>
      <c r="Z669" s="17" t="e">
        <f t="shared" si="233"/>
        <v>#DIV/0!</v>
      </c>
      <c r="AA669" s="18">
        <v>0.15</v>
      </c>
      <c r="AB669" s="16">
        <f t="shared" si="231"/>
        <v>-70.6755</v>
      </c>
      <c r="AC669" s="16">
        <v>0</v>
      </c>
      <c r="AD669" s="16">
        <v>0</v>
      </c>
      <c r="AE669" s="16">
        <v>0</v>
      </c>
      <c r="AF669" s="16">
        <f t="shared" si="234"/>
        <v>-70.6755</v>
      </c>
      <c r="AG669" s="16">
        <f t="shared" si="241"/>
        <v>-11.30808</v>
      </c>
      <c r="AH669" s="16">
        <f t="shared" si="235"/>
        <v>-81.983580000000003</v>
      </c>
      <c r="AI669" s="16">
        <f t="shared" si="242"/>
        <v>-1.41351</v>
      </c>
      <c r="AJ669" s="16">
        <v>0</v>
      </c>
      <c r="AK669" s="16">
        <f t="shared" si="236"/>
        <v>-1.41351</v>
      </c>
      <c r="AL669" s="19"/>
      <c r="AM669" s="16">
        <f t="shared" ref="AM669:AM732" si="247">AF669-AI669</f>
        <v>-69.261989999999997</v>
      </c>
      <c r="AN669" s="16"/>
      <c r="AO669" s="20"/>
      <c r="AP669" s="16">
        <f t="shared" si="244"/>
        <v>0</v>
      </c>
      <c r="AQ669" s="16"/>
      <c r="AR669" s="15"/>
      <c r="AS669" s="16">
        <f t="shared" si="245"/>
        <v>0</v>
      </c>
      <c r="AT669" s="16"/>
      <c r="AU669" s="16">
        <v>-81.983580000000003</v>
      </c>
      <c r="AV669" s="16">
        <f t="shared" si="230"/>
        <v>-81.983580000000003</v>
      </c>
      <c r="AW669" s="16">
        <f t="shared" si="239"/>
        <v>0</v>
      </c>
      <c r="AX669" s="16" t="str">
        <f t="shared" si="240"/>
        <v>ACTIVA</v>
      </c>
      <c r="AY669" s="22">
        <v>45170</v>
      </c>
      <c r="AZ669" s="22"/>
      <c r="BA669" s="1" t="s">
        <v>148</v>
      </c>
      <c r="BB669" s="22" t="str">
        <f t="shared" si="246"/>
        <v>MARINE CARGO / GIT</v>
      </c>
      <c r="BC669" s="1"/>
      <c r="BD669" s="1"/>
      <c r="BE669" s="1"/>
    </row>
    <row r="670" spans="1:57" ht="15.75" customHeight="1">
      <c r="A670" s="2" t="s">
        <v>784</v>
      </c>
      <c r="B670" s="1" t="s">
        <v>169</v>
      </c>
      <c r="C670" s="27">
        <v>45196</v>
      </c>
      <c r="D670" s="27"/>
      <c r="E670" s="27">
        <v>45196</v>
      </c>
      <c r="F670" s="27">
        <v>45367</v>
      </c>
      <c r="G670" s="13" t="str">
        <f t="shared" si="243"/>
        <v>000-669/AIB RDC/2023</v>
      </c>
      <c r="H670" s="1">
        <v>1</v>
      </c>
      <c r="I670" s="1" t="s">
        <v>59</v>
      </c>
      <c r="J670" s="2" t="s">
        <v>371</v>
      </c>
      <c r="K670" s="1" t="s">
        <v>103</v>
      </c>
      <c r="L670" s="1"/>
      <c r="M670" s="1" t="s">
        <v>99</v>
      </c>
      <c r="N670" s="1" t="s">
        <v>100</v>
      </c>
      <c r="O670" s="1" t="s">
        <v>133</v>
      </c>
      <c r="P670" s="1" t="s">
        <v>134</v>
      </c>
      <c r="Q670" s="1" t="s">
        <v>76</v>
      </c>
      <c r="R670" s="1" t="s">
        <v>76</v>
      </c>
      <c r="S670" s="25">
        <v>82000</v>
      </c>
      <c r="T670" s="25">
        <v>1811.17</v>
      </c>
      <c r="U670" s="25">
        <v>0</v>
      </c>
      <c r="V670" s="25">
        <v>0</v>
      </c>
      <c r="W670" s="25">
        <v>17.93</v>
      </c>
      <c r="X670" s="25">
        <v>1793.24</v>
      </c>
      <c r="Y670" s="25">
        <v>0</v>
      </c>
      <c r="Z670" s="17">
        <f t="shared" si="233"/>
        <v>2.1868780487804877E-2</v>
      </c>
      <c r="AA670" s="18">
        <v>0.125</v>
      </c>
      <c r="AB670" s="16">
        <f t="shared" si="231"/>
        <v>224.155</v>
      </c>
      <c r="AC670" s="16">
        <v>0</v>
      </c>
      <c r="AD670" s="16">
        <v>0</v>
      </c>
      <c r="AE670" s="16">
        <v>0</v>
      </c>
      <c r="AF670" s="16">
        <f t="shared" si="234"/>
        <v>224.155</v>
      </c>
      <c r="AG670" s="16">
        <f t="shared" si="241"/>
        <v>35.864800000000002</v>
      </c>
      <c r="AH670" s="16">
        <f t="shared" si="235"/>
        <v>260.01980000000003</v>
      </c>
      <c r="AI670" s="16">
        <f t="shared" si="242"/>
        <v>4.4831000000000003</v>
      </c>
      <c r="AJ670" s="16">
        <v>0</v>
      </c>
      <c r="AK670" s="16">
        <f t="shared" si="236"/>
        <v>4.4831000000000003</v>
      </c>
      <c r="AL670" s="19"/>
      <c r="AM670" s="16">
        <f t="shared" si="247"/>
        <v>219.67189999999999</v>
      </c>
      <c r="AN670" s="16"/>
      <c r="AO670" s="20"/>
      <c r="AP670" s="16">
        <f t="shared" si="244"/>
        <v>0</v>
      </c>
      <c r="AQ670" s="16"/>
      <c r="AR670" s="15"/>
      <c r="AS670" s="16">
        <f t="shared" si="245"/>
        <v>0</v>
      </c>
      <c r="AT670" s="16"/>
      <c r="AU670" s="16"/>
      <c r="AV670" s="16">
        <f t="shared" si="230"/>
        <v>260.01980000000003</v>
      </c>
      <c r="AW670" s="60">
        <f t="shared" si="239"/>
        <v>260.01980000000003</v>
      </c>
      <c r="AX670" s="16" t="str">
        <f t="shared" si="240"/>
        <v>ACTIVA</v>
      </c>
      <c r="AY670" s="22"/>
      <c r="BA670" s="1"/>
      <c r="BB670" s="22"/>
      <c r="BC670" s="1"/>
      <c r="BD670" s="1"/>
      <c r="BE670" s="1"/>
    </row>
    <row r="671" spans="1:57" ht="15.75" hidden="1" customHeight="1">
      <c r="A671" s="2" t="s">
        <v>770</v>
      </c>
      <c r="B671" s="1" t="s">
        <v>58</v>
      </c>
      <c r="C671" s="27">
        <v>45166</v>
      </c>
      <c r="D671" s="27">
        <v>45135</v>
      </c>
      <c r="E671" s="27">
        <v>45132</v>
      </c>
      <c r="F671" s="27">
        <v>45497</v>
      </c>
      <c r="G671" s="13" t="str">
        <f t="shared" si="243"/>
        <v>000-670/AIB RDC/2023</v>
      </c>
      <c r="H671" s="1">
        <v>0</v>
      </c>
      <c r="I671" s="1" t="s">
        <v>83</v>
      </c>
      <c r="J671" s="29">
        <v>45000021</v>
      </c>
      <c r="K671" s="2" t="s">
        <v>919</v>
      </c>
      <c r="L671" s="1" t="s">
        <v>62</v>
      </c>
      <c r="M671" s="2" t="s">
        <v>63</v>
      </c>
      <c r="N671" s="1" t="s">
        <v>64</v>
      </c>
      <c r="O671" s="1" t="s">
        <v>107</v>
      </c>
      <c r="P671" s="1" t="s">
        <v>108</v>
      </c>
      <c r="Q671" s="1" t="s">
        <v>135</v>
      </c>
      <c r="R671" s="1" t="s">
        <v>135</v>
      </c>
      <c r="S671" s="25">
        <v>391000000</v>
      </c>
      <c r="T671" s="25">
        <v>391760</v>
      </c>
      <c r="U671" s="25">
        <v>49785</v>
      </c>
      <c r="V671" s="25">
        <v>0</v>
      </c>
      <c r="W671" s="25">
        <v>100</v>
      </c>
      <c r="X671" s="25">
        <v>282115</v>
      </c>
      <c r="Y671" s="25">
        <v>53120</v>
      </c>
      <c r="Z671" s="17">
        <f t="shared" si="233"/>
        <v>7.2152173913043473E-4</v>
      </c>
      <c r="AA671" s="18">
        <v>3.7499991138365558E-2</v>
      </c>
      <c r="AB671" s="16">
        <f t="shared" si="231"/>
        <v>10579.31</v>
      </c>
      <c r="AC671" s="16">
        <f>30%*U671</f>
        <v>14935.5</v>
      </c>
      <c r="AD671" s="16">
        <v>0</v>
      </c>
      <c r="AE671" s="16">
        <v>0</v>
      </c>
      <c r="AF671" s="16">
        <f t="shared" si="234"/>
        <v>25514.809999999998</v>
      </c>
      <c r="AG671" s="16">
        <f t="shared" si="241"/>
        <v>4082.3695999999995</v>
      </c>
      <c r="AH671" s="16">
        <f t="shared" si="235"/>
        <v>29597.179599999996</v>
      </c>
      <c r="AI671" s="16">
        <f t="shared" si="242"/>
        <v>510.29619999999994</v>
      </c>
      <c r="AJ671" s="16">
        <v>0</v>
      </c>
      <c r="AK671" s="16">
        <f t="shared" si="236"/>
        <v>510.29619999999994</v>
      </c>
      <c r="AL671" s="19"/>
      <c r="AM671" s="16">
        <f t="shared" si="247"/>
        <v>25004.513799999997</v>
      </c>
      <c r="AN671" s="16"/>
      <c r="AO671" s="20"/>
      <c r="AP671" s="16">
        <f t="shared" si="244"/>
        <v>0</v>
      </c>
      <c r="AQ671" s="16"/>
      <c r="AR671" s="15"/>
      <c r="AS671" s="16">
        <f t="shared" si="245"/>
        <v>0</v>
      </c>
      <c r="AT671" s="16"/>
      <c r="AU671" s="16">
        <v>29597.179599999996</v>
      </c>
      <c r="AV671" s="16">
        <f t="shared" si="230"/>
        <v>29597.179599999996</v>
      </c>
      <c r="AW671" s="16">
        <f t="shared" si="239"/>
        <v>0</v>
      </c>
      <c r="AX671" s="16" t="str">
        <f t="shared" si="240"/>
        <v>RAWSUR</v>
      </c>
      <c r="AY671" s="22">
        <v>45174</v>
      </c>
      <c r="AZ671" s="22"/>
      <c r="BA671" s="1"/>
      <c r="BB671" s="1" t="s">
        <v>107</v>
      </c>
      <c r="BC671" s="1"/>
      <c r="BD671" s="1"/>
      <c r="BE671" s="1"/>
    </row>
    <row r="672" spans="1:57" ht="15.75" hidden="1" customHeight="1">
      <c r="A672" s="2" t="s">
        <v>212</v>
      </c>
      <c r="B672" s="1" t="s">
        <v>58</v>
      </c>
      <c r="C672" s="27">
        <v>45166</v>
      </c>
      <c r="D672" s="27">
        <v>45108</v>
      </c>
      <c r="E672" s="27">
        <v>45078</v>
      </c>
      <c r="F672" s="27">
        <v>45443</v>
      </c>
      <c r="G672" s="13" t="str">
        <f t="shared" si="243"/>
        <v>000-671/AIB RDC/2023</v>
      </c>
      <c r="H672" s="1">
        <v>0</v>
      </c>
      <c r="I672" s="1" t="s">
        <v>83</v>
      </c>
      <c r="J672" s="37">
        <v>60100007</v>
      </c>
      <c r="K672" s="2" t="s">
        <v>920</v>
      </c>
      <c r="L672" s="1"/>
      <c r="M672" s="2" t="s">
        <v>74</v>
      </c>
      <c r="N672" s="2" t="s">
        <v>724</v>
      </c>
      <c r="O672" s="2" t="s">
        <v>111</v>
      </c>
      <c r="P672" s="2" t="s">
        <v>112</v>
      </c>
      <c r="Q672" s="2" t="s">
        <v>135</v>
      </c>
      <c r="R672" s="2" t="s">
        <v>135</v>
      </c>
      <c r="S672" s="25">
        <v>0</v>
      </c>
      <c r="T672" s="25">
        <v>36134.97</v>
      </c>
      <c r="U672" s="25">
        <v>0</v>
      </c>
      <c r="V672" s="25">
        <v>0</v>
      </c>
      <c r="W672" s="25">
        <v>100</v>
      </c>
      <c r="X672" s="25">
        <v>30522.85</v>
      </c>
      <c r="Y672" s="25">
        <v>4899.66</v>
      </c>
      <c r="Z672" s="17" t="e">
        <f t="shared" si="233"/>
        <v>#DIV/0!</v>
      </c>
      <c r="AA672" s="18">
        <v>4.4900000000000002E-2</v>
      </c>
      <c r="AB672" s="16">
        <f t="shared" si="231"/>
        <v>1370.4759650000001</v>
      </c>
      <c r="AC672" s="16">
        <v>0</v>
      </c>
      <c r="AD672" s="16">
        <v>0</v>
      </c>
      <c r="AE672" s="16">
        <v>0</v>
      </c>
      <c r="AF672" s="16">
        <f t="shared" si="234"/>
        <v>1370.4759650000001</v>
      </c>
      <c r="AG672" s="16">
        <f t="shared" si="241"/>
        <v>219.27615440000002</v>
      </c>
      <c r="AH672" s="16">
        <f t="shared" si="235"/>
        <v>1589.7521194000001</v>
      </c>
      <c r="AI672" s="16">
        <f t="shared" si="242"/>
        <v>27.409519300000003</v>
      </c>
      <c r="AJ672" s="16">
        <v>0</v>
      </c>
      <c r="AK672" s="16">
        <f t="shared" si="236"/>
        <v>27.409519300000003</v>
      </c>
      <c r="AL672" s="19"/>
      <c r="AM672" s="16">
        <f t="shared" si="247"/>
        <v>1343.0664457</v>
      </c>
      <c r="AN672" s="16"/>
      <c r="AO672" s="20"/>
      <c r="AP672" s="16">
        <f t="shared" si="244"/>
        <v>0</v>
      </c>
      <c r="AQ672" s="16"/>
      <c r="AR672" s="15"/>
      <c r="AS672" s="16"/>
      <c r="AT672" s="16"/>
      <c r="AU672" s="16">
        <v>1589.7521194000001</v>
      </c>
      <c r="AV672" s="16">
        <f t="shared" si="230"/>
        <v>1589.7521194000001</v>
      </c>
      <c r="AW672" s="16">
        <f t="shared" si="239"/>
        <v>0</v>
      </c>
      <c r="AX672" s="16" t="str">
        <f t="shared" si="240"/>
        <v>RAWSUR</v>
      </c>
      <c r="AY672" s="22">
        <v>45174</v>
      </c>
      <c r="AZ672" s="22"/>
      <c r="BA672" s="1"/>
      <c r="BB672" s="1"/>
      <c r="BC672" s="1"/>
      <c r="BD672" s="1"/>
      <c r="BE672" s="1"/>
    </row>
    <row r="673" spans="1:57" ht="15.75" hidden="1" customHeight="1">
      <c r="A673" s="2" t="s">
        <v>770</v>
      </c>
      <c r="B673" s="1" t="s">
        <v>58</v>
      </c>
      <c r="C673" s="27">
        <v>45166</v>
      </c>
      <c r="D673" s="27">
        <v>45122</v>
      </c>
      <c r="E673" s="27">
        <v>45108</v>
      </c>
      <c r="F673" s="27">
        <v>45473</v>
      </c>
      <c r="G673" s="13" t="str">
        <f t="shared" si="243"/>
        <v>000-672/AIB RDC/2023</v>
      </c>
      <c r="H673" s="1">
        <v>2</v>
      </c>
      <c r="I673" s="1" t="s">
        <v>68</v>
      </c>
      <c r="J673" s="37">
        <v>60100011</v>
      </c>
      <c r="K673" s="2" t="s">
        <v>61</v>
      </c>
      <c r="L673" s="1" t="s">
        <v>62</v>
      </c>
      <c r="M673" s="1" t="s">
        <v>63</v>
      </c>
      <c r="N673" s="1" t="s">
        <v>64</v>
      </c>
      <c r="O673" s="2" t="s">
        <v>921</v>
      </c>
      <c r="P673" s="2" t="s">
        <v>112</v>
      </c>
      <c r="Q673" s="2" t="s">
        <v>135</v>
      </c>
      <c r="R673" s="2" t="s">
        <v>135</v>
      </c>
      <c r="S673" s="25">
        <v>0</v>
      </c>
      <c r="T673" s="25">
        <v>67329.41</v>
      </c>
      <c r="U673" s="25">
        <v>8558.82</v>
      </c>
      <c r="V673" s="25">
        <v>-3814.98</v>
      </c>
      <c r="W673" s="25">
        <v>0</v>
      </c>
      <c r="X673" s="25">
        <v>48500</v>
      </c>
      <c r="Y673" s="25">
        <v>9129.41</v>
      </c>
      <c r="Z673" s="17" t="e">
        <f t="shared" si="233"/>
        <v>#DIV/0!</v>
      </c>
      <c r="AA673" s="18">
        <v>0</v>
      </c>
      <c r="AB673" s="16">
        <f t="shared" si="231"/>
        <v>0</v>
      </c>
      <c r="AC673" s="16">
        <f>30%*(U673+V673)</f>
        <v>1423.152</v>
      </c>
      <c r="AD673" s="16">
        <v>0</v>
      </c>
      <c r="AE673" s="16">
        <v>0</v>
      </c>
      <c r="AF673" s="16">
        <f t="shared" si="234"/>
        <v>1423.152</v>
      </c>
      <c r="AG673" s="16">
        <f t="shared" si="241"/>
        <v>227.70432000000002</v>
      </c>
      <c r="AH673" s="16">
        <f t="shared" si="235"/>
        <v>1650.8563200000001</v>
      </c>
      <c r="AI673" s="16">
        <f t="shared" si="242"/>
        <v>28.463040000000003</v>
      </c>
      <c r="AJ673" s="16">
        <v>0</v>
      </c>
      <c r="AK673" s="16">
        <f t="shared" si="236"/>
        <v>28.463040000000003</v>
      </c>
      <c r="AL673" s="19"/>
      <c r="AM673" s="16">
        <f t="shared" si="247"/>
        <v>1394.68896</v>
      </c>
      <c r="AN673" s="16"/>
      <c r="AO673" s="20"/>
      <c r="AP673" s="16">
        <f t="shared" si="244"/>
        <v>0</v>
      </c>
      <c r="AQ673" s="16"/>
      <c r="AR673" s="15"/>
      <c r="AS673" s="16">
        <f t="shared" ref="AS673:AS736" si="248">AP673-AQ673</f>
        <v>0</v>
      </c>
      <c r="AT673" s="16"/>
      <c r="AU673" s="16">
        <v>1650.8563200000001</v>
      </c>
      <c r="AV673" s="16">
        <f t="shared" si="230"/>
        <v>1650.8563200000001</v>
      </c>
      <c r="AW673" s="16">
        <f t="shared" si="239"/>
        <v>0</v>
      </c>
      <c r="AX673" s="16" t="str">
        <f t="shared" si="240"/>
        <v>RAWSUR</v>
      </c>
      <c r="AY673" s="22">
        <v>45174</v>
      </c>
      <c r="AZ673" s="22"/>
      <c r="BA673" s="1"/>
      <c r="BB673" s="1"/>
      <c r="BC673" s="1"/>
      <c r="BD673" s="1"/>
      <c r="BE673" s="1"/>
    </row>
    <row r="674" spans="1:57" ht="15.75" hidden="1" customHeight="1">
      <c r="A674" s="2" t="s">
        <v>770</v>
      </c>
      <c r="B674" s="1" t="s">
        <v>169</v>
      </c>
      <c r="C674" s="27">
        <v>45167</v>
      </c>
      <c r="D674" s="27">
        <v>45124</v>
      </c>
      <c r="E674" s="27">
        <v>45113</v>
      </c>
      <c r="F674" s="27">
        <v>45341</v>
      </c>
      <c r="G674" s="13" t="str">
        <f t="shared" si="243"/>
        <v>000-673/AIB RDC/2023</v>
      </c>
      <c r="H674" s="1">
        <v>3</v>
      </c>
      <c r="I674" s="1" t="s">
        <v>59</v>
      </c>
      <c r="J674" s="2" t="s">
        <v>710</v>
      </c>
      <c r="K674" s="2" t="s">
        <v>651</v>
      </c>
      <c r="L674" s="1"/>
      <c r="M674" s="1" t="s">
        <v>99</v>
      </c>
      <c r="N674" s="1" t="s">
        <v>100</v>
      </c>
      <c r="O674" s="1" t="s">
        <v>194</v>
      </c>
      <c r="P674" s="1" t="s">
        <v>108</v>
      </c>
      <c r="Q674" s="1" t="s">
        <v>127</v>
      </c>
      <c r="R674" s="1" t="s">
        <v>127</v>
      </c>
      <c r="S674" s="25">
        <v>0</v>
      </c>
      <c r="T674" s="25"/>
      <c r="U674" s="25">
        <v>0</v>
      </c>
      <c r="V674" s="25">
        <v>0</v>
      </c>
      <c r="W674" s="25"/>
      <c r="X674" s="25">
        <v>1090.03</v>
      </c>
      <c r="Y674" s="25"/>
      <c r="Z674" s="17" t="e">
        <f t="shared" si="233"/>
        <v>#DIV/0!</v>
      </c>
      <c r="AA674" s="18">
        <v>0.15</v>
      </c>
      <c r="AB674" s="16">
        <f t="shared" si="231"/>
        <v>163.50449999999998</v>
      </c>
      <c r="AC674" s="16">
        <v>0</v>
      </c>
      <c r="AD674" s="16">
        <v>0</v>
      </c>
      <c r="AE674" s="16">
        <v>0</v>
      </c>
      <c r="AF674" s="16">
        <f t="shared" si="234"/>
        <v>163.50449999999998</v>
      </c>
      <c r="AG674" s="16">
        <f t="shared" si="241"/>
        <v>26.160719999999998</v>
      </c>
      <c r="AH674" s="16">
        <f t="shared" si="235"/>
        <v>189.66521999999998</v>
      </c>
      <c r="AI674" s="16">
        <f t="shared" si="242"/>
        <v>3.2700899999999997</v>
      </c>
      <c r="AJ674" s="16">
        <v>0</v>
      </c>
      <c r="AK674" s="16">
        <f t="shared" si="236"/>
        <v>3.2700899999999997</v>
      </c>
      <c r="AL674" s="19"/>
      <c r="AM674" s="16">
        <f t="shared" si="247"/>
        <v>160.23440999999997</v>
      </c>
      <c r="AN674" s="16"/>
      <c r="AO674" s="20"/>
      <c r="AP674" s="16">
        <f t="shared" si="244"/>
        <v>0</v>
      </c>
      <c r="AQ674" s="16"/>
      <c r="AR674" s="15"/>
      <c r="AS674" s="16">
        <f t="shared" si="248"/>
        <v>0</v>
      </c>
      <c r="AT674" s="16"/>
      <c r="AU674" s="16">
        <v>189.66521999999998</v>
      </c>
      <c r="AV674" s="16">
        <f t="shared" si="230"/>
        <v>189.66521999999998</v>
      </c>
      <c r="AW674" s="16">
        <f t="shared" si="239"/>
        <v>0</v>
      </c>
      <c r="AX674" s="16" t="str">
        <f t="shared" si="240"/>
        <v>MAYFAIR</v>
      </c>
      <c r="AY674" s="22">
        <v>45169</v>
      </c>
      <c r="AZ674" s="22"/>
      <c r="BA674" s="1"/>
      <c r="BB674" s="1"/>
      <c r="BC674" s="1"/>
      <c r="BD674" s="1"/>
      <c r="BE674" s="1"/>
    </row>
    <row r="675" spans="1:57" ht="15.75" hidden="1" customHeight="1">
      <c r="A675" s="2" t="s">
        <v>770</v>
      </c>
      <c r="B675" s="1" t="s">
        <v>169</v>
      </c>
      <c r="C675" s="27">
        <v>45167</v>
      </c>
      <c r="D675" s="27">
        <v>45120</v>
      </c>
      <c r="E675" s="27">
        <v>45120</v>
      </c>
      <c r="F675" s="21">
        <v>45291</v>
      </c>
      <c r="G675" s="13" t="str">
        <f t="shared" si="243"/>
        <v>000-674/AIB RDC/2023</v>
      </c>
      <c r="H675" s="1">
        <v>2</v>
      </c>
      <c r="I675" s="1" t="s">
        <v>443</v>
      </c>
      <c r="J675" s="14" t="s">
        <v>131</v>
      </c>
      <c r="K675" s="1" t="s">
        <v>125</v>
      </c>
      <c r="L675" s="1" t="s">
        <v>126</v>
      </c>
      <c r="M675" s="1" t="s">
        <v>63</v>
      </c>
      <c r="N675" s="1" t="s">
        <v>71</v>
      </c>
      <c r="O675" s="1" t="s">
        <v>111</v>
      </c>
      <c r="P675" s="1" t="s">
        <v>112</v>
      </c>
      <c r="Q675" s="1" t="s">
        <v>127</v>
      </c>
      <c r="R675" s="1" t="s">
        <v>127</v>
      </c>
      <c r="S675" s="25">
        <v>0</v>
      </c>
      <c r="T675" s="25"/>
      <c r="U675" s="25">
        <v>0</v>
      </c>
      <c r="V675" s="25">
        <v>0</v>
      </c>
      <c r="W675" s="25"/>
      <c r="X675" s="25">
        <v>-265.75</v>
      </c>
      <c r="Y675" s="25"/>
      <c r="Z675" s="17" t="e">
        <f t="shared" si="233"/>
        <v>#DIV/0!</v>
      </c>
      <c r="AA675" s="18">
        <v>0.1</v>
      </c>
      <c r="AB675" s="16">
        <f t="shared" si="231"/>
        <v>-26.575000000000003</v>
      </c>
      <c r="AC675" s="16">
        <v>0</v>
      </c>
      <c r="AD675" s="16">
        <v>0</v>
      </c>
      <c r="AE675" s="16">
        <v>0</v>
      </c>
      <c r="AF675" s="16">
        <f t="shared" si="234"/>
        <v>-26.575000000000003</v>
      </c>
      <c r="AG675" s="16">
        <f t="shared" si="241"/>
        <v>-4.2520000000000007</v>
      </c>
      <c r="AH675" s="16">
        <f t="shared" si="235"/>
        <v>-30.827000000000005</v>
      </c>
      <c r="AI675" s="16">
        <f t="shared" si="242"/>
        <v>-0.53150000000000008</v>
      </c>
      <c r="AJ675" s="16">
        <v>0</v>
      </c>
      <c r="AK675" s="16">
        <f t="shared" si="236"/>
        <v>-0.53150000000000008</v>
      </c>
      <c r="AL675" s="19"/>
      <c r="AM675" s="16">
        <f t="shared" si="247"/>
        <v>-26.043500000000002</v>
      </c>
      <c r="AN675" s="16" t="s">
        <v>77</v>
      </c>
      <c r="AO675" s="20"/>
      <c r="AP675" s="16">
        <f t="shared" si="244"/>
        <v>0</v>
      </c>
      <c r="AQ675" s="16"/>
      <c r="AR675" s="15"/>
      <c r="AS675" s="16">
        <f t="shared" si="248"/>
        <v>0</v>
      </c>
      <c r="AT675" s="16"/>
      <c r="AU675" s="16">
        <v>-30.827000000000005</v>
      </c>
      <c r="AV675" s="16">
        <f t="shared" si="230"/>
        <v>-30.827000000000005</v>
      </c>
      <c r="AW675" s="16">
        <f t="shared" si="239"/>
        <v>0</v>
      </c>
      <c r="AX675" s="16" t="str">
        <f t="shared" si="240"/>
        <v>MAYFAIR</v>
      </c>
      <c r="AY675" s="22">
        <v>45169</v>
      </c>
      <c r="AZ675" s="22"/>
      <c r="BA675" s="1"/>
      <c r="BB675" s="22" t="str">
        <f>O675</f>
        <v>GENERAL LIABILITY</v>
      </c>
      <c r="BC675" s="1"/>
      <c r="BD675" s="1"/>
      <c r="BE675" s="1"/>
    </row>
    <row r="676" spans="1:57" ht="15.75" hidden="1" customHeight="1">
      <c r="A676" s="2" t="s">
        <v>770</v>
      </c>
      <c r="B676" s="1" t="s">
        <v>58</v>
      </c>
      <c r="C676" s="27">
        <v>45169</v>
      </c>
      <c r="D676" s="27">
        <v>45158</v>
      </c>
      <c r="E676" s="27">
        <v>45129</v>
      </c>
      <c r="F676" s="21">
        <v>45493</v>
      </c>
      <c r="G676" s="13" t="str">
        <f t="shared" si="243"/>
        <v>000-675/AIB RDC/2023</v>
      </c>
      <c r="H676" s="1">
        <v>1</v>
      </c>
      <c r="I676" s="1" t="s">
        <v>68</v>
      </c>
      <c r="J676" s="14" t="s">
        <v>922</v>
      </c>
      <c r="K676" s="1" t="s">
        <v>923</v>
      </c>
      <c r="L676" s="1" t="s">
        <v>94</v>
      </c>
      <c r="M676" s="1" t="s">
        <v>95</v>
      </c>
      <c r="N676" s="1" t="s">
        <v>96</v>
      </c>
      <c r="O676" s="1" t="s">
        <v>246</v>
      </c>
      <c r="P676" s="1" t="s">
        <v>108</v>
      </c>
      <c r="Q676" s="1" t="s">
        <v>66</v>
      </c>
      <c r="R676" s="1" t="s">
        <v>66</v>
      </c>
      <c r="S676" s="25">
        <v>0</v>
      </c>
      <c r="T676" s="25">
        <v>4673.16</v>
      </c>
      <c r="U676" s="25">
        <v>0</v>
      </c>
      <c r="V676" s="25">
        <v>0</v>
      </c>
      <c r="W676" s="25">
        <v>108.59</v>
      </c>
      <c r="X676" s="25">
        <v>3920</v>
      </c>
      <c r="Y676" s="25">
        <v>644.57000000000005</v>
      </c>
      <c r="Z676" s="17" t="e">
        <f t="shared" si="233"/>
        <v>#DIV/0!</v>
      </c>
      <c r="AA676" s="18">
        <v>0.15</v>
      </c>
      <c r="AB676" s="16">
        <f t="shared" si="231"/>
        <v>588</v>
      </c>
      <c r="AC676" s="16">
        <v>0</v>
      </c>
      <c r="AD676" s="16">
        <v>0</v>
      </c>
      <c r="AE676" s="16">
        <v>0</v>
      </c>
      <c r="AF676" s="16">
        <f t="shared" si="234"/>
        <v>588</v>
      </c>
      <c r="AG676" s="16">
        <f t="shared" si="241"/>
        <v>94.08</v>
      </c>
      <c r="AH676" s="16">
        <f t="shared" si="235"/>
        <v>682.08</v>
      </c>
      <c r="AI676" s="16">
        <f t="shared" si="242"/>
        <v>11.76</v>
      </c>
      <c r="AJ676" s="16">
        <v>0</v>
      </c>
      <c r="AK676" s="16">
        <f t="shared" si="236"/>
        <v>11.76</v>
      </c>
      <c r="AL676" s="19"/>
      <c r="AM676" s="16">
        <f t="shared" si="247"/>
        <v>576.24</v>
      </c>
      <c r="AN676" s="16"/>
      <c r="AO676" s="20"/>
      <c r="AP676" s="16">
        <f t="shared" si="244"/>
        <v>0</v>
      </c>
      <c r="AQ676" s="16"/>
      <c r="AR676" s="15"/>
      <c r="AS676" s="16">
        <f t="shared" si="248"/>
        <v>0</v>
      </c>
      <c r="AT676" s="16"/>
      <c r="AU676" s="16">
        <v>682.08</v>
      </c>
      <c r="AV676" s="16">
        <f t="shared" si="230"/>
        <v>682.08</v>
      </c>
      <c r="AW676" s="16">
        <f t="shared" si="239"/>
        <v>0</v>
      </c>
      <c r="AX676" s="16" t="str">
        <f t="shared" si="240"/>
        <v>SFA</v>
      </c>
      <c r="AY676" s="22">
        <v>45197</v>
      </c>
      <c r="AZ676" t="s">
        <v>155</v>
      </c>
      <c r="BA676" s="1"/>
      <c r="BB676" s="22"/>
      <c r="BC676" s="1"/>
      <c r="BD676" s="1"/>
      <c r="BE676" s="1"/>
    </row>
    <row r="677" spans="1:57" ht="15.75" hidden="1" customHeight="1">
      <c r="A677" s="2" t="s">
        <v>770</v>
      </c>
      <c r="B677" s="1" t="s">
        <v>58</v>
      </c>
      <c r="C677" s="27">
        <v>45140</v>
      </c>
      <c r="D677" s="27">
        <v>45125</v>
      </c>
      <c r="E677" s="27">
        <v>45125</v>
      </c>
      <c r="F677" s="27">
        <v>45186</v>
      </c>
      <c r="G677" s="13" t="str">
        <f t="shared" si="243"/>
        <v>000-676/AIB RDC/2023</v>
      </c>
      <c r="H677" s="1">
        <v>0</v>
      </c>
      <c r="I677" s="1" t="s">
        <v>83</v>
      </c>
      <c r="J677" s="29">
        <v>70100045</v>
      </c>
      <c r="K677" s="1" t="s">
        <v>163</v>
      </c>
      <c r="L677" s="1"/>
      <c r="M677" s="1" t="s">
        <v>95</v>
      </c>
      <c r="N677" s="1" t="s">
        <v>836</v>
      </c>
      <c r="O677" s="1" t="s">
        <v>104</v>
      </c>
      <c r="P677" s="1" t="s">
        <v>105</v>
      </c>
      <c r="Q677" s="1" t="s">
        <v>135</v>
      </c>
      <c r="R677" s="1" t="s">
        <v>135</v>
      </c>
      <c r="S677" s="25">
        <v>0</v>
      </c>
      <c r="T677" s="25">
        <v>12482</v>
      </c>
      <c r="U677" s="25">
        <v>0</v>
      </c>
      <c r="V677" s="25">
        <v>0</v>
      </c>
      <c r="W677" s="25">
        <v>703</v>
      </c>
      <c r="X677" s="25">
        <v>9874.9699999999993</v>
      </c>
      <c r="Y677" s="25">
        <v>1692.47</v>
      </c>
      <c r="Z677" s="17" t="e">
        <f t="shared" si="233"/>
        <v>#DIV/0!</v>
      </c>
      <c r="AA677" s="18">
        <v>0.15</v>
      </c>
      <c r="AB677" s="16">
        <f t="shared" si="231"/>
        <v>1481.2454999999998</v>
      </c>
      <c r="AC677" s="16">
        <v>0</v>
      </c>
      <c r="AD677" s="16">
        <v>0</v>
      </c>
      <c r="AE677" s="16">
        <v>0</v>
      </c>
      <c r="AF677" s="16">
        <f t="shared" si="234"/>
        <v>1481.2454999999998</v>
      </c>
      <c r="AG677" s="16">
        <f t="shared" si="241"/>
        <v>236.99927999999997</v>
      </c>
      <c r="AH677" s="16">
        <f t="shared" si="235"/>
        <v>1718.2447799999998</v>
      </c>
      <c r="AI677" s="16">
        <f t="shared" si="242"/>
        <v>29.624909999999996</v>
      </c>
      <c r="AJ677" s="16">
        <v>0</v>
      </c>
      <c r="AK677" s="16">
        <f t="shared" si="236"/>
        <v>29.624909999999996</v>
      </c>
      <c r="AL677" s="19"/>
      <c r="AM677" s="16">
        <f t="shared" si="247"/>
        <v>1451.6205899999998</v>
      </c>
      <c r="AN677" s="16" t="s">
        <v>147</v>
      </c>
      <c r="AO677" s="20">
        <v>0.4</v>
      </c>
      <c r="AP677" s="16">
        <f t="shared" si="244"/>
        <v>580.64823599999988</v>
      </c>
      <c r="AQ677" s="16">
        <v>580.64823599999988</v>
      </c>
      <c r="AR677" s="15">
        <v>45229</v>
      </c>
      <c r="AS677" s="16">
        <f t="shared" si="248"/>
        <v>0</v>
      </c>
      <c r="AT677" s="16"/>
      <c r="AU677" s="16">
        <v>1718.2447799999998</v>
      </c>
      <c r="AV677" s="16">
        <f t="shared" si="230"/>
        <v>1718.2447799999998</v>
      </c>
      <c r="AW677" s="16">
        <f t="shared" si="239"/>
        <v>0</v>
      </c>
      <c r="AX677" s="16" t="str">
        <f t="shared" si="240"/>
        <v>RAWSUR</v>
      </c>
      <c r="AY677" s="22">
        <v>45174</v>
      </c>
      <c r="AZ677" s="22"/>
      <c r="BA677" s="1" t="s">
        <v>148</v>
      </c>
      <c r="BB677" s="22" t="str">
        <f>O677</f>
        <v>MARINE CARGO / GIT</v>
      </c>
      <c r="BC677" s="1"/>
      <c r="BD677" s="1"/>
      <c r="BE677" s="1"/>
    </row>
    <row r="678" spans="1:57" ht="15.75" hidden="1" customHeight="1">
      <c r="A678" s="2" t="s">
        <v>230</v>
      </c>
      <c r="B678" s="1" t="s">
        <v>58</v>
      </c>
      <c r="C678" s="27">
        <v>45140</v>
      </c>
      <c r="D678" s="27">
        <v>45135</v>
      </c>
      <c r="E678" s="27">
        <v>45125</v>
      </c>
      <c r="F678" s="27">
        <v>45186</v>
      </c>
      <c r="G678" s="13" t="str">
        <f t="shared" si="243"/>
        <v>000-677/AIB RDC/2023</v>
      </c>
      <c r="H678" s="1">
        <v>0</v>
      </c>
      <c r="I678" s="1" t="s">
        <v>83</v>
      </c>
      <c r="J678" s="29">
        <v>70100047</v>
      </c>
      <c r="K678" s="1" t="s">
        <v>163</v>
      </c>
      <c r="L678" s="1"/>
      <c r="M678" s="1" t="s">
        <v>95</v>
      </c>
      <c r="N678" s="1" t="s">
        <v>836</v>
      </c>
      <c r="O678" s="1" t="s">
        <v>104</v>
      </c>
      <c r="P678" s="1" t="s">
        <v>105</v>
      </c>
      <c r="Q678" s="1" t="s">
        <v>135</v>
      </c>
      <c r="R678" s="1" t="s">
        <v>135</v>
      </c>
      <c r="S678" s="25">
        <v>0</v>
      </c>
      <c r="T678" s="25">
        <v>7256.79</v>
      </c>
      <c r="U678" s="25">
        <v>0</v>
      </c>
      <c r="V678" s="25">
        <v>0</v>
      </c>
      <c r="W678" s="25">
        <v>333</v>
      </c>
      <c r="X678" s="25">
        <v>5816.82</v>
      </c>
      <c r="Y678" s="25">
        <v>983.97</v>
      </c>
      <c r="Z678" s="17" t="e">
        <f t="shared" si="233"/>
        <v>#DIV/0!</v>
      </c>
      <c r="AA678" s="18">
        <v>0.15</v>
      </c>
      <c r="AB678" s="16">
        <f t="shared" si="231"/>
        <v>872.52299999999991</v>
      </c>
      <c r="AC678" s="16">
        <v>0</v>
      </c>
      <c r="AD678" s="16">
        <v>0</v>
      </c>
      <c r="AE678" s="16">
        <v>0</v>
      </c>
      <c r="AF678" s="16">
        <f t="shared" si="234"/>
        <v>872.52299999999991</v>
      </c>
      <c r="AG678" s="16">
        <f t="shared" si="241"/>
        <v>139.60368</v>
      </c>
      <c r="AH678" s="16">
        <f t="shared" si="235"/>
        <v>1012.1266799999999</v>
      </c>
      <c r="AI678" s="16">
        <f t="shared" si="242"/>
        <v>17.45046</v>
      </c>
      <c r="AJ678" s="16">
        <v>0</v>
      </c>
      <c r="AK678" s="16">
        <f t="shared" si="236"/>
        <v>17.45046</v>
      </c>
      <c r="AL678" s="19"/>
      <c r="AM678" s="16">
        <f t="shared" si="247"/>
        <v>855.07253999999989</v>
      </c>
      <c r="AN678" s="16" t="s">
        <v>147</v>
      </c>
      <c r="AO678" s="20">
        <v>0.4</v>
      </c>
      <c r="AP678" s="16">
        <f t="shared" si="244"/>
        <v>342.02901599999996</v>
      </c>
      <c r="AQ678" s="16">
        <v>342.02901599999996</v>
      </c>
      <c r="AR678" s="15">
        <v>45229</v>
      </c>
      <c r="AS678" s="16">
        <f t="shared" si="248"/>
        <v>0</v>
      </c>
      <c r="AT678" s="16"/>
      <c r="AU678" s="16">
        <v>1012.1266799999999</v>
      </c>
      <c r="AV678" s="16">
        <f t="shared" si="230"/>
        <v>1012.1266799999999</v>
      </c>
      <c r="AW678" s="16">
        <f t="shared" si="239"/>
        <v>0</v>
      </c>
      <c r="AX678" s="16" t="str">
        <f t="shared" si="240"/>
        <v>RAWSUR</v>
      </c>
      <c r="AY678" s="22">
        <v>45174</v>
      </c>
      <c r="AZ678" s="22"/>
      <c r="BA678" s="1" t="s">
        <v>148</v>
      </c>
      <c r="BB678" s="22" t="str">
        <f>O678</f>
        <v>MARINE CARGO / GIT</v>
      </c>
      <c r="BC678" s="1"/>
      <c r="BD678" s="1"/>
      <c r="BE678" s="1"/>
    </row>
    <row r="679" spans="1:57" ht="15.75" hidden="1" customHeight="1">
      <c r="A679" s="2" t="s">
        <v>871</v>
      </c>
      <c r="B679" s="1" t="s">
        <v>58</v>
      </c>
      <c r="C679" s="27">
        <v>45169</v>
      </c>
      <c r="D679" s="27">
        <v>45155</v>
      </c>
      <c r="E679" s="27">
        <v>45155</v>
      </c>
      <c r="F679" s="21">
        <v>45520</v>
      </c>
      <c r="G679" s="13" t="str">
        <f t="shared" si="243"/>
        <v>000-678/AIB RDC/2023</v>
      </c>
      <c r="H679" s="1">
        <v>2</v>
      </c>
      <c r="I679" s="1" t="s">
        <v>68</v>
      </c>
      <c r="J679" s="14" t="s">
        <v>924</v>
      </c>
      <c r="K679" s="1" t="s">
        <v>925</v>
      </c>
      <c r="L679" s="1"/>
      <c r="M679" s="1" t="s">
        <v>95</v>
      </c>
      <c r="N679" s="1" t="s">
        <v>96</v>
      </c>
      <c r="O679" s="1" t="s">
        <v>107</v>
      </c>
      <c r="P679" s="1" t="s">
        <v>108</v>
      </c>
      <c r="Q679" s="1" t="s">
        <v>66</v>
      </c>
      <c r="R679" s="1" t="s">
        <v>66</v>
      </c>
      <c r="S679" s="25">
        <v>0</v>
      </c>
      <c r="T679" s="25">
        <v>4307.38</v>
      </c>
      <c r="U679" s="25">
        <v>0</v>
      </c>
      <c r="V679" s="25">
        <v>0</v>
      </c>
      <c r="W679" s="25">
        <v>100.71</v>
      </c>
      <c r="X679" s="25">
        <v>3612.55</v>
      </c>
      <c r="Y679" s="25">
        <v>594.12</v>
      </c>
      <c r="Z679" s="17" t="e">
        <f t="shared" si="233"/>
        <v>#DIV/0!</v>
      </c>
      <c r="AA679" s="18">
        <v>0.1</v>
      </c>
      <c r="AB679" s="16">
        <f>AA679*(X679+V679)</f>
        <v>361.25500000000005</v>
      </c>
      <c r="AC679" s="16">
        <v>0</v>
      </c>
      <c r="AD679" s="16">
        <v>0</v>
      </c>
      <c r="AE679" s="16">
        <v>0</v>
      </c>
      <c r="AF679" s="16">
        <f t="shared" si="234"/>
        <v>361.25500000000005</v>
      </c>
      <c r="AG679" s="16">
        <f t="shared" si="241"/>
        <v>57.80080000000001</v>
      </c>
      <c r="AH679" s="16">
        <f t="shared" si="235"/>
        <v>419.05580000000009</v>
      </c>
      <c r="AI679" s="16">
        <f t="shared" si="242"/>
        <v>7.2251000000000012</v>
      </c>
      <c r="AJ679" s="16">
        <v>0</v>
      </c>
      <c r="AK679" s="16">
        <f t="shared" si="236"/>
        <v>7.2251000000000012</v>
      </c>
      <c r="AL679" s="19"/>
      <c r="AM679" s="16">
        <f t="shared" si="247"/>
        <v>354.02990000000005</v>
      </c>
      <c r="AN679" s="16"/>
      <c r="AO679" s="20"/>
      <c r="AP679" s="16">
        <f t="shared" si="244"/>
        <v>0</v>
      </c>
      <c r="AQ679" s="16"/>
      <c r="AR679" s="15"/>
      <c r="AS679" s="16">
        <f t="shared" si="248"/>
        <v>0</v>
      </c>
      <c r="AT679" s="16"/>
      <c r="AU679" s="16">
        <v>419.05580000000009</v>
      </c>
      <c r="AV679" s="16">
        <f t="shared" si="230"/>
        <v>419.05580000000009</v>
      </c>
      <c r="AW679" s="16">
        <f t="shared" si="239"/>
        <v>0</v>
      </c>
      <c r="AX679" s="16" t="str">
        <f t="shared" si="240"/>
        <v>SFA</v>
      </c>
      <c r="AY679" s="22">
        <v>45197</v>
      </c>
      <c r="AZ679" t="s">
        <v>155</v>
      </c>
      <c r="BA679" s="1"/>
      <c r="BB679" s="22"/>
      <c r="BC679" s="1"/>
      <c r="BD679" s="1"/>
      <c r="BE679" s="1"/>
    </row>
    <row r="680" spans="1:57" ht="15.75" hidden="1" customHeight="1">
      <c r="A680" s="2" t="s">
        <v>871</v>
      </c>
      <c r="B680" s="1" t="s">
        <v>58</v>
      </c>
      <c r="C680" s="27">
        <v>45169</v>
      </c>
      <c r="D680" s="27">
        <v>45155</v>
      </c>
      <c r="E680" s="27">
        <v>45160</v>
      </c>
      <c r="F680" s="21">
        <v>45525</v>
      </c>
      <c r="G680" s="13" t="str">
        <f t="shared" si="243"/>
        <v>000-679/AIB RDC/2023</v>
      </c>
      <c r="H680" s="1">
        <v>2</v>
      </c>
      <c r="I680" s="1" t="s">
        <v>68</v>
      </c>
      <c r="J680" s="14" t="s">
        <v>926</v>
      </c>
      <c r="K680" s="1" t="s">
        <v>638</v>
      </c>
      <c r="L680" s="1"/>
      <c r="M680" s="1" t="s">
        <v>95</v>
      </c>
      <c r="N680" s="1" t="s">
        <v>96</v>
      </c>
      <c r="O680" s="1" t="s">
        <v>107</v>
      </c>
      <c r="P680" s="1" t="s">
        <v>108</v>
      </c>
      <c r="Q680" s="1" t="s">
        <v>66</v>
      </c>
      <c r="R680" s="1" t="s">
        <v>66</v>
      </c>
      <c r="S680" s="25">
        <v>0</v>
      </c>
      <c r="T680" s="25">
        <v>6876.22</v>
      </c>
      <c r="U680" s="25">
        <v>0</v>
      </c>
      <c r="V680" s="25">
        <v>0</v>
      </c>
      <c r="W680" s="25">
        <v>139.37</v>
      </c>
      <c r="X680" s="25">
        <v>5788.41</v>
      </c>
      <c r="Y680" s="25">
        <v>948.44</v>
      </c>
      <c r="Z680" s="17" t="e">
        <f t="shared" si="233"/>
        <v>#DIV/0!</v>
      </c>
      <c r="AA680" s="18">
        <v>0.1</v>
      </c>
      <c r="AB680" s="16">
        <f>AA680*(X680+V680)</f>
        <v>578.84100000000001</v>
      </c>
      <c r="AC680" s="16">
        <v>0</v>
      </c>
      <c r="AD680" s="16">
        <v>0</v>
      </c>
      <c r="AE680" s="16">
        <v>0</v>
      </c>
      <c r="AF680" s="16">
        <f t="shared" si="234"/>
        <v>578.84100000000001</v>
      </c>
      <c r="AG680" s="16">
        <f t="shared" si="241"/>
        <v>92.614559999999997</v>
      </c>
      <c r="AH680" s="16">
        <f t="shared" si="235"/>
        <v>671.45555999999999</v>
      </c>
      <c r="AI680" s="16">
        <f t="shared" si="242"/>
        <v>11.57682</v>
      </c>
      <c r="AJ680" s="16">
        <v>0</v>
      </c>
      <c r="AK680" s="16">
        <f t="shared" si="236"/>
        <v>11.57682</v>
      </c>
      <c r="AL680" s="19"/>
      <c r="AM680" s="16">
        <f t="shared" si="247"/>
        <v>567.26418000000001</v>
      </c>
      <c r="AN680" s="16"/>
      <c r="AO680" s="20"/>
      <c r="AP680" s="16">
        <f t="shared" si="244"/>
        <v>0</v>
      </c>
      <c r="AQ680" s="16"/>
      <c r="AR680" s="15"/>
      <c r="AS680" s="16">
        <f t="shared" si="248"/>
        <v>0</v>
      </c>
      <c r="AT680" s="16"/>
      <c r="AU680" s="16">
        <v>671.45555999999999</v>
      </c>
      <c r="AV680" s="16">
        <f t="shared" si="230"/>
        <v>671.45555999999999</v>
      </c>
      <c r="AW680" s="16">
        <f t="shared" si="239"/>
        <v>0</v>
      </c>
      <c r="AX680" s="16" t="str">
        <f t="shared" si="240"/>
        <v>SFA</v>
      </c>
      <c r="AY680" s="22">
        <v>45197</v>
      </c>
      <c r="AZ680" t="s">
        <v>155</v>
      </c>
      <c r="BA680" s="1"/>
      <c r="BB680" s="22"/>
      <c r="BC680" s="1"/>
      <c r="BD680" s="1"/>
      <c r="BE680" s="1"/>
    </row>
    <row r="681" spans="1:57" ht="15.75" hidden="1" customHeight="1">
      <c r="A681" s="2" t="s">
        <v>871</v>
      </c>
      <c r="B681" s="1" t="s">
        <v>58</v>
      </c>
      <c r="C681" s="27">
        <v>45169</v>
      </c>
      <c r="D681" s="27">
        <v>45166</v>
      </c>
      <c r="E681" s="27">
        <v>45146</v>
      </c>
      <c r="F681" s="21">
        <v>45510</v>
      </c>
      <c r="G681" s="13" t="str">
        <f t="shared" si="243"/>
        <v>000-680/AIB RDC/2023</v>
      </c>
      <c r="H681" s="1">
        <v>0</v>
      </c>
      <c r="I681" s="1" t="s">
        <v>83</v>
      </c>
      <c r="J681" s="14" t="s">
        <v>927</v>
      </c>
      <c r="K681" s="1" t="s">
        <v>163</v>
      </c>
      <c r="L681" s="1"/>
      <c r="M681" s="1" t="s">
        <v>95</v>
      </c>
      <c r="N681" s="1" t="s">
        <v>836</v>
      </c>
      <c r="O681" s="1" t="s">
        <v>104</v>
      </c>
      <c r="P681" s="1" t="s">
        <v>105</v>
      </c>
      <c r="Q681" s="1" t="s">
        <v>66</v>
      </c>
      <c r="R681" s="1" t="s">
        <v>66</v>
      </c>
      <c r="S681" s="25">
        <v>0</v>
      </c>
      <c r="T681" s="25">
        <v>2502.02</v>
      </c>
      <c r="U681" s="25">
        <v>0</v>
      </c>
      <c r="V681" s="25">
        <v>0</v>
      </c>
      <c r="W681" s="25">
        <v>42.8</v>
      </c>
      <c r="X681" s="25">
        <v>1833.94</v>
      </c>
      <c r="Y681" s="25">
        <v>300.27999999999997</v>
      </c>
      <c r="Z681" s="17" t="e">
        <f t="shared" si="233"/>
        <v>#DIV/0!</v>
      </c>
      <c r="AA681" s="18">
        <v>0.15</v>
      </c>
      <c r="AB681" s="16">
        <f t="shared" ref="AB681:AB712" si="249">AA681*X681</f>
        <v>275.09100000000001</v>
      </c>
      <c r="AC681" s="16">
        <v>0</v>
      </c>
      <c r="AD681" s="16">
        <v>0</v>
      </c>
      <c r="AE681" s="16">
        <v>0</v>
      </c>
      <c r="AF681" s="16">
        <f t="shared" si="234"/>
        <v>275.09100000000001</v>
      </c>
      <c r="AG681" s="16">
        <f t="shared" si="241"/>
        <v>44.014560000000003</v>
      </c>
      <c r="AH681" s="16">
        <f t="shared" si="235"/>
        <v>319.10556000000003</v>
      </c>
      <c r="AI681" s="16">
        <f t="shared" si="242"/>
        <v>5.5018200000000004</v>
      </c>
      <c r="AJ681" s="16">
        <v>0</v>
      </c>
      <c r="AK681" s="16">
        <f t="shared" si="236"/>
        <v>5.5018200000000004</v>
      </c>
      <c r="AL681" s="19"/>
      <c r="AM681" s="16">
        <f t="shared" si="247"/>
        <v>269.58918</v>
      </c>
      <c r="AN681" s="16" t="s">
        <v>147</v>
      </c>
      <c r="AO681" s="20">
        <v>0.4</v>
      </c>
      <c r="AP681" s="16">
        <f t="shared" si="244"/>
        <v>107.835672</v>
      </c>
      <c r="AQ681" s="16">
        <v>107.835672</v>
      </c>
      <c r="AR681" s="15">
        <v>45229</v>
      </c>
      <c r="AS681" s="16">
        <f t="shared" si="248"/>
        <v>0</v>
      </c>
      <c r="AT681" s="16"/>
      <c r="AU681" s="16">
        <v>319.10556000000003</v>
      </c>
      <c r="AV681" s="16">
        <f t="shared" si="230"/>
        <v>319.10556000000003</v>
      </c>
      <c r="AW681" s="16">
        <f t="shared" si="239"/>
        <v>0</v>
      </c>
      <c r="AX681" s="16" t="str">
        <f t="shared" si="240"/>
        <v>SFA</v>
      </c>
      <c r="AY681" s="22">
        <v>45197</v>
      </c>
      <c r="AZ681" t="s">
        <v>155</v>
      </c>
      <c r="BA681" s="1" t="s">
        <v>148</v>
      </c>
      <c r="BB681" s="22" t="str">
        <f>O681</f>
        <v>MARINE CARGO / GIT</v>
      </c>
      <c r="BC681" s="1"/>
      <c r="BD681" s="1"/>
      <c r="BE681" s="1"/>
    </row>
    <row r="682" spans="1:57" ht="15.75" hidden="1" customHeight="1">
      <c r="A682" s="2" t="s">
        <v>871</v>
      </c>
      <c r="B682" s="1" t="s">
        <v>58</v>
      </c>
      <c r="C682" s="27">
        <v>45173</v>
      </c>
      <c r="D682" s="27">
        <v>45166</v>
      </c>
      <c r="E682" s="27">
        <v>45166</v>
      </c>
      <c r="F682" s="21">
        <v>45210</v>
      </c>
      <c r="G682" s="13" t="str">
        <f t="shared" si="243"/>
        <v>000-681/AIB RDC/2023</v>
      </c>
      <c r="H682" s="1">
        <v>0</v>
      </c>
      <c r="I682" s="1" t="s">
        <v>83</v>
      </c>
      <c r="J682" s="14" t="s">
        <v>928</v>
      </c>
      <c r="K682" s="1" t="s">
        <v>480</v>
      </c>
      <c r="L682" s="1"/>
      <c r="M682" s="1" t="s">
        <v>95</v>
      </c>
      <c r="N682" s="1" t="s">
        <v>644</v>
      </c>
      <c r="O682" s="1" t="s">
        <v>104</v>
      </c>
      <c r="P682" s="1" t="s">
        <v>105</v>
      </c>
      <c r="Q682" s="1" t="s">
        <v>76</v>
      </c>
      <c r="R682" s="1" t="s">
        <v>76</v>
      </c>
      <c r="S682" s="25">
        <v>132009.32</v>
      </c>
      <c r="T682" s="25">
        <v>446.99</v>
      </c>
      <c r="U682" s="25">
        <v>0</v>
      </c>
      <c r="V682" s="25">
        <v>0</v>
      </c>
      <c r="W682" s="25">
        <v>10</v>
      </c>
      <c r="X682" s="25">
        <v>353.78</v>
      </c>
      <c r="Y682" s="25">
        <v>58.21</v>
      </c>
      <c r="Z682" s="17">
        <f t="shared" si="233"/>
        <v>2.679962293571393E-3</v>
      </c>
      <c r="AA682" s="18">
        <v>0.15</v>
      </c>
      <c r="AB682" s="16">
        <f t="shared" si="249"/>
        <v>53.066999999999993</v>
      </c>
      <c r="AC682" s="16">
        <v>0</v>
      </c>
      <c r="AD682" s="16">
        <v>0</v>
      </c>
      <c r="AE682" s="16">
        <v>0</v>
      </c>
      <c r="AF682" s="16">
        <f t="shared" si="234"/>
        <v>53.066999999999993</v>
      </c>
      <c r="AG682" s="16">
        <f t="shared" si="241"/>
        <v>8.4907199999999996</v>
      </c>
      <c r="AH682" s="16">
        <f t="shared" si="235"/>
        <v>61.557719999999989</v>
      </c>
      <c r="AI682" s="16">
        <f t="shared" si="242"/>
        <v>1.06134</v>
      </c>
      <c r="AJ682" s="16">
        <v>0</v>
      </c>
      <c r="AK682" s="16">
        <f t="shared" si="236"/>
        <v>1.06134</v>
      </c>
      <c r="AL682" s="19"/>
      <c r="AM682" s="16">
        <f t="shared" si="247"/>
        <v>52.005659999999992</v>
      </c>
      <c r="AN682" s="16"/>
      <c r="AO682" s="20"/>
      <c r="AP682" s="16">
        <f t="shared" si="244"/>
        <v>0</v>
      </c>
      <c r="AQ682" s="16"/>
      <c r="AR682" s="15"/>
      <c r="AS682" s="16">
        <f t="shared" si="248"/>
        <v>0</v>
      </c>
      <c r="AT682" s="16"/>
      <c r="AU682" s="16">
        <v>61.557719999999989</v>
      </c>
      <c r="AV682" s="16">
        <f t="shared" si="230"/>
        <v>61.557719999999989</v>
      </c>
      <c r="AW682" s="16">
        <f t="shared" si="239"/>
        <v>0</v>
      </c>
      <c r="AX682" s="16" t="str">
        <f t="shared" si="240"/>
        <v>ACTIVA</v>
      </c>
      <c r="AY682" s="22">
        <v>45222</v>
      </c>
      <c r="AZ682" s="22"/>
      <c r="BA682" s="1"/>
      <c r="BB682" s="22"/>
      <c r="BC682" s="1"/>
      <c r="BD682" s="1"/>
      <c r="BE682" s="1"/>
    </row>
    <row r="683" spans="1:57" ht="15.75" hidden="1" customHeight="1">
      <c r="A683" s="2" t="s">
        <v>871</v>
      </c>
      <c r="B683" s="1" t="s">
        <v>58</v>
      </c>
      <c r="C683" s="27">
        <v>45173</v>
      </c>
      <c r="D683" s="27">
        <v>45153</v>
      </c>
      <c r="E683" s="27">
        <v>45153</v>
      </c>
      <c r="F683" s="21">
        <v>45197</v>
      </c>
      <c r="G683" s="13" t="str">
        <f t="shared" si="243"/>
        <v>000-682/AIB RDC/2023</v>
      </c>
      <c r="H683" s="1">
        <v>0</v>
      </c>
      <c r="I683" s="1" t="s">
        <v>83</v>
      </c>
      <c r="J683" s="14" t="s">
        <v>929</v>
      </c>
      <c r="K683" s="1" t="s">
        <v>930</v>
      </c>
      <c r="L683" s="1"/>
      <c r="M683" s="1" t="s">
        <v>95</v>
      </c>
      <c r="N683" s="1" t="s">
        <v>644</v>
      </c>
      <c r="O683" s="1" t="s">
        <v>104</v>
      </c>
      <c r="P683" s="1" t="s">
        <v>105</v>
      </c>
      <c r="Q683" s="1" t="s">
        <v>76</v>
      </c>
      <c r="R683" s="1" t="s">
        <v>76</v>
      </c>
      <c r="S683" s="25">
        <v>47100</v>
      </c>
      <c r="T683" s="25">
        <v>109.94</v>
      </c>
      <c r="U683" s="25">
        <v>0</v>
      </c>
      <c r="V683" s="25">
        <v>0</v>
      </c>
      <c r="W683" s="25">
        <v>10</v>
      </c>
      <c r="X683" s="25">
        <v>84.79</v>
      </c>
      <c r="Y683" s="25">
        <v>15.16</v>
      </c>
      <c r="Z683" s="17">
        <f t="shared" si="233"/>
        <v>1.8002123142250531E-3</v>
      </c>
      <c r="AA683" s="18">
        <v>0.15</v>
      </c>
      <c r="AB683" s="16">
        <f t="shared" si="249"/>
        <v>12.718500000000001</v>
      </c>
      <c r="AC683" s="16">
        <v>0</v>
      </c>
      <c r="AD683" s="16">
        <v>0</v>
      </c>
      <c r="AE683" s="16">
        <v>0</v>
      </c>
      <c r="AF683" s="16">
        <f t="shared" si="234"/>
        <v>12.718500000000001</v>
      </c>
      <c r="AG683" s="16">
        <f t="shared" si="241"/>
        <v>2.0349600000000003</v>
      </c>
      <c r="AH683" s="16">
        <f t="shared" si="235"/>
        <v>14.75346</v>
      </c>
      <c r="AI683" s="16">
        <f t="shared" si="242"/>
        <v>0.25437000000000004</v>
      </c>
      <c r="AJ683" s="16">
        <v>0</v>
      </c>
      <c r="AK683" s="16">
        <f t="shared" si="236"/>
        <v>0.25437000000000004</v>
      </c>
      <c r="AL683" s="19"/>
      <c r="AM683" s="16">
        <f t="shared" si="247"/>
        <v>12.464130000000001</v>
      </c>
      <c r="AN683" s="16"/>
      <c r="AO683" s="20"/>
      <c r="AP683" s="16">
        <f t="shared" si="244"/>
        <v>0</v>
      </c>
      <c r="AQ683" s="16"/>
      <c r="AR683" s="15"/>
      <c r="AS683" s="16">
        <f t="shared" si="248"/>
        <v>0</v>
      </c>
      <c r="AT683" s="16"/>
      <c r="AU683" s="16">
        <v>14.75346</v>
      </c>
      <c r="AV683" s="16">
        <f t="shared" si="230"/>
        <v>14.75346</v>
      </c>
      <c r="AW683" s="16">
        <f t="shared" si="239"/>
        <v>0</v>
      </c>
      <c r="AX683" s="16" t="str">
        <f t="shared" si="240"/>
        <v>ACTIVA</v>
      </c>
      <c r="AY683" s="22">
        <v>45222</v>
      </c>
      <c r="AZ683" s="22"/>
      <c r="BA683" s="1"/>
      <c r="BB683" s="22"/>
      <c r="BC683" s="1"/>
      <c r="BD683" s="1"/>
      <c r="BE683" s="1"/>
    </row>
    <row r="684" spans="1:57" ht="15.75" customHeight="1">
      <c r="A684" s="2" t="s">
        <v>230</v>
      </c>
      <c r="B684" s="1" t="s">
        <v>169</v>
      </c>
      <c r="C684" s="27">
        <v>45000</v>
      </c>
      <c r="D684" s="27"/>
      <c r="E684" s="27"/>
      <c r="F684" s="27"/>
      <c r="G684" s="13" t="str">
        <f t="shared" si="243"/>
        <v>000-683/AIB RDC/2023</v>
      </c>
      <c r="H684" s="1">
        <v>0</v>
      </c>
      <c r="I684" s="1" t="s">
        <v>83</v>
      </c>
      <c r="J684" s="2"/>
      <c r="K684" s="2" t="s">
        <v>660</v>
      </c>
      <c r="L684" s="1"/>
      <c r="M684" s="1" t="s">
        <v>99</v>
      </c>
      <c r="N684" s="1" t="s">
        <v>100</v>
      </c>
      <c r="O684" s="1" t="s">
        <v>107</v>
      </c>
      <c r="P684" s="1" t="s">
        <v>108</v>
      </c>
      <c r="Q684" s="1" t="s">
        <v>66</v>
      </c>
      <c r="R684" s="1" t="s">
        <v>66</v>
      </c>
      <c r="S684" s="25">
        <v>1920000</v>
      </c>
      <c r="T684" s="25">
        <v>4996.57</v>
      </c>
      <c r="U684" s="25">
        <v>0</v>
      </c>
      <c r="V684" s="16">
        <v>0</v>
      </c>
      <c r="W684" s="25">
        <v>115.71</v>
      </c>
      <c r="X684" s="25">
        <v>4203.3599999999997</v>
      </c>
      <c r="Y684" s="25">
        <v>677.5</v>
      </c>
      <c r="Z684" s="17">
        <f t="shared" si="233"/>
        <v>2.1892499999999998E-3</v>
      </c>
      <c r="AA684" s="18">
        <v>0.15</v>
      </c>
      <c r="AB684" s="16">
        <f t="shared" si="249"/>
        <v>630.50399999999991</v>
      </c>
      <c r="AC684" s="16">
        <v>0</v>
      </c>
      <c r="AD684" s="16">
        <v>0</v>
      </c>
      <c r="AE684" s="16">
        <v>0</v>
      </c>
      <c r="AF684" s="16">
        <f t="shared" si="234"/>
        <v>630.50399999999991</v>
      </c>
      <c r="AG684" s="16">
        <f t="shared" si="241"/>
        <v>100.88063999999999</v>
      </c>
      <c r="AH684" s="16">
        <f t="shared" si="235"/>
        <v>731.38463999999988</v>
      </c>
      <c r="AI684" s="16">
        <f t="shared" si="242"/>
        <v>12.610079999999998</v>
      </c>
      <c r="AJ684" s="16">
        <v>0</v>
      </c>
      <c r="AK684" s="16">
        <f t="shared" si="236"/>
        <v>12.610079999999998</v>
      </c>
      <c r="AL684" s="19"/>
      <c r="AM684" s="16">
        <f t="shared" si="247"/>
        <v>617.89391999999987</v>
      </c>
      <c r="AN684" s="16"/>
      <c r="AO684" s="20"/>
      <c r="AP684" s="16">
        <f t="shared" si="244"/>
        <v>0</v>
      </c>
      <c r="AQ684" s="16"/>
      <c r="AR684" s="15"/>
      <c r="AS684" s="16">
        <f t="shared" si="248"/>
        <v>0</v>
      </c>
      <c r="AT684" s="16"/>
      <c r="AU684" s="16"/>
      <c r="AV684" s="16">
        <f t="shared" si="230"/>
        <v>731.38463999999988</v>
      </c>
      <c r="AW684" s="60">
        <f t="shared" si="239"/>
        <v>731.38463999999988</v>
      </c>
      <c r="AX684" s="16" t="str">
        <f t="shared" si="240"/>
        <v>SFA</v>
      </c>
      <c r="AY684" s="22"/>
      <c r="AZ684" s="22"/>
      <c r="BA684" s="1"/>
      <c r="BB684" s="22" t="str">
        <f>O684</f>
        <v>FIRE</v>
      </c>
      <c r="BC684" s="1"/>
      <c r="BD684" s="1"/>
      <c r="BE684" s="1"/>
    </row>
    <row r="685" spans="1:57" ht="15.75" customHeight="1">
      <c r="A685" s="2" t="s">
        <v>230</v>
      </c>
      <c r="B685" s="1" t="s">
        <v>169</v>
      </c>
      <c r="C685" s="27">
        <v>45000</v>
      </c>
      <c r="D685" s="27"/>
      <c r="E685" s="27"/>
      <c r="F685" s="27"/>
      <c r="G685" s="13" t="str">
        <f t="shared" si="243"/>
        <v>000-684/AIB RDC/2023</v>
      </c>
      <c r="H685" s="1">
        <v>0</v>
      </c>
      <c r="I685" s="1" t="s">
        <v>83</v>
      </c>
      <c r="J685" s="2"/>
      <c r="K685" s="2" t="s">
        <v>660</v>
      </c>
      <c r="L685" s="1"/>
      <c r="M685" s="1" t="s">
        <v>99</v>
      </c>
      <c r="N685" s="1" t="s">
        <v>100</v>
      </c>
      <c r="O685" s="1" t="s">
        <v>111</v>
      </c>
      <c r="P685" s="1" t="s">
        <v>112</v>
      </c>
      <c r="Q685" s="1" t="s">
        <v>66</v>
      </c>
      <c r="R685" s="1" t="s">
        <v>66</v>
      </c>
      <c r="S685" s="25">
        <v>1000000</v>
      </c>
      <c r="T685" s="25">
        <v>3510.21</v>
      </c>
      <c r="U685" s="25">
        <v>0</v>
      </c>
      <c r="V685" s="16">
        <v>0</v>
      </c>
      <c r="W685" s="25">
        <v>84.25</v>
      </c>
      <c r="X685" s="25">
        <v>2950</v>
      </c>
      <c r="Y685" s="25">
        <v>475.96</v>
      </c>
      <c r="Z685" s="17">
        <f t="shared" si="233"/>
        <v>2.9499999999999999E-3</v>
      </c>
      <c r="AA685" s="18">
        <v>0.15</v>
      </c>
      <c r="AB685" s="16">
        <f t="shared" si="249"/>
        <v>442.5</v>
      </c>
      <c r="AC685" s="16">
        <v>0</v>
      </c>
      <c r="AD685" s="16">
        <v>0</v>
      </c>
      <c r="AE685" s="16">
        <v>0</v>
      </c>
      <c r="AF685" s="16">
        <f t="shared" si="234"/>
        <v>442.5</v>
      </c>
      <c r="AG685" s="16">
        <f t="shared" si="241"/>
        <v>70.8</v>
      </c>
      <c r="AH685" s="16">
        <f t="shared" si="235"/>
        <v>513.29999999999995</v>
      </c>
      <c r="AI685" s="16">
        <f t="shared" si="242"/>
        <v>8.85</v>
      </c>
      <c r="AJ685" s="16">
        <v>0</v>
      </c>
      <c r="AK685" s="16">
        <f t="shared" si="236"/>
        <v>8.85</v>
      </c>
      <c r="AL685" s="19"/>
      <c r="AM685" s="16">
        <f t="shared" si="247"/>
        <v>433.65</v>
      </c>
      <c r="AN685" s="16"/>
      <c r="AO685" s="20"/>
      <c r="AP685" s="16">
        <f t="shared" si="244"/>
        <v>0</v>
      </c>
      <c r="AQ685" s="16"/>
      <c r="AR685" s="15"/>
      <c r="AS685" s="16">
        <f t="shared" si="248"/>
        <v>0</v>
      </c>
      <c r="AT685" s="16"/>
      <c r="AU685" s="16"/>
      <c r="AV685" s="16">
        <f t="shared" si="230"/>
        <v>513.29999999999995</v>
      </c>
      <c r="AW685" s="60">
        <f t="shared" si="239"/>
        <v>513.29999999999995</v>
      </c>
      <c r="AX685" s="16" t="str">
        <f t="shared" si="240"/>
        <v>SFA</v>
      </c>
      <c r="AY685" s="22"/>
      <c r="AZ685" s="22"/>
      <c r="BA685" s="1"/>
      <c r="BB685" s="22" t="str">
        <f>O685</f>
        <v>GENERAL LIABILITY</v>
      </c>
      <c r="BC685" s="1"/>
      <c r="BD685" s="1"/>
      <c r="BE685" s="1"/>
    </row>
    <row r="686" spans="1:57" ht="15.75" hidden="1" customHeight="1">
      <c r="A686" s="2" t="s">
        <v>871</v>
      </c>
      <c r="B686" s="1" t="s">
        <v>58</v>
      </c>
      <c r="C686" s="27">
        <v>45140</v>
      </c>
      <c r="D686" s="27">
        <v>45163</v>
      </c>
      <c r="E686" s="27">
        <v>45160</v>
      </c>
      <c r="F686" s="21">
        <v>45342</v>
      </c>
      <c r="G686" s="13" t="str">
        <f t="shared" si="243"/>
        <v>000-685/AIB RDC/2023</v>
      </c>
      <c r="H686" s="1">
        <v>6</v>
      </c>
      <c r="I686" s="1" t="s">
        <v>59</v>
      </c>
      <c r="J686" s="29" t="s">
        <v>273</v>
      </c>
      <c r="K686" s="2" t="s">
        <v>150</v>
      </c>
      <c r="L686" s="24" t="s">
        <v>151</v>
      </c>
      <c r="M686" s="1" t="s">
        <v>99</v>
      </c>
      <c r="N686" s="1" t="s">
        <v>100</v>
      </c>
      <c r="O686" s="1" t="s">
        <v>133</v>
      </c>
      <c r="P686" s="1" t="s">
        <v>134</v>
      </c>
      <c r="Q686" s="1" t="s">
        <v>76</v>
      </c>
      <c r="R686" s="1" t="s">
        <v>76</v>
      </c>
      <c r="S686" s="25">
        <v>44000</v>
      </c>
      <c r="T686" s="25">
        <v>927.36</v>
      </c>
      <c r="U686" s="25">
        <v>0</v>
      </c>
      <c r="V686" s="25">
        <v>0</v>
      </c>
      <c r="W686" s="25">
        <v>10</v>
      </c>
      <c r="X686" s="25">
        <v>789.45</v>
      </c>
      <c r="Y686" s="25">
        <v>127.91</v>
      </c>
      <c r="Z686" s="17">
        <f t="shared" si="233"/>
        <v>1.7942045454545457E-2</v>
      </c>
      <c r="AA686" s="18">
        <v>0.14474634239027201</v>
      </c>
      <c r="AB686" s="16">
        <f t="shared" si="249"/>
        <v>114.27000000000024</v>
      </c>
      <c r="AC686" s="16">
        <v>0</v>
      </c>
      <c r="AD686" s="16">
        <v>0</v>
      </c>
      <c r="AE686" s="16">
        <v>0</v>
      </c>
      <c r="AF686" s="16">
        <f t="shared" si="234"/>
        <v>114.27000000000024</v>
      </c>
      <c r="AG686" s="16">
        <f t="shared" si="241"/>
        <v>18.28320000000004</v>
      </c>
      <c r="AH686" s="16">
        <f t="shared" si="235"/>
        <v>132.55320000000029</v>
      </c>
      <c r="AI686" s="16">
        <f t="shared" si="242"/>
        <v>2.285400000000005</v>
      </c>
      <c r="AJ686" s="16">
        <v>0</v>
      </c>
      <c r="AK686" s="16">
        <f t="shared" si="236"/>
        <v>2.285400000000005</v>
      </c>
      <c r="AL686" s="19"/>
      <c r="AM686" s="16">
        <f t="shared" si="247"/>
        <v>111.98460000000023</v>
      </c>
      <c r="AN686" s="16"/>
      <c r="AO686" s="20"/>
      <c r="AP686" s="16">
        <f t="shared" si="244"/>
        <v>0</v>
      </c>
      <c r="AQ686" s="16"/>
      <c r="AR686" s="15"/>
      <c r="AS686" s="16">
        <f t="shared" si="248"/>
        <v>0</v>
      </c>
      <c r="AT686" s="16"/>
      <c r="AU686" s="16">
        <v>132.55320000000029</v>
      </c>
      <c r="AV686" s="16">
        <f t="shared" si="230"/>
        <v>132.55320000000029</v>
      </c>
      <c r="AW686" s="16">
        <f t="shared" si="239"/>
        <v>0</v>
      </c>
      <c r="AX686" s="16" t="str">
        <f t="shared" si="240"/>
        <v>ACTIVA</v>
      </c>
      <c r="AY686" s="22">
        <v>45222</v>
      </c>
      <c r="AZ686" s="22"/>
      <c r="BA686" s="1"/>
      <c r="BB686" s="22"/>
      <c r="BC686" s="1"/>
      <c r="BD686" s="1"/>
      <c r="BE686" s="1"/>
    </row>
    <row r="687" spans="1:57" ht="15.75" customHeight="1">
      <c r="A687" s="2" t="s">
        <v>406</v>
      </c>
      <c r="B687" s="1" t="s">
        <v>58</v>
      </c>
      <c r="C687" s="27">
        <v>45026</v>
      </c>
      <c r="D687" s="27">
        <v>45025</v>
      </c>
      <c r="E687" s="27">
        <v>45025</v>
      </c>
      <c r="F687" s="27">
        <v>45389</v>
      </c>
      <c r="G687" s="13" t="str">
        <f t="shared" si="243"/>
        <v>000-686/AIB RDC/2023</v>
      </c>
      <c r="H687" s="1">
        <v>2</v>
      </c>
      <c r="I687" s="1" t="s">
        <v>68</v>
      </c>
      <c r="J687" s="1" t="s">
        <v>464</v>
      </c>
      <c r="K687" s="1" t="s">
        <v>465</v>
      </c>
      <c r="L687" s="1"/>
      <c r="M687" s="1" t="s">
        <v>99</v>
      </c>
      <c r="N687" s="1" t="s">
        <v>466</v>
      </c>
      <c r="O687" s="1" t="s">
        <v>65</v>
      </c>
      <c r="P687" s="1" t="s">
        <v>65</v>
      </c>
      <c r="Q687" s="1" t="s">
        <v>127</v>
      </c>
      <c r="R687" s="1" t="s">
        <v>127</v>
      </c>
      <c r="S687" s="25">
        <v>0</v>
      </c>
      <c r="T687" s="25">
        <v>3603.55</v>
      </c>
      <c r="U687" s="25">
        <v>0</v>
      </c>
      <c r="V687" s="25">
        <v>0</v>
      </c>
      <c r="W687" s="25">
        <v>180</v>
      </c>
      <c r="X687" s="25">
        <v>2873.85</v>
      </c>
      <c r="Y687" s="25">
        <v>488.62</v>
      </c>
      <c r="Z687" s="17" t="e">
        <f t="shared" si="233"/>
        <v>#DIV/0!</v>
      </c>
      <c r="AA687" s="18">
        <v>0.1</v>
      </c>
      <c r="AB687" s="16">
        <f t="shared" si="249"/>
        <v>287.38499999999999</v>
      </c>
      <c r="AC687" s="16">
        <v>0</v>
      </c>
      <c r="AD687" s="16">
        <v>0</v>
      </c>
      <c r="AE687" s="16">
        <v>0</v>
      </c>
      <c r="AF687" s="16">
        <f t="shared" si="234"/>
        <v>287.38499999999999</v>
      </c>
      <c r="AG687" s="16">
        <f t="shared" ref="AG687:AG718" si="250">16%*AF687</f>
        <v>45.9816</v>
      </c>
      <c r="AH687" s="16">
        <f t="shared" si="235"/>
        <v>333.36660000000001</v>
      </c>
      <c r="AI687" s="16">
        <f t="shared" ref="AI687:AI718" si="251">2%*(AB687+AC687+AD687)</f>
        <v>5.7477</v>
      </c>
      <c r="AJ687" s="16"/>
      <c r="AK687" s="16">
        <f t="shared" si="236"/>
        <v>5.7477</v>
      </c>
      <c r="AL687" s="19"/>
      <c r="AM687" s="16">
        <f t="shared" si="247"/>
        <v>281.63729999999998</v>
      </c>
      <c r="AN687" s="40"/>
      <c r="AO687" s="20"/>
      <c r="AP687" s="16">
        <f t="shared" si="244"/>
        <v>0</v>
      </c>
      <c r="AQ687" s="16"/>
      <c r="AR687" s="15"/>
      <c r="AS687" s="16">
        <f t="shared" si="248"/>
        <v>0</v>
      </c>
      <c r="AT687" s="16"/>
      <c r="AU687" s="16">
        <v>166.68</v>
      </c>
      <c r="AV687" s="16">
        <f t="shared" si="230"/>
        <v>333.36660000000001</v>
      </c>
      <c r="AW687" s="60">
        <f t="shared" si="239"/>
        <v>166.6866</v>
      </c>
      <c r="AX687" s="16" t="str">
        <f t="shared" si="240"/>
        <v>MAYFAIR</v>
      </c>
      <c r="AY687" s="22">
        <v>45146</v>
      </c>
      <c r="AZ687" s="22"/>
      <c r="BA687" s="1"/>
      <c r="BB687" s="22" t="str">
        <f>O687</f>
        <v>MOTOR TPL</v>
      </c>
      <c r="BC687" s="1"/>
      <c r="BD687" s="1"/>
      <c r="BE687" s="1" t="s">
        <v>467</v>
      </c>
    </row>
    <row r="688" spans="1:57" ht="15.75" hidden="1" customHeight="1">
      <c r="A688" s="2" t="s">
        <v>871</v>
      </c>
      <c r="B688" s="1" t="s">
        <v>58</v>
      </c>
      <c r="C688" s="27">
        <v>45141</v>
      </c>
      <c r="D688" s="27">
        <v>45141</v>
      </c>
      <c r="E688" s="27">
        <v>45141</v>
      </c>
      <c r="F688" s="21">
        <v>45216</v>
      </c>
      <c r="G688" s="13" t="str">
        <f t="shared" si="243"/>
        <v>000-687/AIB RDC/2023</v>
      </c>
      <c r="H688" s="1">
        <v>11</v>
      </c>
      <c r="I688" s="1" t="s">
        <v>59</v>
      </c>
      <c r="J688" s="14" t="s">
        <v>294</v>
      </c>
      <c r="K688" s="1" t="s">
        <v>295</v>
      </c>
      <c r="L688" s="1"/>
      <c r="M688" s="1" t="s">
        <v>99</v>
      </c>
      <c r="N688" s="1" t="s">
        <v>100</v>
      </c>
      <c r="O688" s="1" t="s">
        <v>65</v>
      </c>
      <c r="P688" s="1" t="s">
        <v>65</v>
      </c>
      <c r="Q688" s="1" t="s">
        <v>66</v>
      </c>
      <c r="R688" s="1" t="s">
        <v>66</v>
      </c>
      <c r="S688" s="25">
        <v>0</v>
      </c>
      <c r="T688" s="25">
        <v>332.82</v>
      </c>
      <c r="U688" s="25">
        <v>0</v>
      </c>
      <c r="V688" s="25">
        <v>0</v>
      </c>
      <c r="W688" s="25">
        <v>21.32</v>
      </c>
      <c r="X688" s="25">
        <v>265.58999999999997</v>
      </c>
      <c r="Y688" s="25">
        <v>45.91</v>
      </c>
      <c r="Z688" s="17" t="e">
        <f t="shared" si="233"/>
        <v>#DIV/0!</v>
      </c>
      <c r="AA688" s="18">
        <v>0.1</v>
      </c>
      <c r="AB688" s="16">
        <f t="shared" si="249"/>
        <v>26.558999999999997</v>
      </c>
      <c r="AC688" s="16">
        <v>0</v>
      </c>
      <c r="AD688" s="16">
        <v>0</v>
      </c>
      <c r="AE688" s="16">
        <v>0</v>
      </c>
      <c r="AF688" s="16">
        <f t="shared" si="234"/>
        <v>26.558999999999997</v>
      </c>
      <c r="AG688" s="16">
        <f t="shared" si="250"/>
        <v>4.2494399999999999</v>
      </c>
      <c r="AH688" s="16">
        <f t="shared" si="235"/>
        <v>30.808439999999997</v>
      </c>
      <c r="AI688" s="16">
        <f t="shared" si="251"/>
        <v>0.53117999999999999</v>
      </c>
      <c r="AJ688" s="16">
        <v>0</v>
      </c>
      <c r="AK688" s="16">
        <f t="shared" si="236"/>
        <v>0.53117999999999999</v>
      </c>
      <c r="AL688" s="19"/>
      <c r="AM688" s="16">
        <f t="shared" si="247"/>
        <v>26.027819999999998</v>
      </c>
      <c r="AN688" s="16"/>
      <c r="AO688" s="20"/>
      <c r="AP688" s="16">
        <f t="shared" si="244"/>
        <v>0</v>
      </c>
      <c r="AQ688" s="16"/>
      <c r="AR688" s="15"/>
      <c r="AS688" s="16">
        <f t="shared" si="248"/>
        <v>0</v>
      </c>
      <c r="AT688" s="16"/>
      <c r="AU688" s="16">
        <v>30.808439999999997</v>
      </c>
      <c r="AV688" s="16">
        <f t="shared" si="230"/>
        <v>30.808439999999997</v>
      </c>
      <c r="AW688" s="16">
        <f t="shared" si="239"/>
        <v>0</v>
      </c>
      <c r="AX688" s="16" t="str">
        <f t="shared" si="240"/>
        <v>SFA</v>
      </c>
      <c r="AY688" s="22">
        <v>45197</v>
      </c>
      <c r="AZ688" t="s">
        <v>155</v>
      </c>
      <c r="BA688" s="1"/>
      <c r="BB688" s="22"/>
      <c r="BC688" s="1"/>
      <c r="BD688" s="1"/>
      <c r="BE688" s="1"/>
    </row>
    <row r="689" spans="1:57" ht="15.75" hidden="1" customHeight="1">
      <c r="A689" s="2" t="s">
        <v>871</v>
      </c>
      <c r="B689" s="1" t="s">
        <v>58</v>
      </c>
      <c r="C689" s="27">
        <v>45145</v>
      </c>
      <c r="D689" s="27">
        <v>45145</v>
      </c>
      <c r="E689" s="27">
        <v>45145</v>
      </c>
      <c r="F689" s="21">
        <v>45510</v>
      </c>
      <c r="G689" s="13" t="str">
        <f t="shared" si="243"/>
        <v>000-688/AIB RDC/2023</v>
      </c>
      <c r="H689" s="1">
        <v>0</v>
      </c>
      <c r="I689" s="1" t="s">
        <v>83</v>
      </c>
      <c r="J689" s="14" t="s">
        <v>935</v>
      </c>
      <c r="K689" s="1" t="s">
        <v>370</v>
      </c>
      <c r="L689" s="1"/>
      <c r="M689" s="1" t="s">
        <v>99</v>
      </c>
      <c r="N689" s="1" t="s">
        <v>100</v>
      </c>
      <c r="O689" s="1" t="s">
        <v>104</v>
      </c>
      <c r="P689" s="1" t="s">
        <v>105</v>
      </c>
      <c r="Q689" s="1" t="s">
        <v>66</v>
      </c>
      <c r="R689" s="1" t="s">
        <v>66</v>
      </c>
      <c r="S689" s="25">
        <v>18411</v>
      </c>
      <c r="T689" s="25">
        <v>50.67</v>
      </c>
      <c r="U689" s="25">
        <v>0</v>
      </c>
      <c r="V689" s="25">
        <v>0</v>
      </c>
      <c r="W689" s="25">
        <v>6.43</v>
      </c>
      <c r="X689" s="25">
        <v>15.7</v>
      </c>
      <c r="Y689" s="25">
        <v>3.54</v>
      </c>
      <c r="Z689" s="17">
        <f t="shared" si="233"/>
        <v>8.5275107272826027E-4</v>
      </c>
      <c r="AA689" s="18">
        <v>0.15</v>
      </c>
      <c r="AB689" s="16">
        <f t="shared" si="249"/>
        <v>2.355</v>
      </c>
      <c r="AC689" s="16">
        <v>0</v>
      </c>
      <c r="AD689" s="16">
        <v>0</v>
      </c>
      <c r="AE689" s="16">
        <v>0</v>
      </c>
      <c r="AF689" s="16">
        <f t="shared" si="234"/>
        <v>2.355</v>
      </c>
      <c r="AG689" s="16">
        <f t="shared" si="250"/>
        <v>0.37680000000000002</v>
      </c>
      <c r="AH689" s="16">
        <f t="shared" si="235"/>
        <v>2.7317999999999998</v>
      </c>
      <c r="AI689" s="16">
        <f t="shared" si="251"/>
        <v>4.7100000000000003E-2</v>
      </c>
      <c r="AJ689" s="16">
        <v>0</v>
      </c>
      <c r="AK689" s="16">
        <f t="shared" si="236"/>
        <v>4.7100000000000003E-2</v>
      </c>
      <c r="AL689" s="19"/>
      <c r="AM689" s="16">
        <f t="shared" si="247"/>
        <v>2.3079000000000001</v>
      </c>
      <c r="AN689" s="16"/>
      <c r="AO689" s="20"/>
      <c r="AP689" s="16">
        <f t="shared" si="244"/>
        <v>0</v>
      </c>
      <c r="AQ689" s="16"/>
      <c r="AR689" s="15"/>
      <c r="AS689" s="16">
        <f t="shared" si="248"/>
        <v>0</v>
      </c>
      <c r="AT689" s="16"/>
      <c r="AU689" s="16">
        <v>2.7317999999999998</v>
      </c>
      <c r="AV689" s="16">
        <f t="shared" si="230"/>
        <v>2.7317999999999998</v>
      </c>
      <c r="AW689" s="16">
        <f t="shared" si="239"/>
        <v>0</v>
      </c>
      <c r="AX689" s="16" t="str">
        <f t="shared" si="240"/>
        <v>SFA</v>
      </c>
      <c r="AY689" s="22">
        <v>45197</v>
      </c>
      <c r="AZ689" t="s">
        <v>155</v>
      </c>
      <c r="BA689" s="1"/>
      <c r="BB689" s="22"/>
      <c r="BC689" s="1"/>
      <c r="BD689" s="1"/>
      <c r="BE689" s="1"/>
    </row>
    <row r="690" spans="1:57" ht="15.75" hidden="1" customHeight="1">
      <c r="A690" s="2" t="s">
        <v>871</v>
      </c>
      <c r="B690" s="1" t="s">
        <v>58</v>
      </c>
      <c r="C690" s="27">
        <v>45147</v>
      </c>
      <c r="D690" s="27">
        <v>45150</v>
      </c>
      <c r="E690" s="27">
        <v>45150</v>
      </c>
      <c r="F690" s="21">
        <v>45515</v>
      </c>
      <c r="G690" s="13" t="str">
        <f t="shared" si="243"/>
        <v>000-689/AIB RDC/2023</v>
      </c>
      <c r="H690" s="1">
        <v>0</v>
      </c>
      <c r="I690" s="1" t="s">
        <v>83</v>
      </c>
      <c r="J690" s="14" t="s">
        <v>936</v>
      </c>
      <c r="K690" s="1" t="s">
        <v>289</v>
      </c>
      <c r="L690" s="1"/>
      <c r="M690" s="1" t="s">
        <v>99</v>
      </c>
      <c r="N690" s="1" t="s">
        <v>100</v>
      </c>
      <c r="O690" s="1" t="s">
        <v>133</v>
      </c>
      <c r="P690" s="1" t="s">
        <v>134</v>
      </c>
      <c r="Q690" s="1" t="s">
        <v>127</v>
      </c>
      <c r="R690" s="1" t="s">
        <v>127</v>
      </c>
      <c r="S690" s="25">
        <v>105000</v>
      </c>
      <c r="T690" s="25">
        <v>15178.14</v>
      </c>
      <c r="U690" s="25">
        <v>0</v>
      </c>
      <c r="V690" s="25">
        <v>0</v>
      </c>
      <c r="W690" s="25">
        <v>220.26</v>
      </c>
      <c r="X690" s="25">
        <v>12642.83</v>
      </c>
      <c r="Y690" s="25">
        <v>2058.0500000000002</v>
      </c>
      <c r="Z690" s="17">
        <f t="shared" si="233"/>
        <v>0.12040790476190476</v>
      </c>
      <c r="AA690" s="18">
        <v>0.125</v>
      </c>
      <c r="AB690" s="16">
        <f t="shared" si="249"/>
        <v>1580.35375</v>
      </c>
      <c r="AC690" s="16">
        <v>0</v>
      </c>
      <c r="AD690" s="16">
        <v>0</v>
      </c>
      <c r="AE690" s="16">
        <v>0</v>
      </c>
      <c r="AF690" s="16">
        <f t="shared" si="234"/>
        <v>1580.35375</v>
      </c>
      <c r="AG690" s="16">
        <f t="shared" si="250"/>
        <v>252.85660000000001</v>
      </c>
      <c r="AH690" s="16">
        <f t="shared" si="235"/>
        <v>1833.2103500000001</v>
      </c>
      <c r="AI690" s="16">
        <f t="shared" si="251"/>
        <v>31.607075000000002</v>
      </c>
      <c r="AJ690" s="16">
        <v>0</v>
      </c>
      <c r="AK690" s="16">
        <f t="shared" si="236"/>
        <v>31.607075000000002</v>
      </c>
      <c r="AL690" s="19"/>
      <c r="AM690" s="16">
        <f t="shared" si="247"/>
        <v>1548.7466750000001</v>
      </c>
      <c r="AN690" s="16"/>
      <c r="AO690" s="20"/>
      <c r="AP690" s="16">
        <f t="shared" si="244"/>
        <v>0</v>
      </c>
      <c r="AQ690" s="16"/>
      <c r="AR690" s="15"/>
      <c r="AS690" s="16">
        <f t="shared" si="248"/>
        <v>0</v>
      </c>
      <c r="AT690" s="16"/>
      <c r="AU690" s="16">
        <v>1833.2103500000001</v>
      </c>
      <c r="AV690" s="16">
        <f t="shared" si="230"/>
        <v>1833.2103500000001</v>
      </c>
      <c r="AW690" s="16">
        <f t="shared" si="239"/>
        <v>0</v>
      </c>
      <c r="AX690" s="16" t="str">
        <f t="shared" si="240"/>
        <v>MAYFAIR</v>
      </c>
      <c r="AY690" s="22">
        <v>45203</v>
      </c>
      <c r="AZ690" s="22"/>
      <c r="BA690" s="1"/>
      <c r="BB690" s="22"/>
      <c r="BC690" s="1"/>
      <c r="BD690" s="1"/>
      <c r="BE690" s="1"/>
    </row>
    <row r="691" spans="1:57" ht="15.75" hidden="1" customHeight="1">
      <c r="A691" s="2" t="s">
        <v>871</v>
      </c>
      <c r="B691" s="1" t="s">
        <v>58</v>
      </c>
      <c r="C691" s="27">
        <v>45147</v>
      </c>
      <c r="D691" s="27">
        <v>45147</v>
      </c>
      <c r="E691" s="27">
        <v>45146</v>
      </c>
      <c r="F691" s="21">
        <v>45216</v>
      </c>
      <c r="G691" s="13" t="str">
        <f t="shared" si="243"/>
        <v>000-690/AIB RDC/2023</v>
      </c>
      <c r="H691" s="1">
        <v>12</v>
      </c>
      <c r="I691" s="1" t="s">
        <v>59</v>
      </c>
      <c r="J691" s="14" t="s">
        <v>294</v>
      </c>
      <c r="K691" s="1" t="s">
        <v>295</v>
      </c>
      <c r="L691" s="1"/>
      <c r="M691" s="1" t="s">
        <v>99</v>
      </c>
      <c r="N691" s="1" t="s">
        <v>100</v>
      </c>
      <c r="O691" s="1" t="s">
        <v>65</v>
      </c>
      <c r="P691" s="1" t="s">
        <v>65</v>
      </c>
      <c r="Q691" s="1" t="s">
        <v>66</v>
      </c>
      <c r="R691" s="1" t="s">
        <v>66</v>
      </c>
      <c r="S691" s="25">
        <v>0</v>
      </c>
      <c r="T691" s="25">
        <v>505.01</v>
      </c>
      <c r="U691" s="25">
        <v>0</v>
      </c>
      <c r="V691" s="25">
        <v>0</v>
      </c>
      <c r="W691" s="25">
        <v>22.53</v>
      </c>
      <c r="X691" s="25">
        <v>412.83</v>
      </c>
      <c r="Y691" s="25">
        <v>69.650000000000006</v>
      </c>
      <c r="Z691" s="17" t="e">
        <f t="shared" si="233"/>
        <v>#DIV/0!</v>
      </c>
      <c r="AA691" s="18">
        <v>0.1</v>
      </c>
      <c r="AB691" s="16">
        <f t="shared" si="249"/>
        <v>41.283000000000001</v>
      </c>
      <c r="AC691" s="16">
        <v>0</v>
      </c>
      <c r="AD691" s="16">
        <v>0</v>
      </c>
      <c r="AE691" s="16">
        <v>0</v>
      </c>
      <c r="AF691" s="16">
        <f t="shared" si="234"/>
        <v>41.283000000000001</v>
      </c>
      <c r="AG691" s="16">
        <f t="shared" si="250"/>
        <v>6.6052800000000005</v>
      </c>
      <c r="AH691" s="16">
        <f t="shared" si="235"/>
        <v>47.888280000000002</v>
      </c>
      <c r="AI691" s="16">
        <f t="shared" si="251"/>
        <v>0.82566000000000006</v>
      </c>
      <c r="AJ691" s="16">
        <v>0</v>
      </c>
      <c r="AK691" s="16">
        <f t="shared" si="236"/>
        <v>0.82566000000000006</v>
      </c>
      <c r="AL691" s="19"/>
      <c r="AM691" s="16">
        <f t="shared" si="247"/>
        <v>40.457340000000002</v>
      </c>
      <c r="AN691" s="16"/>
      <c r="AO691" s="20"/>
      <c r="AP691" s="16">
        <f t="shared" si="244"/>
        <v>0</v>
      </c>
      <c r="AQ691" s="16"/>
      <c r="AR691" s="15"/>
      <c r="AS691" s="16">
        <f t="shared" si="248"/>
        <v>0</v>
      </c>
      <c r="AT691" s="16"/>
      <c r="AU691" s="16">
        <v>47.888280000000002</v>
      </c>
      <c r="AV691" s="16">
        <f t="shared" si="230"/>
        <v>47.888280000000002</v>
      </c>
      <c r="AW691" s="16">
        <f t="shared" si="239"/>
        <v>0</v>
      </c>
      <c r="AX691" s="16" t="str">
        <f t="shared" si="240"/>
        <v>SFA</v>
      </c>
      <c r="AY691" s="22">
        <v>45197</v>
      </c>
      <c r="AZ691" t="s">
        <v>155</v>
      </c>
      <c r="BA691" s="1"/>
      <c r="BB691" s="22"/>
      <c r="BC691" s="1"/>
      <c r="BD691" s="1"/>
      <c r="BE691" s="1"/>
    </row>
    <row r="692" spans="1:57" ht="15.75" hidden="1" customHeight="1">
      <c r="A692" s="2" t="s">
        <v>871</v>
      </c>
      <c r="B692" s="1" t="s">
        <v>58</v>
      </c>
      <c r="C692" s="27">
        <v>45156</v>
      </c>
      <c r="D692" s="27">
        <v>45156</v>
      </c>
      <c r="E692" s="27">
        <v>45155</v>
      </c>
      <c r="F692" s="21">
        <v>45416</v>
      </c>
      <c r="G692" s="13" t="str">
        <f t="shared" si="243"/>
        <v>000-691/AIB RDC/2023</v>
      </c>
      <c r="H692" s="1">
        <v>2</v>
      </c>
      <c r="I692" s="1" t="s">
        <v>59</v>
      </c>
      <c r="J692" s="14" t="s">
        <v>653</v>
      </c>
      <c r="K692" s="1" t="s">
        <v>937</v>
      </c>
      <c r="L692" s="1"/>
      <c r="M692" s="1" t="s">
        <v>99</v>
      </c>
      <c r="N692" s="1" t="s">
        <v>100</v>
      </c>
      <c r="O692" s="1" t="s">
        <v>65</v>
      </c>
      <c r="P692" s="1" t="s">
        <v>65</v>
      </c>
      <c r="Q692" s="1" t="s">
        <v>76</v>
      </c>
      <c r="R692" s="1" t="s">
        <v>76</v>
      </c>
      <c r="S692" s="25">
        <v>0</v>
      </c>
      <c r="T692" s="25">
        <v>196.71</v>
      </c>
      <c r="U692" s="25">
        <v>0</v>
      </c>
      <c r="V692" s="25">
        <v>0</v>
      </c>
      <c r="W692" s="25">
        <v>10</v>
      </c>
      <c r="X692" s="25">
        <v>186.71</v>
      </c>
      <c r="Y692" s="25">
        <v>0</v>
      </c>
      <c r="Z692" s="17" t="e">
        <f t="shared" si="233"/>
        <v>#DIV/0!</v>
      </c>
      <c r="AA692" s="18">
        <v>0.115151839751486</v>
      </c>
      <c r="AB692" s="16">
        <f t="shared" si="249"/>
        <v>21.499999999999954</v>
      </c>
      <c r="AC692" s="16">
        <v>0</v>
      </c>
      <c r="AD692" s="16">
        <v>0</v>
      </c>
      <c r="AE692" s="16">
        <v>0</v>
      </c>
      <c r="AF692" s="16">
        <f t="shared" si="234"/>
        <v>21.499999999999954</v>
      </c>
      <c r="AG692" s="16">
        <f t="shared" si="250"/>
        <v>3.4399999999999928</v>
      </c>
      <c r="AH692" s="16">
        <f t="shared" si="235"/>
        <v>24.939999999999948</v>
      </c>
      <c r="AI692" s="16">
        <f t="shared" si="251"/>
        <v>0.42999999999999911</v>
      </c>
      <c r="AJ692" s="16">
        <v>0</v>
      </c>
      <c r="AK692" s="16">
        <f t="shared" si="236"/>
        <v>0.42999999999999911</v>
      </c>
      <c r="AL692" s="19"/>
      <c r="AM692" s="16">
        <f t="shared" si="247"/>
        <v>21.069999999999954</v>
      </c>
      <c r="AN692" s="16"/>
      <c r="AO692" s="20"/>
      <c r="AP692" s="16">
        <f t="shared" si="244"/>
        <v>0</v>
      </c>
      <c r="AQ692" s="16"/>
      <c r="AR692" s="15"/>
      <c r="AS692" s="16">
        <f t="shared" si="248"/>
        <v>0</v>
      </c>
      <c r="AT692" s="16"/>
      <c r="AU692" s="16">
        <v>24.939999999999948</v>
      </c>
      <c r="AV692" s="16">
        <f t="shared" si="230"/>
        <v>24.939999999999948</v>
      </c>
      <c r="AW692" s="16">
        <f t="shared" si="239"/>
        <v>0</v>
      </c>
      <c r="AX692" s="16" t="str">
        <f t="shared" si="240"/>
        <v>ACTIVA</v>
      </c>
      <c r="AY692" s="22">
        <v>45222</v>
      </c>
      <c r="AZ692" s="22"/>
      <c r="BA692" s="1"/>
      <c r="BB692" s="22"/>
      <c r="BC692" s="1"/>
      <c r="BD692" s="1"/>
      <c r="BE692" s="1"/>
    </row>
    <row r="693" spans="1:57" ht="15.75" hidden="1" customHeight="1">
      <c r="A693" s="2" t="s">
        <v>871</v>
      </c>
      <c r="B693" s="1" t="s">
        <v>58</v>
      </c>
      <c r="C693" s="27">
        <v>45156</v>
      </c>
      <c r="D693" s="27">
        <v>45219</v>
      </c>
      <c r="E693" s="27">
        <v>45215</v>
      </c>
      <c r="F693" s="21">
        <v>45580</v>
      </c>
      <c r="G693" s="13" t="str">
        <f t="shared" si="243"/>
        <v>000-692/AIB RDC/2023</v>
      </c>
      <c r="H693" s="1">
        <v>0</v>
      </c>
      <c r="I693" s="1" t="s">
        <v>83</v>
      </c>
      <c r="J693" s="14" t="s">
        <v>938</v>
      </c>
      <c r="K693" s="1" t="s">
        <v>939</v>
      </c>
      <c r="L693" s="1"/>
      <c r="M693" s="1" t="s">
        <v>99</v>
      </c>
      <c r="N693" s="1" t="s">
        <v>100</v>
      </c>
      <c r="O693" s="1" t="s">
        <v>284</v>
      </c>
      <c r="P693" s="1" t="s">
        <v>285</v>
      </c>
      <c r="Q693" s="1" t="s">
        <v>135</v>
      </c>
      <c r="R693" s="1" t="s">
        <v>135</v>
      </c>
      <c r="S693" s="25">
        <v>110266609</v>
      </c>
      <c r="T693" s="25">
        <v>282000</v>
      </c>
      <c r="U693" s="25">
        <v>0</v>
      </c>
      <c r="V693" s="25">
        <v>0</v>
      </c>
      <c r="W693" s="25">
        <v>100</v>
      </c>
      <c r="X693" s="25">
        <v>238883.05</v>
      </c>
      <c r="Y693" s="25">
        <v>38237.29</v>
      </c>
      <c r="Z693" s="17">
        <f t="shared" si="233"/>
        <v>2.1664133155668186E-3</v>
      </c>
      <c r="AA693" s="18">
        <v>0.15</v>
      </c>
      <c r="AB693" s="16">
        <f t="shared" si="249"/>
        <v>35832.457499999997</v>
      </c>
      <c r="AC693" s="16">
        <v>0</v>
      </c>
      <c r="AD693" s="16">
        <v>0</v>
      </c>
      <c r="AE693" s="16">
        <v>0</v>
      </c>
      <c r="AF693" s="16">
        <f t="shared" si="234"/>
        <v>35832.457499999997</v>
      </c>
      <c r="AG693" s="16">
        <f t="shared" si="250"/>
        <v>5733.1931999999997</v>
      </c>
      <c r="AH693" s="16">
        <f t="shared" si="235"/>
        <v>41565.650699999998</v>
      </c>
      <c r="AI693" s="16">
        <f t="shared" si="251"/>
        <v>716.64914999999996</v>
      </c>
      <c r="AJ693" s="16">
        <v>0</v>
      </c>
      <c r="AK693" s="16">
        <f t="shared" si="236"/>
        <v>716.64914999999996</v>
      </c>
      <c r="AL693" s="19"/>
      <c r="AM693" s="16">
        <f t="shared" si="247"/>
        <v>35115.808349999999</v>
      </c>
      <c r="AN693" s="16"/>
      <c r="AO693" s="20"/>
      <c r="AP693" s="16">
        <f t="shared" si="244"/>
        <v>0</v>
      </c>
      <c r="AQ693" s="16"/>
      <c r="AR693" s="15"/>
      <c r="AS693" s="16">
        <f t="shared" si="248"/>
        <v>0</v>
      </c>
      <c r="AT693" s="16"/>
      <c r="AU693" s="16">
        <v>41565.650699999998</v>
      </c>
      <c r="AV693" s="16">
        <f t="shared" si="230"/>
        <v>41565.650699999998</v>
      </c>
      <c r="AW693" s="16">
        <f t="shared" si="239"/>
        <v>0</v>
      </c>
      <c r="AX693" s="16" t="str">
        <f t="shared" si="240"/>
        <v>RAWSUR</v>
      </c>
      <c r="AY693" s="22">
        <v>45230</v>
      </c>
      <c r="AZ693" s="22"/>
      <c r="BA693" s="1"/>
      <c r="BB693" s="22" t="str">
        <f>O693</f>
        <v>PVT</v>
      </c>
      <c r="BC693" s="1"/>
      <c r="BD693" s="1"/>
      <c r="BE693" s="1"/>
    </row>
    <row r="694" spans="1:57" ht="15.75" hidden="1" customHeight="1">
      <c r="A694" s="45" t="s">
        <v>784</v>
      </c>
      <c r="B694" s="1" t="s">
        <v>58</v>
      </c>
      <c r="C694" s="47">
        <v>45156</v>
      </c>
      <c r="D694" s="47">
        <v>45194</v>
      </c>
      <c r="E694" s="47">
        <v>45174</v>
      </c>
      <c r="F694" s="48">
        <v>45538</v>
      </c>
      <c r="G694" s="49" t="str">
        <f t="shared" si="243"/>
        <v>000-693/AIB RDC/2023</v>
      </c>
      <c r="H694" s="28">
        <v>0</v>
      </c>
      <c r="I694" s="28" t="s">
        <v>83</v>
      </c>
      <c r="J694" s="50" t="s">
        <v>940</v>
      </c>
      <c r="K694" s="28" t="s">
        <v>941</v>
      </c>
      <c r="L694" s="28"/>
      <c r="M694" s="28" t="s">
        <v>99</v>
      </c>
      <c r="N694" s="28" t="s">
        <v>100</v>
      </c>
      <c r="O694" s="28" t="s">
        <v>781</v>
      </c>
      <c r="P694" s="28" t="s">
        <v>112</v>
      </c>
      <c r="Q694" s="28" t="s">
        <v>66</v>
      </c>
      <c r="R694" s="28" t="s">
        <v>66</v>
      </c>
      <c r="S694" s="51">
        <v>2000000</v>
      </c>
      <c r="T694" s="51">
        <v>6859.86</v>
      </c>
      <c r="U694" s="51">
        <v>467.13</v>
      </c>
      <c r="V694" s="51">
        <v>0</v>
      </c>
      <c r="W694" s="51">
        <v>152.41999999999999</v>
      </c>
      <c r="X694" s="51">
        <v>5294.12</v>
      </c>
      <c r="Y694" s="51">
        <v>946.12</v>
      </c>
      <c r="Z694" s="52">
        <f t="shared" si="233"/>
        <v>2.6470600000000001E-3</v>
      </c>
      <c r="AA694" s="53">
        <v>0.1</v>
      </c>
      <c r="AB694" s="44">
        <f t="shared" si="249"/>
        <v>529.41200000000003</v>
      </c>
      <c r="AC694" s="44">
        <v>0</v>
      </c>
      <c r="AD694" s="44">
        <v>0</v>
      </c>
      <c r="AE694" s="44">
        <v>0</v>
      </c>
      <c r="AF694" s="44">
        <f t="shared" si="234"/>
        <v>529.41200000000003</v>
      </c>
      <c r="AG694" s="44">
        <f t="shared" si="250"/>
        <v>84.705920000000006</v>
      </c>
      <c r="AH694" s="44">
        <f t="shared" si="235"/>
        <v>614.11792000000003</v>
      </c>
      <c r="AI694" s="44">
        <f t="shared" si="251"/>
        <v>10.588240000000001</v>
      </c>
      <c r="AJ694" s="44">
        <v>0</v>
      </c>
      <c r="AK694" s="44">
        <f t="shared" si="236"/>
        <v>10.588240000000001</v>
      </c>
      <c r="AL694" s="54"/>
      <c r="AM694" s="44">
        <f t="shared" si="247"/>
        <v>518.82375999999999</v>
      </c>
      <c r="AN694" s="44"/>
      <c r="AO694" s="55"/>
      <c r="AP694" s="44">
        <f t="shared" si="244"/>
        <v>0</v>
      </c>
      <c r="AQ694" s="44"/>
      <c r="AR694" s="56"/>
      <c r="AS694" s="44">
        <f t="shared" si="248"/>
        <v>0</v>
      </c>
      <c r="AT694" s="44"/>
      <c r="AU694" s="44">
        <v>614.11792000000003</v>
      </c>
      <c r="AV694" s="44">
        <f t="shared" si="230"/>
        <v>614.11792000000003</v>
      </c>
      <c r="AW694" s="44">
        <f t="shared" si="239"/>
        <v>0</v>
      </c>
      <c r="AX694" s="44" t="str">
        <f t="shared" si="240"/>
        <v>SFA</v>
      </c>
      <c r="AY694" s="57">
        <v>45216</v>
      </c>
      <c r="AZ694" s="57"/>
      <c r="BA694" s="28"/>
      <c r="BB694" s="57"/>
      <c r="BC694" s="28"/>
      <c r="BD694" s="28"/>
      <c r="BE694" s="28"/>
    </row>
    <row r="695" spans="1:57" ht="15.75" customHeight="1">
      <c r="A695" s="2" t="s">
        <v>212</v>
      </c>
      <c r="B695" s="1" t="s">
        <v>169</v>
      </c>
      <c r="C695" s="27">
        <v>45104</v>
      </c>
      <c r="D695" s="27"/>
      <c r="E695" s="27">
        <v>45092</v>
      </c>
      <c r="F695" s="27">
        <v>45457</v>
      </c>
      <c r="G695" s="13" t="str">
        <f t="shared" si="243"/>
        <v>000-694/AIB RDC/2023</v>
      </c>
      <c r="H695" s="1">
        <v>1</v>
      </c>
      <c r="I695" s="1" t="s">
        <v>68</v>
      </c>
      <c r="J695" s="2"/>
      <c r="K695" s="2" t="s">
        <v>465</v>
      </c>
      <c r="L695" s="1"/>
      <c r="M695" s="1" t="s">
        <v>99</v>
      </c>
      <c r="N695" s="1" t="s">
        <v>100</v>
      </c>
      <c r="O695" s="1" t="s">
        <v>111</v>
      </c>
      <c r="P695" s="1" t="s">
        <v>112</v>
      </c>
      <c r="Q695" s="1" t="s">
        <v>66</v>
      </c>
      <c r="R695" s="1" t="s">
        <v>758</v>
      </c>
      <c r="S695" s="25">
        <v>1000000</v>
      </c>
      <c r="T695" s="25">
        <v>7774.67</v>
      </c>
      <c r="U695" s="25">
        <v>0</v>
      </c>
      <c r="V695" s="25">
        <v>0</v>
      </c>
      <c r="W695" s="25">
        <v>174.06</v>
      </c>
      <c r="X695" s="25">
        <v>6528.24</v>
      </c>
      <c r="Y695" s="25">
        <v>1072.3699999999999</v>
      </c>
      <c r="Z695" s="17">
        <f t="shared" si="233"/>
        <v>6.5282399999999994E-3</v>
      </c>
      <c r="AA695" s="18">
        <v>0.15</v>
      </c>
      <c r="AB695" s="16">
        <f t="shared" si="249"/>
        <v>979.23599999999988</v>
      </c>
      <c r="AC695" s="16">
        <v>0</v>
      </c>
      <c r="AD695" s="16">
        <v>0</v>
      </c>
      <c r="AE695" s="16">
        <v>0</v>
      </c>
      <c r="AF695" s="16">
        <f t="shared" si="234"/>
        <v>979.23599999999988</v>
      </c>
      <c r="AG695" s="16">
        <f t="shared" si="250"/>
        <v>156.67775999999998</v>
      </c>
      <c r="AH695" s="16">
        <f t="shared" si="235"/>
        <v>1135.9137599999999</v>
      </c>
      <c r="AI695" s="16">
        <f t="shared" si="251"/>
        <v>19.584719999999997</v>
      </c>
      <c r="AJ695" s="16">
        <v>0</v>
      </c>
      <c r="AK695" s="16">
        <f t="shared" si="236"/>
        <v>19.584719999999997</v>
      </c>
      <c r="AL695" s="19"/>
      <c r="AM695" s="16">
        <f t="shared" si="247"/>
        <v>959.65127999999993</v>
      </c>
      <c r="AN695" s="16"/>
      <c r="AO695" s="20"/>
      <c r="AP695" s="16">
        <f t="shared" si="244"/>
        <v>0</v>
      </c>
      <c r="AQ695" s="16"/>
      <c r="AR695" s="15"/>
      <c r="AS695" s="16">
        <f t="shared" si="248"/>
        <v>0</v>
      </c>
      <c r="AT695" s="16"/>
      <c r="AU695" s="16"/>
      <c r="AV695" s="16">
        <f t="shared" si="230"/>
        <v>1135.9137599999999</v>
      </c>
      <c r="AW695" s="60">
        <f t="shared" si="239"/>
        <v>1135.9137599999999</v>
      </c>
      <c r="AX695" s="16" t="str">
        <f t="shared" si="240"/>
        <v>SFA</v>
      </c>
      <c r="AY695" s="22"/>
      <c r="AZ695" s="22"/>
      <c r="BA695" s="1"/>
      <c r="BB695" s="22"/>
      <c r="BC695" s="1"/>
      <c r="BD695" s="1"/>
      <c r="BE695" s="1"/>
    </row>
    <row r="696" spans="1:57" ht="15.75" hidden="1" customHeight="1">
      <c r="A696" s="2" t="s">
        <v>871</v>
      </c>
      <c r="B696" s="1" t="s">
        <v>58</v>
      </c>
      <c r="C696" s="27">
        <v>45159</v>
      </c>
      <c r="D696" s="27">
        <v>45159</v>
      </c>
      <c r="E696" s="27">
        <v>45154</v>
      </c>
      <c r="F696" s="21">
        <v>45216</v>
      </c>
      <c r="G696" s="13" t="str">
        <f t="shared" si="243"/>
        <v>000-695/AIB RDC/2023</v>
      </c>
      <c r="H696" s="1">
        <v>13</v>
      </c>
      <c r="I696" s="1" t="s">
        <v>59</v>
      </c>
      <c r="J696" s="14" t="s">
        <v>294</v>
      </c>
      <c r="K696" s="1" t="s">
        <v>295</v>
      </c>
      <c r="L696" s="1"/>
      <c r="M696" s="1" t="s">
        <v>99</v>
      </c>
      <c r="N696" s="1" t="s">
        <v>100</v>
      </c>
      <c r="O696" s="1" t="s">
        <v>65</v>
      </c>
      <c r="P696" s="1" t="s">
        <v>65</v>
      </c>
      <c r="Q696" s="1" t="s">
        <v>66</v>
      </c>
      <c r="R696" s="1" t="s">
        <v>66</v>
      </c>
      <c r="S696" s="25">
        <v>0</v>
      </c>
      <c r="T696" s="25">
        <v>342.61</v>
      </c>
      <c r="U696" s="25">
        <v>0</v>
      </c>
      <c r="V696" s="25">
        <v>0</v>
      </c>
      <c r="W696" s="25">
        <v>16.14</v>
      </c>
      <c r="X696" s="25">
        <v>285.25</v>
      </c>
      <c r="Y696" s="25">
        <v>48.22</v>
      </c>
      <c r="Z696" s="17" t="e">
        <f t="shared" si="233"/>
        <v>#DIV/0!</v>
      </c>
      <c r="AA696" s="18">
        <v>0.1</v>
      </c>
      <c r="AB696" s="16">
        <f t="shared" si="249"/>
        <v>28.525000000000002</v>
      </c>
      <c r="AC696" s="16">
        <v>0</v>
      </c>
      <c r="AD696" s="16">
        <v>0</v>
      </c>
      <c r="AE696" s="16">
        <v>0</v>
      </c>
      <c r="AF696" s="16">
        <f t="shared" si="234"/>
        <v>28.525000000000002</v>
      </c>
      <c r="AG696" s="16">
        <f t="shared" si="250"/>
        <v>4.5640000000000001</v>
      </c>
      <c r="AH696" s="16">
        <f t="shared" si="235"/>
        <v>33.088999999999999</v>
      </c>
      <c r="AI696" s="16">
        <f t="shared" si="251"/>
        <v>0.57050000000000001</v>
      </c>
      <c r="AJ696" s="16">
        <v>0</v>
      </c>
      <c r="AK696" s="16">
        <f t="shared" si="236"/>
        <v>0.57050000000000001</v>
      </c>
      <c r="AL696" s="19"/>
      <c r="AM696" s="16">
        <f t="shared" si="247"/>
        <v>27.954500000000003</v>
      </c>
      <c r="AN696" s="16"/>
      <c r="AO696" s="20"/>
      <c r="AP696" s="16">
        <f t="shared" si="244"/>
        <v>0</v>
      </c>
      <c r="AQ696" s="16"/>
      <c r="AR696" s="15"/>
      <c r="AS696" s="16">
        <f t="shared" si="248"/>
        <v>0</v>
      </c>
      <c r="AT696" s="16"/>
      <c r="AU696" s="16">
        <v>33.088999999999999</v>
      </c>
      <c r="AV696" s="16">
        <f t="shared" si="230"/>
        <v>33.088999999999999</v>
      </c>
      <c r="AW696" s="16">
        <f t="shared" si="239"/>
        <v>0</v>
      </c>
      <c r="AX696" s="16" t="str">
        <f t="shared" si="240"/>
        <v>SFA</v>
      </c>
      <c r="AY696" s="22">
        <v>45197</v>
      </c>
      <c r="AZ696" t="s">
        <v>155</v>
      </c>
      <c r="BA696" s="1"/>
      <c r="BB696" s="22"/>
      <c r="BC696" s="1"/>
      <c r="BD696" s="1"/>
      <c r="BE696" s="1"/>
    </row>
    <row r="697" spans="1:57" ht="15.75" hidden="1" customHeight="1">
      <c r="A697" s="2" t="s">
        <v>784</v>
      </c>
      <c r="B697" s="1" t="s">
        <v>58</v>
      </c>
      <c r="C697" s="27">
        <v>45160</v>
      </c>
      <c r="D697" s="27">
        <v>45160</v>
      </c>
      <c r="E697" s="27">
        <v>45178</v>
      </c>
      <c r="F697" s="21">
        <v>45177</v>
      </c>
      <c r="G697" s="13" t="str">
        <f t="shared" si="243"/>
        <v>000-696/AIB RDC/2023</v>
      </c>
      <c r="H697" s="1">
        <v>0</v>
      </c>
      <c r="I697" s="1" t="s">
        <v>83</v>
      </c>
      <c r="J697" s="14" t="s">
        <v>942</v>
      </c>
      <c r="K697" s="1" t="s">
        <v>934</v>
      </c>
      <c r="L697" s="1"/>
      <c r="M697" s="1" t="s">
        <v>99</v>
      </c>
      <c r="N697" s="1" t="s">
        <v>100</v>
      </c>
      <c r="O697" s="1" t="s">
        <v>65</v>
      </c>
      <c r="P697" s="1" t="s">
        <v>65</v>
      </c>
      <c r="Q697" s="1" t="s">
        <v>66</v>
      </c>
      <c r="R697" s="1" t="s">
        <v>66</v>
      </c>
      <c r="S697" s="25">
        <v>0</v>
      </c>
      <c r="T697" s="25">
        <v>871.69</v>
      </c>
      <c r="U697" s="25">
        <v>0</v>
      </c>
      <c r="V697" s="25">
        <v>0</v>
      </c>
      <c r="W697" s="25">
        <v>29.46</v>
      </c>
      <c r="X697" s="25">
        <v>722</v>
      </c>
      <c r="Y697" s="25">
        <v>120.23</v>
      </c>
      <c r="Z697" s="17" t="e">
        <f t="shared" si="233"/>
        <v>#DIV/0!</v>
      </c>
      <c r="AA697" s="18">
        <v>0.1</v>
      </c>
      <c r="AB697" s="16">
        <f t="shared" si="249"/>
        <v>72.2</v>
      </c>
      <c r="AC697" s="16">
        <v>0</v>
      </c>
      <c r="AD697" s="16">
        <v>0</v>
      </c>
      <c r="AE697" s="16">
        <v>0</v>
      </c>
      <c r="AF697" s="16">
        <f t="shared" si="234"/>
        <v>72.2</v>
      </c>
      <c r="AG697" s="16">
        <f t="shared" si="250"/>
        <v>11.552000000000001</v>
      </c>
      <c r="AH697" s="16">
        <f t="shared" si="235"/>
        <v>83.75200000000001</v>
      </c>
      <c r="AI697" s="16">
        <f t="shared" si="251"/>
        <v>1.4440000000000002</v>
      </c>
      <c r="AJ697" s="16">
        <v>0</v>
      </c>
      <c r="AK697" s="16">
        <f t="shared" si="236"/>
        <v>1.4440000000000002</v>
      </c>
      <c r="AL697" s="19"/>
      <c r="AM697" s="16">
        <f t="shared" si="247"/>
        <v>70.756</v>
      </c>
      <c r="AN697" s="16"/>
      <c r="AO697" s="20"/>
      <c r="AP697" s="16">
        <f t="shared" si="244"/>
        <v>0</v>
      </c>
      <c r="AQ697" s="16"/>
      <c r="AR697" s="15"/>
      <c r="AS697" s="16">
        <f t="shared" si="248"/>
        <v>0</v>
      </c>
      <c r="AT697" s="16"/>
      <c r="AU697" s="16">
        <v>83.75200000000001</v>
      </c>
      <c r="AV697" s="16">
        <f t="shared" ref="AV697:AV760" si="252">AH697</f>
        <v>83.75200000000001</v>
      </c>
      <c r="AW697" s="16">
        <f t="shared" si="239"/>
        <v>0</v>
      </c>
      <c r="AX697" s="16" t="str">
        <f t="shared" si="240"/>
        <v>SFA</v>
      </c>
      <c r="AY697" s="22">
        <v>45197</v>
      </c>
      <c r="AZ697" t="s">
        <v>155</v>
      </c>
      <c r="BA697" s="1"/>
      <c r="BB697" s="22"/>
      <c r="BC697" s="1"/>
      <c r="BD697" s="1"/>
      <c r="BE697" s="1"/>
    </row>
    <row r="698" spans="1:57" ht="15.75" hidden="1" customHeight="1">
      <c r="A698" s="2" t="s">
        <v>871</v>
      </c>
      <c r="B698" s="1" t="s">
        <v>169</v>
      </c>
      <c r="C698" s="27">
        <v>45160</v>
      </c>
      <c r="D698" s="27"/>
      <c r="E698" s="27"/>
      <c r="F698" s="21"/>
      <c r="G698" s="13" t="str">
        <f t="shared" si="243"/>
        <v>000-697/AIB RDC/2023</v>
      </c>
      <c r="H698" s="1">
        <v>0</v>
      </c>
      <c r="I698" s="1" t="s">
        <v>83</v>
      </c>
      <c r="J698" s="14"/>
      <c r="K698" s="1" t="s">
        <v>939</v>
      </c>
      <c r="L698" s="1"/>
      <c r="M698" s="1" t="s">
        <v>99</v>
      </c>
      <c r="N698" s="1" t="s">
        <v>100</v>
      </c>
      <c r="O698" s="1" t="s">
        <v>107</v>
      </c>
      <c r="P698" s="1" t="s">
        <v>108</v>
      </c>
      <c r="Q698" s="1" t="s">
        <v>66</v>
      </c>
      <c r="R698" s="1" t="s">
        <v>66</v>
      </c>
      <c r="S698" s="25">
        <v>14677600</v>
      </c>
      <c r="T698" s="25">
        <v>30236.400000000001</v>
      </c>
      <c r="U698" s="25">
        <v>0</v>
      </c>
      <c r="V698" s="25">
        <v>0</v>
      </c>
      <c r="W698" s="25">
        <v>640.91</v>
      </c>
      <c r="X698" s="25">
        <v>25424.95</v>
      </c>
      <c r="Y698" s="25">
        <v>4170.54</v>
      </c>
      <c r="Z698" s="17">
        <f t="shared" si="233"/>
        <v>1.7322280209298524E-3</v>
      </c>
      <c r="AA698" s="18">
        <v>0.15</v>
      </c>
      <c r="AB698" s="16">
        <f t="shared" si="249"/>
        <v>3813.7424999999998</v>
      </c>
      <c r="AC698" s="16">
        <v>0</v>
      </c>
      <c r="AD698" s="16">
        <v>0</v>
      </c>
      <c r="AE698" s="16">
        <v>0</v>
      </c>
      <c r="AF698" s="16">
        <f t="shared" si="234"/>
        <v>3813.7424999999998</v>
      </c>
      <c r="AG698" s="16">
        <f t="shared" si="250"/>
        <v>610.19880000000001</v>
      </c>
      <c r="AH698" s="16">
        <f t="shared" si="235"/>
        <v>4423.9412999999995</v>
      </c>
      <c r="AI698" s="16">
        <f t="shared" si="251"/>
        <v>76.274850000000001</v>
      </c>
      <c r="AJ698" s="16">
        <v>0</v>
      </c>
      <c r="AK698" s="16">
        <f t="shared" si="236"/>
        <v>76.274850000000001</v>
      </c>
      <c r="AL698" s="19"/>
      <c r="AM698" s="16">
        <f t="shared" si="247"/>
        <v>3737.46765</v>
      </c>
      <c r="AN698" s="16"/>
      <c r="AO698" s="20"/>
      <c r="AP698" s="16">
        <f t="shared" si="244"/>
        <v>0</v>
      </c>
      <c r="AQ698" s="16"/>
      <c r="AR698" s="15"/>
      <c r="AS698" s="16">
        <f t="shared" si="248"/>
        <v>0</v>
      </c>
      <c r="AT698" s="16"/>
      <c r="AU698" s="16">
        <v>4423.9412999999995</v>
      </c>
      <c r="AV698" s="16">
        <f t="shared" si="252"/>
        <v>4423.9412999999995</v>
      </c>
      <c r="AW698" s="16">
        <f t="shared" si="239"/>
        <v>0</v>
      </c>
      <c r="AX698" s="16" t="str">
        <f t="shared" si="240"/>
        <v>SFA</v>
      </c>
      <c r="AY698" s="22">
        <v>45236</v>
      </c>
      <c r="AZ698" s="22"/>
      <c r="BA698" s="1"/>
      <c r="BB698" s="22" t="str">
        <f>O698</f>
        <v>FIRE</v>
      </c>
      <c r="BC698" s="1"/>
      <c r="BD698" s="1"/>
      <c r="BE698" s="1"/>
    </row>
    <row r="699" spans="1:57" ht="15.75" hidden="1" customHeight="1">
      <c r="A699" s="2" t="s">
        <v>871</v>
      </c>
      <c r="B699" s="1" t="s">
        <v>58</v>
      </c>
      <c r="C699" s="27">
        <v>45162</v>
      </c>
      <c r="D699" s="27">
        <v>45162</v>
      </c>
      <c r="E699" s="27">
        <v>45156</v>
      </c>
      <c r="F699" s="21">
        <v>45216</v>
      </c>
      <c r="G699" s="13" t="str">
        <f t="shared" si="243"/>
        <v>000-698/AIB RDC/2023</v>
      </c>
      <c r="H699" s="1">
        <v>14</v>
      </c>
      <c r="I699" s="1" t="s">
        <v>59</v>
      </c>
      <c r="J699" s="14" t="s">
        <v>294</v>
      </c>
      <c r="K699" s="1" t="s">
        <v>295</v>
      </c>
      <c r="L699" s="1"/>
      <c r="M699" s="1" t="s">
        <v>99</v>
      </c>
      <c r="N699" s="1" t="s">
        <v>100</v>
      </c>
      <c r="O699" s="1" t="s">
        <v>65</v>
      </c>
      <c r="P699" s="1" t="s">
        <v>65</v>
      </c>
      <c r="Q699" s="1" t="s">
        <v>66</v>
      </c>
      <c r="R699" s="1" t="s">
        <v>66</v>
      </c>
      <c r="S699" s="25">
        <v>0</v>
      </c>
      <c r="T699" s="25">
        <v>132.52000000000001</v>
      </c>
      <c r="U699" s="25">
        <v>0</v>
      </c>
      <c r="V699" s="25">
        <v>0</v>
      </c>
      <c r="W699" s="25">
        <v>7.96</v>
      </c>
      <c r="X699" s="25">
        <v>112.32</v>
      </c>
      <c r="Y699" s="25">
        <v>19.239999999999998</v>
      </c>
      <c r="Z699" s="17" t="e">
        <f t="shared" si="233"/>
        <v>#DIV/0!</v>
      </c>
      <c r="AA699" s="18">
        <v>0.1</v>
      </c>
      <c r="AB699" s="16">
        <f t="shared" si="249"/>
        <v>11.231999999999999</v>
      </c>
      <c r="AC699" s="16">
        <v>0</v>
      </c>
      <c r="AD699" s="16">
        <v>0</v>
      </c>
      <c r="AE699" s="16">
        <v>0</v>
      </c>
      <c r="AF699" s="16">
        <f t="shared" si="234"/>
        <v>11.231999999999999</v>
      </c>
      <c r="AG699" s="16">
        <f t="shared" si="250"/>
        <v>1.7971199999999998</v>
      </c>
      <c r="AH699" s="16">
        <f t="shared" si="235"/>
        <v>13.029119999999999</v>
      </c>
      <c r="AI699" s="16">
        <f t="shared" si="251"/>
        <v>0.22463999999999998</v>
      </c>
      <c r="AJ699" s="16">
        <v>0</v>
      </c>
      <c r="AK699" s="16">
        <f t="shared" si="236"/>
        <v>0.22463999999999998</v>
      </c>
      <c r="AL699" s="19"/>
      <c r="AM699" s="16">
        <f t="shared" si="247"/>
        <v>11.007359999999998</v>
      </c>
      <c r="AN699" s="16"/>
      <c r="AO699" s="20"/>
      <c r="AP699" s="16">
        <f t="shared" si="244"/>
        <v>0</v>
      </c>
      <c r="AQ699" s="16"/>
      <c r="AR699" s="15"/>
      <c r="AS699" s="16">
        <f t="shared" si="248"/>
        <v>0</v>
      </c>
      <c r="AT699" s="16"/>
      <c r="AU699" s="16">
        <v>13.029119999999999</v>
      </c>
      <c r="AV699" s="16">
        <f t="shared" si="252"/>
        <v>13.029119999999999</v>
      </c>
      <c r="AW699" s="16">
        <f t="shared" si="239"/>
        <v>0</v>
      </c>
      <c r="AX699" s="16" t="str">
        <f t="shared" si="240"/>
        <v>SFA</v>
      </c>
      <c r="AY699" s="22">
        <v>45197</v>
      </c>
      <c r="AZ699" t="s">
        <v>155</v>
      </c>
      <c r="BA699" s="1"/>
      <c r="BB699" s="22"/>
      <c r="BC699" s="1"/>
      <c r="BD699" s="1"/>
      <c r="BE699" s="1"/>
    </row>
    <row r="700" spans="1:57" ht="15.75" hidden="1" customHeight="1">
      <c r="A700" s="2" t="s">
        <v>871</v>
      </c>
      <c r="B700" s="1" t="s">
        <v>58</v>
      </c>
      <c r="C700" s="27">
        <v>45162</v>
      </c>
      <c r="D700" s="27">
        <v>45162</v>
      </c>
      <c r="E700" s="27">
        <v>45160</v>
      </c>
      <c r="F700" s="21">
        <v>45216</v>
      </c>
      <c r="G700" s="13" t="str">
        <f t="shared" si="243"/>
        <v>000-699/AIB RDC/2023</v>
      </c>
      <c r="H700" s="1">
        <v>15</v>
      </c>
      <c r="I700" s="1" t="s">
        <v>59</v>
      </c>
      <c r="J700" s="14" t="s">
        <v>294</v>
      </c>
      <c r="K700" s="1" t="s">
        <v>295</v>
      </c>
      <c r="L700" s="1"/>
      <c r="M700" s="1" t="s">
        <v>99</v>
      </c>
      <c r="N700" s="1" t="s">
        <v>100</v>
      </c>
      <c r="O700" s="1" t="s">
        <v>65</v>
      </c>
      <c r="P700" s="1" t="s">
        <v>65</v>
      </c>
      <c r="Q700" s="1" t="s">
        <v>66</v>
      </c>
      <c r="R700" s="1" t="s">
        <v>66</v>
      </c>
      <c r="S700" s="25">
        <v>0</v>
      </c>
      <c r="T700" s="25">
        <v>1462.76</v>
      </c>
      <c r="U700" s="25">
        <v>0</v>
      </c>
      <c r="V700" s="25">
        <v>0</v>
      </c>
      <c r="W700" s="25">
        <v>62.2</v>
      </c>
      <c r="X700" s="25">
        <v>1198.8</v>
      </c>
      <c r="Y700" s="25">
        <v>201.76</v>
      </c>
      <c r="Z700" s="17" t="e">
        <f t="shared" si="233"/>
        <v>#DIV/0!</v>
      </c>
      <c r="AA700" s="18">
        <v>0.1</v>
      </c>
      <c r="AB700" s="16">
        <f t="shared" si="249"/>
        <v>119.88</v>
      </c>
      <c r="AC700" s="16">
        <v>0</v>
      </c>
      <c r="AD700" s="16">
        <v>0</v>
      </c>
      <c r="AE700" s="16">
        <v>0</v>
      </c>
      <c r="AF700" s="16">
        <f t="shared" si="234"/>
        <v>119.88</v>
      </c>
      <c r="AG700" s="16">
        <f t="shared" si="250"/>
        <v>19.180800000000001</v>
      </c>
      <c r="AH700" s="16">
        <f t="shared" si="235"/>
        <v>139.0608</v>
      </c>
      <c r="AI700" s="16">
        <f t="shared" si="251"/>
        <v>2.3976000000000002</v>
      </c>
      <c r="AJ700" s="16">
        <v>0</v>
      </c>
      <c r="AK700" s="16">
        <f t="shared" si="236"/>
        <v>2.3976000000000002</v>
      </c>
      <c r="AL700" s="19"/>
      <c r="AM700" s="16">
        <f t="shared" si="247"/>
        <v>117.4824</v>
      </c>
      <c r="AN700" s="16"/>
      <c r="AO700" s="20"/>
      <c r="AP700" s="16">
        <f t="shared" si="244"/>
        <v>0</v>
      </c>
      <c r="AQ700" s="16"/>
      <c r="AR700" s="15"/>
      <c r="AS700" s="16">
        <f t="shared" si="248"/>
        <v>0</v>
      </c>
      <c r="AT700" s="16"/>
      <c r="AU700" s="16">
        <v>139.0608</v>
      </c>
      <c r="AV700" s="16">
        <f t="shared" si="252"/>
        <v>139.0608</v>
      </c>
      <c r="AW700" s="16">
        <f t="shared" si="239"/>
        <v>0</v>
      </c>
      <c r="AX700" s="16" t="str">
        <f t="shared" si="240"/>
        <v>SFA</v>
      </c>
      <c r="AY700" s="22">
        <v>45197</v>
      </c>
      <c r="AZ700" t="s">
        <v>155</v>
      </c>
      <c r="BA700" s="1"/>
      <c r="BB700" s="22"/>
      <c r="BC700" s="1"/>
      <c r="BD700" s="1"/>
      <c r="BE700" s="1"/>
    </row>
    <row r="701" spans="1:57" ht="15.75" customHeight="1">
      <c r="A701" s="2" t="s">
        <v>212</v>
      </c>
      <c r="B701" s="1" t="s">
        <v>169</v>
      </c>
      <c r="C701" s="27">
        <v>45104</v>
      </c>
      <c r="D701" s="27"/>
      <c r="E701" s="27">
        <v>45092</v>
      </c>
      <c r="F701" s="27">
        <v>45457</v>
      </c>
      <c r="G701" s="13" t="str">
        <f t="shared" si="243"/>
        <v>000-700/AIB RDC/2023</v>
      </c>
      <c r="H701" s="1">
        <v>1</v>
      </c>
      <c r="I701" s="1" t="s">
        <v>68</v>
      </c>
      <c r="J701" s="2"/>
      <c r="K701" s="2" t="s">
        <v>465</v>
      </c>
      <c r="L701" s="1"/>
      <c r="M701" s="1" t="s">
        <v>99</v>
      </c>
      <c r="N701" s="1" t="s">
        <v>100</v>
      </c>
      <c r="O701" s="1" t="s">
        <v>790</v>
      </c>
      <c r="P701" s="1" t="s">
        <v>112</v>
      </c>
      <c r="Q701" s="1" t="s">
        <v>66</v>
      </c>
      <c r="R701" s="1" t="s">
        <v>66</v>
      </c>
      <c r="S701" s="25">
        <v>1000000</v>
      </c>
      <c r="T701" s="25">
        <v>2828.93</v>
      </c>
      <c r="U701" s="25">
        <v>0</v>
      </c>
      <c r="V701" s="25">
        <v>0</v>
      </c>
      <c r="W701" s="25">
        <v>69.67</v>
      </c>
      <c r="X701" s="25">
        <v>2369.06</v>
      </c>
      <c r="Y701" s="25">
        <v>390.2</v>
      </c>
      <c r="Z701" s="17">
        <f t="shared" si="233"/>
        <v>2.3690600000000001E-3</v>
      </c>
      <c r="AA701" s="18">
        <v>0.1</v>
      </c>
      <c r="AB701" s="16">
        <f t="shared" si="249"/>
        <v>236.90600000000001</v>
      </c>
      <c r="AC701" s="16">
        <v>0</v>
      </c>
      <c r="AD701" s="16">
        <v>0</v>
      </c>
      <c r="AE701" s="16">
        <v>0</v>
      </c>
      <c r="AF701" s="16">
        <f t="shared" si="234"/>
        <v>236.90600000000001</v>
      </c>
      <c r="AG701" s="16">
        <f t="shared" si="250"/>
        <v>37.904960000000003</v>
      </c>
      <c r="AH701" s="16">
        <f t="shared" si="235"/>
        <v>274.81096000000002</v>
      </c>
      <c r="AI701" s="16">
        <f t="shared" si="251"/>
        <v>4.7381200000000003</v>
      </c>
      <c r="AJ701" s="16">
        <v>0</v>
      </c>
      <c r="AK701" s="16">
        <f t="shared" si="236"/>
        <v>4.7381200000000003</v>
      </c>
      <c r="AL701" s="19"/>
      <c r="AM701" s="16">
        <f t="shared" si="247"/>
        <v>232.16788</v>
      </c>
      <c r="AN701" s="16"/>
      <c r="AO701" s="20"/>
      <c r="AP701" s="16">
        <f t="shared" si="244"/>
        <v>0</v>
      </c>
      <c r="AQ701" s="16"/>
      <c r="AR701" s="15"/>
      <c r="AS701" s="16">
        <f t="shared" si="248"/>
        <v>0</v>
      </c>
      <c r="AT701" s="16"/>
      <c r="AU701" s="16"/>
      <c r="AV701" s="16">
        <f t="shared" si="252"/>
        <v>274.81096000000002</v>
      </c>
      <c r="AW701" s="60">
        <f t="shared" si="239"/>
        <v>274.81096000000002</v>
      </c>
      <c r="AX701" s="16" t="str">
        <f t="shared" si="240"/>
        <v>SFA</v>
      </c>
      <c r="AY701" s="22"/>
      <c r="AZ701" s="22"/>
      <c r="BA701" s="1"/>
      <c r="BB701" s="22"/>
      <c r="BC701" s="1"/>
      <c r="BD701" s="1"/>
      <c r="BE701" s="1"/>
    </row>
    <row r="702" spans="1:57" ht="15.75" hidden="1" customHeight="1">
      <c r="A702" s="2" t="s">
        <v>871</v>
      </c>
      <c r="B702" s="1" t="s">
        <v>58</v>
      </c>
      <c r="C702" s="27">
        <v>45168</v>
      </c>
      <c r="D702" s="27">
        <v>45177</v>
      </c>
      <c r="E702" s="27">
        <v>45168</v>
      </c>
      <c r="F702" s="21">
        <v>45259</v>
      </c>
      <c r="G702" s="13" t="str">
        <f t="shared" si="243"/>
        <v>000-701/AIB RDC/2023</v>
      </c>
      <c r="H702" s="1">
        <v>0</v>
      </c>
      <c r="I702" s="1" t="s">
        <v>83</v>
      </c>
      <c r="J702" s="14" t="s">
        <v>944</v>
      </c>
      <c r="K702" s="1" t="s">
        <v>401</v>
      </c>
      <c r="L702" s="1"/>
      <c r="M702" s="1" t="s">
        <v>99</v>
      </c>
      <c r="N702" s="1" t="s">
        <v>100</v>
      </c>
      <c r="O702" s="1" t="s">
        <v>101</v>
      </c>
      <c r="P702" s="1" t="s">
        <v>81</v>
      </c>
      <c r="Q702" s="1" t="s">
        <v>127</v>
      </c>
      <c r="R702" s="1" t="s">
        <v>127</v>
      </c>
      <c r="S702" s="25">
        <v>65000</v>
      </c>
      <c r="T702" s="25">
        <v>1115.0999999999999</v>
      </c>
      <c r="U702" s="25">
        <v>0</v>
      </c>
      <c r="V702" s="25">
        <v>0</v>
      </c>
      <c r="W702" s="25">
        <v>100</v>
      </c>
      <c r="X702" s="25">
        <v>845</v>
      </c>
      <c r="Y702" s="25">
        <v>151.19999999999999</v>
      </c>
      <c r="Z702" s="17">
        <f t="shared" si="233"/>
        <v>1.2999999999999999E-2</v>
      </c>
      <c r="AA702" s="18">
        <v>0.1</v>
      </c>
      <c r="AB702" s="16">
        <f t="shared" si="249"/>
        <v>84.5</v>
      </c>
      <c r="AC702" s="16">
        <v>0</v>
      </c>
      <c r="AD702" s="16">
        <v>0</v>
      </c>
      <c r="AE702" s="16">
        <v>0</v>
      </c>
      <c r="AF702" s="16">
        <f t="shared" si="234"/>
        <v>84.5</v>
      </c>
      <c r="AG702" s="16">
        <f t="shared" si="250"/>
        <v>13.52</v>
      </c>
      <c r="AH702" s="16">
        <f t="shared" si="235"/>
        <v>98.02</v>
      </c>
      <c r="AI702" s="16">
        <f t="shared" si="251"/>
        <v>1.69</v>
      </c>
      <c r="AJ702" s="16">
        <v>0</v>
      </c>
      <c r="AK702" s="16">
        <f t="shared" si="236"/>
        <v>1.69</v>
      </c>
      <c r="AL702" s="19"/>
      <c r="AM702" s="16">
        <f t="shared" si="247"/>
        <v>82.81</v>
      </c>
      <c r="AN702" s="16"/>
      <c r="AO702" s="20"/>
      <c r="AP702" s="16">
        <f t="shared" si="244"/>
        <v>0</v>
      </c>
      <c r="AQ702" s="16"/>
      <c r="AR702" s="15"/>
      <c r="AS702" s="16">
        <f t="shared" si="248"/>
        <v>0</v>
      </c>
      <c r="AT702" s="16"/>
      <c r="AU702" s="16">
        <v>98.02</v>
      </c>
      <c r="AV702" s="16">
        <f t="shared" si="252"/>
        <v>98.02</v>
      </c>
      <c r="AW702" s="16">
        <f t="shared" si="239"/>
        <v>0</v>
      </c>
      <c r="AX702" s="16" t="str">
        <f t="shared" si="240"/>
        <v>MAYFAIR</v>
      </c>
      <c r="AY702" s="22">
        <v>45231</v>
      </c>
      <c r="AZ702" s="22"/>
      <c r="BA702" s="1"/>
      <c r="BB702" s="22"/>
      <c r="BC702" s="1"/>
      <c r="BD702" s="1"/>
      <c r="BE702" s="1"/>
    </row>
    <row r="703" spans="1:57" ht="15.75" hidden="1" customHeight="1">
      <c r="A703" s="2" t="s">
        <v>871</v>
      </c>
      <c r="B703" s="1" t="s">
        <v>58</v>
      </c>
      <c r="C703" s="27">
        <v>45168</v>
      </c>
      <c r="D703" s="27">
        <v>45177</v>
      </c>
      <c r="E703" s="27">
        <v>45168</v>
      </c>
      <c r="F703" s="21">
        <v>45259</v>
      </c>
      <c r="G703" s="13" t="str">
        <f t="shared" si="243"/>
        <v>000-702/AIB RDC/2023</v>
      </c>
      <c r="H703" s="1">
        <v>0</v>
      </c>
      <c r="I703" s="1" t="s">
        <v>83</v>
      </c>
      <c r="J703" s="14" t="s">
        <v>945</v>
      </c>
      <c r="K703" s="1" t="s">
        <v>401</v>
      </c>
      <c r="L703" s="1"/>
      <c r="M703" s="1" t="s">
        <v>99</v>
      </c>
      <c r="N703" s="1" t="s">
        <v>100</v>
      </c>
      <c r="O703" s="1" t="s">
        <v>309</v>
      </c>
      <c r="P703" s="1" t="s">
        <v>234</v>
      </c>
      <c r="Q703" s="1" t="s">
        <v>127</v>
      </c>
      <c r="R703" s="1" t="s">
        <v>127</v>
      </c>
      <c r="S703" s="25">
        <v>782855.58</v>
      </c>
      <c r="T703" s="25">
        <v>1514</v>
      </c>
      <c r="U703" s="25">
        <v>0</v>
      </c>
      <c r="V703" s="25">
        <v>0</v>
      </c>
      <c r="W703" s="25">
        <v>50</v>
      </c>
      <c r="X703" s="25">
        <v>1233</v>
      </c>
      <c r="Y703" s="25">
        <v>205</v>
      </c>
      <c r="Z703" s="17">
        <f t="shared" si="233"/>
        <v>1.5750031442581019E-3</v>
      </c>
      <c r="AA703" s="18">
        <v>0.15</v>
      </c>
      <c r="AB703" s="16">
        <f t="shared" si="249"/>
        <v>184.95</v>
      </c>
      <c r="AC703" s="16">
        <v>0</v>
      </c>
      <c r="AD703" s="16">
        <v>0</v>
      </c>
      <c r="AE703" s="16">
        <v>0</v>
      </c>
      <c r="AF703" s="16">
        <f t="shared" si="234"/>
        <v>184.95</v>
      </c>
      <c r="AG703" s="16">
        <f t="shared" si="250"/>
        <v>29.591999999999999</v>
      </c>
      <c r="AH703" s="16">
        <f t="shared" si="235"/>
        <v>214.54199999999997</v>
      </c>
      <c r="AI703" s="16">
        <f t="shared" si="251"/>
        <v>3.6989999999999998</v>
      </c>
      <c r="AJ703" s="16">
        <v>0</v>
      </c>
      <c r="AK703" s="16">
        <f t="shared" si="236"/>
        <v>3.6989999999999998</v>
      </c>
      <c r="AL703" s="19"/>
      <c r="AM703" s="16">
        <f t="shared" si="247"/>
        <v>181.25099999999998</v>
      </c>
      <c r="AN703" s="16"/>
      <c r="AO703" s="20"/>
      <c r="AP703" s="16">
        <f t="shared" si="244"/>
        <v>0</v>
      </c>
      <c r="AQ703" s="16"/>
      <c r="AR703" s="15"/>
      <c r="AS703" s="16">
        <f t="shared" si="248"/>
        <v>0</v>
      </c>
      <c r="AT703" s="16"/>
      <c r="AU703" s="16">
        <v>214.54199999999997</v>
      </c>
      <c r="AV703" s="16">
        <f t="shared" si="252"/>
        <v>214.54199999999997</v>
      </c>
      <c r="AW703" s="16">
        <f t="shared" si="239"/>
        <v>0</v>
      </c>
      <c r="AX703" s="16" t="str">
        <f t="shared" si="240"/>
        <v>MAYFAIR</v>
      </c>
      <c r="AY703" s="22">
        <v>45231</v>
      </c>
      <c r="AZ703" s="22"/>
      <c r="BA703" s="1"/>
      <c r="BB703" s="22"/>
      <c r="BC703" s="1"/>
      <c r="BD703" s="1"/>
      <c r="BE703" s="1"/>
    </row>
    <row r="704" spans="1:57" ht="15.75" customHeight="1">
      <c r="A704" s="2" t="s">
        <v>212</v>
      </c>
      <c r="B704" s="1" t="s">
        <v>169</v>
      </c>
      <c r="C704" s="27">
        <v>45104</v>
      </c>
      <c r="D704" s="27"/>
      <c r="E704" s="27">
        <v>45092</v>
      </c>
      <c r="F704" s="27">
        <v>45457</v>
      </c>
      <c r="G704" s="13" t="str">
        <f t="shared" si="243"/>
        <v>000-703/AIB RDC/2023</v>
      </c>
      <c r="H704" s="1">
        <v>1</v>
      </c>
      <c r="I704" s="1" t="s">
        <v>68</v>
      </c>
      <c r="J704" s="2"/>
      <c r="K704" s="2" t="s">
        <v>465</v>
      </c>
      <c r="L704" s="1"/>
      <c r="M704" s="1" t="s">
        <v>99</v>
      </c>
      <c r="N704" s="1" t="s">
        <v>100</v>
      </c>
      <c r="O704" s="1" t="s">
        <v>107</v>
      </c>
      <c r="P704" s="1" t="s">
        <v>108</v>
      </c>
      <c r="Q704" s="1" t="s">
        <v>66</v>
      </c>
      <c r="R704" s="1" t="s">
        <v>66</v>
      </c>
      <c r="S704" s="25">
        <v>4927903.16</v>
      </c>
      <c r="T704" s="25">
        <v>6087.32</v>
      </c>
      <c r="U704" s="25">
        <v>0</v>
      </c>
      <c r="V704" s="25">
        <v>0</v>
      </c>
      <c r="W704" s="25">
        <v>138.44999999999999</v>
      </c>
      <c r="X704" s="25">
        <v>5109.24</v>
      </c>
      <c r="Y704" s="25">
        <v>839.63</v>
      </c>
      <c r="Z704" s="17">
        <f t="shared" si="233"/>
        <v>1.0367979714926052E-3</v>
      </c>
      <c r="AA704" s="18">
        <v>0.15</v>
      </c>
      <c r="AB704" s="16">
        <f t="shared" si="249"/>
        <v>766.38599999999997</v>
      </c>
      <c r="AC704" s="16">
        <v>0</v>
      </c>
      <c r="AD704" s="16">
        <v>0</v>
      </c>
      <c r="AE704" s="16">
        <v>0</v>
      </c>
      <c r="AF704" s="16">
        <f t="shared" si="234"/>
        <v>766.38599999999997</v>
      </c>
      <c r="AG704" s="16">
        <f t="shared" si="250"/>
        <v>122.62175999999999</v>
      </c>
      <c r="AH704" s="16">
        <f t="shared" si="235"/>
        <v>889.00775999999996</v>
      </c>
      <c r="AI704" s="16">
        <f t="shared" si="251"/>
        <v>15.327719999999999</v>
      </c>
      <c r="AJ704" s="16">
        <v>0</v>
      </c>
      <c r="AK704" s="16">
        <f t="shared" si="236"/>
        <v>15.327719999999999</v>
      </c>
      <c r="AL704" s="19"/>
      <c r="AM704" s="16">
        <f t="shared" si="247"/>
        <v>751.05827999999997</v>
      </c>
      <c r="AN704" s="16"/>
      <c r="AO704" s="20"/>
      <c r="AP704" s="16">
        <f t="shared" si="244"/>
        <v>0</v>
      </c>
      <c r="AQ704" s="16"/>
      <c r="AR704" s="15"/>
      <c r="AS704" s="16">
        <f t="shared" si="248"/>
        <v>0</v>
      </c>
      <c r="AT704" s="16"/>
      <c r="AU704" s="16"/>
      <c r="AV704" s="16">
        <f t="shared" si="252"/>
        <v>889.00775999999996</v>
      </c>
      <c r="AW704" s="60">
        <f t="shared" si="239"/>
        <v>889.00775999999996</v>
      </c>
      <c r="AX704" s="16" t="str">
        <f t="shared" si="240"/>
        <v>SFA</v>
      </c>
      <c r="AY704" s="22"/>
      <c r="AZ704" s="22"/>
      <c r="BA704" s="1"/>
      <c r="BB704" s="22"/>
      <c r="BC704" s="1"/>
      <c r="BD704" s="1"/>
      <c r="BE704" s="1"/>
    </row>
    <row r="705" spans="1:57" ht="15.75" customHeight="1">
      <c r="A705" s="2" t="s">
        <v>212</v>
      </c>
      <c r="B705" s="1" t="s">
        <v>169</v>
      </c>
      <c r="C705" s="27">
        <v>45104</v>
      </c>
      <c r="D705" s="27"/>
      <c r="E705" s="27">
        <v>45092</v>
      </c>
      <c r="F705" s="27">
        <v>45457</v>
      </c>
      <c r="G705" s="13" t="str">
        <f t="shared" si="243"/>
        <v>000-704/AIB RDC/2023</v>
      </c>
      <c r="H705" s="1">
        <v>1</v>
      </c>
      <c r="I705" s="1" t="s">
        <v>68</v>
      </c>
      <c r="J705" s="2"/>
      <c r="K705" s="2" t="s">
        <v>465</v>
      </c>
      <c r="L705" s="1"/>
      <c r="M705" s="1" t="s">
        <v>99</v>
      </c>
      <c r="N705" s="1" t="s">
        <v>100</v>
      </c>
      <c r="O705" s="1" t="s">
        <v>781</v>
      </c>
      <c r="P705" s="1" t="s">
        <v>112</v>
      </c>
      <c r="Q705" s="1" t="s">
        <v>66</v>
      </c>
      <c r="R705" s="1" t="s">
        <v>66</v>
      </c>
      <c r="S705" s="25">
        <v>1000000</v>
      </c>
      <c r="T705" s="25">
        <v>4634.97</v>
      </c>
      <c r="U705" s="25">
        <v>0</v>
      </c>
      <c r="V705" s="25">
        <v>0</v>
      </c>
      <c r="W705" s="25">
        <v>94.3</v>
      </c>
      <c r="X705" s="25">
        <v>3901.36</v>
      </c>
      <c r="Y705" s="25">
        <v>639.30999999999995</v>
      </c>
      <c r="Z705" s="17">
        <f t="shared" si="233"/>
        <v>3.90136E-3</v>
      </c>
      <c r="AA705" s="18">
        <v>0.1</v>
      </c>
      <c r="AB705" s="16">
        <f t="shared" si="249"/>
        <v>390.13600000000002</v>
      </c>
      <c r="AC705" s="16">
        <v>0</v>
      </c>
      <c r="AD705" s="16">
        <v>0</v>
      </c>
      <c r="AE705" s="16">
        <v>0</v>
      </c>
      <c r="AF705" s="16">
        <f t="shared" si="234"/>
        <v>390.13600000000002</v>
      </c>
      <c r="AG705" s="16">
        <f t="shared" si="250"/>
        <v>62.421760000000006</v>
      </c>
      <c r="AH705" s="16">
        <f t="shared" si="235"/>
        <v>452.55776000000003</v>
      </c>
      <c r="AI705" s="16">
        <f t="shared" si="251"/>
        <v>7.8027200000000008</v>
      </c>
      <c r="AJ705" s="16">
        <v>0</v>
      </c>
      <c r="AK705" s="16">
        <f t="shared" si="236"/>
        <v>7.8027200000000008</v>
      </c>
      <c r="AL705" s="19"/>
      <c r="AM705" s="16">
        <f t="shared" si="247"/>
        <v>382.33328</v>
      </c>
      <c r="AN705" s="16"/>
      <c r="AO705" s="20"/>
      <c r="AP705" s="16">
        <f t="shared" si="244"/>
        <v>0</v>
      </c>
      <c r="AQ705" s="16"/>
      <c r="AR705" s="15"/>
      <c r="AS705" s="16">
        <f t="shared" si="248"/>
        <v>0</v>
      </c>
      <c r="AT705" s="16"/>
      <c r="AU705" s="16"/>
      <c r="AV705" s="16">
        <f t="shared" si="252"/>
        <v>452.55776000000003</v>
      </c>
      <c r="AW705" s="60">
        <f t="shared" si="239"/>
        <v>452.55776000000003</v>
      </c>
      <c r="AX705" s="16" t="str">
        <f t="shared" si="240"/>
        <v>SFA</v>
      </c>
      <c r="AY705" s="22"/>
      <c r="AZ705" s="22"/>
      <c r="BA705" s="1"/>
      <c r="BB705" s="22"/>
      <c r="BC705" s="1"/>
      <c r="BD705" s="1"/>
      <c r="BE705" s="1"/>
    </row>
    <row r="706" spans="1:57" ht="15.75" hidden="1" customHeight="1">
      <c r="A706" s="2" t="s">
        <v>871</v>
      </c>
      <c r="B706" s="1" t="s">
        <v>58</v>
      </c>
      <c r="C706" s="27">
        <v>45156</v>
      </c>
      <c r="D706" s="27">
        <v>45160</v>
      </c>
      <c r="E706" s="27">
        <v>45142</v>
      </c>
      <c r="F706" s="21">
        <v>45371</v>
      </c>
      <c r="G706" s="13" t="str">
        <f t="shared" si="243"/>
        <v>000-705/AIB RDC/2023</v>
      </c>
      <c r="H706" s="1">
        <v>1</v>
      </c>
      <c r="I706" s="1" t="s">
        <v>59</v>
      </c>
      <c r="J706" s="14" t="s">
        <v>417</v>
      </c>
      <c r="K706" s="1" t="s">
        <v>949</v>
      </c>
      <c r="L706" s="1" t="s">
        <v>139</v>
      </c>
      <c r="M706" s="1" t="s">
        <v>63</v>
      </c>
      <c r="N706" s="1" t="s">
        <v>644</v>
      </c>
      <c r="O706" s="1" t="s">
        <v>133</v>
      </c>
      <c r="P706" s="1" t="s">
        <v>134</v>
      </c>
      <c r="Q706" s="1" t="s">
        <v>66</v>
      </c>
      <c r="R706" s="1" t="s">
        <v>66</v>
      </c>
      <c r="S706" s="25">
        <v>37636</v>
      </c>
      <c r="T706" s="25">
        <v>1729.95</v>
      </c>
      <c r="U706" s="25">
        <v>0</v>
      </c>
      <c r="V706" s="25">
        <v>0</v>
      </c>
      <c r="W706" s="25">
        <v>52.78</v>
      </c>
      <c r="X706" s="25">
        <v>1438.56</v>
      </c>
      <c r="Y706" s="25">
        <v>238.61</v>
      </c>
      <c r="Z706" s="17">
        <f t="shared" si="233"/>
        <v>3.8222977999787439E-2</v>
      </c>
      <c r="AA706" s="18">
        <v>0.15</v>
      </c>
      <c r="AB706" s="16">
        <f t="shared" si="249"/>
        <v>215.78399999999999</v>
      </c>
      <c r="AC706" s="16">
        <v>0</v>
      </c>
      <c r="AD706" s="16">
        <v>0</v>
      </c>
      <c r="AE706" s="16">
        <v>0</v>
      </c>
      <c r="AF706" s="16">
        <f t="shared" si="234"/>
        <v>215.78399999999999</v>
      </c>
      <c r="AG706" s="16">
        <f t="shared" si="250"/>
        <v>34.525439999999996</v>
      </c>
      <c r="AH706" s="16">
        <f t="shared" si="235"/>
        <v>250.30944</v>
      </c>
      <c r="AI706" s="16">
        <f t="shared" si="251"/>
        <v>4.3156799999999995</v>
      </c>
      <c r="AJ706" s="16">
        <v>0</v>
      </c>
      <c r="AK706" s="16">
        <f t="shared" si="236"/>
        <v>4.3156799999999995</v>
      </c>
      <c r="AL706" s="19"/>
      <c r="AM706" s="16">
        <f t="shared" si="247"/>
        <v>211.46832000000001</v>
      </c>
      <c r="AN706" s="16" t="s">
        <v>319</v>
      </c>
      <c r="AO706" s="20"/>
      <c r="AP706" s="16">
        <f t="shared" si="244"/>
        <v>0</v>
      </c>
      <c r="AQ706" s="16"/>
      <c r="AR706" s="15"/>
      <c r="AS706" s="16">
        <f t="shared" si="248"/>
        <v>0</v>
      </c>
      <c r="AT706" s="16"/>
      <c r="AU706" s="16">
        <v>250.30944</v>
      </c>
      <c r="AV706" s="16">
        <f t="shared" si="252"/>
        <v>250.30944</v>
      </c>
      <c r="AW706" s="16">
        <f t="shared" si="239"/>
        <v>0</v>
      </c>
      <c r="AX706" s="16" t="str">
        <f t="shared" si="240"/>
        <v>SFA</v>
      </c>
      <c r="AY706" s="22">
        <v>45197</v>
      </c>
      <c r="AZ706" t="s">
        <v>155</v>
      </c>
      <c r="BA706" s="1"/>
      <c r="BB706" s="22"/>
      <c r="BC706" s="1"/>
      <c r="BD706" s="1"/>
      <c r="BE706" s="1"/>
    </row>
    <row r="707" spans="1:57" ht="15.75" customHeight="1">
      <c r="A707" s="2" t="s">
        <v>157</v>
      </c>
      <c r="B707" s="1" t="s">
        <v>58</v>
      </c>
      <c r="C707" s="27">
        <v>44966</v>
      </c>
      <c r="D707" s="27">
        <v>45014</v>
      </c>
      <c r="E707" s="27">
        <v>45014</v>
      </c>
      <c r="F707" s="27">
        <v>45347</v>
      </c>
      <c r="G707" s="13" t="str">
        <f t="shared" si="243"/>
        <v>000-706/AIB RDC/2023</v>
      </c>
      <c r="H707" s="1">
        <v>2</v>
      </c>
      <c r="I707" s="1" t="s">
        <v>59</v>
      </c>
      <c r="J707" s="2" t="s">
        <v>415</v>
      </c>
      <c r="K707" s="1" t="s">
        <v>332</v>
      </c>
      <c r="L707" s="1" t="s">
        <v>62</v>
      </c>
      <c r="M707" s="1" t="s">
        <v>63</v>
      </c>
      <c r="N707" s="1" t="s">
        <v>64</v>
      </c>
      <c r="O707" s="1" t="s">
        <v>65</v>
      </c>
      <c r="P707" s="1" t="s">
        <v>65</v>
      </c>
      <c r="Q707" s="1" t="s">
        <v>135</v>
      </c>
      <c r="R707" s="1" t="s">
        <v>135</v>
      </c>
      <c r="S707" s="25">
        <v>0</v>
      </c>
      <c r="T707" s="25">
        <v>724.35</v>
      </c>
      <c r="U707" s="25">
        <v>0</v>
      </c>
      <c r="V707" s="25">
        <v>0</v>
      </c>
      <c r="W707" s="25">
        <v>30</v>
      </c>
      <c r="X707" s="25">
        <v>583.86</v>
      </c>
      <c r="Y707" s="25">
        <v>98.21</v>
      </c>
      <c r="Z707" s="17" t="e">
        <f t="shared" si="233"/>
        <v>#DIV/0!</v>
      </c>
      <c r="AA707" s="18">
        <v>0.1</v>
      </c>
      <c r="AB707" s="16">
        <f t="shared" si="249"/>
        <v>58.386000000000003</v>
      </c>
      <c r="AC707" s="16">
        <v>0</v>
      </c>
      <c r="AD707" s="16">
        <v>0</v>
      </c>
      <c r="AE707" s="16">
        <v>0</v>
      </c>
      <c r="AF707" s="16">
        <f t="shared" si="234"/>
        <v>58.386000000000003</v>
      </c>
      <c r="AG707" s="16">
        <f t="shared" si="250"/>
        <v>9.3417600000000007</v>
      </c>
      <c r="AH707" s="16">
        <f t="shared" si="235"/>
        <v>67.727760000000004</v>
      </c>
      <c r="AI707" s="16">
        <f t="shared" si="251"/>
        <v>1.1677200000000001</v>
      </c>
      <c r="AJ707" s="16">
        <v>0</v>
      </c>
      <c r="AK707" s="16">
        <f t="shared" si="236"/>
        <v>1.1677200000000001</v>
      </c>
      <c r="AL707" s="19"/>
      <c r="AM707" s="16">
        <f t="shared" si="247"/>
        <v>57.21828</v>
      </c>
      <c r="AN707" s="16" t="s">
        <v>228</v>
      </c>
      <c r="AO707" s="20"/>
      <c r="AP707" s="16">
        <f t="shared" si="244"/>
        <v>0</v>
      </c>
      <c r="AQ707" s="16"/>
      <c r="AR707" s="15"/>
      <c r="AS707" s="16">
        <f t="shared" si="248"/>
        <v>0</v>
      </c>
      <c r="AT707" s="16"/>
      <c r="AU707" s="16"/>
      <c r="AV707" s="16">
        <f t="shared" si="252"/>
        <v>67.727760000000004</v>
      </c>
      <c r="AW707" s="60">
        <f t="shared" si="239"/>
        <v>67.727760000000004</v>
      </c>
      <c r="AX707" s="16" t="str">
        <f t="shared" si="240"/>
        <v>RAWSUR</v>
      </c>
      <c r="AY707" s="22"/>
      <c r="AZ707" s="22"/>
      <c r="BA707" s="1"/>
      <c r="BB707" s="22" t="str">
        <f>O707</f>
        <v>MOTOR TPL</v>
      </c>
      <c r="BC707" s="1"/>
      <c r="BD707" s="1"/>
      <c r="BE707" s="1"/>
    </row>
    <row r="708" spans="1:57" ht="15.75" hidden="1" customHeight="1">
      <c r="A708" s="2" t="s">
        <v>871</v>
      </c>
      <c r="B708" s="1" t="s">
        <v>58</v>
      </c>
      <c r="C708" s="27">
        <v>45156</v>
      </c>
      <c r="D708" s="27">
        <v>45139</v>
      </c>
      <c r="E708" s="27">
        <v>45139</v>
      </c>
      <c r="F708" s="21">
        <v>45504</v>
      </c>
      <c r="G708" s="13" t="str">
        <f t="shared" si="243"/>
        <v>000-707/AIB RDC/2023</v>
      </c>
      <c r="H708" s="1">
        <v>3</v>
      </c>
      <c r="I708" s="1" t="s">
        <v>68</v>
      </c>
      <c r="J708" s="14">
        <v>12200004</v>
      </c>
      <c r="K708" s="1" t="s">
        <v>332</v>
      </c>
      <c r="L708" s="1" t="s">
        <v>62</v>
      </c>
      <c r="M708" s="1" t="s">
        <v>63</v>
      </c>
      <c r="N708" s="1" t="s">
        <v>64</v>
      </c>
      <c r="O708" s="1" t="s">
        <v>101</v>
      </c>
      <c r="P708" s="1" t="s">
        <v>81</v>
      </c>
      <c r="Q708" s="1" t="s">
        <v>135</v>
      </c>
      <c r="R708" s="1" t="s">
        <v>135</v>
      </c>
      <c r="S708" s="25">
        <v>0</v>
      </c>
      <c r="T708" s="25">
        <v>278783.12</v>
      </c>
      <c r="U708" s="25">
        <v>35438.53</v>
      </c>
      <c r="V708" s="25">
        <v>-16537.98</v>
      </c>
      <c r="W708" s="25">
        <v>0</v>
      </c>
      <c r="X708" s="25">
        <v>200818.35</v>
      </c>
      <c r="Y708" s="25">
        <v>37801.1</v>
      </c>
      <c r="Z708" s="17" t="e">
        <f t="shared" si="233"/>
        <v>#DIV/0!</v>
      </c>
      <c r="AA708" s="18">
        <v>0</v>
      </c>
      <c r="AB708" s="16">
        <f t="shared" si="249"/>
        <v>0</v>
      </c>
      <c r="AC708" s="16">
        <f>30%*(U708+V708)</f>
        <v>5670.165</v>
      </c>
      <c r="AD708" s="16">
        <v>0</v>
      </c>
      <c r="AE708" s="16">
        <v>0</v>
      </c>
      <c r="AF708" s="16">
        <f t="shared" si="234"/>
        <v>5670.165</v>
      </c>
      <c r="AG708" s="16">
        <f t="shared" si="250"/>
        <v>907.22640000000001</v>
      </c>
      <c r="AH708" s="16">
        <f t="shared" si="235"/>
        <v>6577.3914000000004</v>
      </c>
      <c r="AI708" s="16">
        <f t="shared" si="251"/>
        <v>113.4033</v>
      </c>
      <c r="AJ708" s="16">
        <v>0</v>
      </c>
      <c r="AK708" s="16">
        <f t="shared" si="236"/>
        <v>113.4033</v>
      </c>
      <c r="AL708" s="19"/>
      <c r="AM708" s="16">
        <f t="shared" si="247"/>
        <v>5556.7617</v>
      </c>
      <c r="AN708" s="16" t="s">
        <v>319</v>
      </c>
      <c r="AO708" s="20"/>
      <c r="AP708" s="16">
        <f t="shared" si="244"/>
        <v>0</v>
      </c>
      <c r="AQ708" s="16"/>
      <c r="AR708" s="15"/>
      <c r="AS708" s="16">
        <f t="shared" si="248"/>
        <v>0</v>
      </c>
      <c r="AT708" s="16"/>
      <c r="AU708" s="16">
        <v>6577.3914000000004</v>
      </c>
      <c r="AV708" s="16">
        <f t="shared" si="252"/>
        <v>6577.3914000000004</v>
      </c>
      <c r="AW708" s="16">
        <f t="shared" si="239"/>
        <v>0</v>
      </c>
      <c r="AX708" s="16" t="str">
        <f t="shared" si="240"/>
        <v>RAWSUR</v>
      </c>
      <c r="AY708" s="22">
        <v>45219</v>
      </c>
      <c r="AZ708" s="22"/>
      <c r="BA708" s="1"/>
      <c r="BB708" s="22"/>
      <c r="BC708" s="1"/>
      <c r="BD708" s="1"/>
      <c r="BE708" s="1"/>
    </row>
    <row r="709" spans="1:57" ht="15.75" hidden="1" customHeight="1">
      <c r="A709" s="2" t="s">
        <v>871</v>
      </c>
      <c r="B709" s="1" t="s">
        <v>58</v>
      </c>
      <c r="C709" s="27">
        <v>45156</v>
      </c>
      <c r="D709" s="27">
        <v>45174</v>
      </c>
      <c r="E709" s="27">
        <v>45139</v>
      </c>
      <c r="F709" s="21">
        <v>45504</v>
      </c>
      <c r="G709" s="13" t="str">
        <f t="shared" si="243"/>
        <v>000-708/AIB RDC/2023</v>
      </c>
      <c r="H709" s="1">
        <v>3</v>
      </c>
      <c r="I709" s="1" t="s">
        <v>68</v>
      </c>
      <c r="J709" s="14">
        <v>12200005</v>
      </c>
      <c r="K709" s="1" t="s">
        <v>951</v>
      </c>
      <c r="L709" s="1" t="s">
        <v>62</v>
      </c>
      <c r="M709" s="1" t="s">
        <v>63</v>
      </c>
      <c r="N709" s="1" t="s">
        <v>64</v>
      </c>
      <c r="O709" s="1" t="s">
        <v>101</v>
      </c>
      <c r="P709" s="1" t="s">
        <v>81</v>
      </c>
      <c r="Q709" s="1" t="s">
        <v>135</v>
      </c>
      <c r="R709" s="1" t="s">
        <v>135</v>
      </c>
      <c r="S709" s="25">
        <v>0</v>
      </c>
      <c r="T709" s="25">
        <v>21025.41</v>
      </c>
      <c r="U709" s="25">
        <v>2672.72</v>
      </c>
      <c r="V709" s="25">
        <v>-1247.27</v>
      </c>
      <c r="W709" s="25">
        <v>0</v>
      </c>
      <c r="X709" s="25">
        <v>15145.42</v>
      </c>
      <c r="Y709" s="25">
        <v>2850.9</v>
      </c>
      <c r="Z709" s="17" t="e">
        <f t="shared" si="233"/>
        <v>#DIV/0!</v>
      </c>
      <c r="AA709" s="18">
        <v>0</v>
      </c>
      <c r="AB709" s="16">
        <f t="shared" si="249"/>
        <v>0</v>
      </c>
      <c r="AC709" s="16">
        <f>30%*(U709+V709)</f>
        <v>427.63499999999993</v>
      </c>
      <c r="AD709" s="16">
        <v>0</v>
      </c>
      <c r="AE709" s="16">
        <v>0</v>
      </c>
      <c r="AF709" s="16">
        <f t="shared" si="234"/>
        <v>427.63499999999993</v>
      </c>
      <c r="AG709" s="16">
        <f t="shared" si="250"/>
        <v>68.421599999999984</v>
      </c>
      <c r="AH709" s="16">
        <f t="shared" si="235"/>
        <v>496.05659999999989</v>
      </c>
      <c r="AI709" s="16">
        <f t="shared" si="251"/>
        <v>8.552699999999998</v>
      </c>
      <c r="AJ709" s="16">
        <v>0</v>
      </c>
      <c r="AK709" s="16">
        <f t="shared" si="236"/>
        <v>8.552699999999998</v>
      </c>
      <c r="AL709" s="19"/>
      <c r="AM709" s="16">
        <f t="shared" si="247"/>
        <v>419.08229999999992</v>
      </c>
      <c r="AN709" s="16" t="s">
        <v>319</v>
      </c>
      <c r="AO709" s="20"/>
      <c r="AP709" s="16">
        <f t="shared" si="244"/>
        <v>0</v>
      </c>
      <c r="AQ709" s="16"/>
      <c r="AR709" s="15"/>
      <c r="AS709" s="16">
        <f t="shared" si="248"/>
        <v>0</v>
      </c>
      <c r="AT709" s="16"/>
      <c r="AU709" s="16">
        <v>496.05659999999995</v>
      </c>
      <c r="AV709" s="16">
        <f t="shared" si="252"/>
        <v>496.05659999999989</v>
      </c>
      <c r="AW709" s="16">
        <f t="shared" si="239"/>
        <v>0</v>
      </c>
      <c r="AX709" s="16" t="str">
        <f t="shared" si="240"/>
        <v>RAWSUR</v>
      </c>
      <c r="AY709" s="22">
        <v>45219</v>
      </c>
      <c r="AZ709" s="22"/>
      <c r="BA709" s="1"/>
      <c r="BB709" s="22"/>
      <c r="BC709" s="1"/>
      <c r="BD709" s="1"/>
      <c r="BE709" s="1"/>
    </row>
    <row r="710" spans="1:57" ht="15.75" hidden="1" customHeight="1">
      <c r="A710" s="2" t="s">
        <v>871</v>
      </c>
      <c r="B710" s="1" t="s">
        <v>169</v>
      </c>
      <c r="C710" s="27">
        <v>45156</v>
      </c>
      <c r="D710" s="27">
        <v>45208</v>
      </c>
      <c r="E710" s="27">
        <v>45139</v>
      </c>
      <c r="F710" s="21">
        <v>45504</v>
      </c>
      <c r="G710" s="13" t="str">
        <f t="shared" si="243"/>
        <v>000-709/AIB RDC/2023</v>
      </c>
      <c r="H710" s="1">
        <v>4</v>
      </c>
      <c r="I710" s="1" t="s">
        <v>68</v>
      </c>
      <c r="J710" s="14" t="s">
        <v>950</v>
      </c>
      <c r="K710" s="1" t="s">
        <v>61</v>
      </c>
      <c r="L710" s="1" t="s">
        <v>62</v>
      </c>
      <c r="M710" s="1" t="s">
        <v>63</v>
      </c>
      <c r="N710" s="1" t="s">
        <v>64</v>
      </c>
      <c r="O710" s="1" t="s">
        <v>101</v>
      </c>
      <c r="P710" s="1" t="s">
        <v>81</v>
      </c>
      <c r="Q710" s="1" t="s">
        <v>135</v>
      </c>
      <c r="R710" s="1" t="s">
        <v>135</v>
      </c>
      <c r="S710" s="25">
        <v>0</v>
      </c>
      <c r="T710" s="25">
        <v>1319912.3899999999</v>
      </c>
      <c r="U710" s="25">
        <v>167785.47</v>
      </c>
      <c r="V710" s="25">
        <v>-78299.89</v>
      </c>
      <c r="W710" s="25">
        <v>0</v>
      </c>
      <c r="X710" s="25">
        <v>950784.35</v>
      </c>
      <c r="Y710" s="25">
        <v>178971.17</v>
      </c>
      <c r="Z710" s="17" t="e">
        <f t="shared" ref="Z710:Z773" si="253">X710/S710</f>
        <v>#DIV/0!</v>
      </c>
      <c r="AA710" s="18">
        <v>0</v>
      </c>
      <c r="AB710" s="16">
        <f t="shared" si="249"/>
        <v>0</v>
      </c>
      <c r="AC710" s="16">
        <f>30%*(U710+V710)</f>
        <v>26845.673999999999</v>
      </c>
      <c r="AD710" s="16">
        <v>0</v>
      </c>
      <c r="AE710" s="16">
        <v>0</v>
      </c>
      <c r="AF710" s="16">
        <f t="shared" ref="AF710:AF773" si="254">SUM(AB710:AE710)</f>
        <v>26845.673999999999</v>
      </c>
      <c r="AG710" s="16">
        <f t="shared" si="250"/>
        <v>4295.3078399999995</v>
      </c>
      <c r="AH710" s="16">
        <f t="shared" ref="AH710:AH773" si="255">AF710+AG710</f>
        <v>31140.98184</v>
      </c>
      <c r="AI710" s="16">
        <f t="shared" si="251"/>
        <v>536.91347999999994</v>
      </c>
      <c r="AJ710" s="16">
        <v>0</v>
      </c>
      <c r="AK710" s="16">
        <f t="shared" ref="AK710:AK773" si="256">AI710-AJ710</f>
        <v>536.91347999999994</v>
      </c>
      <c r="AL710" s="19"/>
      <c r="AM710" s="16">
        <f t="shared" si="247"/>
        <v>26308.76052</v>
      </c>
      <c r="AN710" s="16" t="s">
        <v>319</v>
      </c>
      <c r="AO710" s="20"/>
      <c r="AP710" s="16">
        <f t="shared" si="244"/>
        <v>0</v>
      </c>
      <c r="AQ710" s="16"/>
      <c r="AR710" s="15"/>
      <c r="AS710" s="16">
        <f t="shared" si="248"/>
        <v>0</v>
      </c>
      <c r="AT710" s="16"/>
      <c r="AU710" s="16">
        <v>31140.98184</v>
      </c>
      <c r="AV710" s="16">
        <f t="shared" si="252"/>
        <v>31140.98184</v>
      </c>
      <c r="AW710" s="16">
        <f t="shared" ref="AW710:AW773" si="257">AV710-AU710</f>
        <v>0</v>
      </c>
      <c r="AX710" s="16" t="str">
        <f t="shared" si="240"/>
        <v>RAWSUR</v>
      </c>
      <c r="AY710" s="22">
        <v>45240</v>
      </c>
      <c r="AZ710" s="22"/>
      <c r="BA710" s="1"/>
      <c r="BB710" s="22"/>
      <c r="BC710" s="1"/>
      <c r="BD710" s="1"/>
      <c r="BE710" s="1"/>
    </row>
    <row r="711" spans="1:57" ht="15.75" hidden="1" customHeight="1">
      <c r="A711" s="2" t="s">
        <v>871</v>
      </c>
      <c r="B711" s="1" t="s">
        <v>58</v>
      </c>
      <c r="C711" s="27">
        <v>45156</v>
      </c>
      <c r="D711" s="27">
        <v>45147</v>
      </c>
      <c r="E711" s="27">
        <v>45164</v>
      </c>
      <c r="F711" s="21">
        <v>45178</v>
      </c>
      <c r="G711" s="13" t="str">
        <f t="shared" si="243"/>
        <v>000-710/AIB RDC/2023</v>
      </c>
      <c r="H711" s="1">
        <v>0</v>
      </c>
      <c r="I711" s="1" t="s">
        <v>83</v>
      </c>
      <c r="J711" s="14" t="s">
        <v>952</v>
      </c>
      <c r="K711" s="1" t="s">
        <v>953</v>
      </c>
      <c r="L711" s="1"/>
      <c r="M711" s="1" t="s">
        <v>63</v>
      </c>
      <c r="N711" s="1" t="s">
        <v>71</v>
      </c>
      <c r="O711" s="1" t="s">
        <v>302</v>
      </c>
      <c r="P711" s="1" t="s">
        <v>81</v>
      </c>
      <c r="Q711" s="1" t="s">
        <v>117</v>
      </c>
      <c r="R711" s="1" t="s">
        <v>117</v>
      </c>
      <c r="S711" s="25">
        <v>0</v>
      </c>
      <c r="T711" s="25">
        <v>52.78</v>
      </c>
      <c r="U711" s="25">
        <v>0</v>
      </c>
      <c r="V711" s="25">
        <v>0</v>
      </c>
      <c r="W711" s="25">
        <v>0.9</v>
      </c>
      <c r="X711" s="25">
        <v>44.6</v>
      </c>
      <c r="Y711" s="25">
        <v>7.28</v>
      </c>
      <c r="Z711" s="17" t="e">
        <f t="shared" si="253"/>
        <v>#DIV/0!</v>
      </c>
      <c r="AA711" s="18">
        <v>0.2</v>
      </c>
      <c r="AB711" s="16">
        <f t="shared" si="249"/>
        <v>8.92</v>
      </c>
      <c r="AC711" s="16">
        <v>0</v>
      </c>
      <c r="AD711" s="16">
        <v>0</v>
      </c>
      <c r="AE711" s="16">
        <v>0</v>
      </c>
      <c r="AF711" s="16">
        <f t="shared" si="254"/>
        <v>8.92</v>
      </c>
      <c r="AG711" s="16">
        <f t="shared" si="250"/>
        <v>1.4272</v>
      </c>
      <c r="AH711" s="16">
        <f t="shared" si="255"/>
        <v>10.347200000000001</v>
      </c>
      <c r="AI711" s="16">
        <f t="shared" si="251"/>
        <v>0.1784</v>
      </c>
      <c r="AJ711" s="16">
        <v>0</v>
      </c>
      <c r="AK711" s="16">
        <f t="shared" si="256"/>
        <v>0.1784</v>
      </c>
      <c r="AL711" s="19"/>
      <c r="AM711" s="16">
        <f t="shared" si="247"/>
        <v>8.7416</v>
      </c>
      <c r="AN711" s="16" t="s">
        <v>319</v>
      </c>
      <c r="AO711" s="20"/>
      <c r="AP711" s="16">
        <f t="shared" si="244"/>
        <v>0</v>
      </c>
      <c r="AQ711" s="16"/>
      <c r="AR711" s="15"/>
      <c r="AS711" s="16">
        <f t="shared" si="248"/>
        <v>0</v>
      </c>
      <c r="AT711" s="16"/>
      <c r="AU711" s="16">
        <v>10.347200000000001</v>
      </c>
      <c r="AV711" s="16">
        <f t="shared" si="252"/>
        <v>10.347200000000001</v>
      </c>
      <c r="AW711" s="16">
        <f t="shared" si="257"/>
        <v>0</v>
      </c>
      <c r="AX711" s="16" t="str">
        <f t="shared" ref="AX711:AX774" si="258">Q711</f>
        <v>SUNU</v>
      </c>
      <c r="AY711" s="22">
        <v>45218</v>
      </c>
      <c r="AZ711" s="22"/>
      <c r="BA711" s="1"/>
      <c r="BB711" s="22"/>
      <c r="BC711" s="1"/>
      <c r="BD711" s="1"/>
      <c r="BE711" s="1"/>
    </row>
    <row r="712" spans="1:57" ht="15.75" hidden="1" customHeight="1">
      <c r="A712" s="2" t="s">
        <v>165</v>
      </c>
      <c r="B712" s="1" t="s">
        <v>58</v>
      </c>
      <c r="C712" s="27">
        <v>45156</v>
      </c>
      <c r="D712" s="27">
        <v>44986</v>
      </c>
      <c r="E712" s="27">
        <v>44986</v>
      </c>
      <c r="F712" s="21">
        <v>45504</v>
      </c>
      <c r="G712" s="13" t="str">
        <f t="shared" si="243"/>
        <v>000-711/AIB RDC/2023</v>
      </c>
      <c r="H712" s="1">
        <v>0</v>
      </c>
      <c r="I712" s="1" t="s">
        <v>83</v>
      </c>
      <c r="J712" s="14" t="s">
        <v>954</v>
      </c>
      <c r="K712" s="1" t="s">
        <v>955</v>
      </c>
      <c r="L712" s="1"/>
      <c r="M712" s="1" t="s">
        <v>63</v>
      </c>
      <c r="N712" s="1" t="s">
        <v>64</v>
      </c>
      <c r="O712" s="1" t="s">
        <v>233</v>
      </c>
      <c r="P712" s="1" t="s">
        <v>234</v>
      </c>
      <c r="Q712" s="1" t="s">
        <v>117</v>
      </c>
      <c r="R712" s="1" t="s">
        <v>117</v>
      </c>
      <c r="S712" s="25">
        <v>28894000</v>
      </c>
      <c r="T712" s="25">
        <v>99454.51</v>
      </c>
      <c r="U712" s="25">
        <v>0</v>
      </c>
      <c r="V712" s="25">
        <v>0</v>
      </c>
      <c r="W712" s="25">
        <v>200</v>
      </c>
      <c r="X712" s="25">
        <v>85536.65</v>
      </c>
      <c r="Y712" s="25">
        <v>13717.86</v>
      </c>
      <c r="Z712" s="17">
        <f t="shared" si="253"/>
        <v>2.9603602824115733E-3</v>
      </c>
      <c r="AA712" s="18">
        <v>0.15</v>
      </c>
      <c r="AB712" s="16">
        <f t="shared" si="249"/>
        <v>12830.497499999999</v>
      </c>
      <c r="AC712" s="16">
        <f>2.90364697815635%*X712</f>
        <v>2483.6823529411736</v>
      </c>
      <c r="AD712" s="16">
        <f>3.1246110843233%*X712</f>
        <v>2672.6876470588259</v>
      </c>
      <c r="AE712" s="16">
        <v>0</v>
      </c>
      <c r="AF712" s="16">
        <f t="shared" si="254"/>
        <v>17986.8675</v>
      </c>
      <c r="AG712" s="16">
        <f t="shared" si="250"/>
        <v>2877.8987999999999</v>
      </c>
      <c r="AH712" s="16">
        <f t="shared" si="255"/>
        <v>20864.766299999999</v>
      </c>
      <c r="AI712" s="16">
        <f t="shared" si="251"/>
        <v>359.73734999999999</v>
      </c>
      <c r="AJ712" s="16">
        <v>0</v>
      </c>
      <c r="AK712" s="16">
        <f t="shared" si="256"/>
        <v>359.73734999999999</v>
      </c>
      <c r="AL712" s="19"/>
      <c r="AM712" s="16">
        <f t="shared" si="247"/>
        <v>17627.130150000001</v>
      </c>
      <c r="AN712" s="16"/>
      <c r="AO712" s="20"/>
      <c r="AP712" s="16">
        <f t="shared" si="244"/>
        <v>0</v>
      </c>
      <c r="AQ712" s="16"/>
      <c r="AR712" s="15"/>
      <c r="AS712" s="16">
        <f t="shared" si="248"/>
        <v>0</v>
      </c>
      <c r="AT712" s="16"/>
      <c r="AU712" s="16">
        <v>20864.766299999999</v>
      </c>
      <c r="AV712" s="16">
        <f t="shared" si="252"/>
        <v>20864.766299999999</v>
      </c>
      <c r="AW712" s="16">
        <f t="shared" si="257"/>
        <v>0</v>
      </c>
      <c r="AX712" s="16" t="str">
        <f t="shared" si="258"/>
        <v>SUNU</v>
      </c>
      <c r="AY712" s="22">
        <v>45218</v>
      </c>
      <c r="AZ712" s="22"/>
      <c r="BA712" s="1"/>
      <c r="BB712" s="22"/>
      <c r="BC712" s="1"/>
      <c r="BD712" s="1"/>
      <c r="BE712" s="1"/>
    </row>
    <row r="713" spans="1:57" ht="15.75" hidden="1" customHeight="1">
      <c r="A713" s="2" t="s">
        <v>165</v>
      </c>
      <c r="B713" s="1" t="s">
        <v>58</v>
      </c>
      <c r="C713" s="27">
        <v>45159</v>
      </c>
      <c r="D713" s="27">
        <v>44986</v>
      </c>
      <c r="E713" s="27">
        <v>44986</v>
      </c>
      <c r="F713" s="21">
        <v>45138</v>
      </c>
      <c r="G713" s="13" t="str">
        <f t="shared" si="243"/>
        <v>000-712/AIB RDC/2023</v>
      </c>
      <c r="H713" s="1">
        <v>0</v>
      </c>
      <c r="I713" s="1" t="s">
        <v>83</v>
      </c>
      <c r="J713" s="14" t="s">
        <v>956</v>
      </c>
      <c r="K713" s="1" t="s">
        <v>955</v>
      </c>
      <c r="L713" s="1"/>
      <c r="M713" s="1" t="s">
        <v>63</v>
      </c>
      <c r="N713" s="1" t="s">
        <v>64</v>
      </c>
      <c r="O713" s="1" t="s">
        <v>104</v>
      </c>
      <c r="P713" s="1" t="s">
        <v>105</v>
      </c>
      <c r="Q713" s="1" t="s">
        <v>117</v>
      </c>
      <c r="R713" s="1" t="s">
        <v>117</v>
      </c>
      <c r="S713" s="25">
        <v>0</v>
      </c>
      <c r="T713" s="25">
        <v>37123.86</v>
      </c>
      <c r="U713" s="25">
        <v>0</v>
      </c>
      <c r="V713" s="25">
        <v>0</v>
      </c>
      <c r="W713" s="25">
        <v>200</v>
      </c>
      <c r="X713" s="25">
        <v>31803.33</v>
      </c>
      <c r="Y713" s="25">
        <v>5120.53</v>
      </c>
      <c r="Z713" s="17" t="e">
        <f t="shared" si="253"/>
        <v>#DIV/0!</v>
      </c>
      <c r="AA713" s="18">
        <v>0.15</v>
      </c>
      <c r="AB713" s="16">
        <f t="shared" ref="AB713:AB744" si="259">AA713*X713</f>
        <v>4770.4994999999999</v>
      </c>
      <c r="AC713" s="16">
        <f>2.00133130713042%*X713</f>
        <v>636.49000000000115</v>
      </c>
      <c r="AD713" s="16">
        <f>6.18251513176504%*X713</f>
        <v>1966.2456896551707</v>
      </c>
      <c r="AE713" s="16">
        <v>0</v>
      </c>
      <c r="AF713" s="16">
        <f t="shared" si="254"/>
        <v>7373.2351896551718</v>
      </c>
      <c r="AG713" s="16">
        <f t="shared" si="250"/>
        <v>1179.7176303448275</v>
      </c>
      <c r="AH713" s="16">
        <f t="shared" si="255"/>
        <v>8552.9528199999986</v>
      </c>
      <c r="AI713" s="16">
        <f t="shared" si="251"/>
        <v>147.46470379310344</v>
      </c>
      <c r="AJ713" s="16">
        <v>0</v>
      </c>
      <c r="AK713" s="16">
        <f t="shared" si="256"/>
        <v>147.46470379310344</v>
      </c>
      <c r="AL713" s="19"/>
      <c r="AM713" s="16">
        <f t="shared" si="247"/>
        <v>7225.7704858620682</v>
      </c>
      <c r="AN713" s="16"/>
      <c r="AO713" s="20"/>
      <c r="AP713" s="16">
        <f t="shared" si="244"/>
        <v>0</v>
      </c>
      <c r="AQ713" s="16"/>
      <c r="AR713" s="15"/>
      <c r="AS713" s="16">
        <f t="shared" si="248"/>
        <v>0</v>
      </c>
      <c r="AT713" s="16"/>
      <c r="AU713" s="16">
        <v>8552.9528199999986</v>
      </c>
      <c r="AV713" s="16">
        <f t="shared" si="252"/>
        <v>8552.9528199999986</v>
      </c>
      <c r="AW713" s="16">
        <f t="shared" si="257"/>
        <v>0</v>
      </c>
      <c r="AX713" s="16" t="str">
        <f t="shared" si="258"/>
        <v>SUNU</v>
      </c>
      <c r="AY713" s="22">
        <v>45218</v>
      </c>
      <c r="AZ713" s="22"/>
      <c r="BA713" s="1"/>
      <c r="BB713" s="22"/>
      <c r="BC713" s="1"/>
      <c r="BD713" s="1"/>
      <c r="BE713" s="1"/>
    </row>
    <row r="714" spans="1:57" ht="15.75" customHeight="1">
      <c r="A714" s="2" t="s">
        <v>157</v>
      </c>
      <c r="B714" s="1" t="s">
        <v>58</v>
      </c>
      <c r="C714" s="27">
        <v>44966</v>
      </c>
      <c r="D714" s="27">
        <v>45000</v>
      </c>
      <c r="E714" s="27">
        <v>45000</v>
      </c>
      <c r="F714" s="27">
        <v>45347</v>
      </c>
      <c r="G714" s="13" t="str">
        <f t="shared" si="243"/>
        <v>000-713/AIB RDC/2023</v>
      </c>
      <c r="H714" s="1">
        <v>1</v>
      </c>
      <c r="I714" s="1" t="s">
        <v>59</v>
      </c>
      <c r="J714" s="2" t="s">
        <v>415</v>
      </c>
      <c r="K714" s="1" t="s">
        <v>332</v>
      </c>
      <c r="L714" s="1" t="s">
        <v>62</v>
      </c>
      <c r="M714" s="1" t="s">
        <v>63</v>
      </c>
      <c r="N714" s="1" t="s">
        <v>71</v>
      </c>
      <c r="O714" s="1" t="s">
        <v>65</v>
      </c>
      <c r="P714" s="1" t="s">
        <v>65</v>
      </c>
      <c r="Q714" s="1" t="s">
        <v>135</v>
      </c>
      <c r="R714" s="1" t="s">
        <v>135</v>
      </c>
      <c r="S714" s="25">
        <v>0</v>
      </c>
      <c r="T714" s="25">
        <v>515.46</v>
      </c>
      <c r="U714" s="25">
        <v>0</v>
      </c>
      <c r="V714" s="25">
        <v>0</v>
      </c>
      <c r="W714" s="25">
        <v>20</v>
      </c>
      <c r="X714" s="25">
        <v>416.87</v>
      </c>
      <c r="Y714" s="25">
        <v>69.88</v>
      </c>
      <c r="Z714" s="17" t="e">
        <f t="shared" si="253"/>
        <v>#DIV/0!</v>
      </c>
      <c r="AA714" s="18">
        <v>0.1</v>
      </c>
      <c r="AB714" s="16">
        <f t="shared" si="259"/>
        <v>41.687000000000005</v>
      </c>
      <c r="AC714" s="16">
        <v>0</v>
      </c>
      <c r="AD714" s="16">
        <v>0</v>
      </c>
      <c r="AE714" s="16">
        <v>0</v>
      </c>
      <c r="AF714" s="16">
        <f t="shared" si="254"/>
        <v>41.687000000000005</v>
      </c>
      <c r="AG714" s="16">
        <f t="shared" si="250"/>
        <v>6.6699200000000012</v>
      </c>
      <c r="AH714" s="16">
        <f t="shared" si="255"/>
        <v>48.356920000000002</v>
      </c>
      <c r="AI714" s="16">
        <f t="shared" si="251"/>
        <v>0.83374000000000015</v>
      </c>
      <c r="AJ714" s="16">
        <v>0</v>
      </c>
      <c r="AK714" s="16">
        <f t="shared" si="256"/>
        <v>0.83374000000000015</v>
      </c>
      <c r="AL714" s="19"/>
      <c r="AM714" s="16">
        <f t="shared" si="247"/>
        <v>40.853260000000006</v>
      </c>
      <c r="AN714" s="16" t="s">
        <v>228</v>
      </c>
      <c r="AO714" s="20"/>
      <c r="AP714" s="16">
        <f t="shared" si="244"/>
        <v>0</v>
      </c>
      <c r="AQ714" s="16"/>
      <c r="AR714" s="15"/>
      <c r="AS714" s="16">
        <f t="shared" si="248"/>
        <v>0</v>
      </c>
      <c r="AT714" s="16"/>
      <c r="AU714" s="16"/>
      <c r="AV714" s="16">
        <f t="shared" si="252"/>
        <v>48.356920000000002</v>
      </c>
      <c r="AW714" s="60">
        <f t="shared" si="257"/>
        <v>48.356920000000002</v>
      </c>
      <c r="AX714" s="16" t="str">
        <f t="shared" si="258"/>
        <v>RAWSUR</v>
      </c>
      <c r="AY714" s="22"/>
      <c r="AZ714" s="22"/>
      <c r="BA714" s="1"/>
      <c r="BB714" s="22" t="str">
        <f>O714</f>
        <v>MOTOR TPL</v>
      </c>
      <c r="BC714" s="1"/>
      <c r="BD714" s="1"/>
      <c r="BE714" s="1"/>
    </row>
    <row r="715" spans="1:57" ht="15.75" hidden="1" customHeight="1">
      <c r="A715" s="2" t="s">
        <v>871</v>
      </c>
      <c r="B715" s="1" t="s">
        <v>58</v>
      </c>
      <c r="C715" s="27">
        <v>45114</v>
      </c>
      <c r="D715" s="27">
        <v>45163</v>
      </c>
      <c r="E715" s="27">
        <v>45163</v>
      </c>
      <c r="F715" s="27">
        <v>45528</v>
      </c>
      <c r="G715" s="13" t="str">
        <f t="shared" si="243"/>
        <v>000-714/AIB RDC/2023</v>
      </c>
      <c r="H715" s="1">
        <v>0</v>
      </c>
      <c r="I715" s="1" t="s">
        <v>83</v>
      </c>
      <c r="J715" s="29" t="s">
        <v>959</v>
      </c>
      <c r="K715" s="1" t="s">
        <v>960</v>
      </c>
      <c r="L715" s="1" t="s">
        <v>116</v>
      </c>
      <c r="M715" s="1" t="s">
        <v>99</v>
      </c>
      <c r="N715" s="1" t="s">
        <v>100</v>
      </c>
      <c r="O715" s="1" t="s">
        <v>104</v>
      </c>
      <c r="P715" s="1" t="s">
        <v>105</v>
      </c>
      <c r="Q715" s="1" t="s">
        <v>66</v>
      </c>
      <c r="R715" s="1" t="s">
        <v>66</v>
      </c>
      <c r="S715" s="25">
        <v>302935.78000000003</v>
      </c>
      <c r="T715" s="25">
        <v>865.47</v>
      </c>
      <c r="U715" s="25">
        <v>0</v>
      </c>
      <c r="V715" s="25">
        <v>0</v>
      </c>
      <c r="W715" s="25">
        <v>20.21</v>
      </c>
      <c r="X715" s="25">
        <v>704.33</v>
      </c>
      <c r="Y715" s="25">
        <v>115.93</v>
      </c>
      <c r="Z715" s="17">
        <f t="shared" si="253"/>
        <v>2.3250142323894521E-3</v>
      </c>
      <c r="AA715" s="18">
        <v>0.15</v>
      </c>
      <c r="AB715" s="16">
        <f t="shared" si="259"/>
        <v>105.6495</v>
      </c>
      <c r="AC715" s="16">
        <v>0</v>
      </c>
      <c r="AD715" s="16">
        <v>0</v>
      </c>
      <c r="AE715" s="16">
        <v>0</v>
      </c>
      <c r="AF715" s="16">
        <f t="shared" si="254"/>
        <v>105.6495</v>
      </c>
      <c r="AG715" s="16">
        <f t="shared" si="250"/>
        <v>16.903919999999999</v>
      </c>
      <c r="AH715" s="16">
        <f t="shared" si="255"/>
        <v>122.55342</v>
      </c>
      <c r="AI715" s="16">
        <f t="shared" si="251"/>
        <v>2.1129899999999999</v>
      </c>
      <c r="AJ715" s="16">
        <v>0</v>
      </c>
      <c r="AK715" s="16">
        <f t="shared" si="256"/>
        <v>2.1129899999999999</v>
      </c>
      <c r="AL715" s="19"/>
      <c r="AM715" s="16">
        <f t="shared" si="247"/>
        <v>103.53651000000001</v>
      </c>
      <c r="AN715" s="16"/>
      <c r="AO715" s="20"/>
      <c r="AP715" s="16">
        <f t="shared" si="244"/>
        <v>0</v>
      </c>
      <c r="AQ715" s="16"/>
      <c r="AR715" s="15"/>
      <c r="AS715" s="16">
        <f t="shared" si="248"/>
        <v>0</v>
      </c>
      <c r="AT715" s="16"/>
      <c r="AU715" s="16">
        <v>122.55342</v>
      </c>
      <c r="AV715" s="16">
        <f t="shared" si="252"/>
        <v>122.55342</v>
      </c>
      <c r="AW715" s="16">
        <f t="shared" si="257"/>
        <v>0</v>
      </c>
      <c r="AX715" s="16" t="str">
        <f t="shared" si="258"/>
        <v>SFA</v>
      </c>
      <c r="AY715" s="22">
        <v>45197</v>
      </c>
      <c r="AZ715" t="s">
        <v>155</v>
      </c>
      <c r="BA715" s="1"/>
      <c r="BB715" s="1"/>
      <c r="BC715" s="1"/>
      <c r="BD715" s="1"/>
      <c r="BE715" s="1"/>
    </row>
    <row r="716" spans="1:57" ht="15.75" hidden="1" customHeight="1">
      <c r="A716" s="2" t="s">
        <v>770</v>
      </c>
      <c r="B716" s="1" t="s">
        <v>169</v>
      </c>
      <c r="C716" s="27">
        <v>45133</v>
      </c>
      <c r="D716" s="27">
        <v>45133</v>
      </c>
      <c r="E716" s="27">
        <v>45132</v>
      </c>
      <c r="F716" s="27">
        <v>45497</v>
      </c>
      <c r="G716" s="13" t="str">
        <f t="shared" si="243"/>
        <v>000-715/AIB RDC/2023</v>
      </c>
      <c r="H716" s="1">
        <v>1</v>
      </c>
      <c r="I716" s="1" t="s">
        <v>68</v>
      </c>
      <c r="J716" s="29" t="s">
        <v>961</v>
      </c>
      <c r="K716" s="1" t="s">
        <v>854</v>
      </c>
      <c r="L716" s="1" t="s">
        <v>855</v>
      </c>
      <c r="M716" s="1" t="s">
        <v>63</v>
      </c>
      <c r="N716" s="1" t="s">
        <v>64</v>
      </c>
      <c r="O716" s="1" t="s">
        <v>284</v>
      </c>
      <c r="P716" s="1" t="s">
        <v>285</v>
      </c>
      <c r="Q716" s="1" t="s">
        <v>127</v>
      </c>
      <c r="R716" s="1" t="s">
        <v>127</v>
      </c>
      <c r="S716" s="25">
        <v>550000</v>
      </c>
      <c r="T716" s="25">
        <v>3395</v>
      </c>
      <c r="U716" s="25">
        <v>0</v>
      </c>
      <c r="V716" s="25">
        <v>0</v>
      </c>
      <c r="W716" s="25">
        <v>20</v>
      </c>
      <c r="X716" s="25">
        <v>2857.12</v>
      </c>
      <c r="Y716" s="25">
        <v>460</v>
      </c>
      <c r="Z716" s="17">
        <f t="shared" si="253"/>
        <v>5.1947636363636361E-3</v>
      </c>
      <c r="AA716" s="18">
        <v>0.15</v>
      </c>
      <c r="AB716" s="16">
        <f t="shared" si="259"/>
        <v>428.56799999999998</v>
      </c>
      <c r="AC716" s="16">
        <v>0</v>
      </c>
      <c r="AD716" s="16">
        <v>0</v>
      </c>
      <c r="AE716" s="16">
        <v>0</v>
      </c>
      <c r="AF716" s="16">
        <f t="shared" si="254"/>
        <v>428.56799999999998</v>
      </c>
      <c r="AG716" s="16">
        <f t="shared" si="250"/>
        <v>68.570880000000002</v>
      </c>
      <c r="AH716" s="16">
        <f t="shared" si="255"/>
        <v>497.13887999999997</v>
      </c>
      <c r="AI716" s="16">
        <f t="shared" si="251"/>
        <v>8.5713600000000003</v>
      </c>
      <c r="AJ716" s="16">
        <v>0</v>
      </c>
      <c r="AK716" s="16">
        <f t="shared" si="256"/>
        <v>8.5713600000000003</v>
      </c>
      <c r="AL716" s="19"/>
      <c r="AM716" s="16">
        <f t="shared" si="247"/>
        <v>419.99663999999996</v>
      </c>
      <c r="AN716" s="16"/>
      <c r="AO716" s="20"/>
      <c r="AP716" s="16">
        <f t="shared" si="244"/>
        <v>0</v>
      </c>
      <c r="AQ716" s="16"/>
      <c r="AR716" s="15"/>
      <c r="AS716" s="16">
        <f t="shared" si="248"/>
        <v>0</v>
      </c>
      <c r="AT716" s="16"/>
      <c r="AU716" s="16">
        <v>497.13887999999997</v>
      </c>
      <c r="AV716" s="16">
        <f t="shared" si="252"/>
        <v>497.13887999999997</v>
      </c>
      <c r="AW716" s="16">
        <f t="shared" si="257"/>
        <v>0</v>
      </c>
      <c r="AX716" s="16" t="str">
        <f t="shared" si="258"/>
        <v>MAYFAIR</v>
      </c>
      <c r="AY716" s="22">
        <v>45169</v>
      </c>
      <c r="AZ716" s="22"/>
      <c r="BA716" s="1"/>
      <c r="BB716" s="22"/>
      <c r="BC716" s="1"/>
      <c r="BD716" s="1"/>
      <c r="BE716" s="1"/>
    </row>
    <row r="717" spans="1:57" ht="15.75" hidden="1" customHeight="1">
      <c r="A717" s="2" t="s">
        <v>784</v>
      </c>
      <c r="B717" s="1" t="s">
        <v>58</v>
      </c>
      <c r="C717" s="27">
        <v>45162</v>
      </c>
      <c r="D717" s="27">
        <v>45164</v>
      </c>
      <c r="E717" s="27">
        <v>45177</v>
      </c>
      <c r="F717" s="21">
        <v>45542</v>
      </c>
      <c r="G717" s="13" t="str">
        <f t="shared" si="243"/>
        <v>000-716/AIB RDC/2023</v>
      </c>
      <c r="H717" s="1">
        <v>0</v>
      </c>
      <c r="I717" s="1" t="s">
        <v>83</v>
      </c>
      <c r="J717" s="14" t="s">
        <v>962</v>
      </c>
      <c r="K717" s="1" t="s">
        <v>963</v>
      </c>
      <c r="L717" s="1"/>
      <c r="M717" s="1" t="s">
        <v>63</v>
      </c>
      <c r="N717" s="1" t="s">
        <v>71</v>
      </c>
      <c r="O717" s="28" t="s">
        <v>65</v>
      </c>
      <c r="P717" s="1" t="s">
        <v>65</v>
      </c>
      <c r="Q717" s="1" t="s">
        <v>66</v>
      </c>
      <c r="R717" s="1" t="s">
        <v>66</v>
      </c>
      <c r="S717" s="25">
        <v>0</v>
      </c>
      <c r="T717" s="25">
        <v>13336.05</v>
      </c>
      <c r="U717" s="25">
        <v>0</v>
      </c>
      <c r="V717" s="25">
        <v>0</v>
      </c>
      <c r="W717" s="25">
        <v>445.75</v>
      </c>
      <c r="X717" s="25">
        <v>11050.85</v>
      </c>
      <c r="Y717" s="25">
        <v>1839.45</v>
      </c>
      <c r="Z717" s="17" t="e">
        <f t="shared" si="253"/>
        <v>#DIV/0!</v>
      </c>
      <c r="AA717" s="18">
        <v>0.1</v>
      </c>
      <c r="AB717" s="16">
        <f t="shared" si="259"/>
        <v>1105.085</v>
      </c>
      <c r="AC717" s="16">
        <v>0</v>
      </c>
      <c r="AD717" s="16">
        <v>0</v>
      </c>
      <c r="AE717" s="16">
        <v>0</v>
      </c>
      <c r="AF717" s="16">
        <f t="shared" si="254"/>
        <v>1105.085</v>
      </c>
      <c r="AG717" s="16">
        <f t="shared" si="250"/>
        <v>176.81360000000001</v>
      </c>
      <c r="AH717" s="16">
        <f t="shared" si="255"/>
        <v>1281.8986</v>
      </c>
      <c r="AI717" s="16">
        <f t="shared" si="251"/>
        <v>22.101700000000001</v>
      </c>
      <c r="AJ717" s="16">
        <v>0</v>
      </c>
      <c r="AK717" s="16">
        <f t="shared" si="256"/>
        <v>22.101700000000001</v>
      </c>
      <c r="AL717" s="19"/>
      <c r="AM717" s="16">
        <f t="shared" si="247"/>
        <v>1082.9833000000001</v>
      </c>
      <c r="AN717" s="16" t="s">
        <v>206</v>
      </c>
      <c r="AO717" s="20">
        <v>0.5</v>
      </c>
      <c r="AP717" s="16">
        <f t="shared" si="244"/>
        <v>541.49165000000005</v>
      </c>
      <c r="AQ717" s="16"/>
      <c r="AR717" s="15"/>
      <c r="AS717" s="16">
        <f t="shared" si="248"/>
        <v>541.49165000000005</v>
      </c>
      <c r="AT717" s="16"/>
      <c r="AU717" s="16">
        <v>1281.8986</v>
      </c>
      <c r="AV717" s="16">
        <f t="shared" si="252"/>
        <v>1281.8986</v>
      </c>
      <c r="AW717" s="16">
        <f t="shared" si="257"/>
        <v>0</v>
      </c>
      <c r="AX717" s="16" t="str">
        <f t="shared" si="258"/>
        <v>SFA</v>
      </c>
      <c r="AY717" s="22">
        <v>45216</v>
      </c>
      <c r="AZ717" s="22"/>
      <c r="BA717" s="1"/>
      <c r="BB717" s="22"/>
      <c r="BC717" s="1"/>
      <c r="BD717" s="1"/>
      <c r="BE717" s="1"/>
    </row>
    <row r="718" spans="1:57" ht="15.75" hidden="1" customHeight="1">
      <c r="A718" s="2" t="s">
        <v>770</v>
      </c>
      <c r="B718" s="1" t="s">
        <v>169</v>
      </c>
      <c r="C718" s="27">
        <v>45162</v>
      </c>
      <c r="D718" s="27">
        <v>45120</v>
      </c>
      <c r="E718" s="27">
        <v>45137</v>
      </c>
      <c r="F718" s="21">
        <v>45291</v>
      </c>
      <c r="G718" s="13" t="str">
        <f t="shared" si="243"/>
        <v>000-717/AIB RDC/2023</v>
      </c>
      <c r="H718" s="1">
        <v>1</v>
      </c>
      <c r="I718" s="1" t="s">
        <v>918</v>
      </c>
      <c r="J718" s="14" t="s">
        <v>131</v>
      </c>
      <c r="K718" s="1" t="s">
        <v>964</v>
      </c>
      <c r="L718" s="1" t="s">
        <v>965</v>
      </c>
      <c r="M718" s="1" t="s">
        <v>63</v>
      </c>
      <c r="N718" s="1" t="s">
        <v>64</v>
      </c>
      <c r="O718" s="1" t="s">
        <v>111</v>
      </c>
      <c r="P718" s="1" t="s">
        <v>112</v>
      </c>
      <c r="Q718" s="1" t="s">
        <v>127</v>
      </c>
      <c r="R718" s="1" t="s">
        <v>127</v>
      </c>
      <c r="S718" s="25">
        <v>0</v>
      </c>
      <c r="T718" s="25">
        <v>-265.75</v>
      </c>
      <c r="U718" s="25">
        <v>0</v>
      </c>
      <c r="V718" s="25">
        <v>0</v>
      </c>
      <c r="W718" s="25">
        <v>0</v>
      </c>
      <c r="X718" s="25">
        <v>0</v>
      </c>
      <c r="Y718" s="25">
        <v>0</v>
      </c>
      <c r="Z718" s="17" t="e">
        <f t="shared" si="253"/>
        <v>#DIV/0!</v>
      </c>
      <c r="AA718" s="18">
        <v>0.15</v>
      </c>
      <c r="AB718" s="16">
        <f t="shared" si="259"/>
        <v>0</v>
      </c>
      <c r="AC718" s="16">
        <v>0</v>
      </c>
      <c r="AD718" s="16">
        <v>0</v>
      </c>
      <c r="AE718" s="16">
        <v>0</v>
      </c>
      <c r="AF718" s="16">
        <f t="shared" si="254"/>
        <v>0</v>
      </c>
      <c r="AG718" s="16">
        <f t="shared" si="250"/>
        <v>0</v>
      </c>
      <c r="AH718" s="16">
        <f t="shared" si="255"/>
        <v>0</v>
      </c>
      <c r="AI718" s="16">
        <f t="shared" si="251"/>
        <v>0</v>
      </c>
      <c r="AJ718" s="16">
        <v>0</v>
      </c>
      <c r="AK718" s="16">
        <f t="shared" si="256"/>
        <v>0</v>
      </c>
      <c r="AL718" s="19"/>
      <c r="AM718" s="16">
        <f t="shared" si="247"/>
        <v>0</v>
      </c>
      <c r="AN718" s="16" t="s">
        <v>319</v>
      </c>
      <c r="AO718" s="20"/>
      <c r="AP718" s="16">
        <f t="shared" si="244"/>
        <v>0</v>
      </c>
      <c r="AQ718" s="16"/>
      <c r="AR718" s="15"/>
      <c r="AS718" s="16">
        <f t="shared" si="248"/>
        <v>0</v>
      </c>
      <c r="AT718" s="16"/>
      <c r="AU718" s="16"/>
      <c r="AV718" s="16">
        <f t="shared" si="252"/>
        <v>0</v>
      </c>
      <c r="AW718" s="16">
        <f t="shared" si="257"/>
        <v>0</v>
      </c>
      <c r="AX718" s="16" t="str">
        <f t="shared" si="258"/>
        <v>MAYFAIR</v>
      </c>
      <c r="AY718" s="22"/>
      <c r="AZ718" s="22"/>
      <c r="BA718" s="1"/>
      <c r="BB718" s="22"/>
      <c r="BC718" s="1"/>
      <c r="BD718" s="1"/>
      <c r="BE718" s="1"/>
    </row>
    <row r="719" spans="1:57" ht="15.75" hidden="1" customHeight="1">
      <c r="A719" s="2" t="s">
        <v>212</v>
      </c>
      <c r="B719" s="1" t="s">
        <v>169</v>
      </c>
      <c r="C719" s="27">
        <v>45162</v>
      </c>
      <c r="D719" s="27">
        <v>45146</v>
      </c>
      <c r="E719" s="27">
        <v>45078</v>
      </c>
      <c r="F719" s="21">
        <v>45291</v>
      </c>
      <c r="G719" s="13" t="str">
        <f t="shared" si="243"/>
        <v>000-718/AIB RDC/2023</v>
      </c>
      <c r="H719" s="1">
        <v>1</v>
      </c>
      <c r="I719" s="1" t="s">
        <v>443</v>
      </c>
      <c r="J719" s="14" t="s">
        <v>124</v>
      </c>
      <c r="K719" s="1" t="s">
        <v>964</v>
      </c>
      <c r="L719" s="1" t="s">
        <v>965</v>
      </c>
      <c r="M719" s="1" t="s">
        <v>63</v>
      </c>
      <c r="N719" s="1" t="s">
        <v>64</v>
      </c>
      <c r="O719" s="1" t="s">
        <v>107</v>
      </c>
      <c r="P719" s="1" t="s">
        <v>108</v>
      </c>
      <c r="Q719" s="1" t="s">
        <v>127</v>
      </c>
      <c r="R719" s="1" t="s">
        <v>127</v>
      </c>
      <c r="S719" s="25">
        <v>0</v>
      </c>
      <c r="T719" s="25">
        <v>-350</v>
      </c>
      <c r="U719" s="25">
        <v>0</v>
      </c>
      <c r="V719" s="25">
        <v>0</v>
      </c>
      <c r="W719" s="25">
        <v>0</v>
      </c>
      <c r="X719" s="25">
        <v>0</v>
      </c>
      <c r="Y719" s="25">
        <v>0</v>
      </c>
      <c r="Z719" s="17" t="e">
        <f t="shared" si="253"/>
        <v>#DIV/0!</v>
      </c>
      <c r="AA719" s="18">
        <v>0.1</v>
      </c>
      <c r="AB719" s="16">
        <f t="shared" si="259"/>
        <v>0</v>
      </c>
      <c r="AC719" s="16">
        <v>0</v>
      </c>
      <c r="AD719" s="16">
        <v>0</v>
      </c>
      <c r="AE719" s="16">
        <v>0</v>
      </c>
      <c r="AF719" s="16">
        <f t="shared" si="254"/>
        <v>0</v>
      </c>
      <c r="AG719" s="16">
        <f t="shared" ref="AG719:AG750" si="260">16%*AF719</f>
        <v>0</v>
      </c>
      <c r="AH719" s="16">
        <f t="shared" si="255"/>
        <v>0</v>
      </c>
      <c r="AI719" s="16">
        <f t="shared" ref="AI719:AI741" si="261">2%*(AB719+AC719+AD719)</f>
        <v>0</v>
      </c>
      <c r="AJ719" s="16">
        <v>0</v>
      </c>
      <c r="AK719" s="16">
        <f t="shared" si="256"/>
        <v>0</v>
      </c>
      <c r="AL719" s="19"/>
      <c r="AM719" s="16">
        <f t="shared" si="247"/>
        <v>0</v>
      </c>
      <c r="AN719" s="16" t="s">
        <v>319</v>
      </c>
      <c r="AO719" s="20"/>
      <c r="AP719" s="16">
        <f t="shared" si="244"/>
        <v>0</v>
      </c>
      <c r="AQ719" s="16"/>
      <c r="AR719" s="15"/>
      <c r="AS719" s="16">
        <f t="shared" si="248"/>
        <v>0</v>
      </c>
      <c r="AT719" s="16"/>
      <c r="AU719" s="16"/>
      <c r="AV719" s="16">
        <f t="shared" si="252"/>
        <v>0</v>
      </c>
      <c r="AW719" s="16">
        <f t="shared" si="257"/>
        <v>0</v>
      </c>
      <c r="AX719" s="16" t="str">
        <f t="shared" si="258"/>
        <v>MAYFAIR</v>
      </c>
      <c r="AY719" s="22"/>
      <c r="AZ719" s="22"/>
      <c r="BA719" s="1"/>
      <c r="BB719" s="22"/>
      <c r="BC719" s="1"/>
      <c r="BD719" s="1"/>
      <c r="BE719" s="1"/>
    </row>
    <row r="720" spans="1:57" ht="15.75" customHeight="1">
      <c r="A720" s="2" t="s">
        <v>871</v>
      </c>
      <c r="B720" s="1" t="s">
        <v>169</v>
      </c>
      <c r="C720" s="27">
        <v>45156</v>
      </c>
      <c r="D720" s="27"/>
      <c r="E720" s="27">
        <v>45139</v>
      </c>
      <c r="F720" s="21">
        <v>45504</v>
      </c>
      <c r="G720" s="13" t="str">
        <f t="shared" si="243"/>
        <v>000-719/AIB RDC/2023</v>
      </c>
      <c r="H720" s="1">
        <v>1</v>
      </c>
      <c r="I720" s="1" t="s">
        <v>68</v>
      </c>
      <c r="J720" s="14" t="s">
        <v>950</v>
      </c>
      <c r="K720" s="1" t="s">
        <v>452</v>
      </c>
      <c r="L720" s="1" t="s">
        <v>62</v>
      </c>
      <c r="M720" s="1" t="s">
        <v>63</v>
      </c>
      <c r="N720" s="1" t="s">
        <v>64</v>
      </c>
      <c r="O720" s="1" t="s">
        <v>101</v>
      </c>
      <c r="P720" s="1" t="s">
        <v>81</v>
      </c>
      <c r="Q720" s="1" t="s">
        <v>135</v>
      </c>
      <c r="R720" s="1" t="s">
        <v>135</v>
      </c>
      <c r="S720" s="25">
        <v>0</v>
      </c>
      <c r="T720" s="25">
        <v>23433.33</v>
      </c>
      <c r="U720" s="25">
        <v>2978.81</v>
      </c>
      <c r="V720" s="25">
        <v>-1390.11</v>
      </c>
      <c r="W720" s="25">
        <v>0</v>
      </c>
      <c r="X720" s="25">
        <v>16879.939999999999</v>
      </c>
      <c r="Y720" s="25">
        <v>3177.4</v>
      </c>
      <c r="Z720" s="17" t="e">
        <f t="shared" si="253"/>
        <v>#DIV/0!</v>
      </c>
      <c r="AA720" s="18">
        <v>0</v>
      </c>
      <c r="AB720" s="16">
        <f t="shared" si="259"/>
        <v>0</v>
      </c>
      <c r="AC720" s="16">
        <f>30%*(U720+V720)</f>
        <v>476.61</v>
      </c>
      <c r="AD720" s="16">
        <v>0</v>
      </c>
      <c r="AE720" s="16">
        <v>0</v>
      </c>
      <c r="AF720" s="16">
        <f t="shared" si="254"/>
        <v>476.61</v>
      </c>
      <c r="AG720" s="16">
        <f t="shared" si="260"/>
        <v>76.257600000000011</v>
      </c>
      <c r="AH720" s="16">
        <f t="shared" si="255"/>
        <v>552.86760000000004</v>
      </c>
      <c r="AI720" s="16">
        <f t="shared" si="261"/>
        <v>9.5322000000000013</v>
      </c>
      <c r="AJ720" s="16">
        <v>0</v>
      </c>
      <c r="AK720" s="16">
        <f t="shared" si="256"/>
        <v>9.5322000000000013</v>
      </c>
      <c r="AL720" s="19"/>
      <c r="AM720" s="16">
        <f t="shared" si="247"/>
        <v>467.07780000000002</v>
      </c>
      <c r="AN720" s="16" t="s">
        <v>319</v>
      </c>
      <c r="AO720" s="20"/>
      <c r="AP720" s="16">
        <f t="shared" si="244"/>
        <v>0</v>
      </c>
      <c r="AQ720" s="16"/>
      <c r="AR720" s="15"/>
      <c r="AS720" s="16">
        <f t="shared" si="248"/>
        <v>0</v>
      </c>
      <c r="AT720" s="16"/>
      <c r="AU720" s="16"/>
      <c r="AV720" s="16">
        <f t="shared" si="252"/>
        <v>552.86760000000004</v>
      </c>
      <c r="AW720" s="60">
        <f t="shared" si="257"/>
        <v>552.86760000000004</v>
      </c>
      <c r="AX720" s="16" t="str">
        <f t="shared" si="258"/>
        <v>RAWSUR</v>
      </c>
      <c r="AY720" s="22"/>
      <c r="AZ720" s="22"/>
      <c r="BA720" s="1"/>
      <c r="BB720" s="22"/>
      <c r="BC720" s="1"/>
      <c r="BD720" s="1"/>
      <c r="BE720" s="1"/>
    </row>
    <row r="721" spans="1:57" ht="15.75" hidden="1" customHeight="1">
      <c r="A721" s="2" t="s">
        <v>784</v>
      </c>
      <c r="B721" s="1" t="s">
        <v>58</v>
      </c>
      <c r="C721" s="27">
        <v>45162</v>
      </c>
      <c r="D721" s="27">
        <v>45162</v>
      </c>
      <c r="E721" s="27">
        <v>45176</v>
      </c>
      <c r="F721" s="21">
        <v>45541</v>
      </c>
      <c r="G721" s="13" t="str">
        <f t="shared" si="243"/>
        <v>000-720/AIB RDC/2023</v>
      </c>
      <c r="H721" s="1">
        <v>1</v>
      </c>
      <c r="I721" s="1" t="s">
        <v>68</v>
      </c>
      <c r="J721" s="14" t="s">
        <v>967</v>
      </c>
      <c r="K721" s="1" t="s">
        <v>214</v>
      </c>
      <c r="L721" s="1" t="s">
        <v>62</v>
      </c>
      <c r="M721" s="1" t="s">
        <v>63</v>
      </c>
      <c r="N721" s="1" t="s">
        <v>64</v>
      </c>
      <c r="O721" s="1" t="s">
        <v>133</v>
      </c>
      <c r="P721" s="1" t="s">
        <v>134</v>
      </c>
      <c r="Q721" s="1" t="s">
        <v>66</v>
      </c>
      <c r="R721" s="1" t="s">
        <v>66</v>
      </c>
      <c r="S721" s="25">
        <v>1497834.83</v>
      </c>
      <c r="T721" s="25">
        <v>70291.16</v>
      </c>
      <c r="U721" s="25">
        <v>0</v>
      </c>
      <c r="V721" s="25">
        <v>0</v>
      </c>
      <c r="W721" s="25">
        <v>2116.06</v>
      </c>
      <c r="X721" s="25">
        <v>58479.77</v>
      </c>
      <c r="Y721" s="25">
        <v>9695.33</v>
      </c>
      <c r="Z721" s="17">
        <f t="shared" si="253"/>
        <v>3.904286963336271E-2</v>
      </c>
      <c r="AA721" s="18">
        <v>0.15</v>
      </c>
      <c r="AB721" s="16">
        <f t="shared" si="259"/>
        <v>8771.9654999999984</v>
      </c>
      <c r="AC721" s="16">
        <v>0</v>
      </c>
      <c r="AD721" s="16">
        <v>0</v>
      </c>
      <c r="AE721" s="16">
        <v>0</v>
      </c>
      <c r="AF721" s="16">
        <f t="shared" si="254"/>
        <v>8771.9654999999984</v>
      </c>
      <c r="AG721" s="16">
        <f t="shared" si="260"/>
        <v>1403.5144799999998</v>
      </c>
      <c r="AH721" s="16">
        <f t="shared" si="255"/>
        <v>10175.479979999998</v>
      </c>
      <c r="AI721" s="16">
        <f t="shared" si="261"/>
        <v>175.43930999999998</v>
      </c>
      <c r="AJ721" s="16">
        <v>0</v>
      </c>
      <c r="AK721" s="16">
        <f t="shared" si="256"/>
        <v>175.43930999999998</v>
      </c>
      <c r="AL721" s="19"/>
      <c r="AM721" s="16">
        <f t="shared" si="247"/>
        <v>8596.5261899999987</v>
      </c>
      <c r="AN721" s="16" t="s">
        <v>215</v>
      </c>
      <c r="AO721" s="20">
        <v>0.5</v>
      </c>
      <c r="AP721" s="16">
        <f t="shared" si="244"/>
        <v>4298.2630949999993</v>
      </c>
      <c r="AQ721" s="16"/>
      <c r="AR721" s="15"/>
      <c r="AS721" s="16">
        <f t="shared" si="248"/>
        <v>4298.2630949999993</v>
      </c>
      <c r="AT721" s="16"/>
      <c r="AU721" s="16">
        <v>10175.479979999998</v>
      </c>
      <c r="AV721" s="16">
        <f t="shared" si="252"/>
        <v>10175.479979999998</v>
      </c>
      <c r="AW721" s="16">
        <f t="shared" si="257"/>
        <v>0</v>
      </c>
      <c r="AX721" s="16" t="str">
        <f t="shared" si="258"/>
        <v>SFA</v>
      </c>
      <c r="AY721" s="22">
        <v>45197</v>
      </c>
      <c r="AZ721" t="s">
        <v>155</v>
      </c>
      <c r="BA721" s="1"/>
      <c r="BB721" s="22"/>
      <c r="BC721" s="1"/>
      <c r="BD721" s="1"/>
      <c r="BE721" s="1"/>
    </row>
    <row r="722" spans="1:57" ht="15.75" hidden="1" customHeight="1">
      <c r="A722" s="2" t="s">
        <v>871</v>
      </c>
      <c r="B722" s="1" t="s">
        <v>58</v>
      </c>
      <c r="C722" s="27">
        <v>45163</v>
      </c>
      <c r="D722" s="27">
        <v>45159</v>
      </c>
      <c r="E722" s="27">
        <v>45159</v>
      </c>
      <c r="F722" s="21">
        <v>45291</v>
      </c>
      <c r="G722" s="13" t="str">
        <f t="shared" si="243"/>
        <v>000-721/AIB RDC/2023</v>
      </c>
      <c r="H722" s="1">
        <v>0</v>
      </c>
      <c r="I722" s="1" t="s">
        <v>83</v>
      </c>
      <c r="J722" s="14" t="s">
        <v>968</v>
      </c>
      <c r="K722" s="2" t="s">
        <v>242</v>
      </c>
      <c r="L722" s="1" t="s">
        <v>243</v>
      </c>
      <c r="M722" s="1" t="s">
        <v>63</v>
      </c>
      <c r="N722" s="1" t="s">
        <v>71</v>
      </c>
      <c r="O722" s="1" t="s">
        <v>133</v>
      </c>
      <c r="P722" s="1" t="s">
        <v>134</v>
      </c>
      <c r="Q722" s="1" t="s">
        <v>76</v>
      </c>
      <c r="R722" s="1" t="s">
        <v>76</v>
      </c>
      <c r="S722" s="25">
        <v>127329.13</v>
      </c>
      <c r="T722" s="25">
        <v>2140.4699999999998</v>
      </c>
      <c r="U722" s="25">
        <v>0</v>
      </c>
      <c r="V722" s="25">
        <v>0</v>
      </c>
      <c r="W722" s="25">
        <v>18.29</v>
      </c>
      <c r="X722" s="25">
        <v>1829.47</v>
      </c>
      <c r="Y722" s="25">
        <v>292.70999999999998</v>
      </c>
      <c r="Z722" s="17">
        <f t="shared" si="253"/>
        <v>1.4368039740788301E-2</v>
      </c>
      <c r="AA722" s="18">
        <v>0.148042875805561</v>
      </c>
      <c r="AB722" s="16">
        <f t="shared" si="259"/>
        <v>270.83999999999969</v>
      </c>
      <c r="AC722" s="16">
        <v>0</v>
      </c>
      <c r="AD722" s="16">
        <v>0</v>
      </c>
      <c r="AE722" s="16">
        <v>0</v>
      </c>
      <c r="AF722" s="16">
        <f t="shared" si="254"/>
        <v>270.83999999999969</v>
      </c>
      <c r="AG722" s="16">
        <f t="shared" si="260"/>
        <v>43.334399999999953</v>
      </c>
      <c r="AH722" s="16">
        <f t="shared" si="255"/>
        <v>314.17439999999965</v>
      </c>
      <c r="AI722" s="16">
        <f t="shared" si="261"/>
        <v>5.4167999999999941</v>
      </c>
      <c r="AJ722" s="16">
        <v>0</v>
      </c>
      <c r="AK722" s="16">
        <f t="shared" si="256"/>
        <v>5.4167999999999941</v>
      </c>
      <c r="AL722" s="19"/>
      <c r="AM722" s="16">
        <f t="shared" si="247"/>
        <v>265.42319999999972</v>
      </c>
      <c r="AN722" s="16" t="s">
        <v>319</v>
      </c>
      <c r="AO722" s="20"/>
      <c r="AP722" s="16">
        <f t="shared" si="244"/>
        <v>0</v>
      </c>
      <c r="AQ722" s="16"/>
      <c r="AR722" s="15"/>
      <c r="AS722" s="16">
        <f t="shared" si="248"/>
        <v>0</v>
      </c>
      <c r="AT722" s="16"/>
      <c r="AU722" s="16">
        <v>314.17439999999965</v>
      </c>
      <c r="AV722" s="16">
        <f t="shared" si="252"/>
        <v>314.17439999999965</v>
      </c>
      <c r="AW722" s="16">
        <f t="shared" si="257"/>
        <v>0</v>
      </c>
      <c r="AX722" s="16" t="str">
        <f t="shared" si="258"/>
        <v>ACTIVA</v>
      </c>
      <c r="AY722" s="22">
        <v>45222</v>
      </c>
      <c r="AZ722" s="22"/>
      <c r="BA722" s="1"/>
      <c r="BB722" s="22"/>
      <c r="BC722" s="1"/>
      <c r="BD722" s="1"/>
      <c r="BE722" s="1"/>
    </row>
    <row r="723" spans="1:57" ht="15.75" customHeight="1">
      <c r="A723" s="2" t="s">
        <v>770</v>
      </c>
      <c r="B723" s="1" t="s">
        <v>58</v>
      </c>
      <c r="C723" s="27">
        <v>45118</v>
      </c>
      <c r="D723" s="27">
        <v>45118</v>
      </c>
      <c r="E723" s="27">
        <v>45110</v>
      </c>
      <c r="F723" s="27">
        <v>45454</v>
      </c>
      <c r="G723" s="13" t="str">
        <f t="shared" si="243"/>
        <v>000-722/AIB RDC/2023</v>
      </c>
      <c r="H723" s="1">
        <v>1</v>
      </c>
      <c r="I723" s="1" t="s">
        <v>59</v>
      </c>
      <c r="J723" s="29" t="s">
        <v>859</v>
      </c>
      <c r="K723" s="1" t="s">
        <v>777</v>
      </c>
      <c r="L723" s="1"/>
      <c r="M723" s="1" t="s">
        <v>99</v>
      </c>
      <c r="N723" s="1" t="s">
        <v>100</v>
      </c>
      <c r="O723" s="1" t="s">
        <v>65</v>
      </c>
      <c r="P723" s="1" t="s">
        <v>65</v>
      </c>
      <c r="Q723" s="1" t="s">
        <v>127</v>
      </c>
      <c r="R723" s="1" t="s">
        <v>127</v>
      </c>
      <c r="S723" s="25">
        <v>0</v>
      </c>
      <c r="T723" s="25">
        <v>2025.96</v>
      </c>
      <c r="U723" s="25">
        <v>0</v>
      </c>
      <c r="V723" s="25">
        <v>0</v>
      </c>
      <c r="W723" s="25">
        <v>30</v>
      </c>
      <c r="X723" s="25">
        <v>1686.91</v>
      </c>
      <c r="Y723" s="25">
        <v>274.70999999999998</v>
      </c>
      <c r="Z723" s="17" t="e">
        <f t="shared" si="253"/>
        <v>#DIV/0!</v>
      </c>
      <c r="AA723" s="18">
        <v>0.1</v>
      </c>
      <c r="AB723" s="16">
        <f t="shared" si="259"/>
        <v>168.69100000000003</v>
      </c>
      <c r="AC723" s="16">
        <v>0</v>
      </c>
      <c r="AD723" s="16">
        <v>0</v>
      </c>
      <c r="AE723" s="16">
        <v>0</v>
      </c>
      <c r="AF723" s="16">
        <f t="shared" si="254"/>
        <v>168.69100000000003</v>
      </c>
      <c r="AG723" s="16">
        <f t="shared" si="260"/>
        <v>26.990560000000006</v>
      </c>
      <c r="AH723" s="16">
        <f t="shared" si="255"/>
        <v>195.68156000000005</v>
      </c>
      <c r="AI723" s="16">
        <f t="shared" si="261"/>
        <v>3.3738200000000007</v>
      </c>
      <c r="AJ723" s="16">
        <v>0</v>
      </c>
      <c r="AK723" s="16">
        <f t="shared" si="256"/>
        <v>3.3738200000000007</v>
      </c>
      <c r="AL723" s="19"/>
      <c r="AM723" s="16">
        <f t="shared" si="247"/>
        <v>165.31718000000004</v>
      </c>
      <c r="AN723" s="16"/>
      <c r="AO723" s="20"/>
      <c r="AP723" s="16">
        <f t="shared" si="244"/>
        <v>0</v>
      </c>
      <c r="AQ723" s="16"/>
      <c r="AR723" s="15"/>
      <c r="AS723" s="16">
        <f t="shared" si="248"/>
        <v>0</v>
      </c>
      <c r="AT723" s="16"/>
      <c r="AU723" s="16"/>
      <c r="AV723" s="16">
        <f t="shared" si="252"/>
        <v>195.68156000000005</v>
      </c>
      <c r="AW723" s="60">
        <f t="shared" si="257"/>
        <v>195.68156000000005</v>
      </c>
      <c r="AX723" s="16" t="str">
        <f t="shared" si="258"/>
        <v>MAYFAIR</v>
      </c>
      <c r="AY723" s="22"/>
      <c r="AZ723" s="22"/>
      <c r="BA723" s="1"/>
      <c r="BB723" s="1" t="s">
        <v>65</v>
      </c>
      <c r="BC723" s="1"/>
      <c r="BD723" s="1"/>
      <c r="BE723" s="1"/>
    </row>
    <row r="724" spans="1:57" ht="15.75" customHeight="1">
      <c r="A724" s="2" t="s">
        <v>770</v>
      </c>
      <c r="B724" s="1" t="s">
        <v>58</v>
      </c>
      <c r="C724" s="27">
        <v>45135</v>
      </c>
      <c r="D724" s="27">
        <v>45135</v>
      </c>
      <c r="E724" s="27">
        <v>45135</v>
      </c>
      <c r="F724" s="27">
        <v>45454</v>
      </c>
      <c r="G724" s="13" t="str">
        <f t="shared" si="243"/>
        <v>000-723/AIB RDC/2023</v>
      </c>
      <c r="H724" s="1">
        <v>2</v>
      </c>
      <c r="I724" s="1" t="s">
        <v>59</v>
      </c>
      <c r="J724" s="29" t="s">
        <v>868</v>
      </c>
      <c r="K724" s="1" t="s">
        <v>777</v>
      </c>
      <c r="L724" s="1"/>
      <c r="M724" s="1" t="s">
        <v>99</v>
      </c>
      <c r="N724" s="1" t="s">
        <v>100</v>
      </c>
      <c r="O724" s="1" t="s">
        <v>65</v>
      </c>
      <c r="P724" s="1" t="s">
        <v>65</v>
      </c>
      <c r="Q724" s="1" t="s">
        <v>127</v>
      </c>
      <c r="R724" s="1" t="s">
        <v>127</v>
      </c>
      <c r="S724" s="25">
        <v>0</v>
      </c>
      <c r="T724" s="25">
        <v>623.83000000000004</v>
      </c>
      <c r="U724" s="25">
        <v>0</v>
      </c>
      <c r="V724" s="25">
        <v>0</v>
      </c>
      <c r="W724" s="25">
        <v>10</v>
      </c>
      <c r="X724" s="25">
        <v>518.66999999999996</v>
      </c>
      <c r="Y724" s="25">
        <v>84.59</v>
      </c>
      <c r="Z724" s="17" t="e">
        <f t="shared" si="253"/>
        <v>#DIV/0!</v>
      </c>
      <c r="AA724" s="18">
        <v>0.1</v>
      </c>
      <c r="AB724" s="16">
        <f t="shared" si="259"/>
        <v>51.866999999999997</v>
      </c>
      <c r="AC724" s="16">
        <v>0</v>
      </c>
      <c r="AD724" s="16">
        <v>0</v>
      </c>
      <c r="AE724" s="16">
        <v>0</v>
      </c>
      <c r="AF724" s="16">
        <f t="shared" si="254"/>
        <v>51.866999999999997</v>
      </c>
      <c r="AG724" s="16">
        <f t="shared" si="260"/>
        <v>8.2987199999999994</v>
      </c>
      <c r="AH724" s="16">
        <f t="shared" si="255"/>
        <v>60.165719999999993</v>
      </c>
      <c r="AI724" s="16">
        <f t="shared" si="261"/>
        <v>1.0373399999999999</v>
      </c>
      <c r="AJ724" s="16">
        <v>0</v>
      </c>
      <c r="AK724" s="16">
        <f t="shared" si="256"/>
        <v>1.0373399999999999</v>
      </c>
      <c r="AL724" s="19"/>
      <c r="AM724" s="16">
        <f t="shared" si="247"/>
        <v>50.829659999999997</v>
      </c>
      <c r="AN724" s="16"/>
      <c r="AO724" s="20"/>
      <c r="AP724" s="16">
        <f t="shared" si="244"/>
        <v>0</v>
      </c>
      <c r="AQ724" s="16"/>
      <c r="AR724" s="15"/>
      <c r="AS724" s="16">
        <f t="shared" si="248"/>
        <v>0</v>
      </c>
      <c r="AT724" s="16"/>
      <c r="AU724" s="16"/>
      <c r="AV724" s="16">
        <f t="shared" si="252"/>
        <v>60.165719999999993</v>
      </c>
      <c r="AW724" s="60">
        <f t="shared" si="257"/>
        <v>60.165719999999993</v>
      </c>
      <c r="AX724" s="16" t="str">
        <f t="shared" si="258"/>
        <v>MAYFAIR</v>
      </c>
      <c r="AY724" s="22"/>
      <c r="AZ724" s="22"/>
      <c r="BA724" s="1"/>
      <c r="BB724" s="1" t="s">
        <v>65</v>
      </c>
      <c r="BC724" s="1"/>
      <c r="BD724" s="1"/>
      <c r="BE724" s="1"/>
    </row>
    <row r="725" spans="1:57" ht="15.75" customHeight="1">
      <c r="A725" s="2" t="s">
        <v>871</v>
      </c>
      <c r="B725" s="1" t="s">
        <v>58</v>
      </c>
      <c r="C725" s="27">
        <v>45159</v>
      </c>
      <c r="D725" s="27">
        <v>45160</v>
      </c>
      <c r="E725" s="27">
        <v>45159</v>
      </c>
      <c r="F725" s="21">
        <v>45454</v>
      </c>
      <c r="G725" s="13" t="str">
        <f t="shared" ref="G725:G788" si="262">TEXT(ROW(G725)-1,"000-000") &amp; "/AIB RDC/2023"</f>
        <v>000-724/AIB RDC/2023</v>
      </c>
      <c r="H725" s="1">
        <v>4</v>
      </c>
      <c r="I725" s="1" t="s">
        <v>59</v>
      </c>
      <c r="J725" s="14" t="s">
        <v>868</v>
      </c>
      <c r="K725" s="1" t="s">
        <v>777</v>
      </c>
      <c r="L725" s="1"/>
      <c r="M725" s="1" t="s">
        <v>99</v>
      </c>
      <c r="N725" s="1" t="s">
        <v>100</v>
      </c>
      <c r="O725" s="1" t="s">
        <v>65</v>
      </c>
      <c r="P725" s="1" t="s">
        <v>65</v>
      </c>
      <c r="Q725" s="1" t="s">
        <v>127</v>
      </c>
      <c r="R725" s="1" t="s">
        <v>127</v>
      </c>
      <c r="S725" s="25">
        <v>0</v>
      </c>
      <c r="T725" s="25">
        <v>689.14</v>
      </c>
      <c r="U725" s="25">
        <v>0</v>
      </c>
      <c r="V725" s="25">
        <v>0</v>
      </c>
      <c r="W725" s="25">
        <v>30</v>
      </c>
      <c r="X725" s="25">
        <v>554.02</v>
      </c>
      <c r="Y725" s="25">
        <v>93.44</v>
      </c>
      <c r="Z725" s="17" t="e">
        <f t="shared" si="253"/>
        <v>#DIV/0!</v>
      </c>
      <c r="AA725" s="18">
        <v>0.1</v>
      </c>
      <c r="AB725" s="16">
        <f t="shared" si="259"/>
        <v>55.402000000000001</v>
      </c>
      <c r="AC725" s="16">
        <v>0</v>
      </c>
      <c r="AD725" s="16">
        <v>0</v>
      </c>
      <c r="AE725" s="16">
        <v>0</v>
      </c>
      <c r="AF725" s="16">
        <f t="shared" si="254"/>
        <v>55.402000000000001</v>
      </c>
      <c r="AG725" s="16">
        <f t="shared" si="260"/>
        <v>8.8643200000000011</v>
      </c>
      <c r="AH725" s="16">
        <f t="shared" si="255"/>
        <v>64.266320000000007</v>
      </c>
      <c r="AI725" s="16">
        <f t="shared" si="261"/>
        <v>1.1080400000000001</v>
      </c>
      <c r="AJ725" s="16">
        <v>0</v>
      </c>
      <c r="AK725" s="16">
        <f t="shared" si="256"/>
        <v>1.1080400000000001</v>
      </c>
      <c r="AL725" s="19"/>
      <c r="AM725" s="16">
        <f t="shared" si="247"/>
        <v>54.293959999999998</v>
      </c>
      <c r="AN725" s="16"/>
      <c r="AO725" s="20"/>
      <c r="AP725" s="16">
        <f t="shared" ref="AP725:AP788" si="263">AO725*AM725</f>
        <v>0</v>
      </c>
      <c r="AQ725" s="16"/>
      <c r="AR725" s="15"/>
      <c r="AS725" s="16">
        <f t="shared" si="248"/>
        <v>0</v>
      </c>
      <c r="AT725" s="16"/>
      <c r="AU725" s="16"/>
      <c r="AV725" s="16">
        <f t="shared" si="252"/>
        <v>64.266320000000007</v>
      </c>
      <c r="AW725" s="60">
        <f t="shared" si="257"/>
        <v>64.266320000000007</v>
      </c>
      <c r="AX725" s="16" t="str">
        <f t="shared" si="258"/>
        <v>MAYFAIR</v>
      </c>
      <c r="AY725" s="22"/>
      <c r="AZ725" s="22"/>
      <c r="BA725" s="1"/>
      <c r="BB725" s="22"/>
      <c r="BC725" s="1"/>
      <c r="BD725" s="1"/>
      <c r="BE725" s="1"/>
    </row>
    <row r="726" spans="1:57" ht="15.75" customHeight="1">
      <c r="A726" s="2" t="s">
        <v>784</v>
      </c>
      <c r="B726" s="1" t="s">
        <v>58</v>
      </c>
      <c r="C726" s="27">
        <v>45190</v>
      </c>
      <c r="D726" s="27">
        <v>45195</v>
      </c>
      <c r="E726" s="27">
        <v>45197</v>
      </c>
      <c r="F726" s="27">
        <v>45562</v>
      </c>
      <c r="G726" s="13" t="str">
        <f t="shared" si="262"/>
        <v>000-725/AIB RDC/2023</v>
      </c>
      <c r="H726" s="1">
        <v>1</v>
      </c>
      <c r="I726" s="1" t="s">
        <v>68</v>
      </c>
      <c r="J726" s="2" t="s">
        <v>1024</v>
      </c>
      <c r="K726" s="2" t="s">
        <v>777</v>
      </c>
      <c r="L726" s="1"/>
      <c r="M726" s="1" t="s">
        <v>99</v>
      </c>
      <c r="N726" s="1" t="s">
        <v>1021</v>
      </c>
      <c r="O726" s="1" t="s">
        <v>104</v>
      </c>
      <c r="P726" s="1" t="s">
        <v>105</v>
      </c>
      <c r="Q726" s="1" t="s">
        <v>127</v>
      </c>
      <c r="R726" s="1" t="s">
        <v>127</v>
      </c>
      <c r="S726" s="25">
        <v>5000000</v>
      </c>
      <c r="T726" s="25">
        <v>8701</v>
      </c>
      <c r="U726" s="25">
        <v>0</v>
      </c>
      <c r="V726" s="25">
        <v>0</v>
      </c>
      <c r="W726" s="25">
        <v>228</v>
      </c>
      <c r="X726" s="25">
        <v>7273</v>
      </c>
      <c r="Y726" s="25">
        <v>1200</v>
      </c>
      <c r="Z726" s="17">
        <f t="shared" si="253"/>
        <v>1.4545999999999999E-3</v>
      </c>
      <c r="AA726" s="18">
        <v>0.15</v>
      </c>
      <c r="AB726" s="16">
        <f t="shared" si="259"/>
        <v>1090.95</v>
      </c>
      <c r="AC726" s="16">
        <v>0</v>
      </c>
      <c r="AD726" s="16">
        <v>0</v>
      </c>
      <c r="AE726" s="16">
        <v>0</v>
      </c>
      <c r="AF726" s="16">
        <f t="shared" si="254"/>
        <v>1090.95</v>
      </c>
      <c r="AG726" s="16">
        <f t="shared" si="260"/>
        <v>174.55200000000002</v>
      </c>
      <c r="AH726" s="16">
        <f t="shared" si="255"/>
        <v>1265.502</v>
      </c>
      <c r="AI726" s="16">
        <f t="shared" si="261"/>
        <v>21.819000000000003</v>
      </c>
      <c r="AJ726" s="16">
        <v>0</v>
      </c>
      <c r="AK726" s="16">
        <f t="shared" si="256"/>
        <v>21.819000000000003</v>
      </c>
      <c r="AL726" s="19"/>
      <c r="AM726" s="16">
        <f t="shared" si="247"/>
        <v>1069.1310000000001</v>
      </c>
      <c r="AN726" s="16"/>
      <c r="AO726" s="20"/>
      <c r="AP726" s="16">
        <f t="shared" si="263"/>
        <v>0</v>
      </c>
      <c r="AQ726" s="16"/>
      <c r="AR726" s="15"/>
      <c r="AS726" s="16">
        <f t="shared" si="248"/>
        <v>0</v>
      </c>
      <c r="AT726" s="16"/>
      <c r="AU726" s="16">
        <v>949.13</v>
      </c>
      <c r="AV726" s="16">
        <f t="shared" si="252"/>
        <v>1265.502</v>
      </c>
      <c r="AW726" s="60">
        <f t="shared" si="257"/>
        <v>316.37199999999996</v>
      </c>
      <c r="AX726" s="16" t="str">
        <f t="shared" si="258"/>
        <v>MAYFAIR</v>
      </c>
      <c r="AY726" s="22">
        <v>45231</v>
      </c>
      <c r="BA726" s="1"/>
      <c r="BB726" s="22"/>
      <c r="BC726" s="1"/>
      <c r="BD726" s="1"/>
      <c r="BE726" s="1"/>
    </row>
    <row r="727" spans="1:57" ht="15.75" hidden="1" customHeight="1">
      <c r="A727" s="2" t="s">
        <v>871</v>
      </c>
      <c r="B727" s="1" t="s">
        <v>58</v>
      </c>
      <c r="C727" s="27">
        <v>45163</v>
      </c>
      <c r="D727" s="27">
        <v>45169</v>
      </c>
      <c r="E727" s="27">
        <v>45169</v>
      </c>
      <c r="F727" s="21">
        <v>45535</v>
      </c>
      <c r="G727" s="13" t="str">
        <f t="shared" si="262"/>
        <v>000-726/AIB RDC/2023</v>
      </c>
      <c r="H727" s="1">
        <v>0</v>
      </c>
      <c r="I727" s="1" t="s">
        <v>83</v>
      </c>
      <c r="J727" s="14" t="s">
        <v>975</v>
      </c>
      <c r="K727" s="2" t="s">
        <v>242</v>
      </c>
      <c r="L727" s="1" t="s">
        <v>243</v>
      </c>
      <c r="M727" s="1" t="s">
        <v>63</v>
      </c>
      <c r="N727" s="1" t="s">
        <v>71</v>
      </c>
      <c r="O727" s="1" t="s">
        <v>104</v>
      </c>
      <c r="P727" s="1" t="s">
        <v>105</v>
      </c>
      <c r="Q727" s="1" t="s">
        <v>66</v>
      </c>
      <c r="R727" s="1" t="s">
        <v>66</v>
      </c>
      <c r="S727" s="25">
        <v>633000</v>
      </c>
      <c r="T727" s="25">
        <v>2129.21</v>
      </c>
      <c r="U727" s="25">
        <v>0</v>
      </c>
      <c r="V727" s="25">
        <v>0</v>
      </c>
      <c r="W727" s="25">
        <v>41.57</v>
      </c>
      <c r="X727" s="25">
        <v>1772.4</v>
      </c>
      <c r="Y727" s="25">
        <v>290.24</v>
      </c>
      <c r="Z727" s="17">
        <f t="shared" si="253"/>
        <v>2.8E-3</v>
      </c>
      <c r="AA727" s="18">
        <v>0.15</v>
      </c>
      <c r="AB727" s="16">
        <f t="shared" si="259"/>
        <v>265.86</v>
      </c>
      <c r="AC727" s="16">
        <v>0</v>
      </c>
      <c r="AD727" s="16">
        <v>0</v>
      </c>
      <c r="AE727" s="16">
        <v>0</v>
      </c>
      <c r="AF727" s="16">
        <f t="shared" si="254"/>
        <v>265.86</v>
      </c>
      <c r="AG727" s="16">
        <f t="shared" si="260"/>
        <v>42.537600000000005</v>
      </c>
      <c r="AH727" s="16">
        <f t="shared" si="255"/>
        <v>308.39760000000001</v>
      </c>
      <c r="AI727" s="16">
        <f t="shared" si="261"/>
        <v>5.3172000000000006</v>
      </c>
      <c r="AJ727" s="16">
        <v>0</v>
      </c>
      <c r="AK727" s="16">
        <f t="shared" si="256"/>
        <v>5.3172000000000006</v>
      </c>
      <c r="AL727" s="19"/>
      <c r="AM727" s="16">
        <f t="shared" si="247"/>
        <v>260.5428</v>
      </c>
      <c r="AN727" s="16" t="s">
        <v>319</v>
      </c>
      <c r="AO727" s="20"/>
      <c r="AP727" s="16">
        <f t="shared" si="263"/>
        <v>0</v>
      </c>
      <c r="AQ727" s="16"/>
      <c r="AR727" s="15"/>
      <c r="AS727" s="16">
        <f t="shared" si="248"/>
        <v>0</v>
      </c>
      <c r="AT727" s="16"/>
      <c r="AU727" s="16">
        <v>308.39760000000001</v>
      </c>
      <c r="AV727" s="16">
        <f t="shared" si="252"/>
        <v>308.39760000000001</v>
      </c>
      <c r="AW727" s="16">
        <f t="shared" si="257"/>
        <v>0</v>
      </c>
      <c r="AX727" s="16" t="str">
        <f t="shared" si="258"/>
        <v>SFA</v>
      </c>
      <c r="AY727" s="22">
        <v>45197</v>
      </c>
      <c r="AZ727" t="s">
        <v>155</v>
      </c>
      <c r="BA727" s="1"/>
      <c r="BB727" s="22"/>
      <c r="BC727" s="1"/>
      <c r="BD727" s="1"/>
      <c r="BE727" s="1"/>
    </row>
    <row r="728" spans="1:57" ht="15.75" hidden="1" customHeight="1">
      <c r="A728" s="2" t="s">
        <v>784</v>
      </c>
      <c r="B728" s="1" t="s">
        <v>58</v>
      </c>
      <c r="C728" s="27">
        <v>45163</v>
      </c>
      <c r="D728" s="27">
        <v>45174</v>
      </c>
      <c r="E728" s="27">
        <v>45170</v>
      </c>
      <c r="F728" s="21">
        <v>45657</v>
      </c>
      <c r="G728" s="13" t="str">
        <f t="shared" si="262"/>
        <v>000-727/AIB RDC/2023</v>
      </c>
      <c r="H728" s="1">
        <v>1</v>
      </c>
      <c r="I728" s="1" t="s">
        <v>68</v>
      </c>
      <c r="J728" s="14" t="s">
        <v>976</v>
      </c>
      <c r="K728" s="1" t="s">
        <v>977</v>
      </c>
      <c r="L728" s="1"/>
      <c r="M728" s="1" t="s">
        <v>63</v>
      </c>
      <c r="N728" s="1" t="s">
        <v>64</v>
      </c>
      <c r="O728" s="1" t="s">
        <v>107</v>
      </c>
      <c r="P728" s="1" t="s">
        <v>108</v>
      </c>
      <c r="Q728" s="1" t="s">
        <v>127</v>
      </c>
      <c r="R728" s="1" t="s">
        <v>127</v>
      </c>
      <c r="S728" s="25">
        <v>17500</v>
      </c>
      <c r="T728" s="25">
        <v>684.84</v>
      </c>
      <c r="U728" s="25">
        <v>0</v>
      </c>
      <c r="V728" s="25">
        <v>0</v>
      </c>
      <c r="W728" s="25">
        <v>40</v>
      </c>
      <c r="X728" s="25">
        <v>540.37</v>
      </c>
      <c r="Y728" s="25">
        <v>92.86</v>
      </c>
      <c r="Z728" s="17">
        <f t="shared" si="253"/>
        <v>3.0878285714285716E-2</v>
      </c>
      <c r="AA728" s="18">
        <v>0.15</v>
      </c>
      <c r="AB728" s="16">
        <f t="shared" si="259"/>
        <v>81.055499999999995</v>
      </c>
      <c r="AC728" s="16">
        <v>0</v>
      </c>
      <c r="AD728" s="16">
        <v>0</v>
      </c>
      <c r="AE728" s="16">
        <v>0</v>
      </c>
      <c r="AF728" s="16">
        <f t="shared" si="254"/>
        <v>81.055499999999995</v>
      </c>
      <c r="AG728" s="16">
        <f t="shared" si="260"/>
        <v>12.968879999999999</v>
      </c>
      <c r="AH728" s="16">
        <f t="shared" si="255"/>
        <v>94.024379999999994</v>
      </c>
      <c r="AI728" s="16">
        <f t="shared" si="261"/>
        <v>1.6211099999999998</v>
      </c>
      <c r="AJ728" s="16">
        <v>0</v>
      </c>
      <c r="AK728" s="16">
        <f t="shared" si="256"/>
        <v>1.6211099999999998</v>
      </c>
      <c r="AL728" s="19"/>
      <c r="AM728" s="16">
        <f t="shared" si="247"/>
        <v>79.434389999999993</v>
      </c>
      <c r="AN728" s="16" t="s">
        <v>319</v>
      </c>
      <c r="AO728" s="20"/>
      <c r="AP728" s="16">
        <f t="shared" si="263"/>
        <v>0</v>
      </c>
      <c r="AQ728" s="16"/>
      <c r="AR728" s="15"/>
      <c r="AS728" s="16">
        <f t="shared" si="248"/>
        <v>0</v>
      </c>
      <c r="AT728" s="16"/>
      <c r="AU728" s="16">
        <v>94.024379999999994</v>
      </c>
      <c r="AV728" s="16">
        <f t="shared" si="252"/>
        <v>94.024379999999994</v>
      </c>
      <c r="AW728" s="16">
        <f t="shared" si="257"/>
        <v>0</v>
      </c>
      <c r="AX728" s="16" t="str">
        <f t="shared" si="258"/>
        <v>MAYFAIR</v>
      </c>
      <c r="AY728" s="22">
        <v>45231</v>
      </c>
      <c r="AZ728" s="22"/>
      <c r="BA728" s="1"/>
      <c r="BB728" s="22"/>
      <c r="BC728" s="1"/>
      <c r="BD728" s="1"/>
      <c r="BE728" s="1"/>
    </row>
    <row r="729" spans="1:57" ht="15.75" hidden="1" customHeight="1">
      <c r="A729" s="2" t="s">
        <v>784</v>
      </c>
      <c r="B729" s="1" t="s">
        <v>58</v>
      </c>
      <c r="C729" s="27">
        <v>45163</v>
      </c>
      <c r="D729" s="27">
        <v>45174</v>
      </c>
      <c r="E729" s="27">
        <v>45170</v>
      </c>
      <c r="F729" s="21">
        <v>45291</v>
      </c>
      <c r="G729" s="13" t="str">
        <f t="shared" si="262"/>
        <v>000-728/AIB RDC/2023</v>
      </c>
      <c r="H729" s="1">
        <v>1</v>
      </c>
      <c r="I729" s="1" t="s">
        <v>68</v>
      </c>
      <c r="J729" s="14" t="s">
        <v>978</v>
      </c>
      <c r="K729" s="1" t="s">
        <v>977</v>
      </c>
      <c r="L729" s="1"/>
      <c r="M729" s="1" t="s">
        <v>63</v>
      </c>
      <c r="N729" s="1" t="s">
        <v>64</v>
      </c>
      <c r="O729" s="1" t="s">
        <v>111</v>
      </c>
      <c r="P729" s="1" t="s">
        <v>112</v>
      </c>
      <c r="Q729" s="1" t="s">
        <v>127</v>
      </c>
      <c r="R729" s="1" t="s">
        <v>127</v>
      </c>
      <c r="S729" s="25">
        <v>0</v>
      </c>
      <c r="T729" s="25">
        <v>2408.8200000000002</v>
      </c>
      <c r="U729" s="25">
        <v>0</v>
      </c>
      <c r="V729" s="25">
        <v>0</v>
      </c>
      <c r="W729" s="25">
        <v>40</v>
      </c>
      <c r="X729" s="25">
        <v>2001.37</v>
      </c>
      <c r="Y729" s="25">
        <v>326.62</v>
      </c>
      <c r="Z729" s="17" t="e">
        <f t="shared" si="253"/>
        <v>#DIV/0!</v>
      </c>
      <c r="AA729" s="18">
        <v>0.15</v>
      </c>
      <c r="AB729" s="16">
        <f t="shared" si="259"/>
        <v>300.20549999999997</v>
      </c>
      <c r="AC729" s="16">
        <v>0</v>
      </c>
      <c r="AD729" s="16">
        <v>0</v>
      </c>
      <c r="AE729" s="16">
        <v>0</v>
      </c>
      <c r="AF729" s="16">
        <f t="shared" si="254"/>
        <v>300.20549999999997</v>
      </c>
      <c r="AG729" s="16">
        <f t="shared" si="260"/>
        <v>48.032879999999999</v>
      </c>
      <c r="AH729" s="16">
        <f t="shared" si="255"/>
        <v>348.23837999999995</v>
      </c>
      <c r="AI729" s="16">
        <f t="shared" si="261"/>
        <v>6.0041099999999998</v>
      </c>
      <c r="AJ729" s="16">
        <v>0</v>
      </c>
      <c r="AK729" s="16">
        <f t="shared" si="256"/>
        <v>6.0041099999999998</v>
      </c>
      <c r="AL729" s="19"/>
      <c r="AM729" s="16">
        <f t="shared" si="247"/>
        <v>294.20138999999995</v>
      </c>
      <c r="AN729" s="16" t="s">
        <v>319</v>
      </c>
      <c r="AO729" s="20"/>
      <c r="AP729" s="16">
        <f t="shared" si="263"/>
        <v>0</v>
      </c>
      <c r="AQ729" s="16"/>
      <c r="AR729" s="15"/>
      <c r="AS729" s="16">
        <f t="shared" si="248"/>
        <v>0</v>
      </c>
      <c r="AT729" s="16"/>
      <c r="AU729" s="16">
        <v>348.23837999999995</v>
      </c>
      <c r="AV729" s="16">
        <f t="shared" si="252"/>
        <v>348.23837999999995</v>
      </c>
      <c r="AW729" s="16">
        <f t="shared" si="257"/>
        <v>0</v>
      </c>
      <c r="AX729" s="16" t="str">
        <f t="shared" si="258"/>
        <v>MAYFAIR</v>
      </c>
      <c r="AY729" s="22">
        <v>45231</v>
      </c>
      <c r="AZ729" s="22"/>
      <c r="BA729" s="1"/>
      <c r="BB729" s="22"/>
      <c r="BC729" s="1"/>
      <c r="BD729" s="1"/>
      <c r="BE729" s="1"/>
    </row>
    <row r="730" spans="1:57" ht="15.75" hidden="1" customHeight="1">
      <c r="A730" s="2" t="s">
        <v>784</v>
      </c>
      <c r="B730" s="1" t="s">
        <v>58</v>
      </c>
      <c r="C730" s="27">
        <v>45168</v>
      </c>
      <c r="D730" s="27">
        <v>45190</v>
      </c>
      <c r="E730" s="27">
        <v>45189</v>
      </c>
      <c r="F730" s="21">
        <v>45554</v>
      </c>
      <c r="G730" s="13" t="str">
        <f t="shared" si="262"/>
        <v>000-729/AIB RDC/2023</v>
      </c>
      <c r="H730" s="1">
        <v>0</v>
      </c>
      <c r="I730" s="1" t="s">
        <v>83</v>
      </c>
      <c r="J730" s="14" t="s">
        <v>979</v>
      </c>
      <c r="K730" s="1" t="s">
        <v>332</v>
      </c>
      <c r="L730" s="1" t="s">
        <v>62</v>
      </c>
      <c r="M730" s="1" t="s">
        <v>63</v>
      </c>
      <c r="N730" s="1" t="s">
        <v>71</v>
      </c>
      <c r="O730" s="28" t="s">
        <v>107</v>
      </c>
      <c r="P730" s="1" t="s">
        <v>108</v>
      </c>
      <c r="Q730" s="1" t="s">
        <v>66</v>
      </c>
      <c r="R730" s="1" t="s">
        <v>66</v>
      </c>
      <c r="S730" s="25">
        <v>1990000</v>
      </c>
      <c r="T730" s="25">
        <v>2719.46</v>
      </c>
      <c r="U730" s="25">
        <v>0</v>
      </c>
      <c r="V730" s="25">
        <v>0</v>
      </c>
      <c r="W730" s="25">
        <v>67.36</v>
      </c>
      <c r="X730" s="25">
        <v>2277</v>
      </c>
      <c r="Y730" s="25">
        <v>375.1</v>
      </c>
      <c r="Z730" s="17">
        <f t="shared" si="253"/>
        <v>1.1442211055276382E-3</v>
      </c>
      <c r="AA730" s="18">
        <v>0.1</v>
      </c>
      <c r="AB730" s="16">
        <f t="shared" si="259"/>
        <v>227.70000000000002</v>
      </c>
      <c r="AC730" s="16">
        <v>0</v>
      </c>
      <c r="AD730" s="16">
        <v>0</v>
      </c>
      <c r="AE730" s="16">
        <v>0</v>
      </c>
      <c r="AF730" s="16">
        <f t="shared" si="254"/>
        <v>227.70000000000002</v>
      </c>
      <c r="AG730" s="16">
        <f t="shared" si="260"/>
        <v>36.432000000000002</v>
      </c>
      <c r="AH730" s="16">
        <f t="shared" si="255"/>
        <v>264.13200000000001</v>
      </c>
      <c r="AI730" s="16">
        <f t="shared" si="261"/>
        <v>4.5540000000000003</v>
      </c>
      <c r="AJ730" s="16">
        <v>0</v>
      </c>
      <c r="AK730" s="16">
        <f t="shared" si="256"/>
        <v>4.5540000000000003</v>
      </c>
      <c r="AL730" s="19"/>
      <c r="AM730" s="16">
        <f t="shared" si="247"/>
        <v>223.14600000000002</v>
      </c>
      <c r="AN730" s="16" t="s">
        <v>319</v>
      </c>
      <c r="AO730" s="20"/>
      <c r="AP730" s="16">
        <f t="shared" si="263"/>
        <v>0</v>
      </c>
      <c r="AQ730" s="16"/>
      <c r="AR730" s="15"/>
      <c r="AS730" s="16">
        <f t="shared" si="248"/>
        <v>0</v>
      </c>
      <c r="AT730" s="16"/>
      <c r="AU730" s="16">
        <v>264.13200000000001</v>
      </c>
      <c r="AV730" s="16">
        <f t="shared" si="252"/>
        <v>264.13200000000001</v>
      </c>
      <c r="AW730" s="16">
        <f t="shared" si="257"/>
        <v>0</v>
      </c>
      <c r="AX730" s="16" t="str">
        <f t="shared" si="258"/>
        <v>SFA</v>
      </c>
      <c r="AY730" s="22">
        <v>45216</v>
      </c>
      <c r="AZ730" s="22"/>
      <c r="BA730" s="1"/>
      <c r="BB730" s="22" t="str">
        <f>O730</f>
        <v>FIRE</v>
      </c>
      <c r="BC730" s="1"/>
      <c r="BD730" s="1"/>
      <c r="BE730" s="1"/>
    </row>
    <row r="731" spans="1:57" ht="15.75" hidden="1" customHeight="1">
      <c r="A731" s="2" t="s">
        <v>784</v>
      </c>
      <c r="B731" s="1" t="s">
        <v>58</v>
      </c>
      <c r="C731" s="27">
        <v>45169</v>
      </c>
      <c r="D731" s="27">
        <v>45170</v>
      </c>
      <c r="E731" s="27">
        <v>45170</v>
      </c>
      <c r="F731" s="21">
        <v>45535</v>
      </c>
      <c r="G731" s="13" t="str">
        <f t="shared" si="262"/>
        <v>000-730/AIB RDC/2023</v>
      </c>
      <c r="H731" s="1">
        <v>0</v>
      </c>
      <c r="I731" s="1" t="s">
        <v>83</v>
      </c>
      <c r="J731" s="14" t="s">
        <v>980</v>
      </c>
      <c r="K731" s="1" t="s">
        <v>981</v>
      </c>
      <c r="L731" s="1"/>
      <c r="M731" s="1" t="s">
        <v>63</v>
      </c>
      <c r="N731" s="1" t="s">
        <v>71</v>
      </c>
      <c r="O731" s="28" t="s">
        <v>65</v>
      </c>
      <c r="P731" s="1" t="s">
        <v>65</v>
      </c>
      <c r="Q731" s="1" t="s">
        <v>66</v>
      </c>
      <c r="R731" s="1" t="s">
        <v>66</v>
      </c>
      <c r="S731" s="25">
        <v>0</v>
      </c>
      <c r="T731" s="25">
        <v>289.35000000000002</v>
      </c>
      <c r="U731" s="25">
        <v>0</v>
      </c>
      <c r="V731" s="25">
        <v>0</v>
      </c>
      <c r="W731" s="25">
        <v>10.44</v>
      </c>
      <c r="X731" s="25">
        <v>239</v>
      </c>
      <c r="Y731" s="25">
        <v>39.909999999999997</v>
      </c>
      <c r="Z731" s="17" t="e">
        <f t="shared" si="253"/>
        <v>#DIV/0!</v>
      </c>
      <c r="AA731" s="18">
        <v>0.125</v>
      </c>
      <c r="AB731" s="16">
        <f t="shared" si="259"/>
        <v>29.875</v>
      </c>
      <c r="AC731" s="16">
        <v>0</v>
      </c>
      <c r="AD731" s="16">
        <v>0</v>
      </c>
      <c r="AE731" s="16">
        <v>0</v>
      </c>
      <c r="AF731" s="16">
        <f t="shared" si="254"/>
        <v>29.875</v>
      </c>
      <c r="AG731" s="16">
        <f t="shared" si="260"/>
        <v>4.78</v>
      </c>
      <c r="AH731" s="16">
        <f t="shared" si="255"/>
        <v>34.655000000000001</v>
      </c>
      <c r="AI731" s="16">
        <f t="shared" si="261"/>
        <v>0.59750000000000003</v>
      </c>
      <c r="AJ731" s="16">
        <v>0</v>
      </c>
      <c r="AK731" s="16">
        <f t="shared" si="256"/>
        <v>0.59750000000000003</v>
      </c>
      <c r="AL731" s="19"/>
      <c r="AM731" s="16">
        <f t="shared" si="247"/>
        <v>29.2775</v>
      </c>
      <c r="AN731" s="16" t="s">
        <v>319</v>
      </c>
      <c r="AO731" s="20"/>
      <c r="AP731" s="16">
        <f t="shared" si="263"/>
        <v>0</v>
      </c>
      <c r="AQ731" s="16"/>
      <c r="AR731" s="15"/>
      <c r="AS731" s="16">
        <f t="shared" si="248"/>
        <v>0</v>
      </c>
      <c r="AT731" s="16"/>
      <c r="AU731" s="16">
        <v>34.655000000000001</v>
      </c>
      <c r="AV731" s="16">
        <f t="shared" si="252"/>
        <v>34.655000000000001</v>
      </c>
      <c r="AW731" s="16">
        <f t="shared" si="257"/>
        <v>0</v>
      </c>
      <c r="AX731" s="16" t="str">
        <f t="shared" si="258"/>
        <v>SFA</v>
      </c>
      <c r="AY731" s="22">
        <v>45216</v>
      </c>
      <c r="AZ731" s="22"/>
      <c r="BA731" s="1"/>
      <c r="BB731" s="22"/>
      <c r="BC731" s="1"/>
      <c r="BD731" s="1"/>
      <c r="BE731" s="1"/>
    </row>
    <row r="732" spans="1:57" ht="15.75" hidden="1" customHeight="1">
      <c r="A732" s="2" t="s">
        <v>784</v>
      </c>
      <c r="B732" s="1" t="s">
        <v>58</v>
      </c>
      <c r="C732" s="27">
        <v>45169</v>
      </c>
      <c r="D732" s="27">
        <v>45177</v>
      </c>
      <c r="E732" s="27">
        <v>45176</v>
      </c>
      <c r="F732" s="21">
        <v>45541</v>
      </c>
      <c r="G732" s="13" t="str">
        <f t="shared" si="262"/>
        <v>000-731/AIB RDC/2023</v>
      </c>
      <c r="H732" s="1">
        <v>0</v>
      </c>
      <c r="I732" s="1" t="s">
        <v>83</v>
      </c>
      <c r="J732" s="14" t="s">
        <v>982</v>
      </c>
      <c r="K732" s="24" t="s">
        <v>450</v>
      </c>
      <c r="L732" s="1" t="s">
        <v>62</v>
      </c>
      <c r="M732" s="1" t="s">
        <v>63</v>
      </c>
      <c r="N732" s="1" t="s">
        <v>71</v>
      </c>
      <c r="O732" s="28" t="s">
        <v>65</v>
      </c>
      <c r="P732" s="1" t="s">
        <v>65</v>
      </c>
      <c r="Q732" s="1" t="s">
        <v>66</v>
      </c>
      <c r="R732" s="1" t="s">
        <v>66</v>
      </c>
      <c r="S732" s="25">
        <v>0</v>
      </c>
      <c r="T732" s="25">
        <v>37481.86</v>
      </c>
      <c r="U732" s="25">
        <v>0</v>
      </c>
      <c r="V732" s="25">
        <v>0</v>
      </c>
      <c r="W732" s="25">
        <v>1299.95</v>
      </c>
      <c r="X732" s="25">
        <v>31012</v>
      </c>
      <c r="Y732" s="25">
        <v>5169.21</v>
      </c>
      <c r="Z732" s="17" t="e">
        <f t="shared" si="253"/>
        <v>#DIV/0!</v>
      </c>
      <c r="AA732" s="18">
        <v>0.1</v>
      </c>
      <c r="AB732" s="16">
        <f t="shared" si="259"/>
        <v>3101.2000000000003</v>
      </c>
      <c r="AC732" s="16">
        <v>0</v>
      </c>
      <c r="AD732" s="16">
        <v>0</v>
      </c>
      <c r="AE732" s="16">
        <v>0</v>
      </c>
      <c r="AF732" s="16">
        <f t="shared" si="254"/>
        <v>3101.2000000000003</v>
      </c>
      <c r="AG732" s="16">
        <f t="shared" si="260"/>
        <v>496.19200000000006</v>
      </c>
      <c r="AH732" s="16">
        <f t="shared" si="255"/>
        <v>3597.3920000000003</v>
      </c>
      <c r="AI732" s="16">
        <f t="shared" si="261"/>
        <v>62.024000000000008</v>
      </c>
      <c r="AJ732" s="16">
        <v>0</v>
      </c>
      <c r="AK732" s="16">
        <f t="shared" si="256"/>
        <v>62.024000000000008</v>
      </c>
      <c r="AL732" s="19"/>
      <c r="AM732" s="16">
        <f t="shared" si="247"/>
        <v>3039.1760000000004</v>
      </c>
      <c r="AN732" s="16" t="s">
        <v>206</v>
      </c>
      <c r="AO732" s="20">
        <v>0.5</v>
      </c>
      <c r="AP732" s="16">
        <f t="shared" si="263"/>
        <v>1519.5880000000002</v>
      </c>
      <c r="AQ732" s="16"/>
      <c r="AR732" s="15"/>
      <c r="AS732" s="16">
        <f t="shared" si="248"/>
        <v>1519.5880000000002</v>
      </c>
      <c r="AT732" s="16"/>
      <c r="AU732" s="16">
        <v>3597.3920000000003</v>
      </c>
      <c r="AV732" s="16">
        <f t="shared" si="252"/>
        <v>3597.3920000000003</v>
      </c>
      <c r="AW732" s="16">
        <f t="shared" si="257"/>
        <v>0</v>
      </c>
      <c r="AX732" s="16" t="str">
        <f t="shared" si="258"/>
        <v>SFA</v>
      </c>
      <c r="AY732" s="22">
        <v>45216</v>
      </c>
      <c r="AZ732" s="22"/>
      <c r="BA732" s="1"/>
      <c r="BB732" s="1" t="s">
        <v>65</v>
      </c>
      <c r="BC732" s="1"/>
      <c r="BD732" s="1"/>
      <c r="BE732" s="1"/>
    </row>
    <row r="733" spans="1:57" ht="15.75" hidden="1" customHeight="1">
      <c r="A733" s="2" t="s">
        <v>784</v>
      </c>
      <c r="B733" s="1" t="s">
        <v>58</v>
      </c>
      <c r="C733" s="27">
        <v>45169</v>
      </c>
      <c r="D733" s="27">
        <v>45173</v>
      </c>
      <c r="E733" s="27">
        <v>45177</v>
      </c>
      <c r="F733" s="21">
        <v>45542</v>
      </c>
      <c r="G733" s="13" t="str">
        <f t="shared" si="262"/>
        <v>000-732/AIB RDC/2023</v>
      </c>
      <c r="H733" s="1">
        <v>0</v>
      </c>
      <c r="I733" s="1" t="s">
        <v>83</v>
      </c>
      <c r="J733" s="14" t="s">
        <v>983</v>
      </c>
      <c r="K733" s="1" t="s">
        <v>807</v>
      </c>
      <c r="L733" s="1"/>
      <c r="M733" s="1" t="s">
        <v>63</v>
      </c>
      <c r="N733" s="1" t="s">
        <v>71</v>
      </c>
      <c r="O733" s="28" t="s">
        <v>65</v>
      </c>
      <c r="P733" s="1" t="s">
        <v>65</v>
      </c>
      <c r="Q733" s="1" t="s">
        <v>66</v>
      </c>
      <c r="R733" s="1" t="s">
        <v>66</v>
      </c>
      <c r="S733" s="25">
        <v>0</v>
      </c>
      <c r="T733" s="25">
        <v>14247.37</v>
      </c>
      <c r="U733" s="25">
        <v>0</v>
      </c>
      <c r="V733" s="25">
        <v>0</v>
      </c>
      <c r="W733" s="25">
        <v>478.47</v>
      </c>
      <c r="X733" s="25">
        <v>11803.75</v>
      </c>
      <c r="Y733" s="25">
        <v>1965.15</v>
      </c>
      <c r="Z733" s="17" t="e">
        <f t="shared" si="253"/>
        <v>#DIV/0!</v>
      </c>
      <c r="AA733" s="18">
        <v>0.1</v>
      </c>
      <c r="AB733" s="16">
        <f t="shared" si="259"/>
        <v>1180.375</v>
      </c>
      <c r="AC733" s="16">
        <v>0</v>
      </c>
      <c r="AD733" s="16">
        <v>0</v>
      </c>
      <c r="AE733" s="16">
        <v>0</v>
      </c>
      <c r="AF733" s="16">
        <f t="shared" si="254"/>
        <v>1180.375</v>
      </c>
      <c r="AG733" s="16">
        <f t="shared" si="260"/>
        <v>188.86</v>
      </c>
      <c r="AH733" s="16">
        <f t="shared" si="255"/>
        <v>1369.2350000000001</v>
      </c>
      <c r="AI733" s="16">
        <f t="shared" si="261"/>
        <v>23.607500000000002</v>
      </c>
      <c r="AJ733" s="16">
        <v>0</v>
      </c>
      <c r="AK733" s="16">
        <f t="shared" si="256"/>
        <v>23.607500000000002</v>
      </c>
      <c r="AL733" s="19"/>
      <c r="AM733" s="16">
        <f t="shared" ref="AM733:AM796" si="264">AF733-AI733</f>
        <v>1156.7674999999999</v>
      </c>
      <c r="AN733" s="16" t="s">
        <v>206</v>
      </c>
      <c r="AO733" s="20">
        <v>0.5</v>
      </c>
      <c r="AP733" s="16">
        <f t="shared" si="263"/>
        <v>578.38374999999996</v>
      </c>
      <c r="AQ733" s="16"/>
      <c r="AR733" s="15"/>
      <c r="AS733" s="16">
        <f t="shared" si="248"/>
        <v>578.38374999999996</v>
      </c>
      <c r="AT733" s="16"/>
      <c r="AU733" s="16">
        <v>1369.2350000000001</v>
      </c>
      <c r="AV733" s="16">
        <f t="shared" si="252"/>
        <v>1369.2350000000001</v>
      </c>
      <c r="AW733" s="16">
        <f t="shared" si="257"/>
        <v>0</v>
      </c>
      <c r="AX733" s="16" t="str">
        <f t="shared" si="258"/>
        <v>SFA</v>
      </c>
      <c r="AY733" s="22">
        <v>45216</v>
      </c>
      <c r="AZ733" s="22"/>
      <c r="BA733" s="1"/>
      <c r="BB733" s="22"/>
      <c r="BC733" s="1"/>
      <c r="BD733" s="1"/>
      <c r="BE733" s="1"/>
    </row>
    <row r="734" spans="1:57" ht="15.75" hidden="1" customHeight="1">
      <c r="A734" s="2" t="s">
        <v>871</v>
      </c>
      <c r="B734" s="1" t="s">
        <v>58</v>
      </c>
      <c r="C734" s="27">
        <v>45175</v>
      </c>
      <c r="D734" s="27">
        <v>45118</v>
      </c>
      <c r="E734" s="27">
        <v>45118</v>
      </c>
      <c r="F734" s="21">
        <v>45148</v>
      </c>
      <c r="G734" s="13" t="str">
        <f t="shared" si="262"/>
        <v>000-733/AIB RDC/2023</v>
      </c>
      <c r="H734" s="1">
        <v>0</v>
      </c>
      <c r="I734" s="1" t="s">
        <v>83</v>
      </c>
      <c r="J734" s="14">
        <v>70100043</v>
      </c>
      <c r="K734" s="1" t="s">
        <v>197</v>
      </c>
      <c r="L734" s="1"/>
      <c r="M734" s="1" t="s">
        <v>95</v>
      </c>
      <c r="N734" s="1" t="s">
        <v>836</v>
      </c>
      <c r="O734" s="1" t="s">
        <v>104</v>
      </c>
      <c r="P734" s="1" t="s">
        <v>105</v>
      </c>
      <c r="Q734" s="1" t="s">
        <v>135</v>
      </c>
      <c r="R734" s="1" t="s">
        <v>135</v>
      </c>
      <c r="S734" s="25">
        <v>0</v>
      </c>
      <c r="T734" s="25">
        <v>1575</v>
      </c>
      <c r="U734" s="25">
        <v>0</v>
      </c>
      <c r="V734" s="25">
        <v>0</v>
      </c>
      <c r="W734" s="25">
        <v>296</v>
      </c>
      <c r="X734" s="25">
        <v>1038.74</v>
      </c>
      <c r="Y734" s="25">
        <v>213.57</v>
      </c>
      <c r="Z734" s="17" t="e">
        <f t="shared" si="253"/>
        <v>#DIV/0!</v>
      </c>
      <c r="AA734" s="18">
        <v>0.15</v>
      </c>
      <c r="AB734" s="16">
        <f t="shared" si="259"/>
        <v>155.81100000000001</v>
      </c>
      <c r="AC734" s="16">
        <v>0</v>
      </c>
      <c r="AD734" s="16">
        <v>0</v>
      </c>
      <c r="AE734" s="16">
        <v>0</v>
      </c>
      <c r="AF734" s="16">
        <f t="shared" si="254"/>
        <v>155.81100000000001</v>
      </c>
      <c r="AG734" s="16">
        <f t="shared" si="260"/>
        <v>24.929760000000002</v>
      </c>
      <c r="AH734" s="16">
        <f t="shared" si="255"/>
        <v>180.74076000000002</v>
      </c>
      <c r="AI734" s="16">
        <f t="shared" si="261"/>
        <v>3.1162200000000002</v>
      </c>
      <c r="AJ734" s="16">
        <v>0</v>
      </c>
      <c r="AK734" s="16">
        <f t="shared" si="256"/>
        <v>3.1162200000000002</v>
      </c>
      <c r="AL734" s="19"/>
      <c r="AM734" s="16">
        <f t="shared" si="264"/>
        <v>152.69478000000001</v>
      </c>
      <c r="AN734" s="16" t="s">
        <v>147</v>
      </c>
      <c r="AO734" s="20">
        <v>0.4</v>
      </c>
      <c r="AP734" s="16">
        <f t="shared" si="263"/>
        <v>61.077912000000005</v>
      </c>
      <c r="AQ734" s="16">
        <v>61.077912000000005</v>
      </c>
      <c r="AR734" s="15">
        <v>45229</v>
      </c>
      <c r="AS734" s="16">
        <f t="shared" si="248"/>
        <v>0</v>
      </c>
      <c r="AT734" s="16"/>
      <c r="AU734" s="16">
        <v>180.74076000000002</v>
      </c>
      <c r="AV734" s="16">
        <f t="shared" si="252"/>
        <v>180.74076000000002</v>
      </c>
      <c r="AW734" s="16">
        <f t="shared" si="257"/>
        <v>0</v>
      </c>
      <c r="AX734" s="16" t="str">
        <f t="shared" si="258"/>
        <v>RAWSUR</v>
      </c>
      <c r="AY734" s="22">
        <v>45174</v>
      </c>
      <c r="AZ734" s="22"/>
      <c r="BA734" s="1"/>
      <c r="BB734" s="22"/>
      <c r="BC734" s="1"/>
      <c r="BD734" s="1"/>
      <c r="BE734" s="1"/>
    </row>
    <row r="735" spans="1:57" ht="15.75" hidden="1" customHeight="1">
      <c r="A735" s="2" t="s">
        <v>871</v>
      </c>
      <c r="B735" s="1" t="s">
        <v>58</v>
      </c>
      <c r="C735" s="27">
        <v>45175</v>
      </c>
      <c r="D735" s="27">
        <v>45118</v>
      </c>
      <c r="E735" s="27">
        <v>45118</v>
      </c>
      <c r="F735" s="21">
        <v>45148</v>
      </c>
      <c r="G735" s="13" t="str">
        <f t="shared" si="262"/>
        <v>000-734/AIB RDC/2023</v>
      </c>
      <c r="H735" s="1">
        <v>0</v>
      </c>
      <c r="I735" s="1" t="s">
        <v>83</v>
      </c>
      <c r="J735" s="14">
        <v>70100042</v>
      </c>
      <c r="K735" s="1" t="s">
        <v>197</v>
      </c>
      <c r="L735" s="1"/>
      <c r="M735" s="1" t="s">
        <v>95</v>
      </c>
      <c r="N735" s="1" t="s">
        <v>836</v>
      </c>
      <c r="O735" s="1" t="s">
        <v>104</v>
      </c>
      <c r="P735" s="1" t="s">
        <v>105</v>
      </c>
      <c r="Q735" s="1" t="s">
        <v>135</v>
      </c>
      <c r="R735" s="1" t="s">
        <v>135</v>
      </c>
      <c r="S735" s="25">
        <v>0</v>
      </c>
      <c r="T735" s="25">
        <v>871.28</v>
      </c>
      <c r="U735" s="25">
        <v>0</v>
      </c>
      <c r="V735" s="25">
        <v>0</v>
      </c>
      <c r="W735" s="25">
        <v>148</v>
      </c>
      <c r="X735" s="25">
        <v>590.37</v>
      </c>
      <c r="Y735" s="25">
        <v>118.13</v>
      </c>
      <c r="Z735" s="17" t="e">
        <f t="shared" si="253"/>
        <v>#DIV/0!</v>
      </c>
      <c r="AA735" s="18">
        <v>0.15</v>
      </c>
      <c r="AB735" s="16">
        <f t="shared" si="259"/>
        <v>88.555499999999995</v>
      </c>
      <c r="AC735" s="16">
        <v>0</v>
      </c>
      <c r="AD735" s="16">
        <v>0</v>
      </c>
      <c r="AE735" s="16">
        <v>0</v>
      </c>
      <c r="AF735" s="16">
        <f t="shared" si="254"/>
        <v>88.555499999999995</v>
      </c>
      <c r="AG735" s="16">
        <f t="shared" si="260"/>
        <v>14.16888</v>
      </c>
      <c r="AH735" s="16">
        <f t="shared" si="255"/>
        <v>102.72438</v>
      </c>
      <c r="AI735" s="16">
        <f t="shared" si="261"/>
        <v>1.77111</v>
      </c>
      <c r="AJ735" s="16">
        <v>0</v>
      </c>
      <c r="AK735" s="16">
        <f t="shared" si="256"/>
        <v>1.77111</v>
      </c>
      <c r="AL735" s="19"/>
      <c r="AM735" s="16">
        <f t="shared" si="264"/>
        <v>86.784390000000002</v>
      </c>
      <c r="AN735" s="16" t="s">
        <v>147</v>
      </c>
      <c r="AO735" s="20">
        <v>0.4</v>
      </c>
      <c r="AP735" s="16">
        <f t="shared" si="263"/>
        <v>34.713756000000004</v>
      </c>
      <c r="AQ735" s="16">
        <v>34.713756000000004</v>
      </c>
      <c r="AR735" s="15">
        <v>45229</v>
      </c>
      <c r="AS735" s="16">
        <f t="shared" si="248"/>
        <v>0</v>
      </c>
      <c r="AT735" s="16"/>
      <c r="AU735" s="16">
        <v>102.72438</v>
      </c>
      <c r="AV735" s="16">
        <f t="shared" si="252"/>
        <v>102.72438</v>
      </c>
      <c r="AW735" s="16">
        <f t="shared" si="257"/>
        <v>0</v>
      </c>
      <c r="AX735" s="16" t="str">
        <f t="shared" si="258"/>
        <v>RAWSUR</v>
      </c>
      <c r="AY735" s="22">
        <v>45174</v>
      </c>
      <c r="AZ735" s="22"/>
      <c r="BA735" s="1"/>
      <c r="BB735" s="22"/>
      <c r="BC735" s="1"/>
      <c r="BD735" s="1"/>
      <c r="BE735" s="1"/>
    </row>
    <row r="736" spans="1:57" ht="15.75" hidden="1" customHeight="1">
      <c r="A736" s="2" t="s">
        <v>871</v>
      </c>
      <c r="B736" s="1" t="s">
        <v>58</v>
      </c>
      <c r="C736" s="27">
        <v>45175</v>
      </c>
      <c r="D736" s="27">
        <v>45118</v>
      </c>
      <c r="E736" s="27">
        <v>45118</v>
      </c>
      <c r="F736" s="21">
        <v>45148</v>
      </c>
      <c r="G736" s="13" t="str">
        <f t="shared" si="262"/>
        <v>000-735/AIB RDC/2023</v>
      </c>
      <c r="H736" s="1">
        <v>0</v>
      </c>
      <c r="I736" s="1" t="s">
        <v>83</v>
      </c>
      <c r="J736" s="14">
        <v>70100041</v>
      </c>
      <c r="K736" s="1" t="s">
        <v>197</v>
      </c>
      <c r="L736" s="1"/>
      <c r="M736" s="1" t="s">
        <v>95</v>
      </c>
      <c r="N736" s="1" t="s">
        <v>836</v>
      </c>
      <c r="O736" s="1" t="s">
        <v>104</v>
      </c>
      <c r="P736" s="1" t="s">
        <v>105</v>
      </c>
      <c r="Q736" s="1" t="s">
        <v>135</v>
      </c>
      <c r="R736" s="1" t="s">
        <v>135</v>
      </c>
      <c r="S736" s="25">
        <v>0</v>
      </c>
      <c r="T736" s="25">
        <v>330.57</v>
      </c>
      <c r="U736" s="25">
        <v>0</v>
      </c>
      <c r="V736" s="25">
        <v>0</v>
      </c>
      <c r="W736" s="25">
        <v>37</v>
      </c>
      <c r="X736" s="25">
        <v>243.15</v>
      </c>
      <c r="Y736" s="25">
        <v>44.82</v>
      </c>
      <c r="Z736" s="17" t="e">
        <f t="shared" si="253"/>
        <v>#DIV/0!</v>
      </c>
      <c r="AA736" s="18">
        <v>0.15</v>
      </c>
      <c r="AB736" s="16">
        <f t="shared" si="259"/>
        <v>36.472499999999997</v>
      </c>
      <c r="AC736" s="16">
        <v>0</v>
      </c>
      <c r="AD736" s="16">
        <v>0</v>
      </c>
      <c r="AE736" s="16">
        <v>0</v>
      </c>
      <c r="AF736" s="16">
        <f t="shared" si="254"/>
        <v>36.472499999999997</v>
      </c>
      <c r="AG736" s="16">
        <f t="shared" si="260"/>
        <v>5.8355999999999995</v>
      </c>
      <c r="AH736" s="16">
        <f t="shared" si="255"/>
        <v>42.308099999999996</v>
      </c>
      <c r="AI736" s="16">
        <f t="shared" si="261"/>
        <v>0.72944999999999993</v>
      </c>
      <c r="AJ736" s="16">
        <v>0</v>
      </c>
      <c r="AK736" s="16">
        <f t="shared" si="256"/>
        <v>0.72944999999999993</v>
      </c>
      <c r="AL736" s="19"/>
      <c r="AM736" s="16">
        <f t="shared" si="264"/>
        <v>35.743049999999997</v>
      </c>
      <c r="AN736" s="16" t="s">
        <v>147</v>
      </c>
      <c r="AO736" s="20">
        <v>0.4</v>
      </c>
      <c r="AP736" s="16">
        <f t="shared" si="263"/>
        <v>14.297219999999999</v>
      </c>
      <c r="AQ736" s="16">
        <v>14.297219999999999</v>
      </c>
      <c r="AR736" s="15">
        <v>45229</v>
      </c>
      <c r="AS736" s="16">
        <f t="shared" si="248"/>
        <v>0</v>
      </c>
      <c r="AT736" s="16"/>
      <c r="AU736" s="16">
        <v>42.308099999999996</v>
      </c>
      <c r="AV736" s="16">
        <f t="shared" si="252"/>
        <v>42.308099999999996</v>
      </c>
      <c r="AW736" s="16">
        <f t="shared" si="257"/>
        <v>0</v>
      </c>
      <c r="AX736" s="16" t="str">
        <f t="shared" si="258"/>
        <v>RAWSUR</v>
      </c>
      <c r="AY736" s="22">
        <v>45174</v>
      </c>
      <c r="AZ736" s="22"/>
      <c r="BA736" s="1"/>
      <c r="BB736" s="22"/>
      <c r="BC736" s="1"/>
      <c r="BD736" s="1"/>
      <c r="BE736" s="1"/>
    </row>
    <row r="737" spans="1:57" ht="15.75" hidden="1" customHeight="1">
      <c r="A737" s="2" t="s">
        <v>871</v>
      </c>
      <c r="B737" s="1" t="s">
        <v>58</v>
      </c>
      <c r="C737" s="27">
        <v>45175</v>
      </c>
      <c r="D737" s="27">
        <v>45118</v>
      </c>
      <c r="E737" s="27">
        <v>45118</v>
      </c>
      <c r="F737" s="21">
        <v>45148</v>
      </c>
      <c r="G737" s="13" t="str">
        <f t="shared" si="262"/>
        <v>000-736/AIB RDC/2023</v>
      </c>
      <c r="H737" s="1">
        <v>0</v>
      </c>
      <c r="I737" s="1" t="s">
        <v>83</v>
      </c>
      <c r="J737" s="14">
        <v>70100040</v>
      </c>
      <c r="K737" s="1" t="s">
        <v>197</v>
      </c>
      <c r="L737" s="1"/>
      <c r="M737" s="1" t="s">
        <v>95</v>
      </c>
      <c r="N737" s="1" t="s">
        <v>836</v>
      </c>
      <c r="O737" s="1" t="s">
        <v>104</v>
      </c>
      <c r="P737" s="1" t="s">
        <v>105</v>
      </c>
      <c r="Q737" s="1" t="s">
        <v>135</v>
      </c>
      <c r="R737" s="1" t="s">
        <v>135</v>
      </c>
      <c r="S737" s="25">
        <v>0</v>
      </c>
      <c r="T737" s="25">
        <v>367.17</v>
      </c>
      <c r="U737" s="25">
        <v>0</v>
      </c>
      <c r="V737" s="25">
        <v>0</v>
      </c>
      <c r="W737" s="25">
        <v>37</v>
      </c>
      <c r="X737" s="25">
        <v>274.16000000000003</v>
      </c>
      <c r="Y737" s="25">
        <v>49.79</v>
      </c>
      <c r="Z737" s="17" t="e">
        <f t="shared" si="253"/>
        <v>#DIV/0!</v>
      </c>
      <c r="AA737" s="18">
        <v>0.15</v>
      </c>
      <c r="AB737" s="16">
        <f t="shared" si="259"/>
        <v>41.124000000000002</v>
      </c>
      <c r="AC737" s="16">
        <v>0</v>
      </c>
      <c r="AD737" s="16">
        <v>0</v>
      </c>
      <c r="AE737" s="16">
        <v>0</v>
      </c>
      <c r="AF737" s="16">
        <f t="shared" si="254"/>
        <v>41.124000000000002</v>
      </c>
      <c r="AG737" s="16">
        <f t="shared" si="260"/>
        <v>6.5798400000000008</v>
      </c>
      <c r="AH737" s="16">
        <f t="shared" si="255"/>
        <v>47.70384</v>
      </c>
      <c r="AI737" s="16">
        <f t="shared" si="261"/>
        <v>0.8224800000000001</v>
      </c>
      <c r="AJ737" s="16">
        <v>0</v>
      </c>
      <c r="AK737" s="16">
        <f t="shared" si="256"/>
        <v>0.8224800000000001</v>
      </c>
      <c r="AL737" s="19"/>
      <c r="AM737" s="16">
        <f t="shared" si="264"/>
        <v>40.301520000000004</v>
      </c>
      <c r="AN737" s="16" t="s">
        <v>147</v>
      </c>
      <c r="AO737" s="20">
        <v>0.4</v>
      </c>
      <c r="AP737" s="16">
        <f t="shared" si="263"/>
        <v>16.120608000000001</v>
      </c>
      <c r="AQ737" s="16">
        <v>16.120608000000001</v>
      </c>
      <c r="AR737" s="15">
        <v>45229</v>
      </c>
      <c r="AS737" s="16">
        <f t="shared" ref="AS737:AS800" si="265">AP737-AQ737</f>
        <v>0</v>
      </c>
      <c r="AT737" s="16"/>
      <c r="AU737" s="16">
        <v>47.70384</v>
      </c>
      <c r="AV737" s="16">
        <f t="shared" si="252"/>
        <v>47.70384</v>
      </c>
      <c r="AW737" s="16">
        <f t="shared" si="257"/>
        <v>0</v>
      </c>
      <c r="AX737" s="16" t="str">
        <f t="shared" si="258"/>
        <v>RAWSUR</v>
      </c>
      <c r="AY737" s="22">
        <v>45174</v>
      </c>
      <c r="AZ737" s="22"/>
      <c r="BA737" s="1"/>
      <c r="BB737" s="22"/>
      <c r="BC737" s="1"/>
      <c r="BD737" s="1"/>
      <c r="BE737" s="1"/>
    </row>
    <row r="738" spans="1:57" ht="15.75" hidden="1" customHeight="1">
      <c r="A738" s="2" t="s">
        <v>871</v>
      </c>
      <c r="B738" s="1" t="s">
        <v>58</v>
      </c>
      <c r="C738" s="27">
        <v>45175</v>
      </c>
      <c r="D738" s="27">
        <v>45118</v>
      </c>
      <c r="E738" s="27">
        <v>45118</v>
      </c>
      <c r="F738" s="21">
        <v>45148</v>
      </c>
      <c r="G738" s="13" t="str">
        <f t="shared" si="262"/>
        <v>000-737/AIB RDC/2023</v>
      </c>
      <c r="H738" s="1">
        <v>0</v>
      </c>
      <c r="I738" s="1" t="s">
        <v>83</v>
      </c>
      <c r="J738" s="14">
        <v>70100039</v>
      </c>
      <c r="K738" s="1" t="s">
        <v>197</v>
      </c>
      <c r="L738" s="1"/>
      <c r="M738" s="1" t="s">
        <v>95</v>
      </c>
      <c r="N738" s="1" t="s">
        <v>836</v>
      </c>
      <c r="O738" s="1" t="s">
        <v>104</v>
      </c>
      <c r="P738" s="1" t="s">
        <v>105</v>
      </c>
      <c r="Q738" s="1" t="s">
        <v>135</v>
      </c>
      <c r="R738" s="1" t="s">
        <v>135</v>
      </c>
      <c r="S738" s="25">
        <v>0</v>
      </c>
      <c r="T738" s="25">
        <v>2131.9299999999998</v>
      </c>
      <c r="U738" s="25">
        <v>0</v>
      </c>
      <c r="V738" s="25">
        <v>0</v>
      </c>
      <c r="W738" s="25">
        <v>370</v>
      </c>
      <c r="X738" s="25">
        <v>1436.72</v>
      </c>
      <c r="Y738" s="25">
        <v>289.08999999999997</v>
      </c>
      <c r="Z738" s="17" t="e">
        <f t="shared" si="253"/>
        <v>#DIV/0!</v>
      </c>
      <c r="AA738" s="18">
        <v>0.15</v>
      </c>
      <c r="AB738" s="16">
        <f t="shared" si="259"/>
        <v>215.50800000000001</v>
      </c>
      <c r="AC738" s="16">
        <v>0</v>
      </c>
      <c r="AD738" s="16">
        <v>0</v>
      </c>
      <c r="AE738" s="16">
        <v>0</v>
      </c>
      <c r="AF738" s="16">
        <f t="shared" si="254"/>
        <v>215.50800000000001</v>
      </c>
      <c r="AG738" s="16">
        <f t="shared" si="260"/>
        <v>34.481280000000005</v>
      </c>
      <c r="AH738" s="16">
        <f t="shared" si="255"/>
        <v>249.98928000000001</v>
      </c>
      <c r="AI738" s="16">
        <f t="shared" si="261"/>
        <v>4.3101600000000007</v>
      </c>
      <c r="AJ738" s="16">
        <v>0</v>
      </c>
      <c r="AK738" s="16">
        <f t="shared" si="256"/>
        <v>4.3101600000000007</v>
      </c>
      <c r="AL738" s="19"/>
      <c r="AM738" s="16">
        <f t="shared" si="264"/>
        <v>211.19784000000001</v>
      </c>
      <c r="AN738" s="16" t="s">
        <v>147</v>
      </c>
      <c r="AO738" s="20">
        <v>0.4</v>
      </c>
      <c r="AP738" s="16">
        <f t="shared" si="263"/>
        <v>84.479136000000011</v>
      </c>
      <c r="AQ738" s="16">
        <v>84.479136000000011</v>
      </c>
      <c r="AR738" s="15">
        <v>45229</v>
      </c>
      <c r="AS738" s="16">
        <f t="shared" si="265"/>
        <v>0</v>
      </c>
      <c r="AT738" s="16"/>
      <c r="AU738" s="16">
        <v>249.98928000000001</v>
      </c>
      <c r="AV738" s="16">
        <f t="shared" si="252"/>
        <v>249.98928000000001</v>
      </c>
      <c r="AW738" s="16">
        <f t="shared" si="257"/>
        <v>0</v>
      </c>
      <c r="AX738" s="16" t="str">
        <f t="shared" si="258"/>
        <v>RAWSUR</v>
      </c>
      <c r="AY738" s="22">
        <v>45174</v>
      </c>
      <c r="AZ738" s="22"/>
      <c r="BA738" s="1"/>
      <c r="BB738" s="22"/>
      <c r="BC738" s="1"/>
      <c r="BD738" s="1"/>
      <c r="BE738" s="1"/>
    </row>
    <row r="739" spans="1:57" ht="15.75" hidden="1" customHeight="1">
      <c r="A739" s="2" t="s">
        <v>871</v>
      </c>
      <c r="B739" s="1" t="s">
        <v>58</v>
      </c>
      <c r="C739" s="27">
        <v>45175</v>
      </c>
      <c r="D739" s="27">
        <v>45118</v>
      </c>
      <c r="E739" s="27">
        <v>45118</v>
      </c>
      <c r="F739" s="21">
        <v>45148</v>
      </c>
      <c r="G739" s="13" t="str">
        <f t="shared" si="262"/>
        <v>000-738/AIB RDC/2023</v>
      </c>
      <c r="H739" s="1">
        <v>0</v>
      </c>
      <c r="I739" s="1" t="s">
        <v>83</v>
      </c>
      <c r="J739" s="14">
        <v>70100044</v>
      </c>
      <c r="K739" s="1" t="s">
        <v>197</v>
      </c>
      <c r="L739" s="1"/>
      <c r="M739" s="1" t="s">
        <v>95</v>
      </c>
      <c r="N739" s="1" t="s">
        <v>836</v>
      </c>
      <c r="O739" s="1" t="s">
        <v>104</v>
      </c>
      <c r="P739" s="1" t="s">
        <v>105</v>
      </c>
      <c r="Q739" s="1" t="s">
        <v>135</v>
      </c>
      <c r="R739" s="1" t="s">
        <v>135</v>
      </c>
      <c r="S739" s="25">
        <v>0</v>
      </c>
      <c r="T739" s="25">
        <v>1638.56</v>
      </c>
      <c r="U739" s="25">
        <v>0</v>
      </c>
      <c r="V739" s="25">
        <v>0</v>
      </c>
      <c r="W739" s="25">
        <v>333</v>
      </c>
      <c r="X739" s="25">
        <v>1055.5999999999999</v>
      </c>
      <c r="Y739" s="25">
        <v>222.18</v>
      </c>
      <c r="Z739" s="17" t="e">
        <f t="shared" si="253"/>
        <v>#DIV/0!</v>
      </c>
      <c r="AA739" s="18">
        <v>0.15</v>
      </c>
      <c r="AB739" s="16">
        <f t="shared" si="259"/>
        <v>158.33999999999997</v>
      </c>
      <c r="AC739" s="16">
        <v>0</v>
      </c>
      <c r="AD739" s="16">
        <v>0</v>
      </c>
      <c r="AE739" s="16">
        <v>0</v>
      </c>
      <c r="AF739" s="16">
        <f t="shared" si="254"/>
        <v>158.33999999999997</v>
      </c>
      <c r="AG739" s="16">
        <f t="shared" si="260"/>
        <v>25.334399999999995</v>
      </c>
      <c r="AH739" s="16">
        <f t="shared" si="255"/>
        <v>183.67439999999996</v>
      </c>
      <c r="AI739" s="16">
        <f t="shared" si="261"/>
        <v>3.1667999999999994</v>
      </c>
      <c r="AJ739" s="16">
        <v>0</v>
      </c>
      <c r="AK739" s="16">
        <f t="shared" si="256"/>
        <v>3.1667999999999994</v>
      </c>
      <c r="AL739" s="19"/>
      <c r="AM739" s="16">
        <f t="shared" si="264"/>
        <v>155.17319999999998</v>
      </c>
      <c r="AN739" s="16" t="s">
        <v>147</v>
      </c>
      <c r="AO739" s="20">
        <v>0.4</v>
      </c>
      <c r="AP739" s="16">
        <f t="shared" si="263"/>
        <v>62.069279999999992</v>
      </c>
      <c r="AQ739" s="16">
        <v>62.069279999999992</v>
      </c>
      <c r="AR739" s="15">
        <v>45229</v>
      </c>
      <c r="AS739" s="16">
        <f t="shared" si="265"/>
        <v>0</v>
      </c>
      <c r="AT739" s="16"/>
      <c r="AU739" s="16">
        <v>183.67439999999996</v>
      </c>
      <c r="AV739" s="16">
        <f t="shared" si="252"/>
        <v>183.67439999999996</v>
      </c>
      <c r="AW739" s="16">
        <f t="shared" si="257"/>
        <v>0</v>
      </c>
      <c r="AX739" s="16" t="str">
        <f t="shared" si="258"/>
        <v>RAWSUR</v>
      </c>
      <c r="AY739" s="22">
        <v>45174</v>
      </c>
      <c r="AZ739" s="22"/>
      <c r="BA739" s="1"/>
      <c r="BB739" s="22"/>
      <c r="BC739" s="1"/>
      <c r="BD739" s="1"/>
      <c r="BE739" s="1"/>
    </row>
    <row r="740" spans="1:57" ht="15.75" customHeight="1">
      <c r="A740" s="2" t="s">
        <v>784</v>
      </c>
      <c r="B740" s="1" t="s">
        <v>58</v>
      </c>
      <c r="C740" s="27">
        <v>45205</v>
      </c>
      <c r="D740" s="27">
        <v>45187</v>
      </c>
      <c r="E740" s="27">
        <v>45187</v>
      </c>
      <c r="F740" s="27">
        <v>45275</v>
      </c>
      <c r="G740" s="13" t="str">
        <f t="shared" si="262"/>
        <v>000-739/AIB RDC/2023</v>
      </c>
      <c r="H740" s="1">
        <v>2</v>
      </c>
      <c r="I740" s="1" t="s">
        <v>59</v>
      </c>
      <c r="J740" s="29" t="s">
        <v>313</v>
      </c>
      <c r="K740" s="2" t="s">
        <v>257</v>
      </c>
      <c r="L740" s="1"/>
      <c r="M740" s="1" t="s">
        <v>74</v>
      </c>
      <c r="N740" s="1" t="s">
        <v>75</v>
      </c>
      <c r="O740" s="1" t="s">
        <v>133</v>
      </c>
      <c r="P740" s="1" t="s">
        <v>134</v>
      </c>
      <c r="Q740" s="1" t="s">
        <v>117</v>
      </c>
      <c r="R740" s="1" t="s">
        <v>117</v>
      </c>
      <c r="S740" s="25">
        <v>0</v>
      </c>
      <c r="T740" s="25">
        <v>6146.2</v>
      </c>
      <c r="U740" s="25">
        <v>0</v>
      </c>
      <c r="V740" s="25">
        <v>0</v>
      </c>
      <c r="W740" s="25">
        <v>52.46</v>
      </c>
      <c r="X740" s="25">
        <v>5246</v>
      </c>
      <c r="Y740" s="25">
        <v>847.74</v>
      </c>
      <c r="Z740" s="17" t="e">
        <f t="shared" si="253"/>
        <v>#DIV/0!</v>
      </c>
      <c r="AA740" s="18">
        <v>0.15</v>
      </c>
      <c r="AB740" s="16">
        <f t="shared" si="259"/>
        <v>786.9</v>
      </c>
      <c r="AC740" s="16">
        <v>0</v>
      </c>
      <c r="AD740" s="16">
        <v>0</v>
      </c>
      <c r="AE740" s="16">
        <v>0</v>
      </c>
      <c r="AF740" s="16">
        <f t="shared" si="254"/>
        <v>786.9</v>
      </c>
      <c r="AG740" s="16">
        <f t="shared" si="260"/>
        <v>125.904</v>
      </c>
      <c r="AH740" s="16">
        <f t="shared" si="255"/>
        <v>912.80399999999997</v>
      </c>
      <c r="AI740" s="16">
        <f t="shared" si="261"/>
        <v>15.738</v>
      </c>
      <c r="AJ740" s="16">
        <v>0</v>
      </c>
      <c r="AK740" s="16">
        <f t="shared" si="256"/>
        <v>15.738</v>
      </c>
      <c r="AL740" s="19"/>
      <c r="AM740" s="16">
        <f t="shared" si="264"/>
        <v>771.16200000000003</v>
      </c>
      <c r="AN740" s="16"/>
      <c r="AO740" s="20"/>
      <c r="AP740" s="16">
        <f t="shared" si="263"/>
        <v>0</v>
      </c>
      <c r="AQ740" s="16"/>
      <c r="AR740" s="15"/>
      <c r="AS740" s="16">
        <f t="shared" si="265"/>
        <v>0</v>
      </c>
      <c r="AT740" s="16"/>
      <c r="AU740" s="16">
        <v>903.63</v>
      </c>
      <c r="AV740" s="16">
        <f t="shared" si="252"/>
        <v>912.80399999999997</v>
      </c>
      <c r="AW740" s="60">
        <f t="shared" si="257"/>
        <v>9.1739999999999782</v>
      </c>
      <c r="AX740" s="16" t="str">
        <f t="shared" si="258"/>
        <v>SUNU</v>
      </c>
      <c r="AY740" s="22">
        <v>45237</v>
      </c>
      <c r="BA740" s="1"/>
      <c r="BB740" s="22"/>
      <c r="BC740" s="1"/>
      <c r="BD740" s="1"/>
      <c r="BE740" s="1"/>
    </row>
    <row r="741" spans="1:57" ht="15.75" hidden="1" customHeight="1">
      <c r="A741" s="2" t="s">
        <v>871</v>
      </c>
      <c r="B741" s="1" t="s">
        <v>58</v>
      </c>
      <c r="C741" s="27">
        <v>45159</v>
      </c>
      <c r="D741" s="27">
        <v>45159</v>
      </c>
      <c r="E741" s="27">
        <v>45157</v>
      </c>
      <c r="F741" s="21">
        <v>45522</v>
      </c>
      <c r="G741" s="13" t="str">
        <f t="shared" si="262"/>
        <v>000-740/AIB RDC/2023</v>
      </c>
      <c r="H741" s="1">
        <v>1</v>
      </c>
      <c r="I741" s="1" t="s">
        <v>68</v>
      </c>
      <c r="J741" s="14" t="s">
        <v>985</v>
      </c>
      <c r="K741" s="1" t="s">
        <v>986</v>
      </c>
      <c r="L741" s="1"/>
      <c r="M741" s="1" t="s">
        <v>74</v>
      </c>
      <c r="N741" s="1" t="s">
        <v>724</v>
      </c>
      <c r="O741" s="1" t="s">
        <v>879</v>
      </c>
      <c r="P741" s="1" t="s">
        <v>112</v>
      </c>
      <c r="Q741" s="1" t="s">
        <v>76</v>
      </c>
      <c r="R741" s="1" t="s">
        <v>76</v>
      </c>
      <c r="S741" s="25">
        <v>5000000</v>
      </c>
      <c r="T741" s="25">
        <v>40258.82</v>
      </c>
      <c r="U741" s="25">
        <v>5117.6499999999996</v>
      </c>
      <c r="V741" s="25">
        <v>0</v>
      </c>
      <c r="W741" s="25">
        <v>0</v>
      </c>
      <c r="X741" s="25">
        <v>34177.65</v>
      </c>
      <c r="Y741" s="25">
        <v>5468.42</v>
      </c>
      <c r="Z741" s="17">
        <f t="shared" si="253"/>
        <v>6.8355300000000003E-3</v>
      </c>
      <c r="AA741" s="18">
        <v>0.135255642210626</v>
      </c>
      <c r="AB741" s="16">
        <f t="shared" si="259"/>
        <v>4622.7200000000021</v>
      </c>
      <c r="AC741" s="16">
        <f>30%*U741</f>
        <v>1535.2949999999998</v>
      </c>
      <c r="AD741" s="16">
        <v>1200</v>
      </c>
      <c r="AE741" s="16">
        <v>0</v>
      </c>
      <c r="AF741" s="16">
        <f t="shared" si="254"/>
        <v>7358.0150000000021</v>
      </c>
      <c r="AG741" s="16">
        <f t="shared" si="260"/>
        <v>1177.2824000000003</v>
      </c>
      <c r="AH741" s="16">
        <f t="shared" si="255"/>
        <v>8535.2974000000031</v>
      </c>
      <c r="AI741" s="16">
        <f t="shared" si="261"/>
        <v>147.16030000000003</v>
      </c>
      <c r="AJ741" s="16">
        <v>0</v>
      </c>
      <c r="AK741" s="16">
        <f t="shared" si="256"/>
        <v>147.16030000000003</v>
      </c>
      <c r="AL741" s="19"/>
      <c r="AM741" s="16">
        <f t="shared" si="264"/>
        <v>7210.8547000000017</v>
      </c>
      <c r="AN741" s="16" t="s">
        <v>319</v>
      </c>
      <c r="AO741" s="20"/>
      <c r="AP741" s="16">
        <f t="shared" si="263"/>
        <v>0</v>
      </c>
      <c r="AQ741" s="16"/>
      <c r="AR741" s="15"/>
      <c r="AS741" s="16">
        <f t="shared" si="265"/>
        <v>0</v>
      </c>
      <c r="AT741" s="16"/>
      <c r="AU741" s="16">
        <f>5800+2735.2974</f>
        <v>8535.2973999999995</v>
      </c>
      <c r="AV741" s="16">
        <f t="shared" si="252"/>
        <v>8535.2974000000031</v>
      </c>
      <c r="AW741" s="16">
        <f t="shared" si="257"/>
        <v>0</v>
      </c>
      <c r="AX741" s="16" t="str">
        <f t="shared" si="258"/>
        <v>ACTIVA</v>
      </c>
      <c r="AY741" s="22">
        <v>45238</v>
      </c>
      <c r="AZ741" s="22"/>
      <c r="BA741" s="1"/>
      <c r="BB741" s="22"/>
      <c r="BC741" s="16"/>
      <c r="BD741" s="1"/>
      <c r="BE741" s="1"/>
    </row>
    <row r="742" spans="1:57" ht="15.75" hidden="1" customHeight="1">
      <c r="A742" s="2" t="s">
        <v>784</v>
      </c>
      <c r="B742" s="1" t="s">
        <v>58</v>
      </c>
      <c r="C742" s="27">
        <v>45174</v>
      </c>
      <c r="D742" s="27">
        <v>45174</v>
      </c>
      <c r="E742" s="27">
        <v>45170</v>
      </c>
      <c r="F742" s="21">
        <v>45535</v>
      </c>
      <c r="G742" s="13" t="str">
        <f t="shared" si="262"/>
        <v>000-741/AIB RDC/2023</v>
      </c>
      <c r="H742" s="1">
        <v>0</v>
      </c>
      <c r="I742" s="1" t="s">
        <v>83</v>
      </c>
      <c r="J742" s="14" t="s">
        <v>987</v>
      </c>
      <c r="K742" s="1" t="s">
        <v>988</v>
      </c>
      <c r="L742" s="1"/>
      <c r="M742" s="1" t="s">
        <v>74</v>
      </c>
      <c r="N742" s="1" t="s">
        <v>724</v>
      </c>
      <c r="O742" s="1" t="s">
        <v>89</v>
      </c>
      <c r="P742" s="1" t="s">
        <v>89</v>
      </c>
      <c r="Q742" s="1" t="s">
        <v>90</v>
      </c>
      <c r="R742" s="1" t="s">
        <v>90</v>
      </c>
      <c r="S742" s="25">
        <v>0</v>
      </c>
      <c r="T742" s="25">
        <v>26036.79</v>
      </c>
      <c r="U742" s="25">
        <v>0</v>
      </c>
      <c r="V742" s="25">
        <v>0</v>
      </c>
      <c r="W742" s="25">
        <v>257.79000000000002</v>
      </c>
      <c r="X742" s="25">
        <v>25779</v>
      </c>
      <c r="Y742" s="25">
        <v>0</v>
      </c>
      <c r="Z742" s="17" t="e">
        <f t="shared" si="253"/>
        <v>#DIV/0!</v>
      </c>
      <c r="AA742" s="18">
        <v>0.1</v>
      </c>
      <c r="AB742" s="16">
        <f t="shared" si="259"/>
        <v>2577.9</v>
      </c>
      <c r="AC742" s="16">
        <v>0</v>
      </c>
      <c r="AD742" s="16">
        <v>0</v>
      </c>
      <c r="AE742" s="16">
        <v>0</v>
      </c>
      <c r="AF742" s="16">
        <f t="shared" si="254"/>
        <v>2577.9</v>
      </c>
      <c r="AG742" s="16">
        <v>0</v>
      </c>
      <c r="AH742" s="16">
        <f t="shared" si="255"/>
        <v>2577.9</v>
      </c>
      <c r="AI742" s="16">
        <f>1%*(AB742+AC742+AD742)</f>
        <v>25.779</v>
      </c>
      <c r="AJ742" s="16">
        <v>0</v>
      </c>
      <c r="AK742" s="16">
        <f t="shared" si="256"/>
        <v>25.779</v>
      </c>
      <c r="AL742" s="19"/>
      <c r="AM742" s="16">
        <f t="shared" si="264"/>
        <v>2552.1210000000001</v>
      </c>
      <c r="AN742" s="16" t="s">
        <v>91</v>
      </c>
      <c r="AO742" s="20">
        <v>0.7</v>
      </c>
      <c r="AP742" s="16">
        <f t="shared" si="263"/>
        <v>1786.4847</v>
      </c>
      <c r="AQ742" s="16"/>
      <c r="AR742" s="15"/>
      <c r="AS742" s="16">
        <f t="shared" si="265"/>
        <v>1786.4847</v>
      </c>
      <c r="AT742" s="16"/>
      <c r="AU742" s="16">
        <v>2577.9</v>
      </c>
      <c r="AV742" s="16">
        <f t="shared" si="252"/>
        <v>2577.9</v>
      </c>
      <c r="AW742" s="16">
        <f t="shared" si="257"/>
        <v>0</v>
      </c>
      <c r="AX742" s="16" t="str">
        <f t="shared" si="258"/>
        <v>RAWSUR - LIFE</v>
      </c>
      <c r="AY742" s="22">
        <v>45240</v>
      </c>
      <c r="AZ742" s="22"/>
      <c r="BA742" s="1"/>
      <c r="BB742" s="22"/>
      <c r="BC742" s="1"/>
      <c r="BD742" s="1"/>
      <c r="BE742" s="1"/>
    </row>
    <row r="743" spans="1:57" ht="15.75" hidden="1" customHeight="1">
      <c r="A743" s="2" t="s">
        <v>57</v>
      </c>
      <c r="B743" s="1" t="s">
        <v>58</v>
      </c>
      <c r="C743" s="27">
        <v>45177</v>
      </c>
      <c r="D743" s="27">
        <v>45105</v>
      </c>
      <c r="E743" s="27">
        <v>44927</v>
      </c>
      <c r="F743" s="21">
        <v>44927</v>
      </c>
      <c r="G743" s="13" t="str">
        <f t="shared" si="262"/>
        <v>000-742/AIB RDC/2023</v>
      </c>
      <c r="H743" s="37">
        <v>1</v>
      </c>
      <c r="I743" s="2" t="s">
        <v>989</v>
      </c>
      <c r="J743" s="38" t="s">
        <v>990</v>
      </c>
      <c r="K743" s="2" t="s">
        <v>991</v>
      </c>
      <c r="L743" s="1"/>
      <c r="M743" s="2" t="s">
        <v>95</v>
      </c>
      <c r="N743" s="2" t="s">
        <v>434</v>
      </c>
      <c r="O743" s="2" t="s">
        <v>65</v>
      </c>
      <c r="P743" s="2" t="s">
        <v>65</v>
      </c>
      <c r="Q743" s="2" t="s">
        <v>66</v>
      </c>
      <c r="R743" s="2" t="s">
        <v>66</v>
      </c>
      <c r="S743" s="25">
        <v>0</v>
      </c>
      <c r="T743" s="25">
        <v>-512.12</v>
      </c>
      <c r="U743" s="25">
        <v>0</v>
      </c>
      <c r="V743" s="25">
        <v>0</v>
      </c>
      <c r="W743" s="25">
        <v>0</v>
      </c>
      <c r="X743" s="25">
        <v>-441.48</v>
      </c>
      <c r="Y743" s="25">
        <v>-70.64</v>
      </c>
      <c r="Z743" s="17" t="e">
        <f t="shared" si="253"/>
        <v>#DIV/0!</v>
      </c>
      <c r="AA743" s="18">
        <v>0.1</v>
      </c>
      <c r="AB743" s="16">
        <f t="shared" si="259"/>
        <v>-44.148000000000003</v>
      </c>
      <c r="AC743" s="16">
        <v>0</v>
      </c>
      <c r="AD743" s="16">
        <v>0</v>
      </c>
      <c r="AE743" s="16">
        <v>0</v>
      </c>
      <c r="AF743" s="16">
        <f t="shared" si="254"/>
        <v>-44.148000000000003</v>
      </c>
      <c r="AG743" s="16">
        <f t="shared" ref="AG743:AG774" si="266">16%*AF743</f>
        <v>-7.0636800000000006</v>
      </c>
      <c r="AH743" s="16">
        <f t="shared" si="255"/>
        <v>-51.211680000000001</v>
      </c>
      <c r="AI743" s="16">
        <f t="shared" ref="AI743:AI774" si="267">2%*(AB743+AC743+AD743)</f>
        <v>-0.88296000000000008</v>
      </c>
      <c r="AJ743" s="16">
        <v>0</v>
      </c>
      <c r="AK743" s="16">
        <f t="shared" si="256"/>
        <v>-0.88296000000000008</v>
      </c>
      <c r="AL743" s="19"/>
      <c r="AM743" s="16">
        <f t="shared" si="264"/>
        <v>-43.265040000000006</v>
      </c>
      <c r="AN743" s="16" t="s">
        <v>195</v>
      </c>
      <c r="AO743" s="20"/>
      <c r="AP743" s="16">
        <f t="shared" si="263"/>
        <v>0</v>
      </c>
      <c r="AQ743" s="16"/>
      <c r="AR743" s="15"/>
      <c r="AS743" s="16">
        <f t="shared" si="265"/>
        <v>0</v>
      </c>
      <c r="AT743" s="16"/>
      <c r="AU743" s="16">
        <v>-51.211680000000001</v>
      </c>
      <c r="AV743" s="16">
        <f t="shared" si="252"/>
        <v>-51.211680000000001</v>
      </c>
      <c r="AW743" s="16">
        <f t="shared" si="257"/>
        <v>0</v>
      </c>
      <c r="AX743" s="16" t="str">
        <f t="shared" si="258"/>
        <v>SFA</v>
      </c>
      <c r="AY743" s="22">
        <v>45197</v>
      </c>
      <c r="AZ743" t="s">
        <v>155</v>
      </c>
      <c r="BA743" s="1"/>
      <c r="BB743" s="22"/>
      <c r="BC743" s="1"/>
      <c r="BD743" s="1"/>
      <c r="BE743" s="1"/>
    </row>
    <row r="744" spans="1:57" ht="15.75" hidden="1" customHeight="1">
      <c r="A744" s="2" t="s">
        <v>770</v>
      </c>
      <c r="B744" s="1" t="s">
        <v>58</v>
      </c>
      <c r="C744" s="27">
        <v>45169</v>
      </c>
      <c r="D744" s="27">
        <v>45133</v>
      </c>
      <c r="E744" s="27">
        <v>45133</v>
      </c>
      <c r="F744" s="21">
        <v>45154</v>
      </c>
      <c r="G744" s="13" t="str">
        <f t="shared" si="262"/>
        <v>000-743/AIB RDC/2023</v>
      </c>
      <c r="H744" s="37">
        <v>1</v>
      </c>
      <c r="I744" s="2" t="s">
        <v>443</v>
      </c>
      <c r="J744" s="14" t="s">
        <v>992</v>
      </c>
      <c r="K744" s="1" t="s">
        <v>925</v>
      </c>
      <c r="L744" s="1"/>
      <c r="M744" s="1" t="s">
        <v>95</v>
      </c>
      <c r="N744" s="1" t="s">
        <v>96</v>
      </c>
      <c r="O744" s="1" t="s">
        <v>107</v>
      </c>
      <c r="P744" s="1" t="s">
        <v>108</v>
      </c>
      <c r="Q744" s="1" t="s">
        <v>66</v>
      </c>
      <c r="R744" s="1" t="s">
        <v>66</v>
      </c>
      <c r="S744" s="25">
        <v>0</v>
      </c>
      <c r="T744" s="25">
        <v>-210.09</v>
      </c>
      <c r="U744" s="25">
        <v>0</v>
      </c>
      <c r="V744" s="25">
        <v>0</v>
      </c>
      <c r="W744" s="25">
        <v>0</v>
      </c>
      <c r="X744" s="25">
        <v>-181.11</v>
      </c>
      <c r="Y744" s="25">
        <v>-28.98</v>
      </c>
      <c r="Z744" s="17" t="e">
        <f t="shared" si="253"/>
        <v>#DIV/0!</v>
      </c>
      <c r="AA744" s="18">
        <v>0.1</v>
      </c>
      <c r="AB744" s="16">
        <f>AA744*(X744+V744)</f>
        <v>-18.111000000000001</v>
      </c>
      <c r="AC744" s="16">
        <v>0</v>
      </c>
      <c r="AD744" s="16">
        <v>0</v>
      </c>
      <c r="AE744" s="16">
        <v>0</v>
      </c>
      <c r="AF744" s="16">
        <f t="shared" si="254"/>
        <v>-18.111000000000001</v>
      </c>
      <c r="AG744" s="16">
        <f t="shared" si="266"/>
        <v>-2.8977600000000003</v>
      </c>
      <c r="AH744" s="16">
        <f t="shared" si="255"/>
        <v>-21.008760000000002</v>
      </c>
      <c r="AI744" s="16">
        <f t="shared" si="267"/>
        <v>-0.36222000000000004</v>
      </c>
      <c r="AJ744" s="16">
        <v>0</v>
      </c>
      <c r="AK744" s="16">
        <f t="shared" si="256"/>
        <v>-0.36222000000000004</v>
      </c>
      <c r="AL744" s="19"/>
      <c r="AM744" s="16">
        <f t="shared" si="264"/>
        <v>-17.74878</v>
      </c>
      <c r="AN744" s="16"/>
      <c r="AO744" s="20"/>
      <c r="AP744" s="16">
        <f t="shared" si="263"/>
        <v>0</v>
      </c>
      <c r="AQ744" s="16"/>
      <c r="AR744" s="15"/>
      <c r="AS744" s="16">
        <f t="shared" si="265"/>
        <v>0</v>
      </c>
      <c r="AT744" s="16"/>
      <c r="AU744" s="16">
        <v>-21.008760000000002</v>
      </c>
      <c r="AV744" s="16">
        <f t="shared" si="252"/>
        <v>-21.008760000000002</v>
      </c>
      <c r="AW744" s="16">
        <f t="shared" si="257"/>
        <v>0</v>
      </c>
      <c r="AX744" s="16" t="str">
        <f t="shared" si="258"/>
        <v>SFA</v>
      </c>
      <c r="AY744" s="22">
        <v>45197</v>
      </c>
      <c r="AZ744" t="s">
        <v>155</v>
      </c>
      <c r="BA744" s="1"/>
      <c r="BB744" s="22"/>
      <c r="BC744" s="1"/>
      <c r="BD744" s="1"/>
      <c r="BE744" s="1"/>
    </row>
    <row r="745" spans="1:57" ht="15.75" hidden="1" customHeight="1">
      <c r="A745" s="2" t="s">
        <v>770</v>
      </c>
      <c r="B745" s="1" t="s">
        <v>58</v>
      </c>
      <c r="C745" s="27">
        <v>45169</v>
      </c>
      <c r="D745" s="27">
        <v>45133</v>
      </c>
      <c r="E745" s="27">
        <v>45133</v>
      </c>
      <c r="F745" s="21">
        <v>45159</v>
      </c>
      <c r="G745" s="13" t="str">
        <f t="shared" si="262"/>
        <v>000-744/AIB RDC/2023</v>
      </c>
      <c r="H745" s="37">
        <v>1</v>
      </c>
      <c r="I745" s="2" t="s">
        <v>443</v>
      </c>
      <c r="J745" s="14" t="s">
        <v>993</v>
      </c>
      <c r="K745" s="1" t="s">
        <v>638</v>
      </c>
      <c r="L745" s="1"/>
      <c r="M745" s="1" t="s">
        <v>95</v>
      </c>
      <c r="N745" s="1" t="s">
        <v>96</v>
      </c>
      <c r="O745" s="1" t="s">
        <v>107</v>
      </c>
      <c r="P745" s="1" t="s">
        <v>108</v>
      </c>
      <c r="Q745" s="1" t="s">
        <v>66</v>
      </c>
      <c r="R745" s="1" t="s">
        <v>66</v>
      </c>
      <c r="S745" s="25">
        <v>0</v>
      </c>
      <c r="T745" s="25">
        <v>-335.73</v>
      </c>
      <c r="U745" s="25">
        <v>0</v>
      </c>
      <c r="V745" s="25">
        <v>0</v>
      </c>
      <c r="W745" s="25">
        <v>0</v>
      </c>
      <c r="X745" s="25">
        <v>-289.42</v>
      </c>
      <c r="Y745" s="25">
        <v>-46.31</v>
      </c>
      <c r="Z745" s="17" t="e">
        <f t="shared" si="253"/>
        <v>#DIV/0!</v>
      </c>
      <c r="AA745" s="18">
        <v>0.1</v>
      </c>
      <c r="AB745" s="16">
        <f>AA745*(X745+V745)</f>
        <v>-28.942000000000004</v>
      </c>
      <c r="AC745" s="16">
        <v>0</v>
      </c>
      <c r="AD745" s="16">
        <v>0</v>
      </c>
      <c r="AE745" s="16">
        <v>0</v>
      </c>
      <c r="AF745" s="16">
        <f t="shared" si="254"/>
        <v>-28.942000000000004</v>
      </c>
      <c r="AG745" s="16">
        <f t="shared" si="266"/>
        <v>-4.6307200000000011</v>
      </c>
      <c r="AH745" s="16">
        <f t="shared" si="255"/>
        <v>-33.572720000000004</v>
      </c>
      <c r="AI745" s="16">
        <f t="shared" si="267"/>
        <v>-0.57884000000000013</v>
      </c>
      <c r="AJ745" s="16">
        <v>0</v>
      </c>
      <c r="AK745" s="16">
        <f t="shared" si="256"/>
        <v>-0.57884000000000013</v>
      </c>
      <c r="AL745" s="19"/>
      <c r="AM745" s="16">
        <f t="shared" si="264"/>
        <v>-28.363160000000004</v>
      </c>
      <c r="AN745" s="16"/>
      <c r="AO745" s="20"/>
      <c r="AP745" s="16">
        <f t="shared" si="263"/>
        <v>0</v>
      </c>
      <c r="AQ745" s="16"/>
      <c r="AR745" s="15"/>
      <c r="AS745" s="16">
        <f t="shared" si="265"/>
        <v>0</v>
      </c>
      <c r="AT745" s="16"/>
      <c r="AU745" s="16">
        <v>-33.572720000000004</v>
      </c>
      <c r="AV745" s="16">
        <f t="shared" si="252"/>
        <v>-33.572720000000004</v>
      </c>
      <c r="AW745" s="16">
        <f t="shared" si="257"/>
        <v>0</v>
      </c>
      <c r="AX745" s="16" t="str">
        <f t="shared" si="258"/>
        <v>SFA</v>
      </c>
      <c r="AY745" s="22">
        <v>45197</v>
      </c>
      <c r="AZ745" t="s">
        <v>155</v>
      </c>
      <c r="BA745" s="1"/>
      <c r="BB745" s="22"/>
      <c r="BC745" s="1"/>
      <c r="BD745" s="1"/>
      <c r="BE745" s="1"/>
    </row>
    <row r="746" spans="1:57" ht="15.75" hidden="1" customHeight="1">
      <c r="A746" s="2" t="s">
        <v>212</v>
      </c>
      <c r="B746" s="1" t="s">
        <v>58</v>
      </c>
      <c r="C746" s="27">
        <v>45177</v>
      </c>
      <c r="D746" s="27">
        <v>45141</v>
      </c>
      <c r="E746" s="27">
        <v>45107</v>
      </c>
      <c r="F746" s="21">
        <v>45472</v>
      </c>
      <c r="G746" s="13" t="str">
        <f t="shared" si="262"/>
        <v>000-745/AIB RDC/2023</v>
      </c>
      <c r="H746" s="37">
        <v>2</v>
      </c>
      <c r="I746" s="2" t="s">
        <v>68</v>
      </c>
      <c r="J746" s="14">
        <v>60100010</v>
      </c>
      <c r="K746" s="1" t="s">
        <v>332</v>
      </c>
      <c r="L746" s="1" t="s">
        <v>62</v>
      </c>
      <c r="M746" s="1" t="s">
        <v>63</v>
      </c>
      <c r="N746" s="1" t="s">
        <v>64</v>
      </c>
      <c r="O746" s="1" t="s">
        <v>111</v>
      </c>
      <c r="P746" s="1" t="s">
        <v>112</v>
      </c>
      <c r="Q746" s="1" t="s">
        <v>135</v>
      </c>
      <c r="R746" s="1" t="s">
        <v>994</v>
      </c>
      <c r="S746" s="25">
        <v>0</v>
      </c>
      <c r="T746" s="25">
        <v>176122.83</v>
      </c>
      <c r="U746" s="25">
        <v>22388.5</v>
      </c>
      <c r="V746" s="25">
        <v>-9979.36</v>
      </c>
      <c r="W746" s="25">
        <v>0</v>
      </c>
      <c r="X746" s="25">
        <v>126868.14</v>
      </c>
      <c r="Y746" s="25">
        <v>23881.06</v>
      </c>
      <c r="Z746" s="17" t="e">
        <f t="shared" si="253"/>
        <v>#DIV/0!</v>
      </c>
      <c r="AA746" s="18">
        <v>0</v>
      </c>
      <c r="AB746" s="16">
        <f t="shared" ref="AB746:AB777" si="268">AA746*X746</f>
        <v>0</v>
      </c>
      <c r="AC746" s="16">
        <f>30%*(U746+V746)</f>
        <v>3722.7419999999997</v>
      </c>
      <c r="AD746" s="16">
        <v>0</v>
      </c>
      <c r="AE746" s="16">
        <v>0</v>
      </c>
      <c r="AF746" s="16">
        <f t="shared" si="254"/>
        <v>3722.7419999999997</v>
      </c>
      <c r="AG746" s="16">
        <f t="shared" si="266"/>
        <v>595.63871999999992</v>
      </c>
      <c r="AH746" s="16">
        <f t="shared" si="255"/>
        <v>4318.3807199999992</v>
      </c>
      <c r="AI746" s="16">
        <f t="shared" si="267"/>
        <v>74.45483999999999</v>
      </c>
      <c r="AJ746" s="16">
        <v>0</v>
      </c>
      <c r="AK746" s="16">
        <f t="shared" si="256"/>
        <v>74.45483999999999</v>
      </c>
      <c r="AL746" s="19"/>
      <c r="AM746" s="16">
        <f t="shared" si="264"/>
        <v>3648.2871599999999</v>
      </c>
      <c r="AN746" s="16"/>
      <c r="AO746" s="20"/>
      <c r="AP746" s="16">
        <f t="shared" si="263"/>
        <v>0</v>
      </c>
      <c r="AQ746" s="16"/>
      <c r="AR746" s="15"/>
      <c r="AS746" s="16">
        <f t="shared" si="265"/>
        <v>0</v>
      </c>
      <c r="AT746" s="16"/>
      <c r="AU746" s="16">
        <v>4318.3807199999992</v>
      </c>
      <c r="AV746" s="16">
        <f t="shared" si="252"/>
        <v>4318.3807199999992</v>
      </c>
      <c r="AW746" s="16">
        <f t="shared" si="257"/>
        <v>0</v>
      </c>
      <c r="AX746" s="16" t="str">
        <f t="shared" si="258"/>
        <v>RAWSUR</v>
      </c>
      <c r="AY746" s="22">
        <v>45219</v>
      </c>
      <c r="AZ746" s="22"/>
      <c r="BA746" s="1"/>
      <c r="BB746" s="22"/>
      <c r="BC746" s="1"/>
      <c r="BD746" s="1"/>
      <c r="BE746" s="1"/>
    </row>
    <row r="747" spans="1:57" ht="15.75" hidden="1" customHeight="1">
      <c r="A747" s="2" t="s">
        <v>770</v>
      </c>
      <c r="B747" s="1" t="s">
        <v>58</v>
      </c>
      <c r="C747" s="27">
        <v>45177</v>
      </c>
      <c r="D747" s="27">
        <v>45139</v>
      </c>
      <c r="E747" s="27">
        <v>45127</v>
      </c>
      <c r="F747" s="21">
        <v>45492</v>
      </c>
      <c r="G747" s="13" t="str">
        <f t="shared" si="262"/>
        <v>000-746/AIB RDC/2023</v>
      </c>
      <c r="H747" s="37">
        <v>1</v>
      </c>
      <c r="I747" s="2" t="s">
        <v>68</v>
      </c>
      <c r="J747" s="14" t="s">
        <v>995</v>
      </c>
      <c r="K747" s="1" t="s">
        <v>996</v>
      </c>
      <c r="L747" s="1"/>
      <c r="M747" s="1" t="s">
        <v>74</v>
      </c>
      <c r="N747" s="1" t="s">
        <v>724</v>
      </c>
      <c r="O747" s="1" t="s">
        <v>107</v>
      </c>
      <c r="P747" s="1" t="s">
        <v>108</v>
      </c>
      <c r="Q747" s="1" t="s">
        <v>135</v>
      </c>
      <c r="R747" s="1" t="s">
        <v>135</v>
      </c>
      <c r="S747" s="25">
        <v>0</v>
      </c>
      <c r="T747" s="25">
        <v>99051.42</v>
      </c>
      <c r="U747" s="25">
        <v>0</v>
      </c>
      <c r="V747" s="25">
        <v>0</v>
      </c>
      <c r="W747" s="25">
        <v>100</v>
      </c>
      <c r="X747" s="25">
        <v>97099.23</v>
      </c>
      <c r="Y747" s="25">
        <v>0</v>
      </c>
      <c r="Z747" s="17" t="e">
        <f t="shared" si="253"/>
        <v>#DIV/0!</v>
      </c>
      <c r="AA747" s="18">
        <v>5.5500028167061698E-2</v>
      </c>
      <c r="AB747" s="16">
        <f t="shared" si="268"/>
        <v>5389.010000000002</v>
      </c>
      <c r="AC747" s="16">
        <v>0</v>
      </c>
      <c r="AD747" s="16">
        <v>0</v>
      </c>
      <c r="AE747" s="16">
        <v>0</v>
      </c>
      <c r="AF747" s="16">
        <f t="shared" si="254"/>
        <v>5389.010000000002</v>
      </c>
      <c r="AG747" s="16">
        <f t="shared" si="266"/>
        <v>862.24160000000029</v>
      </c>
      <c r="AH747" s="16">
        <f t="shared" si="255"/>
        <v>6251.2516000000023</v>
      </c>
      <c r="AI747" s="16">
        <f t="shared" si="267"/>
        <v>107.78020000000004</v>
      </c>
      <c r="AJ747" s="16">
        <v>0</v>
      </c>
      <c r="AK747" s="16">
        <f t="shared" si="256"/>
        <v>107.78020000000004</v>
      </c>
      <c r="AL747" s="19"/>
      <c r="AM747" s="16">
        <f t="shared" si="264"/>
        <v>5281.2298000000019</v>
      </c>
      <c r="AN747" s="16"/>
      <c r="AO747" s="20"/>
      <c r="AP747" s="16">
        <f t="shared" si="263"/>
        <v>0</v>
      </c>
      <c r="AQ747" s="16"/>
      <c r="AR747" s="15"/>
      <c r="AS747" s="16">
        <f t="shared" si="265"/>
        <v>0</v>
      </c>
      <c r="AT747" s="16"/>
      <c r="AU747" s="16">
        <v>6251.2516000000023</v>
      </c>
      <c r="AV747" s="16">
        <f t="shared" si="252"/>
        <v>6251.2516000000023</v>
      </c>
      <c r="AW747" s="16">
        <f t="shared" si="257"/>
        <v>0</v>
      </c>
      <c r="AX747" s="16" t="str">
        <f t="shared" si="258"/>
        <v>RAWSUR</v>
      </c>
      <c r="AY747" s="22">
        <v>45219</v>
      </c>
      <c r="AZ747" s="22"/>
      <c r="BA747" s="1"/>
      <c r="BB747" s="22"/>
      <c r="BC747" s="1"/>
      <c r="BD747" s="1"/>
      <c r="BE747" s="1"/>
    </row>
    <row r="748" spans="1:57" ht="15.75" hidden="1" customHeight="1">
      <c r="A748" s="2" t="s">
        <v>770</v>
      </c>
      <c r="B748" s="1" t="s">
        <v>58</v>
      </c>
      <c r="C748" s="27">
        <v>45177</v>
      </c>
      <c r="D748" s="27">
        <v>45160</v>
      </c>
      <c r="E748" s="27">
        <v>45127</v>
      </c>
      <c r="F748" s="21">
        <v>45492</v>
      </c>
      <c r="G748" s="13" t="str">
        <f t="shared" si="262"/>
        <v>000-747/AIB RDC/2023</v>
      </c>
      <c r="H748" s="37">
        <v>2</v>
      </c>
      <c r="I748" s="2" t="s">
        <v>59</v>
      </c>
      <c r="J748" s="14" t="s">
        <v>995</v>
      </c>
      <c r="K748" s="1" t="s">
        <v>996</v>
      </c>
      <c r="L748" s="1"/>
      <c r="M748" s="1" t="s">
        <v>74</v>
      </c>
      <c r="N748" s="1" t="s">
        <v>724</v>
      </c>
      <c r="O748" s="1" t="s">
        <v>107</v>
      </c>
      <c r="P748" s="1" t="s">
        <v>108</v>
      </c>
      <c r="Q748" s="1" t="s">
        <v>135</v>
      </c>
      <c r="R748" s="1" t="s">
        <v>135</v>
      </c>
      <c r="S748" s="25">
        <v>0</v>
      </c>
      <c r="T748" s="25">
        <v>99051.14</v>
      </c>
      <c r="U748" s="25">
        <v>0</v>
      </c>
      <c r="V748" s="25">
        <v>0</v>
      </c>
      <c r="W748" s="25">
        <v>0</v>
      </c>
      <c r="X748" s="25">
        <v>97008.960000000006</v>
      </c>
      <c r="Y748" s="25">
        <v>0</v>
      </c>
      <c r="Z748" s="17" t="e">
        <f t="shared" si="253"/>
        <v>#DIV/0!</v>
      </c>
      <c r="AA748" s="18">
        <v>5.5500028038647099E-2</v>
      </c>
      <c r="AB748" s="16">
        <f t="shared" si="268"/>
        <v>5383.9999999999955</v>
      </c>
      <c r="AC748" s="16">
        <v>0</v>
      </c>
      <c r="AD748" s="16">
        <v>0</v>
      </c>
      <c r="AE748" s="16">
        <v>0</v>
      </c>
      <c r="AF748" s="16">
        <f t="shared" si="254"/>
        <v>5383.9999999999955</v>
      </c>
      <c r="AG748" s="16">
        <f t="shared" si="266"/>
        <v>861.43999999999926</v>
      </c>
      <c r="AH748" s="16">
        <f t="shared" si="255"/>
        <v>6245.4399999999951</v>
      </c>
      <c r="AI748" s="16">
        <f t="shared" si="267"/>
        <v>107.67999999999991</v>
      </c>
      <c r="AJ748" s="16">
        <v>0</v>
      </c>
      <c r="AK748" s="16">
        <f t="shared" si="256"/>
        <v>107.67999999999991</v>
      </c>
      <c r="AL748" s="19"/>
      <c r="AM748" s="16">
        <f t="shared" si="264"/>
        <v>5276.3199999999952</v>
      </c>
      <c r="AN748" s="16"/>
      <c r="AO748" s="20"/>
      <c r="AP748" s="16">
        <f t="shared" si="263"/>
        <v>0</v>
      </c>
      <c r="AQ748" s="16"/>
      <c r="AR748" s="15"/>
      <c r="AS748" s="16">
        <f t="shared" si="265"/>
        <v>0</v>
      </c>
      <c r="AT748" s="16"/>
      <c r="AU748" s="16">
        <v>6245.4399999999951</v>
      </c>
      <c r="AV748" s="16">
        <f t="shared" si="252"/>
        <v>6245.4399999999951</v>
      </c>
      <c r="AW748" s="16">
        <f t="shared" si="257"/>
        <v>0</v>
      </c>
      <c r="AX748" s="16" t="str">
        <f t="shared" si="258"/>
        <v>RAWSUR</v>
      </c>
      <c r="AY748" s="22">
        <v>45219</v>
      </c>
      <c r="AZ748" s="22"/>
      <c r="BA748" s="1"/>
      <c r="BB748" s="22"/>
      <c r="BC748" s="1"/>
      <c r="BD748" s="1"/>
      <c r="BE748" s="1"/>
    </row>
    <row r="749" spans="1:57" ht="15.75" hidden="1" customHeight="1">
      <c r="A749" s="2" t="s">
        <v>212</v>
      </c>
      <c r="B749" s="1" t="s">
        <v>58</v>
      </c>
      <c r="C749" s="27">
        <v>45177</v>
      </c>
      <c r="D749" s="27">
        <v>45147</v>
      </c>
      <c r="E749" s="27">
        <v>45100</v>
      </c>
      <c r="F749" s="21">
        <v>45152</v>
      </c>
      <c r="G749" s="13" t="str">
        <f t="shared" si="262"/>
        <v>000-748/AIB RDC/2023</v>
      </c>
      <c r="H749" s="1">
        <v>4</v>
      </c>
      <c r="I749" s="1" t="s">
        <v>59</v>
      </c>
      <c r="J749" s="29">
        <v>73200022</v>
      </c>
      <c r="K749" s="1" t="s">
        <v>907</v>
      </c>
      <c r="L749" s="1"/>
      <c r="M749" s="1" t="s">
        <v>74</v>
      </c>
      <c r="N749" s="1" t="s">
        <v>75</v>
      </c>
      <c r="O749" s="2" t="s">
        <v>104</v>
      </c>
      <c r="P749" s="2" t="s">
        <v>105</v>
      </c>
      <c r="Q749" s="2" t="s">
        <v>135</v>
      </c>
      <c r="R749" s="2" t="s">
        <v>135</v>
      </c>
      <c r="S749" s="25">
        <v>0</v>
      </c>
      <c r="T749" s="25">
        <v>20000</v>
      </c>
      <c r="U749" s="25">
        <v>0</v>
      </c>
      <c r="V749" s="25">
        <v>0</v>
      </c>
      <c r="W749" s="25">
        <v>1147</v>
      </c>
      <c r="X749" s="25">
        <v>15802.16</v>
      </c>
      <c r="Y749" s="25">
        <v>2711.87</v>
      </c>
      <c r="Z749" s="17" t="e">
        <f t="shared" si="253"/>
        <v>#DIV/0!</v>
      </c>
      <c r="AA749" s="18">
        <v>0.15</v>
      </c>
      <c r="AB749" s="16">
        <f t="shared" si="268"/>
        <v>2370.3240000000001</v>
      </c>
      <c r="AC749" s="16">
        <v>0</v>
      </c>
      <c r="AD749" s="16">
        <v>0</v>
      </c>
      <c r="AE749" s="16">
        <v>0</v>
      </c>
      <c r="AF749" s="16">
        <f t="shared" si="254"/>
        <v>2370.3240000000001</v>
      </c>
      <c r="AG749" s="16">
        <f t="shared" si="266"/>
        <v>379.25184000000002</v>
      </c>
      <c r="AH749" s="16">
        <f t="shared" si="255"/>
        <v>2749.57584</v>
      </c>
      <c r="AI749" s="16">
        <f t="shared" si="267"/>
        <v>47.406480000000002</v>
      </c>
      <c r="AJ749" s="16">
        <v>0</v>
      </c>
      <c r="AK749" s="16">
        <f t="shared" si="256"/>
        <v>47.406480000000002</v>
      </c>
      <c r="AL749" s="19"/>
      <c r="AM749" s="16">
        <f t="shared" si="264"/>
        <v>2322.91752</v>
      </c>
      <c r="AN749" s="16"/>
      <c r="AO749" s="20"/>
      <c r="AP749" s="16">
        <f t="shared" si="263"/>
        <v>0</v>
      </c>
      <c r="AQ749" s="16"/>
      <c r="AR749" s="15"/>
      <c r="AS749" s="16">
        <f t="shared" si="265"/>
        <v>0</v>
      </c>
      <c r="AT749" s="16"/>
      <c r="AU749" s="16">
        <v>2749.57584</v>
      </c>
      <c r="AV749" s="16">
        <f t="shared" si="252"/>
        <v>2749.57584</v>
      </c>
      <c r="AW749" s="16">
        <f t="shared" si="257"/>
        <v>0</v>
      </c>
      <c r="AX749" s="16" t="str">
        <f t="shared" si="258"/>
        <v>RAWSUR</v>
      </c>
      <c r="AY749" s="22">
        <v>45219</v>
      </c>
      <c r="AZ749" s="22"/>
      <c r="BA749" s="1"/>
      <c r="BB749" s="22"/>
      <c r="BC749" s="1"/>
      <c r="BD749" s="1"/>
      <c r="BE749" s="1"/>
    </row>
    <row r="750" spans="1:57" ht="15.75" hidden="1" customHeight="1">
      <c r="A750" s="2" t="s">
        <v>871</v>
      </c>
      <c r="B750" s="1" t="s">
        <v>58</v>
      </c>
      <c r="C750" s="27">
        <v>45177</v>
      </c>
      <c r="D750" s="27">
        <v>45160</v>
      </c>
      <c r="E750" s="27">
        <v>45156</v>
      </c>
      <c r="F750" s="21">
        <v>45518</v>
      </c>
      <c r="G750" s="13" t="str">
        <f t="shared" si="262"/>
        <v>000-749/AIB RDC/2023</v>
      </c>
      <c r="H750" s="1">
        <v>5</v>
      </c>
      <c r="I750" s="1" t="s">
        <v>68</v>
      </c>
      <c r="J750" s="29">
        <v>73200022</v>
      </c>
      <c r="K750" s="1" t="s">
        <v>907</v>
      </c>
      <c r="L750" s="1"/>
      <c r="M750" s="1" t="s">
        <v>74</v>
      </c>
      <c r="N750" s="1" t="s">
        <v>75</v>
      </c>
      <c r="O750" s="2" t="s">
        <v>104</v>
      </c>
      <c r="P750" s="2" t="s">
        <v>105</v>
      </c>
      <c r="Q750" s="2" t="s">
        <v>135</v>
      </c>
      <c r="R750" s="2" t="s">
        <v>135</v>
      </c>
      <c r="S750" s="25">
        <v>0</v>
      </c>
      <c r="T750" s="25">
        <v>20100</v>
      </c>
      <c r="U750" s="25">
        <v>0</v>
      </c>
      <c r="V750" s="25">
        <v>0</v>
      </c>
      <c r="W750" s="25">
        <v>1480</v>
      </c>
      <c r="X750" s="25">
        <v>15553.9</v>
      </c>
      <c r="Y750" s="25">
        <v>2725.42</v>
      </c>
      <c r="Z750" s="17" t="e">
        <f t="shared" si="253"/>
        <v>#DIV/0!</v>
      </c>
      <c r="AA750" s="18">
        <v>0.15</v>
      </c>
      <c r="AB750" s="16">
        <f t="shared" si="268"/>
        <v>2333.085</v>
      </c>
      <c r="AC750" s="16">
        <v>0</v>
      </c>
      <c r="AD750" s="16">
        <v>0</v>
      </c>
      <c r="AE750" s="16">
        <v>0</v>
      </c>
      <c r="AF750" s="16">
        <f t="shared" si="254"/>
        <v>2333.085</v>
      </c>
      <c r="AG750" s="16">
        <f t="shared" si="266"/>
        <v>373.29360000000003</v>
      </c>
      <c r="AH750" s="16">
        <f t="shared" si="255"/>
        <v>2706.3786</v>
      </c>
      <c r="AI750" s="16">
        <f t="shared" si="267"/>
        <v>46.661700000000003</v>
      </c>
      <c r="AJ750" s="16">
        <v>0</v>
      </c>
      <c r="AK750" s="16">
        <f t="shared" si="256"/>
        <v>46.661700000000003</v>
      </c>
      <c r="AL750" s="19"/>
      <c r="AM750" s="16">
        <f t="shared" si="264"/>
        <v>2286.4232999999999</v>
      </c>
      <c r="AN750" s="16"/>
      <c r="AO750" s="20"/>
      <c r="AP750" s="16">
        <f t="shared" si="263"/>
        <v>0</v>
      </c>
      <c r="AQ750" s="16"/>
      <c r="AR750" s="15"/>
      <c r="AS750" s="16">
        <f t="shared" si="265"/>
        <v>0</v>
      </c>
      <c r="AT750" s="16"/>
      <c r="AU750" s="16">
        <v>2706.3786</v>
      </c>
      <c r="AV750" s="16">
        <f t="shared" si="252"/>
        <v>2706.3786</v>
      </c>
      <c r="AW750" s="16">
        <f t="shared" si="257"/>
        <v>0</v>
      </c>
      <c r="AX750" s="16" t="str">
        <f t="shared" si="258"/>
        <v>RAWSUR</v>
      </c>
      <c r="AY750" s="22">
        <v>45219</v>
      </c>
      <c r="AZ750" s="22"/>
      <c r="BA750" s="1"/>
      <c r="BB750" s="22"/>
      <c r="BC750" s="1"/>
      <c r="BD750" s="1"/>
      <c r="BE750" s="1"/>
    </row>
    <row r="751" spans="1:57" ht="15.75" hidden="1" customHeight="1">
      <c r="A751" s="2" t="s">
        <v>770</v>
      </c>
      <c r="B751" s="1" t="s">
        <v>58</v>
      </c>
      <c r="C751" s="27">
        <v>45177</v>
      </c>
      <c r="D751" s="27">
        <v>45167</v>
      </c>
      <c r="E751" s="27">
        <v>45112</v>
      </c>
      <c r="F751" s="21">
        <v>45341</v>
      </c>
      <c r="G751" s="13" t="str">
        <f t="shared" si="262"/>
        <v>000-750/AIB RDC/2023</v>
      </c>
      <c r="H751" s="1">
        <v>3</v>
      </c>
      <c r="I751" s="1" t="s">
        <v>59</v>
      </c>
      <c r="J751" s="2" t="s">
        <v>359</v>
      </c>
      <c r="K751" s="1" t="s">
        <v>93</v>
      </c>
      <c r="L751" s="1" t="s">
        <v>94</v>
      </c>
      <c r="M751" s="2" t="s">
        <v>95</v>
      </c>
      <c r="N751" s="1" t="s">
        <v>434</v>
      </c>
      <c r="O751" s="1" t="s">
        <v>133</v>
      </c>
      <c r="P751" s="1" t="s">
        <v>134</v>
      </c>
      <c r="Q751" s="1" t="s">
        <v>117</v>
      </c>
      <c r="R751" s="1" t="s">
        <v>117</v>
      </c>
      <c r="S751" s="25">
        <v>0</v>
      </c>
      <c r="T751" s="25">
        <v>3695.54</v>
      </c>
      <c r="U751" s="25">
        <v>0</v>
      </c>
      <c r="V751" s="25">
        <v>0</v>
      </c>
      <c r="W751" s="25">
        <v>31.54</v>
      </c>
      <c r="X751" s="25">
        <v>3154.26</v>
      </c>
      <c r="Y751" s="25">
        <v>509.74</v>
      </c>
      <c r="Z751" s="17" t="e">
        <f t="shared" si="253"/>
        <v>#DIV/0!</v>
      </c>
      <c r="AA751" s="18">
        <v>0.15</v>
      </c>
      <c r="AB751" s="16">
        <f t="shared" si="268"/>
        <v>473.13900000000001</v>
      </c>
      <c r="AC751" s="16">
        <v>0</v>
      </c>
      <c r="AD751" s="16">
        <v>0</v>
      </c>
      <c r="AE751" s="16">
        <v>0</v>
      </c>
      <c r="AF751" s="16">
        <f t="shared" si="254"/>
        <v>473.13900000000001</v>
      </c>
      <c r="AG751" s="16">
        <f t="shared" si="266"/>
        <v>75.702240000000003</v>
      </c>
      <c r="AH751" s="16">
        <f t="shared" si="255"/>
        <v>548.84123999999997</v>
      </c>
      <c r="AI751" s="16">
        <f t="shared" si="267"/>
        <v>9.4627800000000004</v>
      </c>
      <c r="AJ751" s="16">
        <v>0</v>
      </c>
      <c r="AK751" s="16">
        <f t="shared" si="256"/>
        <v>9.4627800000000004</v>
      </c>
      <c r="AL751" s="19"/>
      <c r="AM751" s="16">
        <f t="shared" si="264"/>
        <v>463.67622</v>
      </c>
      <c r="AN751" s="16" t="s">
        <v>77</v>
      </c>
      <c r="AO751" s="20"/>
      <c r="AP751" s="16">
        <f t="shared" si="263"/>
        <v>0</v>
      </c>
      <c r="AQ751" s="16"/>
      <c r="AR751" s="15"/>
      <c r="AS751" s="16">
        <f t="shared" si="265"/>
        <v>0</v>
      </c>
      <c r="AT751" s="16"/>
      <c r="AU751" s="16">
        <v>548.84123999999997</v>
      </c>
      <c r="AV751" s="16">
        <f t="shared" si="252"/>
        <v>548.84123999999997</v>
      </c>
      <c r="AW751" s="16">
        <f t="shared" si="257"/>
        <v>0</v>
      </c>
      <c r="AX751" s="16" t="str">
        <f t="shared" si="258"/>
        <v>SUNU</v>
      </c>
      <c r="AY751" s="22">
        <v>45218</v>
      </c>
      <c r="AZ751" s="22"/>
      <c r="BA751" s="1"/>
      <c r="BB751" s="22"/>
      <c r="BC751" s="1"/>
      <c r="BD751" s="1"/>
      <c r="BE751" s="1"/>
    </row>
    <row r="752" spans="1:57" ht="15.75" customHeight="1">
      <c r="A752" s="2" t="s">
        <v>1005</v>
      </c>
      <c r="B752" s="1" t="s">
        <v>58</v>
      </c>
      <c r="C752" s="27">
        <v>45198</v>
      </c>
      <c r="D752" s="27">
        <v>45201</v>
      </c>
      <c r="E752" s="27">
        <v>45198</v>
      </c>
      <c r="F752" s="27">
        <v>45258</v>
      </c>
      <c r="G752" s="13" t="str">
        <f t="shared" si="262"/>
        <v>000-751/AIB RDC/2023</v>
      </c>
      <c r="H752" s="1">
        <v>0</v>
      </c>
      <c r="I752" s="1" t="s">
        <v>83</v>
      </c>
      <c r="J752" s="2" t="s">
        <v>1035</v>
      </c>
      <c r="K752" s="1" t="s">
        <v>401</v>
      </c>
      <c r="L752" s="1"/>
      <c r="M752" s="1" t="s">
        <v>99</v>
      </c>
      <c r="N752" s="1" t="s">
        <v>1021</v>
      </c>
      <c r="O752" s="1" t="s">
        <v>246</v>
      </c>
      <c r="P752" s="1" t="s">
        <v>108</v>
      </c>
      <c r="Q752" s="1" t="s">
        <v>127</v>
      </c>
      <c r="R752" s="1" t="s">
        <v>127</v>
      </c>
      <c r="S752" s="25">
        <v>646158</v>
      </c>
      <c r="T752" s="25">
        <v>4710.76</v>
      </c>
      <c r="U752" s="25">
        <v>0</v>
      </c>
      <c r="V752" s="25">
        <v>0</v>
      </c>
      <c r="W752" s="25">
        <v>100</v>
      </c>
      <c r="X752" s="25">
        <v>3961</v>
      </c>
      <c r="Y752" s="25">
        <v>649.76</v>
      </c>
      <c r="Z752" s="17">
        <f t="shared" si="253"/>
        <v>6.1300796399642189E-3</v>
      </c>
      <c r="AA752" s="18">
        <v>0.15</v>
      </c>
      <c r="AB752" s="16">
        <f t="shared" si="268"/>
        <v>594.15</v>
      </c>
      <c r="AC752" s="16">
        <v>0</v>
      </c>
      <c r="AD752" s="16">
        <v>0</v>
      </c>
      <c r="AE752" s="16">
        <v>0</v>
      </c>
      <c r="AF752" s="16">
        <f t="shared" si="254"/>
        <v>594.15</v>
      </c>
      <c r="AG752" s="16">
        <f t="shared" si="266"/>
        <v>95.063999999999993</v>
      </c>
      <c r="AH752" s="16">
        <f t="shared" si="255"/>
        <v>689.21399999999994</v>
      </c>
      <c r="AI752" s="16">
        <f t="shared" si="267"/>
        <v>11.882999999999999</v>
      </c>
      <c r="AJ752" s="16">
        <v>0</v>
      </c>
      <c r="AK752" s="16">
        <f t="shared" si="256"/>
        <v>11.882999999999999</v>
      </c>
      <c r="AL752" s="19"/>
      <c r="AM752" s="16">
        <f t="shared" si="264"/>
        <v>582.26699999999994</v>
      </c>
      <c r="AN752" s="16"/>
      <c r="AO752" s="20"/>
      <c r="AP752" s="16">
        <f t="shared" si="263"/>
        <v>0</v>
      </c>
      <c r="AQ752" s="16"/>
      <c r="AR752" s="15"/>
      <c r="AS752" s="16">
        <f t="shared" si="265"/>
        <v>0</v>
      </c>
      <c r="AT752" s="16"/>
      <c r="AU752" s="16">
        <v>202.36</v>
      </c>
      <c r="AV752" s="16">
        <f t="shared" si="252"/>
        <v>689.21399999999994</v>
      </c>
      <c r="AW752" s="60">
        <f t="shared" si="257"/>
        <v>486.85399999999993</v>
      </c>
      <c r="AX752" s="16" t="str">
        <f t="shared" si="258"/>
        <v>MAYFAIR</v>
      </c>
      <c r="AY752" s="22">
        <v>45231</v>
      </c>
      <c r="BA752" s="1"/>
      <c r="BB752" s="22"/>
      <c r="BC752" s="1"/>
      <c r="BD752" s="1"/>
      <c r="BE752" s="1"/>
    </row>
    <row r="753" spans="1:57" ht="15.75" customHeight="1">
      <c r="A753" s="1" t="s">
        <v>57</v>
      </c>
      <c r="B753" s="1" t="s">
        <v>58</v>
      </c>
      <c r="C753" s="21">
        <v>44957</v>
      </c>
      <c r="D753" s="21">
        <v>44949</v>
      </c>
      <c r="E753" s="21">
        <v>44946</v>
      </c>
      <c r="F753" s="21">
        <v>45310</v>
      </c>
      <c r="G753" s="13" t="str">
        <f t="shared" si="262"/>
        <v>000-752/AIB RDC/2023</v>
      </c>
      <c r="H753" s="1">
        <v>20</v>
      </c>
      <c r="I753" s="1" t="s">
        <v>68</v>
      </c>
      <c r="J753" s="1" t="s">
        <v>153</v>
      </c>
      <c r="K753" s="1" t="s">
        <v>154</v>
      </c>
      <c r="L753" s="15"/>
      <c r="M753" s="1" t="s">
        <v>95</v>
      </c>
      <c r="N753" s="1" t="s">
        <v>96</v>
      </c>
      <c r="O753" s="1" t="s">
        <v>65</v>
      </c>
      <c r="P753" s="1" t="s">
        <v>65</v>
      </c>
      <c r="Q753" s="1" t="s">
        <v>66</v>
      </c>
      <c r="R753" s="1" t="s">
        <v>66</v>
      </c>
      <c r="S753" s="16">
        <v>0</v>
      </c>
      <c r="T753" s="16">
        <v>35750.81</v>
      </c>
      <c r="U753" s="16">
        <v>0</v>
      </c>
      <c r="V753" s="16">
        <v>0</v>
      </c>
      <c r="W753" s="16">
        <v>447.31</v>
      </c>
      <c r="X753" s="16">
        <v>29850</v>
      </c>
      <c r="Y753" s="16">
        <v>4847.5600000000004</v>
      </c>
      <c r="Z753" s="17" t="e">
        <f t="shared" si="253"/>
        <v>#DIV/0!</v>
      </c>
      <c r="AA753" s="18">
        <v>0.1</v>
      </c>
      <c r="AB753" s="16">
        <f t="shared" si="268"/>
        <v>2985</v>
      </c>
      <c r="AC753" s="16">
        <v>0</v>
      </c>
      <c r="AD753" s="16">
        <v>0</v>
      </c>
      <c r="AE753" s="16">
        <v>0</v>
      </c>
      <c r="AF753" s="16">
        <f t="shared" si="254"/>
        <v>2985</v>
      </c>
      <c r="AG753" s="16">
        <f t="shared" si="266"/>
        <v>477.6</v>
      </c>
      <c r="AH753" s="16">
        <f t="shared" si="255"/>
        <v>3462.6</v>
      </c>
      <c r="AI753" s="16">
        <f t="shared" si="267"/>
        <v>59.7</v>
      </c>
      <c r="AJ753" s="16">
        <v>0</v>
      </c>
      <c r="AK753" s="16">
        <f t="shared" si="256"/>
        <v>59.7</v>
      </c>
      <c r="AL753" s="19"/>
      <c r="AM753" s="16">
        <f t="shared" si="264"/>
        <v>2925.3</v>
      </c>
      <c r="AN753" s="16"/>
      <c r="AO753" s="20"/>
      <c r="AP753" s="16">
        <f t="shared" si="263"/>
        <v>0</v>
      </c>
      <c r="AQ753" s="16"/>
      <c r="AR753" s="15"/>
      <c r="AS753" s="16">
        <f t="shared" si="265"/>
        <v>0</v>
      </c>
      <c r="AT753" s="16"/>
      <c r="AU753" s="16">
        <f>865.65+865.65+865.65</f>
        <v>2596.9499999999998</v>
      </c>
      <c r="AV753" s="16">
        <f t="shared" si="252"/>
        <v>3462.6</v>
      </c>
      <c r="AW753" s="60">
        <f t="shared" si="257"/>
        <v>865.65000000000009</v>
      </c>
      <c r="AX753" s="16" t="str">
        <f t="shared" si="258"/>
        <v>SFA</v>
      </c>
      <c r="AY753" s="22">
        <v>45197</v>
      </c>
      <c r="AZ753" t="s">
        <v>155</v>
      </c>
      <c r="BA753" s="22"/>
      <c r="BB753" s="22" t="str">
        <f>O753</f>
        <v>MOTOR TPL</v>
      </c>
      <c r="BC753" s="22"/>
      <c r="BD753" s="22"/>
      <c r="BE753" s="1" t="s">
        <v>156</v>
      </c>
    </row>
    <row r="754" spans="1:57" ht="15.75" customHeight="1">
      <c r="A754" s="2" t="s">
        <v>770</v>
      </c>
      <c r="B754" s="1" t="s">
        <v>169</v>
      </c>
      <c r="C754" s="27">
        <v>45131</v>
      </c>
      <c r="D754" s="27"/>
      <c r="E754" s="27">
        <v>45132</v>
      </c>
      <c r="F754" s="27">
        <v>45497</v>
      </c>
      <c r="G754" s="13" t="str">
        <f t="shared" si="262"/>
        <v>000-753/AIB RDC/2023</v>
      </c>
      <c r="H754" s="1">
        <v>0</v>
      </c>
      <c r="I754" s="1" t="s">
        <v>83</v>
      </c>
      <c r="J754" s="29" t="s">
        <v>957</v>
      </c>
      <c r="K754" s="1" t="s">
        <v>958</v>
      </c>
      <c r="L754" s="1"/>
      <c r="M754" s="1" t="s">
        <v>99</v>
      </c>
      <c r="N754" s="1" t="s">
        <v>100</v>
      </c>
      <c r="O754" s="1" t="s">
        <v>65</v>
      </c>
      <c r="P754" s="1" t="s">
        <v>65</v>
      </c>
      <c r="Q754" s="1" t="s">
        <v>135</v>
      </c>
      <c r="R754" s="1" t="s">
        <v>135</v>
      </c>
      <c r="S754" s="25">
        <v>0</v>
      </c>
      <c r="T754" s="25">
        <v>881.52</v>
      </c>
      <c r="U754" s="25">
        <v>0</v>
      </c>
      <c r="V754" s="25">
        <v>0</v>
      </c>
      <c r="W754" s="25">
        <v>20</v>
      </c>
      <c r="X754" s="25">
        <v>727.05</v>
      </c>
      <c r="Y754" s="25">
        <v>119</v>
      </c>
      <c r="Z754" s="17" t="e">
        <f t="shared" si="253"/>
        <v>#DIV/0!</v>
      </c>
      <c r="AA754" s="18">
        <v>0.1</v>
      </c>
      <c r="AB754" s="16">
        <f t="shared" si="268"/>
        <v>72.704999999999998</v>
      </c>
      <c r="AC754" s="16">
        <v>0</v>
      </c>
      <c r="AD754" s="16">
        <v>0</v>
      </c>
      <c r="AE754" s="16">
        <v>0</v>
      </c>
      <c r="AF754" s="16">
        <f t="shared" si="254"/>
        <v>72.704999999999998</v>
      </c>
      <c r="AG754" s="16">
        <f t="shared" si="266"/>
        <v>11.6328</v>
      </c>
      <c r="AH754" s="16">
        <f t="shared" si="255"/>
        <v>84.337800000000001</v>
      </c>
      <c r="AI754" s="16">
        <f t="shared" si="267"/>
        <v>1.4540999999999999</v>
      </c>
      <c r="AJ754" s="16">
        <v>0</v>
      </c>
      <c r="AK754" s="16">
        <f t="shared" si="256"/>
        <v>1.4540999999999999</v>
      </c>
      <c r="AL754" s="19"/>
      <c r="AM754" s="16">
        <f t="shared" si="264"/>
        <v>71.250900000000001</v>
      </c>
      <c r="AN754" s="16"/>
      <c r="AO754" s="20"/>
      <c r="AP754" s="16">
        <f t="shared" si="263"/>
        <v>0</v>
      </c>
      <c r="AQ754" s="16"/>
      <c r="AR754" s="15"/>
      <c r="AS754" s="16">
        <f t="shared" si="265"/>
        <v>0</v>
      </c>
      <c r="AT754" s="16"/>
      <c r="AU754" s="16"/>
      <c r="AV754" s="16">
        <f t="shared" si="252"/>
        <v>84.337800000000001</v>
      </c>
      <c r="AW754" s="60">
        <f t="shared" si="257"/>
        <v>84.337800000000001</v>
      </c>
      <c r="AX754" s="16" t="str">
        <f t="shared" si="258"/>
        <v>RAWSUR</v>
      </c>
      <c r="AY754" s="22"/>
      <c r="AZ754" s="22"/>
      <c r="BA754" s="1"/>
      <c r="BB754" s="1" t="s">
        <v>65</v>
      </c>
      <c r="BC754" s="1"/>
      <c r="BD754" s="1"/>
      <c r="BE754" s="1"/>
    </row>
    <row r="755" spans="1:57" ht="15.75" hidden="1" customHeight="1">
      <c r="A755" s="2" t="s">
        <v>770</v>
      </c>
      <c r="B755" s="1" t="s">
        <v>58</v>
      </c>
      <c r="C755" s="27">
        <v>45181</v>
      </c>
      <c r="D755" s="27">
        <v>45153</v>
      </c>
      <c r="E755" s="27">
        <v>45108</v>
      </c>
      <c r="F755" s="21">
        <v>45473</v>
      </c>
      <c r="G755" s="13" t="str">
        <f t="shared" si="262"/>
        <v>000-754/AIB RDC/2023</v>
      </c>
      <c r="H755" s="1">
        <v>0</v>
      </c>
      <c r="I755" s="1" t="s">
        <v>83</v>
      </c>
      <c r="J755" s="2" t="s">
        <v>1002</v>
      </c>
      <c r="K755" s="1" t="s">
        <v>1003</v>
      </c>
      <c r="L755" s="1" t="s">
        <v>62</v>
      </c>
      <c r="M755" s="2" t="s">
        <v>63</v>
      </c>
      <c r="N755" s="1" t="s">
        <v>64</v>
      </c>
      <c r="O755" s="2" t="s">
        <v>879</v>
      </c>
      <c r="P755" s="2" t="s">
        <v>112</v>
      </c>
      <c r="Q755" s="2" t="s">
        <v>66</v>
      </c>
      <c r="R755" s="2" t="s">
        <v>66</v>
      </c>
      <c r="S755" s="25">
        <v>0</v>
      </c>
      <c r="T755" s="25">
        <v>6440.15</v>
      </c>
      <c r="U755" s="25">
        <v>0</v>
      </c>
      <c r="V755" s="25">
        <v>0</v>
      </c>
      <c r="W755" s="25">
        <f>32.99+108.86</f>
        <v>141.85</v>
      </c>
      <c r="X755" s="25">
        <v>5410</v>
      </c>
      <c r="Y755" s="25">
        <v>888.3</v>
      </c>
      <c r="Z755" s="17" t="e">
        <f t="shared" si="253"/>
        <v>#DIV/0!</v>
      </c>
      <c r="AA755" s="18">
        <v>0.1</v>
      </c>
      <c r="AB755" s="16">
        <f t="shared" si="268"/>
        <v>541</v>
      </c>
      <c r="AC755" s="16">
        <v>0</v>
      </c>
      <c r="AD755" s="16">
        <v>0</v>
      </c>
      <c r="AE755" s="16">
        <v>0</v>
      </c>
      <c r="AF755" s="16">
        <f t="shared" si="254"/>
        <v>541</v>
      </c>
      <c r="AG755" s="16">
        <f t="shared" si="266"/>
        <v>86.56</v>
      </c>
      <c r="AH755" s="16">
        <f t="shared" si="255"/>
        <v>627.55999999999995</v>
      </c>
      <c r="AI755" s="16">
        <f t="shared" si="267"/>
        <v>10.82</v>
      </c>
      <c r="AJ755" s="16">
        <v>0</v>
      </c>
      <c r="AK755" s="16">
        <f t="shared" si="256"/>
        <v>10.82</v>
      </c>
      <c r="AL755" s="19"/>
      <c r="AM755" s="16">
        <f t="shared" si="264"/>
        <v>530.17999999999995</v>
      </c>
      <c r="AN755" s="16"/>
      <c r="AO755" s="20"/>
      <c r="AP755" s="16">
        <f t="shared" si="263"/>
        <v>0</v>
      </c>
      <c r="AQ755" s="16"/>
      <c r="AR755" s="15"/>
      <c r="AS755" s="16">
        <f t="shared" si="265"/>
        <v>0</v>
      </c>
      <c r="AT755" s="16"/>
      <c r="AU755" s="16">
        <v>627.55999999999995</v>
      </c>
      <c r="AV755" s="16">
        <f t="shared" si="252"/>
        <v>627.55999999999995</v>
      </c>
      <c r="AW755" s="16">
        <f t="shared" si="257"/>
        <v>0</v>
      </c>
      <c r="AX755" s="16" t="str">
        <f t="shared" si="258"/>
        <v>SFA</v>
      </c>
      <c r="AY755" s="22">
        <v>45197</v>
      </c>
      <c r="AZ755" t="s">
        <v>155</v>
      </c>
      <c r="BA755" s="1"/>
      <c r="BB755" s="22"/>
      <c r="BC755" s="1"/>
      <c r="BD755" s="1"/>
      <c r="BE755" s="1"/>
    </row>
    <row r="756" spans="1:57" ht="15.75" hidden="1" customHeight="1">
      <c r="A756" s="2" t="s">
        <v>57</v>
      </c>
      <c r="B756" s="1" t="s">
        <v>58</v>
      </c>
      <c r="C756" s="27">
        <v>45181</v>
      </c>
      <c r="D756" s="27">
        <v>45149</v>
      </c>
      <c r="E756" s="27">
        <v>44927</v>
      </c>
      <c r="F756" s="21">
        <v>45107</v>
      </c>
      <c r="G756" s="13" t="str">
        <f t="shared" si="262"/>
        <v>000-755/AIB RDC/2023</v>
      </c>
      <c r="H756" s="1">
        <v>3</v>
      </c>
      <c r="I756" s="2" t="s">
        <v>989</v>
      </c>
      <c r="J756" s="37">
        <v>45000001</v>
      </c>
      <c r="K756" s="2" t="s">
        <v>991</v>
      </c>
      <c r="L756" s="24"/>
      <c r="M756" s="2" t="s">
        <v>95</v>
      </c>
      <c r="N756" s="2" t="s">
        <v>434</v>
      </c>
      <c r="O756" s="2" t="s">
        <v>194</v>
      </c>
      <c r="P756" s="2" t="s">
        <v>108</v>
      </c>
      <c r="Q756" s="2" t="s">
        <v>135</v>
      </c>
      <c r="R756" s="2" t="s">
        <v>135</v>
      </c>
      <c r="S756" s="25">
        <v>0</v>
      </c>
      <c r="T756" s="25">
        <v>-15933.85</v>
      </c>
      <c r="U756" s="25">
        <v>-2040.49</v>
      </c>
      <c r="V756" s="25">
        <v>0</v>
      </c>
      <c r="W756" s="25">
        <v>100</v>
      </c>
      <c r="X756" s="25">
        <v>-10202.469999999999</v>
      </c>
      <c r="Y756" s="25">
        <v>-2160.52</v>
      </c>
      <c r="Z756" s="17" t="e">
        <f t="shared" si="253"/>
        <v>#DIV/0!</v>
      </c>
      <c r="AA756" s="18">
        <v>0</v>
      </c>
      <c r="AB756" s="16">
        <f t="shared" si="268"/>
        <v>0</v>
      </c>
      <c r="AC756" s="16">
        <f>30%*U756</f>
        <v>-612.14699999999993</v>
      </c>
      <c r="AD756" s="16">
        <f>11.4942480882672%*X756</f>
        <v>-1172.6972129310345</v>
      </c>
      <c r="AE756" s="16">
        <v>0</v>
      </c>
      <c r="AF756" s="16">
        <f t="shared" si="254"/>
        <v>-1784.8442129310345</v>
      </c>
      <c r="AG756" s="16">
        <f t="shared" si="266"/>
        <v>-285.57507406896553</v>
      </c>
      <c r="AH756" s="16">
        <f t="shared" si="255"/>
        <v>-2070.4192870000002</v>
      </c>
      <c r="AI756" s="16">
        <f t="shared" si="267"/>
        <v>-35.696884258620692</v>
      </c>
      <c r="AJ756" s="16">
        <v>0</v>
      </c>
      <c r="AK756" s="16">
        <f t="shared" si="256"/>
        <v>-35.696884258620692</v>
      </c>
      <c r="AL756" s="19"/>
      <c r="AM756" s="16">
        <f t="shared" si="264"/>
        <v>-1749.1473286724138</v>
      </c>
      <c r="AN756" s="16" t="s">
        <v>195</v>
      </c>
      <c r="AO756" s="20"/>
      <c r="AP756" s="16">
        <f t="shared" si="263"/>
        <v>0</v>
      </c>
      <c r="AQ756" s="16"/>
      <c r="AR756" s="15"/>
      <c r="AS756" s="16">
        <f t="shared" si="265"/>
        <v>0</v>
      </c>
      <c r="AT756" s="16"/>
      <c r="AU756" s="16">
        <v>-2070.4192870000002</v>
      </c>
      <c r="AV756" s="16">
        <f t="shared" si="252"/>
        <v>-2070.4192870000002</v>
      </c>
      <c r="AW756" s="16">
        <f t="shared" si="257"/>
        <v>0</v>
      </c>
      <c r="AX756" s="16" t="str">
        <f t="shared" si="258"/>
        <v>RAWSUR</v>
      </c>
      <c r="AY756" s="22">
        <v>45219</v>
      </c>
      <c r="AZ756" s="22"/>
      <c r="BA756" s="1"/>
      <c r="BB756" s="22"/>
      <c r="BC756" s="1"/>
      <c r="BD756" s="1"/>
      <c r="BE756" s="1"/>
    </row>
    <row r="757" spans="1:57" ht="15.75" hidden="1" customHeight="1">
      <c r="A757" s="2" t="s">
        <v>871</v>
      </c>
      <c r="B757" s="1" t="s">
        <v>58</v>
      </c>
      <c r="C757" s="27">
        <v>45181</v>
      </c>
      <c r="D757" s="27">
        <v>45154</v>
      </c>
      <c r="E757" s="27">
        <v>45153</v>
      </c>
      <c r="F757" s="21">
        <v>45426</v>
      </c>
      <c r="G757" s="13" t="str">
        <f t="shared" si="262"/>
        <v>000-756/AIB RDC/2023</v>
      </c>
      <c r="H757" s="1">
        <v>1</v>
      </c>
      <c r="I757" s="2" t="s">
        <v>68</v>
      </c>
      <c r="J757" s="37">
        <v>60100013</v>
      </c>
      <c r="K757" s="2" t="s">
        <v>1004</v>
      </c>
      <c r="L757" s="24"/>
      <c r="M757" s="2" t="s">
        <v>74</v>
      </c>
      <c r="N757" s="2" t="s">
        <v>724</v>
      </c>
      <c r="O757" s="2" t="s">
        <v>921</v>
      </c>
      <c r="P757" s="2" t="s">
        <v>112</v>
      </c>
      <c r="Q757" s="2" t="s">
        <v>135</v>
      </c>
      <c r="R757" s="2" t="s">
        <v>135</v>
      </c>
      <c r="S757" s="25">
        <v>0</v>
      </c>
      <c r="T757" s="25">
        <v>50266.26</v>
      </c>
      <c r="U757" s="25">
        <v>6386.03</v>
      </c>
      <c r="V757" s="25">
        <v>0</v>
      </c>
      <c r="W757" s="25">
        <v>25</v>
      </c>
      <c r="X757" s="25">
        <v>36187.5</v>
      </c>
      <c r="Y757" s="25">
        <v>6815.76</v>
      </c>
      <c r="Z757" s="17" t="e">
        <f t="shared" si="253"/>
        <v>#DIV/0!</v>
      </c>
      <c r="AA757" s="18">
        <v>0</v>
      </c>
      <c r="AB757" s="16">
        <f t="shared" si="268"/>
        <v>0</v>
      </c>
      <c r="AC757" s="16">
        <f>30%*U757</f>
        <v>1915.8089999999997</v>
      </c>
      <c r="AD757" s="16">
        <v>0</v>
      </c>
      <c r="AE757" s="16">
        <v>0</v>
      </c>
      <c r="AF757" s="16">
        <f t="shared" si="254"/>
        <v>1915.8089999999997</v>
      </c>
      <c r="AG757" s="16">
        <f t="shared" si="266"/>
        <v>306.52943999999997</v>
      </c>
      <c r="AH757" s="16">
        <f t="shared" si="255"/>
        <v>2222.3384399999995</v>
      </c>
      <c r="AI757" s="16">
        <f t="shared" si="267"/>
        <v>38.316179999999996</v>
      </c>
      <c r="AJ757" s="16">
        <v>0</v>
      </c>
      <c r="AK757" s="16">
        <f t="shared" si="256"/>
        <v>38.316179999999996</v>
      </c>
      <c r="AL757" s="19"/>
      <c r="AM757" s="16">
        <f t="shared" si="264"/>
        <v>1877.4928199999997</v>
      </c>
      <c r="AN757" s="16"/>
      <c r="AO757" s="20"/>
      <c r="AP757" s="16">
        <f t="shared" si="263"/>
        <v>0</v>
      </c>
      <c r="AQ757" s="16"/>
      <c r="AR757" s="15"/>
      <c r="AS757" s="16">
        <f t="shared" si="265"/>
        <v>0</v>
      </c>
      <c r="AT757" s="16"/>
      <c r="AU757" s="16">
        <v>2222.3384399999995</v>
      </c>
      <c r="AV757" s="16">
        <f t="shared" si="252"/>
        <v>2222.3384399999995</v>
      </c>
      <c r="AW757" s="16">
        <f t="shared" si="257"/>
        <v>0</v>
      </c>
      <c r="AX757" s="16" t="str">
        <f t="shared" si="258"/>
        <v>RAWSUR</v>
      </c>
      <c r="AY757" s="22">
        <v>45219</v>
      </c>
      <c r="AZ757" s="22"/>
      <c r="BA757" s="1"/>
      <c r="BB757" s="22"/>
      <c r="BC757" s="1"/>
      <c r="BD757" s="1"/>
      <c r="BE757" s="1"/>
    </row>
    <row r="758" spans="1:57" ht="15.75" hidden="1" customHeight="1">
      <c r="A758" s="2" t="s">
        <v>871</v>
      </c>
      <c r="B758" s="1" t="s">
        <v>58</v>
      </c>
      <c r="C758" s="27">
        <v>45181</v>
      </c>
      <c r="D758" s="27">
        <v>45146</v>
      </c>
      <c r="E758" s="27">
        <v>45146</v>
      </c>
      <c r="F758" s="21">
        <v>45176</v>
      </c>
      <c r="G758" s="13" t="str">
        <f t="shared" si="262"/>
        <v>000-757/AIB RDC/2023</v>
      </c>
      <c r="H758" s="1">
        <v>0</v>
      </c>
      <c r="I758" s="1" t="s">
        <v>83</v>
      </c>
      <c r="J758" s="37">
        <v>70100048</v>
      </c>
      <c r="K758" s="1" t="s">
        <v>163</v>
      </c>
      <c r="L758" s="24"/>
      <c r="M758" s="1" t="s">
        <v>95</v>
      </c>
      <c r="N758" s="1" t="s">
        <v>836</v>
      </c>
      <c r="O758" s="1" t="s">
        <v>104</v>
      </c>
      <c r="P758" s="1" t="s">
        <v>105</v>
      </c>
      <c r="Q758" s="1" t="s">
        <v>135</v>
      </c>
      <c r="R758" s="1" t="s">
        <v>135</v>
      </c>
      <c r="S758" s="25">
        <v>0</v>
      </c>
      <c r="T758" s="25">
        <v>2371.0500000000002</v>
      </c>
      <c r="U758" s="25">
        <v>0</v>
      </c>
      <c r="V758" s="25">
        <v>0</v>
      </c>
      <c r="W758" s="25">
        <v>222</v>
      </c>
      <c r="X758" s="25">
        <v>1787.38</v>
      </c>
      <c r="Y758" s="25">
        <v>321.5</v>
      </c>
      <c r="Z758" s="17" t="e">
        <f t="shared" si="253"/>
        <v>#DIV/0!</v>
      </c>
      <c r="AA758" s="18">
        <v>0.15</v>
      </c>
      <c r="AB758" s="16">
        <f t="shared" si="268"/>
        <v>268.10700000000003</v>
      </c>
      <c r="AC758" s="16">
        <v>0</v>
      </c>
      <c r="AD758" s="16">
        <v>0</v>
      </c>
      <c r="AE758" s="16">
        <v>0</v>
      </c>
      <c r="AF758" s="16">
        <f t="shared" si="254"/>
        <v>268.10700000000003</v>
      </c>
      <c r="AG758" s="16">
        <f t="shared" si="266"/>
        <v>42.897120000000008</v>
      </c>
      <c r="AH758" s="16">
        <f t="shared" si="255"/>
        <v>311.00412000000006</v>
      </c>
      <c r="AI758" s="16">
        <f t="shared" si="267"/>
        <v>5.362140000000001</v>
      </c>
      <c r="AJ758" s="16">
        <v>0</v>
      </c>
      <c r="AK758" s="16">
        <f t="shared" si="256"/>
        <v>5.362140000000001</v>
      </c>
      <c r="AL758" s="19"/>
      <c r="AM758" s="16">
        <f t="shared" si="264"/>
        <v>262.74486000000002</v>
      </c>
      <c r="AN758" s="16" t="s">
        <v>147</v>
      </c>
      <c r="AO758" s="20">
        <v>0.4</v>
      </c>
      <c r="AP758" s="16">
        <f t="shared" si="263"/>
        <v>105.09794400000001</v>
      </c>
      <c r="AQ758" s="16"/>
      <c r="AR758" s="15"/>
      <c r="AS758" s="16">
        <f t="shared" si="265"/>
        <v>105.09794400000001</v>
      </c>
      <c r="AT758" s="16"/>
      <c r="AU758" s="16">
        <v>311.00412000000006</v>
      </c>
      <c r="AV758" s="16">
        <f t="shared" si="252"/>
        <v>311.00412000000006</v>
      </c>
      <c r="AW758" s="16">
        <f t="shared" si="257"/>
        <v>0</v>
      </c>
      <c r="AX758" s="16" t="str">
        <f t="shared" si="258"/>
        <v>RAWSUR</v>
      </c>
      <c r="AY758" s="22">
        <v>45219</v>
      </c>
      <c r="AZ758" s="22"/>
      <c r="BA758" s="1" t="s">
        <v>148</v>
      </c>
      <c r="BB758" s="22" t="str">
        <f>O758</f>
        <v>MARINE CARGO / GIT</v>
      </c>
      <c r="BC758" s="1"/>
      <c r="BD758" s="1"/>
      <c r="BE758" s="1"/>
    </row>
    <row r="759" spans="1:57" ht="15.75" hidden="1" customHeight="1">
      <c r="A759" s="2" t="s">
        <v>1005</v>
      </c>
      <c r="B759" s="1" t="s">
        <v>58</v>
      </c>
      <c r="C759" s="27">
        <v>45183</v>
      </c>
      <c r="D759" s="27">
        <v>45177</v>
      </c>
      <c r="E759" s="27">
        <v>45213</v>
      </c>
      <c r="F759" s="21">
        <v>45220</v>
      </c>
      <c r="G759" s="13" t="str">
        <f t="shared" si="262"/>
        <v>000-758/AIB RDC/2023</v>
      </c>
      <c r="H759" s="1">
        <v>0</v>
      </c>
      <c r="I759" s="1" t="s">
        <v>83</v>
      </c>
      <c r="J759" s="37">
        <v>14400005</v>
      </c>
      <c r="K759" s="1" t="s">
        <v>1006</v>
      </c>
      <c r="L759" s="2" t="s">
        <v>142</v>
      </c>
      <c r="M759" s="1" t="s">
        <v>74</v>
      </c>
      <c r="N759" s="1" t="s">
        <v>75</v>
      </c>
      <c r="O759" s="1" t="s">
        <v>302</v>
      </c>
      <c r="P759" s="1" t="s">
        <v>81</v>
      </c>
      <c r="Q759" s="1" t="s">
        <v>135</v>
      </c>
      <c r="R759" s="1" t="s">
        <v>135</v>
      </c>
      <c r="S759" s="25">
        <v>0</v>
      </c>
      <c r="T759" s="25">
        <v>45.2</v>
      </c>
      <c r="U759" s="25">
        <v>0</v>
      </c>
      <c r="V759" s="25">
        <v>0</v>
      </c>
      <c r="W759" s="25">
        <v>2</v>
      </c>
      <c r="X759" s="25">
        <v>36.299999999999997</v>
      </c>
      <c r="Y759" s="25">
        <v>6.13</v>
      </c>
      <c r="Z759" s="17" t="e">
        <f t="shared" si="253"/>
        <v>#DIV/0!</v>
      </c>
      <c r="AA759" s="18">
        <v>0.2</v>
      </c>
      <c r="AB759" s="16">
        <f t="shared" si="268"/>
        <v>7.26</v>
      </c>
      <c r="AC759" s="16">
        <v>0</v>
      </c>
      <c r="AD759" s="16">
        <v>0</v>
      </c>
      <c r="AE759" s="16">
        <v>0</v>
      </c>
      <c r="AF759" s="16">
        <f t="shared" si="254"/>
        <v>7.26</v>
      </c>
      <c r="AG759" s="16">
        <f t="shared" si="266"/>
        <v>1.1616</v>
      </c>
      <c r="AH759" s="16">
        <f t="shared" si="255"/>
        <v>8.4215999999999998</v>
      </c>
      <c r="AI759" s="16">
        <f t="shared" si="267"/>
        <v>0.1452</v>
      </c>
      <c r="AJ759" s="16">
        <v>0</v>
      </c>
      <c r="AK759" s="16">
        <f t="shared" si="256"/>
        <v>0.1452</v>
      </c>
      <c r="AL759" s="19"/>
      <c r="AM759" s="16">
        <f t="shared" si="264"/>
        <v>7.1147999999999998</v>
      </c>
      <c r="AN759" s="16"/>
      <c r="AO759" s="20"/>
      <c r="AP759" s="16">
        <f t="shared" si="263"/>
        <v>0</v>
      </c>
      <c r="AQ759" s="16"/>
      <c r="AR759" s="15"/>
      <c r="AS759" s="16">
        <f t="shared" si="265"/>
        <v>0</v>
      </c>
      <c r="AT759" s="16"/>
      <c r="AU759" s="16">
        <v>8.4215999999999998</v>
      </c>
      <c r="AV759" s="16">
        <f t="shared" si="252"/>
        <v>8.4215999999999998</v>
      </c>
      <c r="AW759" s="16">
        <f t="shared" si="257"/>
        <v>0</v>
      </c>
      <c r="AX759" s="16" t="str">
        <f t="shared" si="258"/>
        <v>RAWSUR</v>
      </c>
      <c r="AY759" s="22">
        <v>45219</v>
      </c>
      <c r="AZ759" s="22"/>
      <c r="BA759" s="1"/>
      <c r="BB759" s="22"/>
      <c r="BC759" s="1"/>
      <c r="BD759" s="1"/>
      <c r="BE759" s="1"/>
    </row>
    <row r="760" spans="1:57" ht="15.75" hidden="1" customHeight="1">
      <c r="A760" s="2" t="s">
        <v>770</v>
      </c>
      <c r="B760" s="1" t="s">
        <v>58</v>
      </c>
      <c r="C760" s="27">
        <v>45183</v>
      </c>
      <c r="D760" s="27">
        <v>45145</v>
      </c>
      <c r="E760" s="27">
        <v>45138</v>
      </c>
      <c r="F760" s="27">
        <v>45291</v>
      </c>
      <c r="G760" s="13" t="str">
        <f t="shared" si="262"/>
        <v>000-759/AIB RDC/2023</v>
      </c>
      <c r="H760" s="1">
        <v>4</v>
      </c>
      <c r="I760" s="1" t="s">
        <v>59</v>
      </c>
      <c r="J760" s="29" t="s">
        <v>92</v>
      </c>
      <c r="K760" s="1" t="s">
        <v>93</v>
      </c>
      <c r="L760" s="1" t="s">
        <v>94</v>
      </c>
      <c r="M760" s="1" t="s">
        <v>95</v>
      </c>
      <c r="N760" s="1" t="s">
        <v>96</v>
      </c>
      <c r="O760" s="1" t="s">
        <v>65</v>
      </c>
      <c r="P760" s="1" t="s">
        <v>65</v>
      </c>
      <c r="Q760" s="1" t="s">
        <v>76</v>
      </c>
      <c r="R760" s="1" t="s">
        <v>76</v>
      </c>
      <c r="S760" s="25">
        <v>0</v>
      </c>
      <c r="T760" s="25">
        <v>370.99</v>
      </c>
      <c r="U760" s="25">
        <v>0</v>
      </c>
      <c r="V760" s="25">
        <v>0</v>
      </c>
      <c r="W760" s="25">
        <v>10</v>
      </c>
      <c r="X760" s="25">
        <v>309.81</v>
      </c>
      <c r="Y760" s="25">
        <v>51.17</v>
      </c>
      <c r="Z760" s="17" t="e">
        <f t="shared" si="253"/>
        <v>#DIV/0!</v>
      </c>
      <c r="AA760" s="18">
        <v>0.1</v>
      </c>
      <c r="AB760" s="16">
        <f t="shared" si="268"/>
        <v>30.981000000000002</v>
      </c>
      <c r="AC760" s="16">
        <v>0</v>
      </c>
      <c r="AD760" s="16">
        <v>0</v>
      </c>
      <c r="AE760" s="16">
        <v>0</v>
      </c>
      <c r="AF760" s="16">
        <f t="shared" si="254"/>
        <v>30.981000000000002</v>
      </c>
      <c r="AG760" s="16">
        <f t="shared" si="266"/>
        <v>4.9569600000000005</v>
      </c>
      <c r="AH760" s="16">
        <f t="shared" si="255"/>
        <v>35.937960000000004</v>
      </c>
      <c r="AI760" s="16">
        <f t="shared" si="267"/>
        <v>0.61962000000000006</v>
      </c>
      <c r="AJ760" s="16">
        <v>0</v>
      </c>
      <c r="AK760" s="16">
        <f t="shared" si="256"/>
        <v>0.61962000000000006</v>
      </c>
      <c r="AL760" s="19"/>
      <c r="AM760" s="16">
        <f t="shared" si="264"/>
        <v>30.36138</v>
      </c>
      <c r="AN760" s="16" t="s">
        <v>77</v>
      </c>
      <c r="AO760" s="20"/>
      <c r="AP760" s="16">
        <f t="shared" si="263"/>
        <v>0</v>
      </c>
      <c r="AQ760" s="16"/>
      <c r="AR760" s="15"/>
      <c r="AS760" s="16">
        <f t="shared" si="265"/>
        <v>0</v>
      </c>
      <c r="AT760" s="16"/>
      <c r="AU760" s="16">
        <v>35.937960000000004</v>
      </c>
      <c r="AV760" s="16">
        <f t="shared" si="252"/>
        <v>35.937960000000004</v>
      </c>
      <c r="AW760" s="16">
        <f t="shared" si="257"/>
        <v>0</v>
      </c>
      <c r="AX760" s="16" t="str">
        <f t="shared" si="258"/>
        <v>ACTIVA</v>
      </c>
      <c r="AY760" s="22">
        <v>45222</v>
      </c>
      <c r="AZ760" s="22"/>
      <c r="BA760" s="1"/>
      <c r="BB760" s="22"/>
      <c r="BC760" s="1"/>
      <c r="BD760" s="1"/>
      <c r="BE760" s="1"/>
    </row>
    <row r="761" spans="1:57" ht="15.75" hidden="1" customHeight="1">
      <c r="A761" s="2" t="s">
        <v>57</v>
      </c>
      <c r="B761" s="1" t="s">
        <v>58</v>
      </c>
      <c r="C761" s="27">
        <v>45198</v>
      </c>
      <c r="D761" s="27">
        <v>45145</v>
      </c>
      <c r="E761" s="27">
        <v>44927</v>
      </c>
      <c r="F761" s="27">
        <v>45291</v>
      </c>
      <c r="G761" s="13" t="str">
        <f t="shared" si="262"/>
        <v>000-760/AIB RDC/2023</v>
      </c>
      <c r="H761" s="1">
        <v>1</v>
      </c>
      <c r="I761" s="1" t="s">
        <v>68</v>
      </c>
      <c r="J761" s="2" t="s">
        <v>1007</v>
      </c>
      <c r="K761" s="2" t="s">
        <v>119</v>
      </c>
      <c r="L761" s="1" t="s">
        <v>120</v>
      </c>
      <c r="M761" s="1" t="s">
        <v>63</v>
      </c>
      <c r="N761" s="1" t="s">
        <v>64</v>
      </c>
      <c r="O761" s="1" t="s">
        <v>111</v>
      </c>
      <c r="P761" s="1" t="s">
        <v>112</v>
      </c>
      <c r="Q761" s="1" t="s">
        <v>66</v>
      </c>
      <c r="R761" s="1" t="s">
        <v>66</v>
      </c>
      <c r="S761" s="25">
        <v>800000</v>
      </c>
      <c r="T761" s="25">
        <v>14835.55</v>
      </c>
      <c r="U761" s="25">
        <v>0</v>
      </c>
      <c r="V761" s="25">
        <v>0</v>
      </c>
      <c r="W761" s="25">
        <v>72.5</v>
      </c>
      <c r="X761" s="25">
        <v>12500</v>
      </c>
      <c r="Y761" s="25">
        <v>2011.6</v>
      </c>
      <c r="Z761" s="17">
        <f t="shared" si="253"/>
        <v>1.5625E-2</v>
      </c>
      <c r="AA761" s="18">
        <v>0.15</v>
      </c>
      <c r="AB761" s="16">
        <f t="shared" si="268"/>
        <v>1875</v>
      </c>
      <c r="AC761" s="16">
        <v>0</v>
      </c>
      <c r="AD761" s="16">
        <v>0</v>
      </c>
      <c r="AE761" s="16">
        <v>0</v>
      </c>
      <c r="AF761" s="16">
        <f t="shared" si="254"/>
        <v>1875</v>
      </c>
      <c r="AG761" s="16">
        <f t="shared" si="266"/>
        <v>300</v>
      </c>
      <c r="AH761" s="16">
        <f t="shared" si="255"/>
        <v>2175</v>
      </c>
      <c r="AI761" s="16">
        <f t="shared" si="267"/>
        <v>37.5</v>
      </c>
      <c r="AJ761" s="16">
        <v>0</v>
      </c>
      <c r="AK761" s="16">
        <f t="shared" si="256"/>
        <v>37.5</v>
      </c>
      <c r="AL761" s="19"/>
      <c r="AM761" s="16">
        <f t="shared" si="264"/>
        <v>1837.5</v>
      </c>
      <c r="AN761" s="16" t="s">
        <v>77</v>
      </c>
      <c r="AO761" s="20">
        <v>0.35</v>
      </c>
      <c r="AP761" s="16">
        <f t="shared" si="263"/>
        <v>643.125</v>
      </c>
      <c r="AQ761" s="16"/>
      <c r="AR761" s="15"/>
      <c r="AS761" s="16">
        <f t="shared" si="265"/>
        <v>643.125</v>
      </c>
      <c r="AT761" s="16"/>
      <c r="AU761" s="16">
        <v>2175</v>
      </c>
      <c r="AV761" s="16">
        <f t="shared" ref="AV761:AV824" si="269">AH761</f>
        <v>2175</v>
      </c>
      <c r="AW761" s="16">
        <f t="shared" si="257"/>
        <v>0</v>
      </c>
      <c r="AX761" s="16" t="str">
        <f t="shared" si="258"/>
        <v>SFA</v>
      </c>
      <c r="AY761" s="22">
        <v>45197</v>
      </c>
      <c r="AZ761" t="s">
        <v>155</v>
      </c>
      <c r="BA761" s="1"/>
      <c r="BB761" s="22" t="str">
        <f>O761</f>
        <v>GENERAL LIABILITY</v>
      </c>
      <c r="BC761" s="1"/>
      <c r="BD761" s="1"/>
      <c r="BE761" s="1"/>
    </row>
    <row r="762" spans="1:57" ht="15.75" hidden="1" customHeight="1">
      <c r="A762" s="2" t="s">
        <v>784</v>
      </c>
      <c r="B762" s="1" t="s">
        <v>58</v>
      </c>
      <c r="C762" s="27">
        <v>45160</v>
      </c>
      <c r="D762" s="27">
        <v>45201</v>
      </c>
      <c r="E762" s="27">
        <v>45184</v>
      </c>
      <c r="F762" s="27">
        <v>45267</v>
      </c>
      <c r="G762" s="13" t="str">
        <f t="shared" si="262"/>
        <v>000-761/AIB RDC/2023</v>
      </c>
      <c r="H762" s="1">
        <v>6</v>
      </c>
      <c r="I762" s="1" t="s">
        <v>59</v>
      </c>
      <c r="J762" s="50" t="s">
        <v>1008</v>
      </c>
      <c r="K762" s="2" t="s">
        <v>768</v>
      </c>
      <c r="L762" s="1"/>
      <c r="M762" s="1" t="s">
        <v>74</v>
      </c>
      <c r="N762" s="1" t="s">
        <v>724</v>
      </c>
      <c r="O762" s="1" t="s">
        <v>101</v>
      </c>
      <c r="P762" s="1" t="s">
        <v>81</v>
      </c>
      <c r="Q762" s="1" t="s">
        <v>76</v>
      </c>
      <c r="R762" s="1" t="s">
        <v>76</v>
      </c>
      <c r="S762" s="25">
        <v>22000</v>
      </c>
      <c r="T762" s="25">
        <v>221.4</v>
      </c>
      <c r="U762" s="25">
        <v>0</v>
      </c>
      <c r="V762" s="25">
        <v>0</v>
      </c>
      <c r="W762" s="25">
        <v>10</v>
      </c>
      <c r="X762" s="25">
        <v>180.86</v>
      </c>
      <c r="Y762" s="25">
        <v>30.54</v>
      </c>
      <c r="Z762" s="17">
        <f t="shared" si="253"/>
        <v>8.2209090909090912E-3</v>
      </c>
      <c r="AA762" s="18">
        <v>0.1</v>
      </c>
      <c r="AB762" s="16">
        <f t="shared" si="268"/>
        <v>18.086000000000002</v>
      </c>
      <c r="AC762" s="16">
        <v>0</v>
      </c>
      <c r="AD762" s="16">
        <v>0</v>
      </c>
      <c r="AE762" s="16">
        <v>0</v>
      </c>
      <c r="AF762" s="16">
        <f t="shared" si="254"/>
        <v>18.086000000000002</v>
      </c>
      <c r="AG762" s="16">
        <f t="shared" si="266"/>
        <v>2.8937600000000003</v>
      </c>
      <c r="AH762" s="16">
        <f t="shared" si="255"/>
        <v>20.979760000000002</v>
      </c>
      <c r="AI762" s="16">
        <f t="shared" si="267"/>
        <v>0.36172000000000004</v>
      </c>
      <c r="AJ762" s="16">
        <v>0</v>
      </c>
      <c r="AK762" s="16">
        <f t="shared" si="256"/>
        <v>0.36172000000000004</v>
      </c>
      <c r="AL762" s="19"/>
      <c r="AM762" s="16">
        <f t="shared" si="264"/>
        <v>17.72428</v>
      </c>
      <c r="AN762" s="16" t="s">
        <v>77</v>
      </c>
      <c r="AO762" s="20"/>
      <c r="AP762" s="16">
        <f t="shared" si="263"/>
        <v>0</v>
      </c>
      <c r="AQ762" s="16"/>
      <c r="AR762" s="15"/>
      <c r="AS762" s="16">
        <f t="shared" si="265"/>
        <v>0</v>
      </c>
      <c r="AT762" s="16"/>
      <c r="AU762" s="16">
        <v>20.979760000000002</v>
      </c>
      <c r="AV762" s="16">
        <f t="shared" si="269"/>
        <v>20.979760000000002</v>
      </c>
      <c r="AW762" s="16">
        <f t="shared" si="257"/>
        <v>0</v>
      </c>
      <c r="AX762" s="16" t="str">
        <f t="shared" si="258"/>
        <v>ACTIVA</v>
      </c>
      <c r="AY762" s="22">
        <v>45222</v>
      </c>
      <c r="BA762" s="1"/>
      <c r="BB762" s="22" t="str">
        <f>O762</f>
        <v>GPA</v>
      </c>
      <c r="BC762" s="1"/>
      <c r="BD762" s="1"/>
      <c r="BE762" s="1"/>
    </row>
    <row r="763" spans="1:57" ht="15.75" customHeight="1">
      <c r="A763" s="1" t="s">
        <v>57</v>
      </c>
      <c r="B763" s="1" t="s">
        <v>58</v>
      </c>
      <c r="C763" s="21">
        <v>44923</v>
      </c>
      <c r="D763" s="21">
        <v>44916</v>
      </c>
      <c r="E763" s="21">
        <v>44927</v>
      </c>
      <c r="F763" s="21">
        <v>45291</v>
      </c>
      <c r="G763" s="13" t="str">
        <f t="shared" si="262"/>
        <v>000-762/AIB RDC/2023</v>
      </c>
      <c r="H763" s="1">
        <v>1</v>
      </c>
      <c r="I763" s="1" t="s">
        <v>68</v>
      </c>
      <c r="J763" s="1" t="s">
        <v>78</v>
      </c>
      <c r="K763" s="1" t="s">
        <v>79</v>
      </c>
      <c r="L763" s="15"/>
      <c r="M763" s="1" t="s">
        <v>74</v>
      </c>
      <c r="N763" s="1" t="s">
        <v>75</v>
      </c>
      <c r="O763" s="1" t="s">
        <v>80</v>
      </c>
      <c r="P763" s="1" t="s">
        <v>81</v>
      </c>
      <c r="Q763" s="1" t="s">
        <v>76</v>
      </c>
      <c r="R763" s="1" t="s">
        <v>76</v>
      </c>
      <c r="S763" s="16">
        <v>0</v>
      </c>
      <c r="T763" s="16">
        <v>21850.560000000001</v>
      </c>
      <c r="U763" s="16">
        <v>0</v>
      </c>
      <c r="V763" s="16">
        <v>0</v>
      </c>
      <c r="W763" s="16">
        <v>216</v>
      </c>
      <c r="X763" s="16">
        <v>21600</v>
      </c>
      <c r="Y763" s="16">
        <v>34.56</v>
      </c>
      <c r="Z763" s="17" t="e">
        <f t="shared" si="253"/>
        <v>#DIV/0!</v>
      </c>
      <c r="AA763" s="18">
        <v>0.1</v>
      </c>
      <c r="AB763" s="16">
        <f t="shared" si="268"/>
        <v>2160</v>
      </c>
      <c r="AC763" s="16">
        <v>0</v>
      </c>
      <c r="AD763" s="16">
        <v>0</v>
      </c>
      <c r="AE763" s="16">
        <v>0</v>
      </c>
      <c r="AF763" s="16">
        <f t="shared" si="254"/>
        <v>2160</v>
      </c>
      <c r="AG763" s="16">
        <f t="shared" si="266"/>
        <v>345.6</v>
      </c>
      <c r="AH763" s="16">
        <f t="shared" si="255"/>
        <v>2505.6</v>
      </c>
      <c r="AI763" s="16">
        <f t="shared" si="267"/>
        <v>43.2</v>
      </c>
      <c r="AJ763" s="16">
        <v>0</v>
      </c>
      <c r="AK763" s="16">
        <f t="shared" si="256"/>
        <v>43.2</v>
      </c>
      <c r="AL763" s="19"/>
      <c r="AM763" s="16">
        <f t="shared" si="264"/>
        <v>2116.8000000000002</v>
      </c>
      <c r="AN763" s="16"/>
      <c r="AO763" s="20"/>
      <c r="AP763" s="16">
        <f t="shared" si="263"/>
        <v>0</v>
      </c>
      <c r="AQ763" s="16"/>
      <c r="AR763" s="15"/>
      <c r="AS763" s="16">
        <f t="shared" si="265"/>
        <v>0</v>
      </c>
      <c r="AT763" s="16"/>
      <c r="AU763" s="16">
        <v>1252.8</v>
      </c>
      <c r="AV763" s="16">
        <f t="shared" si="269"/>
        <v>2505.6</v>
      </c>
      <c r="AW763" s="60">
        <f t="shared" si="257"/>
        <v>1252.8</v>
      </c>
      <c r="AX763" s="16" t="str">
        <f t="shared" si="258"/>
        <v>ACTIVA</v>
      </c>
      <c r="AY763" s="22">
        <v>45035</v>
      </c>
      <c r="AZ763" s="22"/>
      <c r="BA763" s="22"/>
      <c r="BB763" s="22" t="str">
        <f>O763</f>
        <v>MEDICAL</v>
      </c>
      <c r="BC763" s="22"/>
      <c r="BD763" s="22"/>
      <c r="BE763" s="45" t="s">
        <v>82</v>
      </c>
    </row>
    <row r="764" spans="1:57" ht="15.75" customHeight="1">
      <c r="A764" s="2" t="s">
        <v>57</v>
      </c>
      <c r="B764" s="1" t="s">
        <v>169</v>
      </c>
      <c r="C764" s="27">
        <v>44927</v>
      </c>
      <c r="D764" s="27">
        <v>44927</v>
      </c>
      <c r="E764" s="27">
        <v>44927</v>
      </c>
      <c r="F764" s="27">
        <v>45291</v>
      </c>
      <c r="G764" s="13" t="str">
        <f t="shared" si="262"/>
        <v>000-763/AIB RDC/2023</v>
      </c>
      <c r="H764" s="1"/>
      <c r="I764" s="1" t="s">
        <v>59</v>
      </c>
      <c r="J764" s="29" t="s">
        <v>78</v>
      </c>
      <c r="K764" s="1" t="s">
        <v>905</v>
      </c>
      <c r="L764" s="1"/>
      <c r="M764" s="1" t="s">
        <v>74</v>
      </c>
      <c r="N764" s="1" t="s">
        <v>75</v>
      </c>
      <c r="O764" s="1" t="s">
        <v>80</v>
      </c>
      <c r="P764" s="1" t="s">
        <v>81</v>
      </c>
      <c r="Q764" s="1" t="s">
        <v>76</v>
      </c>
      <c r="R764" s="1" t="s">
        <v>76</v>
      </c>
      <c r="S764" s="25">
        <v>0</v>
      </c>
      <c r="T764" s="25"/>
      <c r="U764" s="25">
        <v>0</v>
      </c>
      <c r="V764" s="25">
        <v>0</v>
      </c>
      <c r="W764" s="25">
        <v>0</v>
      </c>
      <c r="X764" s="25">
        <v>4319.8999999999996</v>
      </c>
      <c r="Y764" s="25">
        <v>0</v>
      </c>
      <c r="Z764" s="17" t="e">
        <f t="shared" si="253"/>
        <v>#DIV/0!</v>
      </c>
      <c r="AA764" s="18">
        <v>0.1</v>
      </c>
      <c r="AB764" s="16">
        <f t="shared" si="268"/>
        <v>431.99</v>
      </c>
      <c r="AC764" s="16">
        <v>0</v>
      </c>
      <c r="AD764" s="16">
        <v>0</v>
      </c>
      <c r="AE764" s="16">
        <v>0</v>
      </c>
      <c r="AF764" s="16">
        <f t="shared" si="254"/>
        <v>431.99</v>
      </c>
      <c r="AG764" s="16">
        <f t="shared" si="266"/>
        <v>69.118400000000008</v>
      </c>
      <c r="AH764" s="16">
        <f t="shared" si="255"/>
        <v>501.10840000000002</v>
      </c>
      <c r="AI764" s="16">
        <f t="shared" si="267"/>
        <v>8.639800000000001</v>
      </c>
      <c r="AJ764" s="16">
        <v>0</v>
      </c>
      <c r="AK764" s="16">
        <f t="shared" si="256"/>
        <v>8.639800000000001</v>
      </c>
      <c r="AL764" s="19"/>
      <c r="AM764" s="16">
        <f t="shared" si="264"/>
        <v>423.35020000000003</v>
      </c>
      <c r="AN764" s="16"/>
      <c r="AO764" s="20"/>
      <c r="AP764" s="16">
        <f t="shared" si="263"/>
        <v>0</v>
      </c>
      <c r="AQ764" s="16"/>
      <c r="AR764" s="15"/>
      <c r="AS764" s="16">
        <f t="shared" si="265"/>
        <v>0</v>
      </c>
      <c r="AT764" s="16"/>
      <c r="AU764" s="16">
        <v>250.55420000000001</v>
      </c>
      <c r="AV764" s="16">
        <f t="shared" si="269"/>
        <v>501.10840000000002</v>
      </c>
      <c r="AW764" s="60">
        <f t="shared" si="257"/>
        <v>250.55420000000001</v>
      </c>
      <c r="AX764" s="16" t="str">
        <f t="shared" si="258"/>
        <v>ACTIVA</v>
      </c>
      <c r="AY764" s="27">
        <v>45153</v>
      </c>
      <c r="AZ764" s="22"/>
      <c r="BA764" s="1"/>
      <c r="BB764" s="1"/>
      <c r="BC764" s="1"/>
      <c r="BD764" s="1"/>
      <c r="BE764" s="1" t="s">
        <v>906</v>
      </c>
    </row>
    <row r="765" spans="1:57" ht="15.75" hidden="1" customHeight="1">
      <c r="A765" s="2" t="s">
        <v>871</v>
      </c>
      <c r="B765" s="1" t="s">
        <v>58</v>
      </c>
      <c r="C765" s="27">
        <v>45194</v>
      </c>
      <c r="D765" s="27">
        <v>45194</v>
      </c>
      <c r="E765" s="27">
        <v>45163</v>
      </c>
      <c r="F765" s="27">
        <v>45528</v>
      </c>
      <c r="G765" s="13" t="str">
        <f t="shared" si="262"/>
        <v>000-764/AIB RDC/2023</v>
      </c>
      <c r="H765" s="1">
        <v>1</v>
      </c>
      <c r="I765" s="1" t="s">
        <v>68</v>
      </c>
      <c r="J765" s="2" t="s">
        <v>1010</v>
      </c>
      <c r="K765" s="2" t="s">
        <v>1011</v>
      </c>
      <c r="L765" s="1"/>
      <c r="M765" s="1" t="s">
        <v>74</v>
      </c>
      <c r="N765" s="1" t="s">
        <v>724</v>
      </c>
      <c r="O765" s="1" t="s">
        <v>104</v>
      </c>
      <c r="P765" s="1" t="s">
        <v>105</v>
      </c>
      <c r="Q765" s="1" t="s">
        <v>127</v>
      </c>
      <c r="R765" s="1" t="s">
        <v>127</v>
      </c>
      <c r="S765" s="25">
        <v>15000000</v>
      </c>
      <c r="T765" s="25">
        <v>39001</v>
      </c>
      <c r="U765" s="25">
        <v>0</v>
      </c>
      <c r="V765" s="25">
        <v>0</v>
      </c>
      <c r="W765" s="25">
        <v>979</v>
      </c>
      <c r="X765" s="25">
        <v>32642</v>
      </c>
      <c r="Y765" s="25">
        <v>5379</v>
      </c>
      <c r="Z765" s="17">
        <f t="shared" si="253"/>
        <v>2.1761333333333334E-3</v>
      </c>
      <c r="AA765" s="18">
        <v>0.15</v>
      </c>
      <c r="AB765" s="16">
        <f t="shared" si="268"/>
        <v>4896.3</v>
      </c>
      <c r="AC765" s="16">
        <v>0</v>
      </c>
      <c r="AD765" s="16">
        <v>0</v>
      </c>
      <c r="AE765" s="16">
        <v>0</v>
      </c>
      <c r="AF765" s="16">
        <f t="shared" si="254"/>
        <v>4896.3</v>
      </c>
      <c r="AG765" s="16">
        <f t="shared" si="266"/>
        <v>783.40800000000002</v>
      </c>
      <c r="AH765" s="16">
        <f t="shared" si="255"/>
        <v>5679.7080000000005</v>
      </c>
      <c r="AI765" s="16">
        <f t="shared" si="267"/>
        <v>97.926000000000002</v>
      </c>
      <c r="AJ765" s="16">
        <v>0</v>
      </c>
      <c r="AK765" s="16">
        <f t="shared" si="256"/>
        <v>97.926000000000002</v>
      </c>
      <c r="AL765" s="19"/>
      <c r="AM765" s="16">
        <f t="shared" si="264"/>
        <v>4798.3739999999998</v>
      </c>
      <c r="AN765" s="16"/>
      <c r="AO765" s="20"/>
      <c r="AP765" s="16">
        <f t="shared" si="263"/>
        <v>0</v>
      </c>
      <c r="AQ765" s="16"/>
      <c r="AR765" s="15"/>
      <c r="AS765" s="16">
        <f t="shared" si="265"/>
        <v>0</v>
      </c>
      <c r="AT765" s="16"/>
      <c r="AU765" s="16">
        <v>5679.7080000000005</v>
      </c>
      <c r="AV765" s="16">
        <f t="shared" si="269"/>
        <v>5679.7080000000005</v>
      </c>
      <c r="AW765" s="16">
        <f t="shared" si="257"/>
        <v>0</v>
      </c>
      <c r="AX765" s="16" t="str">
        <f t="shared" si="258"/>
        <v>MAYFAIR</v>
      </c>
      <c r="AY765" s="22">
        <v>45231</v>
      </c>
      <c r="BA765" s="1"/>
      <c r="BB765" s="22" t="str">
        <f>O765</f>
        <v>MARINE CARGO / GIT</v>
      </c>
      <c r="BC765" s="1"/>
      <c r="BD765" s="1"/>
      <c r="BE765" s="1"/>
    </row>
    <row r="766" spans="1:57" ht="15.75" customHeight="1">
      <c r="A766" s="2" t="s">
        <v>212</v>
      </c>
      <c r="B766" s="1" t="s">
        <v>58</v>
      </c>
      <c r="C766" s="27">
        <v>45100</v>
      </c>
      <c r="D766" s="27">
        <v>45061</v>
      </c>
      <c r="E766" s="27">
        <v>45100</v>
      </c>
      <c r="F766" s="27">
        <v>45414</v>
      </c>
      <c r="G766" s="13" t="str">
        <f t="shared" si="262"/>
        <v>000-765/AIB RDC/2023</v>
      </c>
      <c r="H766" s="1">
        <v>1</v>
      </c>
      <c r="I766" s="1" t="s">
        <v>59</v>
      </c>
      <c r="J766" s="2" t="s">
        <v>479</v>
      </c>
      <c r="K766" s="1" t="s">
        <v>480</v>
      </c>
      <c r="L766" s="1"/>
      <c r="M766" s="1" t="s">
        <v>99</v>
      </c>
      <c r="N766" s="1" t="s">
        <v>100</v>
      </c>
      <c r="O766" s="1" t="s">
        <v>133</v>
      </c>
      <c r="P766" s="1" t="s">
        <v>134</v>
      </c>
      <c r="Q766" s="1" t="s">
        <v>117</v>
      </c>
      <c r="R766" s="1" t="s">
        <v>117</v>
      </c>
      <c r="S766" s="25">
        <v>80500</v>
      </c>
      <c r="T766" s="25">
        <v>3590.93</v>
      </c>
      <c r="U766" s="25">
        <v>0</v>
      </c>
      <c r="V766" s="25">
        <v>0</v>
      </c>
      <c r="W766" s="25">
        <v>30.65</v>
      </c>
      <c r="X766" s="25">
        <v>3064.98</v>
      </c>
      <c r="Y766" s="25">
        <v>495.3</v>
      </c>
      <c r="Z766" s="17">
        <f t="shared" si="253"/>
        <v>3.8074285714285713E-2</v>
      </c>
      <c r="AA766" s="18">
        <v>0.15</v>
      </c>
      <c r="AB766" s="16">
        <f t="shared" si="268"/>
        <v>459.74700000000001</v>
      </c>
      <c r="AC766" s="16">
        <v>0</v>
      </c>
      <c r="AD766" s="16">
        <v>0</v>
      </c>
      <c r="AE766" s="16">
        <v>0</v>
      </c>
      <c r="AF766" s="16">
        <f t="shared" si="254"/>
        <v>459.74700000000001</v>
      </c>
      <c r="AG766" s="16">
        <f t="shared" si="266"/>
        <v>73.559520000000006</v>
      </c>
      <c r="AH766" s="16">
        <f t="shared" si="255"/>
        <v>533.30651999999998</v>
      </c>
      <c r="AI766" s="16">
        <f t="shared" si="267"/>
        <v>9.1949400000000008</v>
      </c>
      <c r="AJ766" s="16">
        <v>0</v>
      </c>
      <c r="AK766" s="16">
        <f t="shared" si="256"/>
        <v>9.1949400000000008</v>
      </c>
      <c r="AL766" s="19"/>
      <c r="AM766" s="16">
        <f t="shared" si="264"/>
        <v>450.55206000000004</v>
      </c>
      <c r="AN766" s="40" t="s">
        <v>481</v>
      </c>
      <c r="AO766" s="20"/>
      <c r="AP766" s="16">
        <f t="shared" si="263"/>
        <v>0</v>
      </c>
      <c r="AQ766" s="16"/>
      <c r="AR766" s="15"/>
      <c r="AS766" s="16">
        <f t="shared" si="265"/>
        <v>0</v>
      </c>
      <c r="AT766" s="16"/>
      <c r="AU766" s="16">
        <v>527.02</v>
      </c>
      <c r="AV766" s="16">
        <f t="shared" si="269"/>
        <v>533.30651999999998</v>
      </c>
      <c r="AW766" s="60">
        <f t="shared" si="257"/>
        <v>6.2865199999999959</v>
      </c>
      <c r="AX766" s="16" t="str">
        <f t="shared" si="258"/>
        <v>SUNU</v>
      </c>
      <c r="AY766" s="22">
        <v>45237</v>
      </c>
      <c r="AZ766" s="22"/>
      <c r="BA766" s="1"/>
      <c r="BB766" s="22"/>
      <c r="BC766" s="1"/>
      <c r="BD766" s="1"/>
      <c r="BE766" s="1"/>
    </row>
    <row r="767" spans="1:57" ht="15.75" customHeight="1">
      <c r="A767" s="2" t="s">
        <v>770</v>
      </c>
      <c r="B767" s="1" t="s">
        <v>58</v>
      </c>
      <c r="C767" s="27">
        <v>45128</v>
      </c>
      <c r="D767" s="27">
        <v>45110</v>
      </c>
      <c r="E767" s="27">
        <v>45108</v>
      </c>
      <c r="F767" s="27">
        <v>45230</v>
      </c>
      <c r="G767" s="13" t="str">
        <f t="shared" si="262"/>
        <v>000-766/AIB RDC/2023</v>
      </c>
      <c r="H767" s="1">
        <v>0</v>
      </c>
      <c r="I767" s="1" t="s">
        <v>83</v>
      </c>
      <c r="J767" s="29" t="s">
        <v>843</v>
      </c>
      <c r="K767" s="1" t="s">
        <v>70</v>
      </c>
      <c r="L767" s="1" t="s">
        <v>62</v>
      </c>
      <c r="M767" s="1" t="s">
        <v>63</v>
      </c>
      <c r="N767" s="1" t="s">
        <v>64</v>
      </c>
      <c r="O767" s="1" t="s">
        <v>107</v>
      </c>
      <c r="P767" s="1" t="s">
        <v>108</v>
      </c>
      <c r="Q767" s="1" t="s">
        <v>135</v>
      </c>
      <c r="R767" s="1" t="s">
        <v>135</v>
      </c>
      <c r="S767" s="25">
        <v>1598981946</v>
      </c>
      <c r="T767" s="25">
        <v>4560539.18</v>
      </c>
      <c r="U767" s="25">
        <v>464179.72</v>
      </c>
      <c r="V767" s="25">
        <v>-208289.96</v>
      </c>
      <c r="W767" s="25">
        <v>100</v>
      </c>
      <c r="X767" s="25">
        <v>3400584</v>
      </c>
      <c r="Y767" s="25">
        <v>618378.18999999994</v>
      </c>
      <c r="Z767" s="17">
        <f t="shared" si="253"/>
        <v>2.1267181962290899E-3</v>
      </c>
      <c r="AA767" s="18">
        <v>1.125E-2</v>
      </c>
      <c r="AB767" s="16">
        <f t="shared" si="268"/>
        <v>38256.57</v>
      </c>
      <c r="AC767" s="16">
        <f>30%*(U767+V767)</f>
        <v>76766.927999999985</v>
      </c>
      <c r="AD767" s="16">
        <f>0.225%*X767</f>
        <v>7651.3140000000012</v>
      </c>
      <c r="AE767" s="16">
        <v>0</v>
      </c>
      <c r="AF767" s="16">
        <f t="shared" si="254"/>
        <v>122674.81199999999</v>
      </c>
      <c r="AG767" s="16">
        <f t="shared" si="266"/>
        <v>19627.96992</v>
      </c>
      <c r="AH767" s="16">
        <f t="shared" si="255"/>
        <v>142302.78191999998</v>
      </c>
      <c r="AI767" s="16">
        <f t="shared" si="267"/>
        <v>2453.4962399999999</v>
      </c>
      <c r="AJ767" s="16">
        <v>0</v>
      </c>
      <c r="AK767" s="16">
        <f t="shared" si="256"/>
        <v>2453.4962399999999</v>
      </c>
      <c r="AL767" s="19"/>
      <c r="AM767" s="16">
        <f t="shared" si="264"/>
        <v>120221.31576</v>
      </c>
      <c r="AN767" s="16"/>
      <c r="AO767" s="20"/>
      <c r="AP767" s="16">
        <f t="shared" si="263"/>
        <v>0</v>
      </c>
      <c r="AQ767" s="16"/>
      <c r="AR767" s="15"/>
      <c r="AS767" s="16">
        <f t="shared" si="265"/>
        <v>0</v>
      </c>
      <c r="AT767" s="16"/>
      <c r="AU767" s="16">
        <v>85382.03</v>
      </c>
      <c r="AV767" s="16">
        <f t="shared" si="269"/>
        <v>142302.78191999998</v>
      </c>
      <c r="AW767" s="60">
        <f t="shared" si="257"/>
        <v>56920.751919999981</v>
      </c>
      <c r="AX767" s="16" t="str">
        <f t="shared" si="258"/>
        <v>RAWSUR</v>
      </c>
      <c r="AY767" s="22">
        <v>45174</v>
      </c>
      <c r="AZ767" s="22"/>
      <c r="BA767" s="1"/>
      <c r="BB767" s="22" t="str">
        <f>O767</f>
        <v>FIRE</v>
      </c>
      <c r="BC767" s="1"/>
      <c r="BD767" s="1"/>
      <c r="BE767" s="1"/>
    </row>
    <row r="768" spans="1:57" ht="15.75" hidden="1" customHeight="1">
      <c r="A768" s="2" t="s">
        <v>784</v>
      </c>
      <c r="B768" s="1" t="s">
        <v>58</v>
      </c>
      <c r="C768" s="27">
        <v>45177</v>
      </c>
      <c r="D768" s="27">
        <v>45195</v>
      </c>
      <c r="E768" s="27">
        <v>45195</v>
      </c>
      <c r="F768" s="27">
        <v>45560</v>
      </c>
      <c r="G768" s="13" t="str">
        <f t="shared" si="262"/>
        <v>000-767/AIB RDC/2023</v>
      </c>
      <c r="H768" s="1">
        <v>0</v>
      </c>
      <c r="I768" s="1" t="s">
        <v>83</v>
      </c>
      <c r="J768" s="2" t="s">
        <v>1016</v>
      </c>
      <c r="K768" s="2" t="s">
        <v>1017</v>
      </c>
      <c r="L768" s="1"/>
      <c r="M768" s="1" t="s">
        <v>74</v>
      </c>
      <c r="N768" s="1" t="s">
        <v>75</v>
      </c>
      <c r="O768" s="1" t="s">
        <v>65</v>
      </c>
      <c r="P768" s="1" t="s">
        <v>65</v>
      </c>
      <c r="Q768" s="1" t="s">
        <v>117</v>
      </c>
      <c r="R768" s="1" t="s">
        <v>117</v>
      </c>
      <c r="S768" s="25">
        <v>0</v>
      </c>
      <c r="T768" s="25">
        <v>416.44</v>
      </c>
      <c r="U768" s="25">
        <v>0</v>
      </c>
      <c r="V768" s="25">
        <v>0</v>
      </c>
      <c r="W768" s="25">
        <v>10</v>
      </c>
      <c r="X768" s="25">
        <v>349</v>
      </c>
      <c r="Y768" s="25">
        <v>57.44</v>
      </c>
      <c r="Z768" s="17" t="e">
        <f t="shared" si="253"/>
        <v>#DIV/0!</v>
      </c>
      <c r="AA768" s="18">
        <v>0.125</v>
      </c>
      <c r="AB768" s="16">
        <f t="shared" si="268"/>
        <v>43.625</v>
      </c>
      <c r="AC768" s="16">
        <v>0</v>
      </c>
      <c r="AD768" s="16">
        <v>0</v>
      </c>
      <c r="AE768" s="16">
        <v>0</v>
      </c>
      <c r="AF768" s="16">
        <f t="shared" si="254"/>
        <v>43.625</v>
      </c>
      <c r="AG768" s="16">
        <f t="shared" si="266"/>
        <v>6.98</v>
      </c>
      <c r="AH768" s="16">
        <f t="shared" si="255"/>
        <v>50.605000000000004</v>
      </c>
      <c r="AI768" s="16">
        <f t="shared" si="267"/>
        <v>0.87250000000000005</v>
      </c>
      <c r="AJ768" s="16">
        <v>0</v>
      </c>
      <c r="AK768" s="16">
        <f t="shared" si="256"/>
        <v>0.87250000000000005</v>
      </c>
      <c r="AL768" s="19"/>
      <c r="AM768" s="16">
        <f t="shared" si="264"/>
        <v>42.752499999999998</v>
      </c>
      <c r="AN768" s="16"/>
      <c r="AO768" s="20"/>
      <c r="AP768" s="16">
        <f t="shared" si="263"/>
        <v>0</v>
      </c>
      <c r="AQ768" s="16"/>
      <c r="AR768" s="15"/>
      <c r="AS768" s="16">
        <f t="shared" si="265"/>
        <v>0</v>
      </c>
      <c r="AT768" s="16"/>
      <c r="AU768" s="16">
        <v>50.605000000000004</v>
      </c>
      <c r="AV768" s="16">
        <f t="shared" si="269"/>
        <v>50.605000000000004</v>
      </c>
      <c r="AW768" s="16">
        <f t="shared" si="257"/>
        <v>0</v>
      </c>
      <c r="AX768" s="16" t="str">
        <f t="shared" si="258"/>
        <v>SUNU</v>
      </c>
      <c r="AY768" s="22">
        <v>45237</v>
      </c>
      <c r="BA768" s="1"/>
      <c r="BB768" s="22" t="str">
        <f>O768</f>
        <v>MOTOR TPL</v>
      </c>
      <c r="BC768" s="1"/>
      <c r="BD768" s="1"/>
      <c r="BE768" s="1"/>
    </row>
    <row r="769" spans="1:57" ht="15.75" hidden="1" customHeight="1">
      <c r="A769" s="2" t="s">
        <v>770</v>
      </c>
      <c r="B769" s="1" t="s">
        <v>58</v>
      </c>
      <c r="C769" s="27">
        <v>45126</v>
      </c>
      <c r="D769" s="27">
        <v>45208</v>
      </c>
      <c r="E769" s="27">
        <v>45206</v>
      </c>
      <c r="F769" s="27">
        <v>45473</v>
      </c>
      <c r="G769" s="13" t="str">
        <f t="shared" si="262"/>
        <v>000-768/AIB RDC/2023</v>
      </c>
      <c r="H769" s="1">
        <v>0</v>
      </c>
      <c r="I769" s="1" t="s">
        <v>83</v>
      </c>
      <c r="J769" s="2" t="s">
        <v>1018</v>
      </c>
      <c r="K769" s="2" t="s">
        <v>73</v>
      </c>
      <c r="L769" s="1"/>
      <c r="M769" s="1" t="s">
        <v>74</v>
      </c>
      <c r="N769" s="1" t="s">
        <v>724</v>
      </c>
      <c r="O769" s="1" t="s">
        <v>107</v>
      </c>
      <c r="P769" s="1" t="s">
        <v>108</v>
      </c>
      <c r="Q769" s="1" t="s">
        <v>66</v>
      </c>
      <c r="R769" s="1" t="s">
        <v>66</v>
      </c>
      <c r="S769" s="25">
        <v>0</v>
      </c>
      <c r="T769" s="25">
        <v>621</v>
      </c>
      <c r="U769" s="25">
        <v>0</v>
      </c>
      <c r="V769" s="25">
        <v>0</v>
      </c>
      <c r="W769" s="25">
        <v>23.05</v>
      </c>
      <c r="X769" s="25">
        <v>512.29</v>
      </c>
      <c r="Y769" s="25">
        <v>85.66</v>
      </c>
      <c r="Z769" s="17" t="e">
        <f t="shared" si="253"/>
        <v>#DIV/0!</v>
      </c>
      <c r="AA769" s="18">
        <v>0.1</v>
      </c>
      <c r="AB769" s="16">
        <f t="shared" si="268"/>
        <v>51.228999999999999</v>
      </c>
      <c r="AC769" s="16">
        <v>0</v>
      </c>
      <c r="AD769" s="16">
        <v>0</v>
      </c>
      <c r="AE769" s="16">
        <v>0</v>
      </c>
      <c r="AF769" s="16">
        <f t="shared" si="254"/>
        <v>51.228999999999999</v>
      </c>
      <c r="AG769" s="16">
        <f t="shared" si="266"/>
        <v>8.1966400000000004</v>
      </c>
      <c r="AH769" s="16">
        <f t="shared" si="255"/>
        <v>59.425640000000001</v>
      </c>
      <c r="AI769" s="16">
        <f t="shared" si="267"/>
        <v>1.02458</v>
      </c>
      <c r="AJ769" s="16">
        <v>0</v>
      </c>
      <c r="AK769" s="16">
        <f t="shared" si="256"/>
        <v>1.02458</v>
      </c>
      <c r="AL769" s="19"/>
      <c r="AM769" s="16">
        <f t="shared" si="264"/>
        <v>50.204419999999999</v>
      </c>
      <c r="AN769" s="16"/>
      <c r="AO769" s="20"/>
      <c r="AP769" s="16">
        <f t="shared" si="263"/>
        <v>0</v>
      </c>
      <c r="AQ769" s="16"/>
      <c r="AR769" s="15"/>
      <c r="AS769" s="16">
        <f t="shared" si="265"/>
        <v>0</v>
      </c>
      <c r="AT769" s="16"/>
      <c r="AU769" s="16">
        <v>59.425640000000001</v>
      </c>
      <c r="AV769" s="16">
        <f t="shared" si="269"/>
        <v>59.425640000000001</v>
      </c>
      <c r="AW769" s="16">
        <f t="shared" si="257"/>
        <v>0</v>
      </c>
      <c r="AX769" s="16" t="str">
        <f t="shared" si="258"/>
        <v>SFA</v>
      </c>
      <c r="AY769" s="22">
        <v>45237</v>
      </c>
      <c r="BA769" s="1"/>
      <c r="BB769" s="22" t="str">
        <f>O769</f>
        <v>FIRE</v>
      </c>
      <c r="BC769" s="1"/>
      <c r="BD769" s="1"/>
      <c r="BE769" s="1"/>
    </row>
    <row r="770" spans="1:57" ht="15.75" hidden="1" customHeight="1">
      <c r="A770" s="2" t="s">
        <v>770</v>
      </c>
      <c r="B770" s="1" t="s">
        <v>58</v>
      </c>
      <c r="C770" s="27">
        <v>45120</v>
      </c>
      <c r="D770" s="27">
        <v>45120</v>
      </c>
      <c r="E770" s="27">
        <v>45120</v>
      </c>
      <c r="F770" s="27">
        <v>45120</v>
      </c>
      <c r="G770" s="13" t="str">
        <f t="shared" si="262"/>
        <v>000-769/AIB RDC/2023</v>
      </c>
      <c r="H770" s="1">
        <v>2</v>
      </c>
      <c r="I770" s="1" t="s">
        <v>989</v>
      </c>
      <c r="J770" s="2" t="s">
        <v>492</v>
      </c>
      <c r="K770" s="2" t="s">
        <v>73</v>
      </c>
      <c r="L770" s="1"/>
      <c r="M770" s="1" t="s">
        <v>74</v>
      </c>
      <c r="N770" s="1" t="s">
        <v>724</v>
      </c>
      <c r="O770" s="1" t="s">
        <v>107</v>
      </c>
      <c r="P770" s="1" t="s">
        <v>108</v>
      </c>
      <c r="Q770" s="1" t="s">
        <v>66</v>
      </c>
      <c r="R770" s="1" t="s">
        <v>66</v>
      </c>
      <c r="S770" s="25">
        <v>0</v>
      </c>
      <c r="T770" s="25">
        <v>-499.33</v>
      </c>
      <c r="U770" s="25">
        <v>0</v>
      </c>
      <c r="V770" s="25">
        <v>0</v>
      </c>
      <c r="W770" s="25">
        <v>0</v>
      </c>
      <c r="X770" s="25">
        <v>-430.46</v>
      </c>
      <c r="Y770" s="25">
        <v>-68.87</v>
      </c>
      <c r="Z770" s="17" t="e">
        <f t="shared" si="253"/>
        <v>#DIV/0!</v>
      </c>
      <c r="AA770" s="18">
        <v>0.1</v>
      </c>
      <c r="AB770" s="16">
        <f t="shared" si="268"/>
        <v>-43.045999999999999</v>
      </c>
      <c r="AC770" s="16">
        <v>0</v>
      </c>
      <c r="AD770" s="16">
        <v>0</v>
      </c>
      <c r="AE770" s="16">
        <v>0</v>
      </c>
      <c r="AF770" s="16">
        <f t="shared" si="254"/>
        <v>-43.045999999999999</v>
      </c>
      <c r="AG770" s="16">
        <f t="shared" si="266"/>
        <v>-6.8873600000000001</v>
      </c>
      <c r="AH770" s="16">
        <f t="shared" si="255"/>
        <v>-49.93336</v>
      </c>
      <c r="AI770" s="16">
        <f t="shared" si="267"/>
        <v>-0.86092000000000002</v>
      </c>
      <c r="AJ770" s="16">
        <v>0</v>
      </c>
      <c r="AK770" s="16">
        <f t="shared" si="256"/>
        <v>-0.86092000000000002</v>
      </c>
      <c r="AL770" s="19"/>
      <c r="AM770" s="16">
        <f t="shared" si="264"/>
        <v>-42.185079999999999</v>
      </c>
      <c r="AN770" s="16"/>
      <c r="AO770" s="20"/>
      <c r="AP770" s="16">
        <f t="shared" si="263"/>
        <v>0</v>
      </c>
      <c r="AQ770" s="16"/>
      <c r="AR770" s="15"/>
      <c r="AS770" s="16">
        <f t="shared" si="265"/>
        <v>0</v>
      </c>
      <c r="AT770" s="16"/>
      <c r="AU770" s="16">
        <v>-49.93336</v>
      </c>
      <c r="AV770" s="16">
        <f t="shared" si="269"/>
        <v>-49.93336</v>
      </c>
      <c r="AW770" s="16">
        <f t="shared" si="257"/>
        <v>0</v>
      </c>
      <c r="AX770" s="16" t="str">
        <f t="shared" si="258"/>
        <v>SFA</v>
      </c>
      <c r="AY770" s="22">
        <v>45237</v>
      </c>
      <c r="BA770" s="1"/>
      <c r="BB770" s="22" t="str">
        <f>O770</f>
        <v>FIRE</v>
      </c>
      <c r="BC770" s="1"/>
      <c r="BD770" s="1"/>
      <c r="BE770" s="1"/>
    </row>
    <row r="771" spans="1:57" ht="15.75" customHeight="1">
      <c r="A771" s="2" t="s">
        <v>406</v>
      </c>
      <c r="B771" s="1" t="s">
        <v>58</v>
      </c>
      <c r="C771" s="27">
        <v>45166</v>
      </c>
      <c r="D771" s="27">
        <v>45124</v>
      </c>
      <c r="E771" s="27">
        <v>45017</v>
      </c>
      <c r="F771" s="27">
        <v>45869</v>
      </c>
      <c r="G771" s="13" t="str">
        <f t="shared" si="262"/>
        <v>000-770/AIB RDC/2023</v>
      </c>
      <c r="H771" s="1">
        <v>0</v>
      </c>
      <c r="I771" s="1" t="s">
        <v>83</v>
      </c>
      <c r="J771" s="29">
        <v>51000012</v>
      </c>
      <c r="K771" s="2" t="s">
        <v>799</v>
      </c>
      <c r="L771" s="1" t="s">
        <v>62</v>
      </c>
      <c r="M771" s="1" t="s">
        <v>63</v>
      </c>
      <c r="N771" s="1" t="s">
        <v>64</v>
      </c>
      <c r="O771" s="1" t="s">
        <v>309</v>
      </c>
      <c r="P771" s="1" t="s">
        <v>234</v>
      </c>
      <c r="Q771" s="1" t="s">
        <v>135</v>
      </c>
      <c r="R771" s="1" t="s">
        <v>135</v>
      </c>
      <c r="S771" s="25">
        <v>145325111.78</v>
      </c>
      <c r="T771" s="25">
        <v>587395.74</v>
      </c>
      <c r="U771" s="25">
        <v>32552.83</v>
      </c>
      <c r="V771" s="25">
        <v>0</v>
      </c>
      <c r="W771" s="25">
        <v>200</v>
      </c>
      <c r="X771" s="25">
        <f>325528.25+93008.07+46504.04</f>
        <v>465040.36</v>
      </c>
      <c r="Y771" s="25">
        <v>79646.880000000005</v>
      </c>
      <c r="Z771" s="17">
        <f t="shared" si="253"/>
        <v>3.2000000158541077E-3</v>
      </c>
      <c r="AA771" s="18">
        <v>4.5000008171333802E-2</v>
      </c>
      <c r="AB771" s="16">
        <f t="shared" si="268"/>
        <v>20926.820000000014</v>
      </c>
      <c r="AC771" s="16">
        <f>30%*U771</f>
        <v>9765.8490000000002</v>
      </c>
      <c r="AD771" s="16">
        <f>12.0689653689413%*X771</f>
        <v>56125.559999999947</v>
      </c>
      <c r="AE771" s="16">
        <v>0</v>
      </c>
      <c r="AF771" s="16">
        <f t="shared" si="254"/>
        <v>86818.228999999963</v>
      </c>
      <c r="AG771" s="16">
        <f t="shared" si="266"/>
        <v>13890.916639999994</v>
      </c>
      <c r="AH771" s="16">
        <f t="shared" si="255"/>
        <v>100709.14563999996</v>
      </c>
      <c r="AI771" s="16">
        <f t="shared" si="267"/>
        <v>1736.3645799999993</v>
      </c>
      <c r="AJ771" s="16">
        <v>0</v>
      </c>
      <c r="AK771" s="16">
        <f t="shared" si="256"/>
        <v>1736.3645799999993</v>
      </c>
      <c r="AL771" s="19"/>
      <c r="AM771" s="16">
        <f t="shared" si="264"/>
        <v>85081.864419999969</v>
      </c>
      <c r="AN771" s="16"/>
      <c r="AO771" s="20"/>
      <c r="AP771" s="16">
        <f t="shared" si="263"/>
        <v>0</v>
      </c>
      <c r="AQ771" s="16"/>
      <c r="AR771" s="15"/>
      <c r="AS771" s="16">
        <f t="shared" si="265"/>
        <v>0</v>
      </c>
      <c r="AT771" s="16"/>
      <c r="AU771" s="16">
        <v>35603.33</v>
      </c>
      <c r="AV771" s="16">
        <f t="shared" si="269"/>
        <v>100709.14563999996</v>
      </c>
      <c r="AW771" s="60">
        <f t="shared" si="257"/>
        <v>65105.815639999957</v>
      </c>
      <c r="AX771" s="16" t="str">
        <f t="shared" si="258"/>
        <v>RAWSUR</v>
      </c>
      <c r="AY771" s="22">
        <v>45174</v>
      </c>
      <c r="AZ771" s="22"/>
      <c r="BA771" s="1"/>
      <c r="BB771" s="22"/>
      <c r="BC771" s="1"/>
      <c r="BD771" s="1"/>
      <c r="BE771" s="1"/>
    </row>
    <row r="772" spans="1:57" ht="15.75" customHeight="1">
      <c r="A772" s="2" t="s">
        <v>212</v>
      </c>
      <c r="B772" s="1" t="s">
        <v>169</v>
      </c>
      <c r="C772" s="27">
        <v>45056</v>
      </c>
      <c r="D772" s="27"/>
      <c r="E772" s="27">
        <v>45078</v>
      </c>
      <c r="F772" s="27">
        <v>45351</v>
      </c>
      <c r="G772" s="13" t="str">
        <f t="shared" si="262"/>
        <v>000-771/AIB RDC/2023</v>
      </c>
      <c r="H772" s="1">
        <v>0</v>
      </c>
      <c r="I772" s="1" t="s">
        <v>860</v>
      </c>
      <c r="J772" s="29" t="s">
        <v>1117</v>
      </c>
      <c r="K772" s="2" t="s">
        <v>1118</v>
      </c>
      <c r="L772" s="1" t="s">
        <v>62</v>
      </c>
      <c r="M772" s="1" t="s">
        <v>63</v>
      </c>
      <c r="N772" s="1" t="s">
        <v>64</v>
      </c>
      <c r="O772" s="1" t="s">
        <v>194</v>
      </c>
      <c r="P772" s="1" t="s">
        <v>108</v>
      </c>
      <c r="Q772" s="1" t="s">
        <v>135</v>
      </c>
      <c r="R772" s="1" t="s">
        <v>135</v>
      </c>
      <c r="S772" s="25">
        <v>185746117.06</v>
      </c>
      <c r="T772" s="25">
        <v>-580.03</v>
      </c>
      <c r="U772" s="25">
        <v>-73.73</v>
      </c>
      <c r="V772" s="25">
        <v>37.700000000000003</v>
      </c>
      <c r="W772" s="25">
        <v>0</v>
      </c>
      <c r="X772" s="25">
        <v>-417.82</v>
      </c>
      <c r="Y772" s="25">
        <v>-78.650000000000006</v>
      </c>
      <c r="Z772" s="17">
        <f t="shared" si="253"/>
        <v>-2.2494144513666204E-6</v>
      </c>
      <c r="AA772" s="18">
        <v>0</v>
      </c>
      <c r="AB772" s="16">
        <f t="shared" si="268"/>
        <v>0</v>
      </c>
      <c r="AC772" s="16">
        <f>30%*(U772+V772)</f>
        <v>-10.808999999999999</v>
      </c>
      <c r="AD772" s="16">
        <v>0</v>
      </c>
      <c r="AE772" s="16">
        <v>0</v>
      </c>
      <c r="AF772" s="16">
        <f t="shared" si="254"/>
        <v>-10.808999999999999</v>
      </c>
      <c r="AG772" s="16">
        <f t="shared" si="266"/>
        <v>-1.7294399999999999</v>
      </c>
      <c r="AH772" s="16">
        <f t="shared" si="255"/>
        <v>-12.53844</v>
      </c>
      <c r="AI772" s="16">
        <f t="shared" si="267"/>
        <v>-0.21617999999999998</v>
      </c>
      <c r="AJ772" s="16">
        <v>0</v>
      </c>
      <c r="AK772" s="16">
        <f t="shared" si="256"/>
        <v>-0.21617999999999998</v>
      </c>
      <c r="AL772" s="19"/>
      <c r="AM772" s="16">
        <f t="shared" si="264"/>
        <v>-10.59282</v>
      </c>
      <c r="AN772" s="16" t="s">
        <v>228</v>
      </c>
      <c r="AO772" s="20"/>
      <c r="AP772" s="16">
        <f t="shared" si="263"/>
        <v>0</v>
      </c>
      <c r="AQ772" s="16"/>
      <c r="AR772" s="15"/>
      <c r="AS772" s="16">
        <f t="shared" si="265"/>
        <v>0</v>
      </c>
      <c r="AT772" s="16"/>
      <c r="AU772" s="16"/>
      <c r="AV772" s="16">
        <f t="shared" si="269"/>
        <v>-12.53844</v>
      </c>
      <c r="AW772" s="60">
        <f t="shared" si="257"/>
        <v>-12.53844</v>
      </c>
      <c r="AX772" s="16" t="str">
        <f t="shared" si="258"/>
        <v>RAWSUR</v>
      </c>
      <c r="AY772" s="22"/>
      <c r="BA772" s="1"/>
      <c r="BB772" s="22" t="str">
        <f>O772</f>
        <v>PROPERTY DAMAGE &amp; BI</v>
      </c>
      <c r="BC772" s="1"/>
      <c r="BD772" s="1"/>
      <c r="BE772" s="1"/>
    </row>
    <row r="773" spans="1:57" ht="15.75" hidden="1" customHeight="1">
      <c r="A773" s="2" t="s">
        <v>784</v>
      </c>
      <c r="B773" s="1" t="s">
        <v>58</v>
      </c>
      <c r="C773" s="27">
        <v>45182</v>
      </c>
      <c r="D773" s="27">
        <v>45182</v>
      </c>
      <c r="E773" s="27">
        <v>45180</v>
      </c>
      <c r="F773" s="27">
        <v>45545</v>
      </c>
      <c r="G773" s="13" t="str">
        <f t="shared" si="262"/>
        <v>000-772/AIB RDC/2023</v>
      </c>
      <c r="H773" s="1">
        <v>0</v>
      </c>
      <c r="I773" s="1" t="s">
        <v>83</v>
      </c>
      <c r="J773" s="2" t="s">
        <v>1020</v>
      </c>
      <c r="K773" s="2" t="s">
        <v>370</v>
      </c>
      <c r="L773" s="1"/>
      <c r="M773" s="1" t="s">
        <v>99</v>
      </c>
      <c r="N773" s="1" t="s">
        <v>1021</v>
      </c>
      <c r="O773" s="1" t="s">
        <v>104</v>
      </c>
      <c r="P773" s="1" t="s">
        <v>105</v>
      </c>
      <c r="Q773" s="1" t="s">
        <v>66</v>
      </c>
      <c r="R773" s="1" t="s">
        <v>66</v>
      </c>
      <c r="S773" s="25">
        <v>17674</v>
      </c>
      <c r="T773" s="25">
        <v>54.68</v>
      </c>
      <c r="U773" s="25">
        <v>0</v>
      </c>
      <c r="V773" s="25">
        <v>0</v>
      </c>
      <c r="W773" s="25">
        <v>6.5</v>
      </c>
      <c r="X773" s="25">
        <v>19.09</v>
      </c>
      <c r="Y773" s="25">
        <v>4.09</v>
      </c>
      <c r="Z773" s="17">
        <f t="shared" si="253"/>
        <v>1.0801176869978499E-3</v>
      </c>
      <c r="AA773" s="18">
        <v>0.15</v>
      </c>
      <c r="AB773" s="16">
        <f t="shared" si="268"/>
        <v>2.8634999999999997</v>
      </c>
      <c r="AC773" s="16">
        <v>0</v>
      </c>
      <c r="AD773" s="16">
        <v>0</v>
      </c>
      <c r="AE773" s="16">
        <v>0</v>
      </c>
      <c r="AF773" s="16">
        <f t="shared" si="254"/>
        <v>2.8634999999999997</v>
      </c>
      <c r="AG773" s="16">
        <f t="shared" si="266"/>
        <v>0.45815999999999996</v>
      </c>
      <c r="AH773" s="16">
        <f t="shared" si="255"/>
        <v>3.3216599999999996</v>
      </c>
      <c r="AI773" s="16">
        <f t="shared" si="267"/>
        <v>5.7269999999999995E-2</v>
      </c>
      <c r="AJ773" s="16">
        <v>0</v>
      </c>
      <c r="AK773" s="16">
        <f t="shared" si="256"/>
        <v>5.7269999999999995E-2</v>
      </c>
      <c r="AL773" s="19"/>
      <c r="AM773" s="16">
        <f t="shared" si="264"/>
        <v>2.8062299999999998</v>
      </c>
      <c r="AN773" s="16"/>
      <c r="AO773" s="20"/>
      <c r="AP773" s="16">
        <f t="shared" si="263"/>
        <v>0</v>
      </c>
      <c r="AQ773" s="16"/>
      <c r="AR773" s="15"/>
      <c r="AS773" s="16">
        <f t="shared" si="265"/>
        <v>0</v>
      </c>
      <c r="AT773" s="16"/>
      <c r="AU773" s="16">
        <v>3.3216599999999996</v>
      </c>
      <c r="AV773" s="16">
        <f t="shared" si="269"/>
        <v>3.3216599999999996</v>
      </c>
      <c r="AW773" s="16">
        <f t="shared" si="257"/>
        <v>0</v>
      </c>
      <c r="AX773" s="16" t="str">
        <f t="shared" si="258"/>
        <v>SFA</v>
      </c>
      <c r="AY773" s="22">
        <v>45237</v>
      </c>
      <c r="BA773" s="1"/>
      <c r="BB773" s="22"/>
      <c r="BC773" s="1"/>
      <c r="BD773" s="1"/>
      <c r="BE773" s="1"/>
    </row>
    <row r="774" spans="1:57" ht="15.75" customHeight="1">
      <c r="A774" s="2" t="s">
        <v>784</v>
      </c>
      <c r="B774" s="1" t="s">
        <v>58</v>
      </c>
      <c r="C774" s="27">
        <v>45203</v>
      </c>
      <c r="D774" s="27">
        <v>45162</v>
      </c>
      <c r="E774" s="27">
        <v>45194</v>
      </c>
      <c r="F774" s="27">
        <v>45559</v>
      </c>
      <c r="G774" s="13" t="str">
        <f t="shared" si="262"/>
        <v>000-773/AIB RDC/2023</v>
      </c>
      <c r="H774" s="1">
        <v>2</v>
      </c>
      <c r="I774" s="1" t="s">
        <v>68</v>
      </c>
      <c r="J774" s="2">
        <v>70100002</v>
      </c>
      <c r="K774" s="2" t="s">
        <v>1089</v>
      </c>
      <c r="L774" s="1"/>
      <c r="M774" s="1" t="s">
        <v>95</v>
      </c>
      <c r="N774" s="1" t="s">
        <v>96</v>
      </c>
      <c r="O774" s="1" t="s">
        <v>104</v>
      </c>
      <c r="P774" s="1" t="s">
        <v>105</v>
      </c>
      <c r="Q774" s="1" t="s">
        <v>135</v>
      </c>
      <c r="R774" s="1" t="s">
        <v>135</v>
      </c>
      <c r="S774" s="25">
        <v>50000000</v>
      </c>
      <c r="T774" s="25">
        <v>123000</v>
      </c>
      <c r="U774" s="25">
        <v>0</v>
      </c>
      <c r="V774" s="25">
        <v>0</v>
      </c>
      <c r="W774" s="25">
        <v>100</v>
      </c>
      <c r="X774" s="25">
        <v>104137.79</v>
      </c>
      <c r="Y774" s="25">
        <v>16677.97</v>
      </c>
      <c r="Z774" s="17">
        <f t="shared" ref="Z774:Z837" si="270">X774/S774</f>
        <v>2.0827557999999998E-3</v>
      </c>
      <c r="AA774" s="18">
        <v>0.15</v>
      </c>
      <c r="AB774" s="16">
        <f t="shared" si="268"/>
        <v>15620.668499999998</v>
      </c>
      <c r="AC774" s="16">
        <v>0</v>
      </c>
      <c r="AD774" s="16">
        <v>0</v>
      </c>
      <c r="AE774" s="16">
        <v>0</v>
      </c>
      <c r="AF774" s="16">
        <f t="shared" ref="AF774:AF837" si="271">SUM(AB774:AE774)</f>
        <v>15620.668499999998</v>
      </c>
      <c r="AG774" s="16">
        <f t="shared" si="266"/>
        <v>2499.3069599999999</v>
      </c>
      <c r="AH774" s="16">
        <f t="shared" ref="AH774:AH837" si="272">AF774+AG774</f>
        <v>18119.975459999998</v>
      </c>
      <c r="AI774" s="16">
        <f t="shared" si="267"/>
        <v>312.41336999999999</v>
      </c>
      <c r="AJ774" s="16">
        <v>0</v>
      </c>
      <c r="AK774" s="16">
        <f t="shared" ref="AK774:AK837" si="273">AI774-AJ774</f>
        <v>312.41336999999999</v>
      </c>
      <c r="AL774" s="19"/>
      <c r="AM774" s="16">
        <f t="shared" si="264"/>
        <v>15308.255129999998</v>
      </c>
      <c r="AN774" s="16"/>
      <c r="AO774" s="20"/>
      <c r="AP774" s="16">
        <f t="shared" si="263"/>
        <v>0</v>
      </c>
      <c r="AQ774" s="16"/>
      <c r="AR774" s="15"/>
      <c r="AS774" s="16">
        <f t="shared" si="265"/>
        <v>0</v>
      </c>
      <c r="AT774" s="16"/>
      <c r="AU774" s="16">
        <v>6039.96</v>
      </c>
      <c r="AV774" s="16">
        <f t="shared" si="269"/>
        <v>18119.975459999998</v>
      </c>
      <c r="AW774" s="60">
        <f t="shared" ref="AW774:AW837" si="274">AV774-AU774</f>
        <v>12080.015459999999</v>
      </c>
      <c r="AX774" s="16" t="str">
        <f t="shared" si="258"/>
        <v>RAWSUR</v>
      </c>
      <c r="AY774" s="22">
        <v>45219</v>
      </c>
      <c r="BA774" s="1"/>
      <c r="BB774" s="22"/>
      <c r="BC774" s="1"/>
      <c r="BD774" s="1"/>
      <c r="BE774" s="1"/>
    </row>
    <row r="775" spans="1:57" ht="15.75" hidden="1" customHeight="1">
      <c r="A775" s="2" t="s">
        <v>784</v>
      </c>
      <c r="B775" s="1" t="s">
        <v>58</v>
      </c>
      <c r="C775" s="27">
        <v>45190</v>
      </c>
      <c r="D775" s="27">
        <v>45190</v>
      </c>
      <c r="E775" s="27">
        <v>45175</v>
      </c>
      <c r="F775" s="27">
        <v>45383</v>
      </c>
      <c r="G775" s="13" t="str">
        <f t="shared" si="262"/>
        <v>000-774/AIB RDC/2023</v>
      </c>
      <c r="H775" s="1">
        <v>0</v>
      </c>
      <c r="I775" s="1" t="s">
        <v>83</v>
      </c>
      <c r="J775" s="2" t="s">
        <v>1023</v>
      </c>
      <c r="K775" s="2" t="s">
        <v>1022</v>
      </c>
      <c r="L775" s="1"/>
      <c r="M775" s="1" t="s">
        <v>99</v>
      </c>
      <c r="N775" s="1" t="s">
        <v>1021</v>
      </c>
      <c r="O775" s="28" t="s">
        <v>133</v>
      </c>
      <c r="P775" s="1" t="s">
        <v>134</v>
      </c>
      <c r="Q775" s="1" t="s">
        <v>66</v>
      </c>
      <c r="R775" s="1" t="s">
        <v>66</v>
      </c>
      <c r="S775" s="25">
        <v>49500</v>
      </c>
      <c r="T775" s="25">
        <v>1401.82</v>
      </c>
      <c r="U775" s="25">
        <v>0</v>
      </c>
      <c r="V775" s="25">
        <v>0</v>
      </c>
      <c r="W775" s="25">
        <v>49.73</v>
      </c>
      <c r="X775" s="25">
        <v>1352.09</v>
      </c>
      <c r="Y775" s="25">
        <v>0</v>
      </c>
      <c r="Z775" s="17">
        <f t="shared" si="270"/>
        <v>2.7314949494949493E-2</v>
      </c>
      <c r="AA775" s="18">
        <v>0.15</v>
      </c>
      <c r="AB775" s="16">
        <f t="shared" si="268"/>
        <v>202.81349999999998</v>
      </c>
      <c r="AC775" s="16">
        <v>0</v>
      </c>
      <c r="AD775" s="16">
        <v>0</v>
      </c>
      <c r="AE775" s="16">
        <v>0</v>
      </c>
      <c r="AF775" s="16">
        <f t="shared" si="271"/>
        <v>202.81349999999998</v>
      </c>
      <c r="AG775" s="16">
        <f t="shared" ref="AG775:AG806" si="275">16%*AF775</f>
        <v>32.450159999999997</v>
      </c>
      <c r="AH775" s="16">
        <f t="shared" si="272"/>
        <v>235.26365999999996</v>
      </c>
      <c r="AI775" s="16">
        <f t="shared" ref="AI775:AI806" si="276">2%*(AB775+AC775+AD775)</f>
        <v>4.0562699999999996</v>
      </c>
      <c r="AJ775" s="16">
        <v>0</v>
      </c>
      <c r="AK775" s="16">
        <f t="shared" si="273"/>
        <v>4.0562699999999996</v>
      </c>
      <c r="AL775" s="19"/>
      <c r="AM775" s="16">
        <f t="shared" si="264"/>
        <v>198.75722999999996</v>
      </c>
      <c r="AN775" s="16"/>
      <c r="AO775" s="20"/>
      <c r="AP775" s="16">
        <f t="shared" si="263"/>
        <v>0</v>
      </c>
      <c r="AQ775" s="16"/>
      <c r="AR775" s="15"/>
      <c r="AS775" s="16">
        <f t="shared" si="265"/>
        <v>0</v>
      </c>
      <c r="AT775" s="16"/>
      <c r="AU775" s="16">
        <v>235.26365999999996</v>
      </c>
      <c r="AV775" s="16">
        <f t="shared" si="269"/>
        <v>235.26365999999996</v>
      </c>
      <c r="AW775" s="16">
        <f t="shared" si="274"/>
        <v>0</v>
      </c>
      <c r="AX775" s="16" t="str">
        <f t="shared" ref="AX775:AX798" si="277">Q775</f>
        <v>SFA</v>
      </c>
      <c r="AY775" s="22">
        <v>45216</v>
      </c>
      <c r="BA775" s="1"/>
      <c r="BB775" s="22"/>
      <c r="BC775" s="1"/>
      <c r="BD775" s="1"/>
      <c r="BE775" s="1"/>
    </row>
    <row r="776" spans="1:57" ht="15.75" customHeight="1">
      <c r="A776" s="2" t="s">
        <v>784</v>
      </c>
      <c r="B776" s="1" t="s">
        <v>169</v>
      </c>
      <c r="C776" s="27">
        <v>45203</v>
      </c>
      <c r="D776" s="27">
        <v>45194</v>
      </c>
      <c r="E776" s="27">
        <v>45194</v>
      </c>
      <c r="F776" s="27">
        <v>45559</v>
      </c>
      <c r="G776" s="13" t="str">
        <f t="shared" si="262"/>
        <v>000-775/AIB RDC/2023</v>
      </c>
      <c r="H776" s="1">
        <v>1</v>
      </c>
      <c r="I776" s="1" t="s">
        <v>68</v>
      </c>
      <c r="J776" s="2" t="s">
        <v>1090</v>
      </c>
      <c r="K776" s="2" t="s">
        <v>1089</v>
      </c>
      <c r="L776" s="1"/>
      <c r="M776" s="1" t="s">
        <v>95</v>
      </c>
      <c r="N776" s="1" t="s">
        <v>96</v>
      </c>
      <c r="O776" s="1" t="s">
        <v>65</v>
      </c>
      <c r="P776" s="1" t="s">
        <v>65</v>
      </c>
      <c r="Q776" s="1" t="s">
        <v>135</v>
      </c>
      <c r="R776" s="1" t="s">
        <v>135</v>
      </c>
      <c r="S776" s="25">
        <v>0</v>
      </c>
      <c r="T776" s="25">
        <v>77849.39</v>
      </c>
      <c r="U776" s="25">
        <v>0</v>
      </c>
      <c r="V776" s="25">
        <v>0</v>
      </c>
      <c r="W776" s="25">
        <v>1489</v>
      </c>
      <c r="X776" s="25">
        <v>64483.86</v>
      </c>
      <c r="Y776" s="25">
        <v>10555.94</v>
      </c>
      <c r="Z776" s="17" t="e">
        <f t="shared" si="270"/>
        <v>#DIV/0!</v>
      </c>
      <c r="AA776" s="18">
        <v>0.1</v>
      </c>
      <c r="AB776" s="16">
        <f t="shared" si="268"/>
        <v>6448.3860000000004</v>
      </c>
      <c r="AC776" s="16">
        <v>0</v>
      </c>
      <c r="AD776" s="16">
        <v>0</v>
      </c>
      <c r="AE776" s="16">
        <v>0</v>
      </c>
      <c r="AF776" s="16">
        <f t="shared" si="271"/>
        <v>6448.3860000000004</v>
      </c>
      <c r="AG776" s="16">
        <f t="shared" si="275"/>
        <v>1031.7417600000001</v>
      </c>
      <c r="AH776" s="16">
        <f t="shared" si="272"/>
        <v>7480.1277600000003</v>
      </c>
      <c r="AI776" s="16">
        <f t="shared" si="276"/>
        <v>128.96772000000001</v>
      </c>
      <c r="AJ776" s="16">
        <v>0</v>
      </c>
      <c r="AK776" s="16">
        <f t="shared" si="273"/>
        <v>128.96772000000001</v>
      </c>
      <c r="AL776" s="19"/>
      <c r="AM776" s="16">
        <f t="shared" si="264"/>
        <v>6319.4182800000008</v>
      </c>
      <c r="AN776" s="16"/>
      <c r="AO776" s="20"/>
      <c r="AP776" s="16">
        <f t="shared" si="263"/>
        <v>0</v>
      </c>
      <c r="AQ776" s="16"/>
      <c r="AR776" s="15"/>
      <c r="AS776" s="16">
        <f t="shared" si="265"/>
        <v>0</v>
      </c>
      <c r="AT776" s="16"/>
      <c r="AU776" s="16"/>
      <c r="AV776" s="16">
        <f t="shared" si="269"/>
        <v>7480.1277600000003</v>
      </c>
      <c r="AW776" s="60">
        <f t="shared" si="274"/>
        <v>7480.1277600000003</v>
      </c>
      <c r="AX776" s="16" t="str">
        <f t="shared" si="277"/>
        <v>RAWSUR</v>
      </c>
      <c r="AY776" s="22"/>
      <c r="BA776" s="1"/>
      <c r="BB776" s="22"/>
      <c r="BC776" s="1"/>
      <c r="BD776" s="1"/>
      <c r="BE776" s="1"/>
    </row>
    <row r="777" spans="1:57" ht="15.75" hidden="1" customHeight="1">
      <c r="A777" s="2" t="s">
        <v>784</v>
      </c>
      <c r="B777" s="1" t="s">
        <v>58</v>
      </c>
      <c r="C777" s="27">
        <v>45191</v>
      </c>
      <c r="D777" s="27">
        <v>45191</v>
      </c>
      <c r="E777" s="27">
        <v>45191</v>
      </c>
      <c r="F777" s="27">
        <v>45216</v>
      </c>
      <c r="G777" s="13" t="str">
        <f t="shared" si="262"/>
        <v>000-776/AIB RDC/2023</v>
      </c>
      <c r="H777" s="1">
        <v>16</v>
      </c>
      <c r="I777" s="1" t="s">
        <v>59</v>
      </c>
      <c r="J777" s="2" t="s">
        <v>294</v>
      </c>
      <c r="K777" s="1" t="s">
        <v>295</v>
      </c>
      <c r="L777" s="1"/>
      <c r="M777" s="1" t="s">
        <v>99</v>
      </c>
      <c r="N777" s="1" t="s">
        <v>100</v>
      </c>
      <c r="O777" s="1" t="s">
        <v>65</v>
      </c>
      <c r="P777" s="1" t="s">
        <v>65</v>
      </c>
      <c r="Q777" s="1" t="s">
        <v>66</v>
      </c>
      <c r="R777" s="1" t="s">
        <v>66</v>
      </c>
      <c r="S777" s="25">
        <v>0</v>
      </c>
      <c r="T777" s="25">
        <v>237.86</v>
      </c>
      <c r="U777" s="25">
        <v>0</v>
      </c>
      <c r="V777" s="25">
        <v>0</v>
      </c>
      <c r="W777" s="25">
        <v>18.55</v>
      </c>
      <c r="X777" s="25">
        <v>186.5</v>
      </c>
      <c r="Y777" s="25">
        <v>32.81</v>
      </c>
      <c r="Z777" s="17" t="e">
        <f t="shared" si="270"/>
        <v>#DIV/0!</v>
      </c>
      <c r="AA777" s="18">
        <v>0.1</v>
      </c>
      <c r="AB777" s="16">
        <f t="shared" si="268"/>
        <v>18.650000000000002</v>
      </c>
      <c r="AC777" s="16">
        <v>0</v>
      </c>
      <c r="AD777" s="16">
        <v>0</v>
      </c>
      <c r="AE777" s="16">
        <v>0</v>
      </c>
      <c r="AF777" s="16">
        <f t="shared" si="271"/>
        <v>18.650000000000002</v>
      </c>
      <c r="AG777" s="16">
        <f t="shared" si="275"/>
        <v>2.9840000000000004</v>
      </c>
      <c r="AH777" s="16">
        <f t="shared" si="272"/>
        <v>21.634000000000004</v>
      </c>
      <c r="AI777" s="16">
        <f t="shared" si="276"/>
        <v>0.37300000000000005</v>
      </c>
      <c r="AJ777" s="16">
        <v>0</v>
      </c>
      <c r="AK777" s="16">
        <f t="shared" si="273"/>
        <v>0.37300000000000005</v>
      </c>
      <c r="AL777" s="19"/>
      <c r="AM777" s="16">
        <f t="shared" si="264"/>
        <v>18.277000000000001</v>
      </c>
      <c r="AN777" s="16"/>
      <c r="AO777" s="20"/>
      <c r="AP777" s="16">
        <f t="shared" si="263"/>
        <v>0</v>
      </c>
      <c r="AQ777" s="16"/>
      <c r="AR777" s="15"/>
      <c r="AS777" s="16">
        <f t="shared" si="265"/>
        <v>0</v>
      </c>
      <c r="AT777" s="16"/>
      <c r="AU777" s="16">
        <v>21.634000000000004</v>
      </c>
      <c r="AV777" s="16">
        <f t="shared" si="269"/>
        <v>21.634000000000004</v>
      </c>
      <c r="AW777" s="16">
        <f t="shared" si="274"/>
        <v>0</v>
      </c>
      <c r="AX777" s="16" t="str">
        <f t="shared" si="277"/>
        <v>SFA</v>
      </c>
      <c r="AY777" s="22">
        <v>45216</v>
      </c>
      <c r="BA777" s="1"/>
      <c r="BB777" s="22"/>
      <c r="BC777" s="1"/>
      <c r="BD777" s="1"/>
      <c r="BE777" s="1"/>
    </row>
    <row r="778" spans="1:57" ht="15.75" customHeight="1">
      <c r="A778" s="2" t="s">
        <v>784</v>
      </c>
      <c r="B778" s="1" t="s">
        <v>58</v>
      </c>
      <c r="C778" s="27">
        <v>45204</v>
      </c>
      <c r="D778" s="27">
        <v>45205</v>
      </c>
      <c r="E778" s="27">
        <v>45194</v>
      </c>
      <c r="F778" s="27">
        <v>45559</v>
      </c>
      <c r="G778" s="13" t="str">
        <f t="shared" si="262"/>
        <v>000-777/AIB RDC/2023</v>
      </c>
      <c r="H778" s="1">
        <v>3</v>
      </c>
      <c r="I778" s="1" t="s">
        <v>68</v>
      </c>
      <c r="J778" s="2" t="s">
        <v>1101</v>
      </c>
      <c r="K778" s="2" t="s">
        <v>1089</v>
      </c>
      <c r="L778" s="1"/>
      <c r="M778" s="1" t="s">
        <v>95</v>
      </c>
      <c r="N778" s="1" t="s">
        <v>96</v>
      </c>
      <c r="O778" s="1" t="s">
        <v>111</v>
      </c>
      <c r="P778" s="1" t="s">
        <v>112</v>
      </c>
      <c r="Q778" s="1" t="s">
        <v>66</v>
      </c>
      <c r="R778" s="1" t="s">
        <v>66</v>
      </c>
      <c r="S778" s="25">
        <v>0</v>
      </c>
      <c r="T778" s="25">
        <v>83691.759999999995</v>
      </c>
      <c r="U778" s="25">
        <v>10584.5</v>
      </c>
      <c r="V778" s="25">
        <v>0</v>
      </c>
      <c r="W778" s="25">
        <v>1780.28</v>
      </c>
      <c r="X778" s="25">
        <v>59978.8</v>
      </c>
      <c r="Y778" s="25">
        <v>11348.18</v>
      </c>
      <c r="Z778" s="17" t="e">
        <f t="shared" si="270"/>
        <v>#DIV/0!</v>
      </c>
      <c r="AA778" s="18">
        <v>0.2148332410785144</v>
      </c>
      <c r="AB778" s="16">
        <f t="shared" ref="AB778:AB809" si="278">AA778*X778</f>
        <v>12885.44</v>
      </c>
      <c r="AC778" s="16">
        <v>0</v>
      </c>
      <c r="AD778" s="16">
        <v>0</v>
      </c>
      <c r="AE778" s="16">
        <v>0</v>
      </c>
      <c r="AF778" s="16">
        <f t="shared" si="271"/>
        <v>12885.44</v>
      </c>
      <c r="AG778" s="16">
        <f t="shared" si="275"/>
        <v>2061.6704</v>
      </c>
      <c r="AH778" s="16">
        <f t="shared" si="272"/>
        <v>14947.110400000001</v>
      </c>
      <c r="AI778" s="16">
        <f t="shared" si="276"/>
        <v>257.7088</v>
      </c>
      <c r="AJ778" s="16">
        <v>0</v>
      </c>
      <c r="AK778" s="16">
        <f t="shared" si="273"/>
        <v>257.7088</v>
      </c>
      <c r="AL778" s="19"/>
      <c r="AM778" s="16">
        <f t="shared" si="264"/>
        <v>12627.7312</v>
      </c>
      <c r="AN778" s="16"/>
      <c r="AO778" s="20"/>
      <c r="AP778" s="16">
        <f t="shared" si="263"/>
        <v>0</v>
      </c>
      <c r="AQ778" s="16"/>
      <c r="AR778" s="15"/>
      <c r="AS778" s="16">
        <f t="shared" si="265"/>
        <v>0</v>
      </c>
      <c r="AT778" s="16"/>
      <c r="AU778" s="16">
        <v>2458.11</v>
      </c>
      <c r="AV778" s="16">
        <f t="shared" si="269"/>
        <v>14947.110400000001</v>
      </c>
      <c r="AW778" s="60">
        <f t="shared" si="274"/>
        <v>12489.000400000001</v>
      </c>
      <c r="AX778" s="16" t="str">
        <f t="shared" si="277"/>
        <v>SFA</v>
      </c>
      <c r="AY778" s="22"/>
      <c r="BA778" s="1"/>
      <c r="BB778" s="22"/>
      <c r="BC778" s="1"/>
      <c r="BD778" s="1"/>
      <c r="BE778" s="1"/>
    </row>
    <row r="779" spans="1:57" ht="15.75" hidden="1" customHeight="1">
      <c r="A779" s="2" t="s">
        <v>784</v>
      </c>
      <c r="B779" s="1" t="s">
        <v>58</v>
      </c>
      <c r="C779" s="27">
        <v>45195</v>
      </c>
      <c r="D779" s="27">
        <v>45195</v>
      </c>
      <c r="E779" s="27">
        <v>45196</v>
      </c>
      <c r="F779" s="27">
        <v>45561</v>
      </c>
      <c r="G779" s="13" t="str">
        <f t="shared" si="262"/>
        <v>000-778/AIB RDC/2023</v>
      </c>
      <c r="H779" s="1">
        <v>0</v>
      </c>
      <c r="I779" s="1" t="s">
        <v>83</v>
      </c>
      <c r="J779" s="2" t="s">
        <v>1026</v>
      </c>
      <c r="K779" s="2" t="s">
        <v>1025</v>
      </c>
      <c r="L779" s="1"/>
      <c r="M779" s="1" t="s">
        <v>99</v>
      </c>
      <c r="N779" s="1" t="s">
        <v>1021</v>
      </c>
      <c r="O779" s="28" t="s">
        <v>65</v>
      </c>
      <c r="P779" s="1" t="s">
        <v>65</v>
      </c>
      <c r="Q779" s="1" t="s">
        <v>66</v>
      </c>
      <c r="R779" s="1" t="s">
        <v>66</v>
      </c>
      <c r="S779" s="25">
        <v>0</v>
      </c>
      <c r="T779" s="25">
        <v>1817.85</v>
      </c>
      <c r="U779" s="25">
        <v>0</v>
      </c>
      <c r="V779" s="25">
        <v>0</v>
      </c>
      <c r="W779" s="25">
        <v>61.12</v>
      </c>
      <c r="X779" s="25">
        <v>1506</v>
      </c>
      <c r="Y779" s="25">
        <v>250.73</v>
      </c>
      <c r="Z779" s="17" t="e">
        <f t="shared" si="270"/>
        <v>#DIV/0!</v>
      </c>
      <c r="AA779" s="18">
        <v>0.1</v>
      </c>
      <c r="AB779" s="16">
        <f t="shared" si="278"/>
        <v>150.6</v>
      </c>
      <c r="AC779" s="16">
        <v>0</v>
      </c>
      <c r="AD779" s="16">
        <v>0</v>
      </c>
      <c r="AE779" s="16">
        <v>0</v>
      </c>
      <c r="AF779" s="16">
        <f t="shared" si="271"/>
        <v>150.6</v>
      </c>
      <c r="AG779" s="16">
        <f t="shared" si="275"/>
        <v>24.096</v>
      </c>
      <c r="AH779" s="16">
        <f t="shared" si="272"/>
        <v>174.696</v>
      </c>
      <c r="AI779" s="16">
        <f t="shared" si="276"/>
        <v>3.012</v>
      </c>
      <c r="AJ779" s="16">
        <v>0</v>
      </c>
      <c r="AK779" s="16">
        <f t="shared" si="273"/>
        <v>3.012</v>
      </c>
      <c r="AL779" s="19"/>
      <c r="AM779" s="16">
        <f t="shared" si="264"/>
        <v>147.58799999999999</v>
      </c>
      <c r="AN779" s="16"/>
      <c r="AO779" s="20"/>
      <c r="AP779" s="16">
        <f t="shared" si="263"/>
        <v>0</v>
      </c>
      <c r="AQ779" s="16"/>
      <c r="AR779" s="15"/>
      <c r="AS779" s="16">
        <f t="shared" si="265"/>
        <v>0</v>
      </c>
      <c r="AT779" s="16"/>
      <c r="AU779" s="16">
        <v>174.696</v>
      </c>
      <c r="AV779" s="16">
        <f t="shared" si="269"/>
        <v>174.696</v>
      </c>
      <c r="AW779" s="16">
        <f t="shared" si="274"/>
        <v>0</v>
      </c>
      <c r="AX779" s="16" t="str">
        <f t="shared" si="277"/>
        <v>SFA</v>
      </c>
      <c r="AY779" s="22">
        <v>45216</v>
      </c>
      <c r="BA779" s="1"/>
      <c r="BB779" s="22"/>
      <c r="BC779" s="1"/>
      <c r="BD779" s="1"/>
      <c r="BE779" s="1"/>
    </row>
    <row r="780" spans="1:57" ht="15.75" hidden="1" customHeight="1">
      <c r="A780" s="2" t="s">
        <v>784</v>
      </c>
      <c r="B780" s="1" t="s">
        <v>58</v>
      </c>
      <c r="C780" s="27">
        <v>45196</v>
      </c>
      <c r="D780" s="27">
        <v>45196</v>
      </c>
      <c r="E780" s="27">
        <v>45196</v>
      </c>
      <c r="F780" s="27">
        <v>45416</v>
      </c>
      <c r="G780" s="13" t="str">
        <f t="shared" si="262"/>
        <v>000-779/AIB RDC/2023</v>
      </c>
      <c r="H780" s="1">
        <v>4</v>
      </c>
      <c r="I780" s="1" t="s">
        <v>59</v>
      </c>
      <c r="J780" s="2" t="s">
        <v>653</v>
      </c>
      <c r="K780" s="2" t="s">
        <v>1027</v>
      </c>
      <c r="L780" s="1"/>
      <c r="M780" s="1" t="s">
        <v>99</v>
      </c>
      <c r="N780" s="1" t="s">
        <v>1021</v>
      </c>
      <c r="O780" s="1" t="s">
        <v>133</v>
      </c>
      <c r="P780" s="1" t="s">
        <v>134</v>
      </c>
      <c r="Q780" s="1" t="s">
        <v>76</v>
      </c>
      <c r="R780" s="1" t="s">
        <v>76</v>
      </c>
      <c r="S780" s="25">
        <v>20000</v>
      </c>
      <c r="T780" s="25">
        <v>940</v>
      </c>
      <c r="U780" s="25">
        <v>0</v>
      </c>
      <c r="V780" s="25">
        <v>0</v>
      </c>
      <c r="W780" s="25">
        <v>10</v>
      </c>
      <c r="X780" s="25">
        <v>930</v>
      </c>
      <c r="Y780" s="25">
        <v>0</v>
      </c>
      <c r="Z780" s="17">
        <f t="shared" si="270"/>
        <v>4.65E-2</v>
      </c>
      <c r="AA780" s="18">
        <v>0.14410752688171999</v>
      </c>
      <c r="AB780" s="16">
        <f t="shared" si="278"/>
        <v>134.01999999999958</v>
      </c>
      <c r="AC780" s="16">
        <v>0</v>
      </c>
      <c r="AD780" s="16">
        <v>0</v>
      </c>
      <c r="AE780" s="16">
        <v>0</v>
      </c>
      <c r="AF780" s="16">
        <f t="shared" si="271"/>
        <v>134.01999999999958</v>
      </c>
      <c r="AG780" s="16">
        <f t="shared" si="275"/>
        <v>21.443199999999933</v>
      </c>
      <c r="AH780" s="16">
        <f t="shared" si="272"/>
        <v>155.46319999999952</v>
      </c>
      <c r="AI780" s="16">
        <f t="shared" si="276"/>
        <v>2.6803999999999917</v>
      </c>
      <c r="AJ780" s="16">
        <v>0</v>
      </c>
      <c r="AK780" s="16">
        <f t="shared" si="273"/>
        <v>2.6803999999999917</v>
      </c>
      <c r="AL780" s="19"/>
      <c r="AM780" s="16">
        <f t="shared" si="264"/>
        <v>131.33959999999959</v>
      </c>
      <c r="AN780" s="16"/>
      <c r="AO780" s="20"/>
      <c r="AP780" s="16">
        <f t="shared" si="263"/>
        <v>0</v>
      </c>
      <c r="AQ780" s="16"/>
      <c r="AR780" s="15"/>
      <c r="AS780" s="16">
        <f t="shared" si="265"/>
        <v>0</v>
      </c>
      <c r="AT780" s="16"/>
      <c r="AU780" s="16">
        <v>155.46319999999952</v>
      </c>
      <c r="AV780" s="16">
        <f t="shared" si="269"/>
        <v>155.46319999999952</v>
      </c>
      <c r="AW780" s="16">
        <f t="shared" si="274"/>
        <v>0</v>
      </c>
      <c r="AX780" s="16" t="str">
        <f t="shared" si="277"/>
        <v>ACTIVA</v>
      </c>
      <c r="AY780" s="22">
        <v>45222</v>
      </c>
      <c r="BA780" s="1"/>
      <c r="BB780" s="22"/>
      <c r="BC780" s="1"/>
      <c r="BD780" s="1"/>
      <c r="BE780" s="1"/>
    </row>
    <row r="781" spans="1:57" ht="15.75" customHeight="1">
      <c r="A781" s="2" t="s">
        <v>784</v>
      </c>
      <c r="B781" s="1" t="s">
        <v>58</v>
      </c>
      <c r="C781" s="27">
        <v>45204</v>
      </c>
      <c r="D781" s="27">
        <v>45206</v>
      </c>
      <c r="E781" s="27">
        <v>45194</v>
      </c>
      <c r="F781" s="27">
        <v>45559</v>
      </c>
      <c r="G781" s="13" t="str">
        <f t="shared" si="262"/>
        <v>000-780/AIB RDC/2023</v>
      </c>
      <c r="H781" s="1">
        <v>3</v>
      </c>
      <c r="I781" s="1" t="s">
        <v>68</v>
      </c>
      <c r="J781" s="2" t="s">
        <v>1102</v>
      </c>
      <c r="K781" s="2" t="s">
        <v>1089</v>
      </c>
      <c r="L781" s="1"/>
      <c r="M781" s="1" t="s">
        <v>95</v>
      </c>
      <c r="N781" s="1" t="s">
        <v>96</v>
      </c>
      <c r="O781" s="1" t="s">
        <v>194</v>
      </c>
      <c r="P781" s="1" t="s">
        <v>108</v>
      </c>
      <c r="Q781" s="1" t="s">
        <v>66</v>
      </c>
      <c r="R781" s="1" t="s">
        <v>66</v>
      </c>
      <c r="S781" s="25">
        <v>0</v>
      </c>
      <c r="T781" s="25">
        <v>239053.15</v>
      </c>
      <c r="U781" s="25">
        <v>0</v>
      </c>
      <c r="V781" s="25">
        <v>0</v>
      </c>
      <c r="W781" s="25">
        <v>4905.83</v>
      </c>
      <c r="X781" s="25">
        <v>201174.47</v>
      </c>
      <c r="Y781" s="25">
        <v>32972.85</v>
      </c>
      <c r="Z781" s="17" t="e">
        <f t="shared" si="270"/>
        <v>#DIV/0!</v>
      </c>
      <c r="AA781" s="18">
        <v>0.18448941359209201</v>
      </c>
      <c r="AB781" s="16">
        <f t="shared" si="278"/>
        <v>37114.559999999903</v>
      </c>
      <c r="AC781" s="16">
        <v>0</v>
      </c>
      <c r="AD781" s="16">
        <v>0</v>
      </c>
      <c r="AE781" s="16">
        <v>0</v>
      </c>
      <c r="AF781" s="16">
        <f t="shared" si="271"/>
        <v>37114.559999999903</v>
      </c>
      <c r="AG781" s="16">
        <f t="shared" si="275"/>
        <v>5938.3295999999846</v>
      </c>
      <c r="AH781" s="16">
        <f t="shared" si="272"/>
        <v>43052.889599999886</v>
      </c>
      <c r="AI781" s="16">
        <f t="shared" si="276"/>
        <v>742.29119999999807</v>
      </c>
      <c r="AJ781" s="16">
        <v>0</v>
      </c>
      <c r="AK781" s="16">
        <f t="shared" si="273"/>
        <v>742.29119999999807</v>
      </c>
      <c r="AL781" s="19"/>
      <c r="AM781" s="16">
        <f t="shared" si="264"/>
        <v>36372.268799999903</v>
      </c>
      <c r="AN781" s="16"/>
      <c r="AO781" s="20"/>
      <c r="AP781" s="16">
        <f t="shared" si="263"/>
        <v>0</v>
      </c>
      <c r="AQ781" s="16"/>
      <c r="AR781" s="15"/>
      <c r="AS781" s="16">
        <f t="shared" si="265"/>
        <v>0</v>
      </c>
      <c r="AT781" s="16"/>
      <c r="AU781" s="16">
        <v>6946.88</v>
      </c>
      <c r="AV781" s="16">
        <f t="shared" si="269"/>
        <v>43052.889599999886</v>
      </c>
      <c r="AW781" s="60">
        <f t="shared" si="274"/>
        <v>36106.009599999888</v>
      </c>
      <c r="AX781" s="16" t="str">
        <f t="shared" si="277"/>
        <v>SFA</v>
      </c>
      <c r="AY781" s="22"/>
      <c r="BA781" s="1"/>
      <c r="BB781" s="22"/>
      <c r="BC781" s="1"/>
      <c r="BD781" s="1"/>
      <c r="BE781" s="1"/>
    </row>
    <row r="782" spans="1:57" ht="15.75" customHeight="1">
      <c r="A782" s="2" t="s">
        <v>165</v>
      </c>
      <c r="B782" s="1" t="s">
        <v>169</v>
      </c>
      <c r="C782" s="27">
        <v>45064</v>
      </c>
      <c r="D782" s="27">
        <v>45020</v>
      </c>
      <c r="E782" s="27">
        <v>45016</v>
      </c>
      <c r="F782" s="27">
        <v>45230</v>
      </c>
      <c r="G782" s="13" t="str">
        <f t="shared" si="262"/>
        <v>000-781/AIB RDC/2023</v>
      </c>
      <c r="H782" s="1">
        <v>4</v>
      </c>
      <c r="I782" s="1" t="s">
        <v>189</v>
      </c>
      <c r="J782" s="29" t="s">
        <v>238</v>
      </c>
      <c r="K782" s="1" t="s">
        <v>232</v>
      </c>
      <c r="L782" s="1" t="s">
        <v>123</v>
      </c>
      <c r="M782" s="1" t="s">
        <v>63</v>
      </c>
      <c r="N782" s="1" t="s">
        <v>64</v>
      </c>
      <c r="O782" s="2" t="s">
        <v>233</v>
      </c>
      <c r="P782" s="2" t="s">
        <v>234</v>
      </c>
      <c r="Q782" s="2" t="s">
        <v>66</v>
      </c>
      <c r="R782" s="2" t="s">
        <v>66</v>
      </c>
      <c r="S782" s="25">
        <v>0</v>
      </c>
      <c r="T782" s="25">
        <v>4141.16</v>
      </c>
      <c r="U782" s="25">
        <v>0</v>
      </c>
      <c r="V782" s="25">
        <v>0</v>
      </c>
      <c r="W782" s="25">
        <v>27.41</v>
      </c>
      <c r="X782" s="25">
        <v>3482.05</v>
      </c>
      <c r="Y782" s="25">
        <v>561.51</v>
      </c>
      <c r="Z782" s="17" t="e">
        <f t="shared" si="270"/>
        <v>#DIV/0!</v>
      </c>
      <c r="AA782" s="18">
        <v>0.15</v>
      </c>
      <c r="AB782" s="16">
        <f t="shared" si="278"/>
        <v>522.3075</v>
      </c>
      <c r="AC782" s="16">
        <v>0</v>
      </c>
      <c r="AD782" s="16">
        <v>0</v>
      </c>
      <c r="AE782" s="16">
        <v>0</v>
      </c>
      <c r="AF782" s="16">
        <f t="shared" si="271"/>
        <v>522.3075</v>
      </c>
      <c r="AG782" s="16">
        <f t="shared" si="275"/>
        <v>83.569200000000009</v>
      </c>
      <c r="AH782" s="16">
        <f t="shared" si="272"/>
        <v>605.87670000000003</v>
      </c>
      <c r="AI782" s="16">
        <f t="shared" si="276"/>
        <v>10.446150000000001</v>
      </c>
      <c r="AJ782" s="16">
        <v>0</v>
      </c>
      <c r="AK782" s="16">
        <f t="shared" si="273"/>
        <v>10.446150000000001</v>
      </c>
      <c r="AL782" s="19"/>
      <c r="AM782" s="16">
        <f t="shared" si="264"/>
        <v>511.86135000000002</v>
      </c>
      <c r="AN782" s="16" t="s">
        <v>228</v>
      </c>
      <c r="AO782" s="20"/>
      <c r="AP782" s="16">
        <f t="shared" si="263"/>
        <v>0</v>
      </c>
      <c r="AQ782" s="16"/>
      <c r="AR782" s="15"/>
      <c r="AS782" s="16">
        <f t="shared" si="265"/>
        <v>0</v>
      </c>
      <c r="AT782" s="16"/>
      <c r="AU782" s="16"/>
      <c r="AV782" s="16">
        <f t="shared" si="269"/>
        <v>605.87670000000003</v>
      </c>
      <c r="AW782" s="60">
        <f t="shared" si="274"/>
        <v>605.87670000000003</v>
      </c>
      <c r="AX782" s="16" t="str">
        <f t="shared" si="277"/>
        <v>SFA</v>
      </c>
      <c r="AY782" s="22"/>
      <c r="BA782" s="1" t="s">
        <v>235</v>
      </c>
      <c r="BB782" s="22" t="str">
        <f>O782</f>
        <v>CAR</v>
      </c>
      <c r="BC782" s="1"/>
      <c r="BD782" s="1"/>
      <c r="BE782" s="1"/>
    </row>
    <row r="783" spans="1:57" ht="15.75" customHeight="1">
      <c r="A783" s="2" t="s">
        <v>406</v>
      </c>
      <c r="B783" s="1" t="s">
        <v>169</v>
      </c>
      <c r="C783" s="27">
        <v>45064</v>
      </c>
      <c r="D783" s="27">
        <v>45037</v>
      </c>
      <c r="E783" s="27">
        <v>45046</v>
      </c>
      <c r="F783" s="27">
        <v>45617</v>
      </c>
      <c r="G783" s="13" t="str">
        <f t="shared" si="262"/>
        <v>000-782/AIB RDC/2023</v>
      </c>
      <c r="H783" s="1">
        <v>3</v>
      </c>
      <c r="I783" s="1" t="s">
        <v>189</v>
      </c>
      <c r="J783" s="29" t="s">
        <v>1132</v>
      </c>
      <c r="K783" s="1" t="s">
        <v>232</v>
      </c>
      <c r="L783" s="1" t="s">
        <v>123</v>
      </c>
      <c r="M783" s="1" t="s">
        <v>63</v>
      </c>
      <c r="N783" s="1" t="s">
        <v>64</v>
      </c>
      <c r="O783" s="2" t="s">
        <v>233</v>
      </c>
      <c r="P783" s="2" t="s">
        <v>234</v>
      </c>
      <c r="Q783" s="2" t="s">
        <v>76</v>
      </c>
      <c r="R783" s="2" t="s">
        <v>76</v>
      </c>
      <c r="S783" s="25">
        <v>0</v>
      </c>
      <c r="T783" s="25">
        <v>6684.02</v>
      </c>
      <c r="U783" s="25">
        <v>0</v>
      </c>
      <c r="V783" s="25">
        <v>0</v>
      </c>
      <c r="W783" s="25">
        <v>57.05</v>
      </c>
      <c r="X783" s="25">
        <v>5705.04</v>
      </c>
      <c r="Y783" s="25">
        <v>921.93</v>
      </c>
      <c r="Z783" s="17" t="e">
        <f t="shared" si="270"/>
        <v>#DIV/0!</v>
      </c>
      <c r="AA783" s="18">
        <v>0.15</v>
      </c>
      <c r="AB783" s="16">
        <f t="shared" si="278"/>
        <v>855.75599999999997</v>
      </c>
      <c r="AC783" s="16">
        <v>0</v>
      </c>
      <c r="AD783" s="16">
        <v>0</v>
      </c>
      <c r="AE783" s="16">
        <v>0</v>
      </c>
      <c r="AF783" s="16">
        <f t="shared" si="271"/>
        <v>855.75599999999997</v>
      </c>
      <c r="AG783" s="16">
        <f t="shared" si="275"/>
        <v>136.92096000000001</v>
      </c>
      <c r="AH783" s="16">
        <f t="shared" si="272"/>
        <v>992.67696000000001</v>
      </c>
      <c r="AI783" s="16">
        <f t="shared" si="276"/>
        <v>17.115120000000001</v>
      </c>
      <c r="AJ783" s="16">
        <v>0</v>
      </c>
      <c r="AK783" s="16">
        <f t="shared" si="273"/>
        <v>17.115120000000001</v>
      </c>
      <c r="AL783" s="19"/>
      <c r="AM783" s="16">
        <f t="shared" si="264"/>
        <v>838.64087999999992</v>
      </c>
      <c r="AN783" s="16" t="s">
        <v>228</v>
      </c>
      <c r="AO783" s="20"/>
      <c r="AP783" s="16">
        <f t="shared" si="263"/>
        <v>0</v>
      </c>
      <c r="AQ783" s="16"/>
      <c r="AR783" s="15"/>
      <c r="AS783" s="16">
        <f t="shared" si="265"/>
        <v>0</v>
      </c>
      <c r="AT783" s="16"/>
      <c r="AU783" s="16"/>
      <c r="AV783" s="16">
        <f t="shared" si="269"/>
        <v>992.67696000000001</v>
      </c>
      <c r="AW783" s="60">
        <f t="shared" si="274"/>
        <v>992.67696000000001</v>
      </c>
      <c r="AX783" s="16" t="str">
        <f t="shared" si="277"/>
        <v>ACTIVA</v>
      </c>
      <c r="AY783" s="22"/>
      <c r="BA783" s="1" t="s">
        <v>235</v>
      </c>
      <c r="BB783" s="22" t="str">
        <f>O783</f>
        <v>CAR</v>
      </c>
      <c r="BC783" s="1"/>
      <c r="BD783" s="1"/>
      <c r="BE783" s="1"/>
    </row>
    <row r="784" spans="1:57" ht="15.75" customHeight="1">
      <c r="A784" s="2" t="s">
        <v>406</v>
      </c>
      <c r="B784" s="1" t="s">
        <v>169</v>
      </c>
      <c r="C784" s="27">
        <v>45064</v>
      </c>
      <c r="D784" s="27">
        <v>45037</v>
      </c>
      <c r="E784" s="27">
        <v>45017</v>
      </c>
      <c r="F784" s="27">
        <v>45107</v>
      </c>
      <c r="G784" s="13" t="str">
        <f t="shared" si="262"/>
        <v>000-783/AIB RDC/2023</v>
      </c>
      <c r="H784" s="1">
        <v>6</v>
      </c>
      <c r="I784" s="1" t="s">
        <v>189</v>
      </c>
      <c r="J784" s="29" t="s">
        <v>1133</v>
      </c>
      <c r="K784" s="1" t="s">
        <v>232</v>
      </c>
      <c r="L784" s="1" t="s">
        <v>123</v>
      </c>
      <c r="M784" s="1" t="s">
        <v>63</v>
      </c>
      <c r="N784" s="1" t="s">
        <v>64</v>
      </c>
      <c r="O784" s="2" t="s">
        <v>233</v>
      </c>
      <c r="P784" s="2" t="s">
        <v>234</v>
      </c>
      <c r="Q784" s="2" t="s">
        <v>66</v>
      </c>
      <c r="R784" s="2" t="s">
        <v>66</v>
      </c>
      <c r="S784" s="25">
        <v>0</v>
      </c>
      <c r="T784" s="25">
        <v>3470.02</v>
      </c>
      <c r="U784" s="25">
        <v>0</v>
      </c>
      <c r="V784" s="25">
        <v>0</v>
      </c>
      <c r="W784" s="25">
        <v>24.58</v>
      </c>
      <c r="X784" s="25">
        <v>2916.12</v>
      </c>
      <c r="Y784" s="25">
        <v>470.51</v>
      </c>
      <c r="Z784" s="17" t="e">
        <f t="shared" si="270"/>
        <v>#DIV/0!</v>
      </c>
      <c r="AA784" s="18">
        <v>0.15</v>
      </c>
      <c r="AB784" s="16">
        <f t="shared" si="278"/>
        <v>437.41799999999995</v>
      </c>
      <c r="AC784" s="16">
        <v>0</v>
      </c>
      <c r="AD784" s="16">
        <v>0</v>
      </c>
      <c r="AE784" s="16">
        <v>0</v>
      </c>
      <c r="AF784" s="16">
        <f t="shared" si="271"/>
        <v>437.41799999999995</v>
      </c>
      <c r="AG784" s="16">
        <f t="shared" si="275"/>
        <v>69.986879999999999</v>
      </c>
      <c r="AH784" s="16">
        <f t="shared" si="272"/>
        <v>507.40487999999993</v>
      </c>
      <c r="AI784" s="16">
        <f t="shared" si="276"/>
        <v>8.7483599999999999</v>
      </c>
      <c r="AJ784" s="16">
        <v>0</v>
      </c>
      <c r="AK784" s="16">
        <f t="shared" si="273"/>
        <v>8.7483599999999999</v>
      </c>
      <c r="AL784" s="19"/>
      <c r="AM784" s="16">
        <f t="shared" si="264"/>
        <v>428.66963999999996</v>
      </c>
      <c r="AN784" s="16" t="s">
        <v>228</v>
      </c>
      <c r="AO784" s="20"/>
      <c r="AP784" s="16">
        <f t="shared" si="263"/>
        <v>0</v>
      </c>
      <c r="AQ784" s="16"/>
      <c r="AR784" s="15"/>
      <c r="AS784" s="16">
        <f t="shared" si="265"/>
        <v>0</v>
      </c>
      <c r="AT784" s="16"/>
      <c r="AU784" s="16"/>
      <c r="AV784" s="16">
        <f t="shared" si="269"/>
        <v>507.40487999999993</v>
      </c>
      <c r="AW784" s="60">
        <f t="shared" si="274"/>
        <v>507.40487999999993</v>
      </c>
      <c r="AX784" s="16" t="str">
        <f t="shared" si="277"/>
        <v>SFA</v>
      </c>
      <c r="AY784" s="22"/>
      <c r="BA784" s="1" t="s">
        <v>235</v>
      </c>
      <c r="BB784" s="22" t="str">
        <f>O784</f>
        <v>CAR</v>
      </c>
      <c r="BC784" s="1"/>
      <c r="BD784" s="1"/>
      <c r="BE784" s="1"/>
    </row>
    <row r="785" spans="1:57" ht="15.75" customHeight="1">
      <c r="A785" s="2" t="s">
        <v>165</v>
      </c>
      <c r="B785" s="1" t="s">
        <v>169</v>
      </c>
      <c r="C785" s="27">
        <v>45064</v>
      </c>
      <c r="D785" s="27">
        <v>45037</v>
      </c>
      <c r="E785" s="27">
        <v>44986</v>
      </c>
      <c r="F785" s="27">
        <v>45107</v>
      </c>
      <c r="G785" s="13" t="str">
        <f t="shared" si="262"/>
        <v>000-784/AIB RDC/2023</v>
      </c>
      <c r="H785" s="1">
        <v>7</v>
      </c>
      <c r="I785" s="1" t="s">
        <v>189</v>
      </c>
      <c r="J785" s="29" t="s">
        <v>236</v>
      </c>
      <c r="K785" s="1" t="s">
        <v>232</v>
      </c>
      <c r="L785" s="1" t="s">
        <v>123</v>
      </c>
      <c r="M785" s="1" t="s">
        <v>63</v>
      </c>
      <c r="N785" s="1" t="s">
        <v>64</v>
      </c>
      <c r="O785" s="2" t="s">
        <v>233</v>
      </c>
      <c r="P785" s="2" t="s">
        <v>234</v>
      </c>
      <c r="Q785" s="2" t="s">
        <v>66</v>
      </c>
      <c r="R785" s="2" t="s">
        <v>66</v>
      </c>
      <c r="S785" s="25">
        <v>0</v>
      </c>
      <c r="T785" s="25">
        <v>8159.14</v>
      </c>
      <c r="U785" s="25">
        <v>0</v>
      </c>
      <c r="V785" s="25">
        <v>0</v>
      </c>
      <c r="W785" s="25">
        <v>44.35</v>
      </c>
      <c r="X785" s="25">
        <v>6869.59</v>
      </c>
      <c r="Y785" s="25">
        <v>1106.23</v>
      </c>
      <c r="Z785" s="17" t="e">
        <f t="shared" si="270"/>
        <v>#DIV/0!</v>
      </c>
      <c r="AA785" s="18">
        <v>0.15</v>
      </c>
      <c r="AB785" s="16">
        <f t="shared" si="278"/>
        <v>1030.4385</v>
      </c>
      <c r="AC785" s="16">
        <v>0</v>
      </c>
      <c r="AD785" s="16">
        <v>0</v>
      </c>
      <c r="AE785" s="16">
        <v>0</v>
      </c>
      <c r="AF785" s="16">
        <f t="shared" si="271"/>
        <v>1030.4385</v>
      </c>
      <c r="AG785" s="16">
        <f t="shared" si="275"/>
        <v>164.87016</v>
      </c>
      <c r="AH785" s="16">
        <f t="shared" si="272"/>
        <v>1195.3086599999999</v>
      </c>
      <c r="AI785" s="16">
        <f t="shared" si="276"/>
        <v>20.60877</v>
      </c>
      <c r="AJ785" s="16">
        <v>0</v>
      </c>
      <c r="AK785" s="16">
        <f t="shared" si="273"/>
        <v>20.60877</v>
      </c>
      <c r="AL785" s="19"/>
      <c r="AM785" s="16">
        <f t="shared" si="264"/>
        <v>1009.8297299999999</v>
      </c>
      <c r="AN785" s="16" t="s">
        <v>228</v>
      </c>
      <c r="AO785" s="20"/>
      <c r="AP785" s="16">
        <f t="shared" si="263"/>
        <v>0</v>
      </c>
      <c r="AQ785" s="16"/>
      <c r="AR785" s="15"/>
      <c r="AS785" s="16">
        <f t="shared" si="265"/>
        <v>0</v>
      </c>
      <c r="AT785" s="16"/>
      <c r="AU785" s="16"/>
      <c r="AV785" s="16">
        <f t="shared" si="269"/>
        <v>1195.3086599999999</v>
      </c>
      <c r="AW785" s="60">
        <f t="shared" si="274"/>
        <v>1195.3086599999999</v>
      </c>
      <c r="AX785" s="16" t="str">
        <f t="shared" si="277"/>
        <v>SFA</v>
      </c>
      <c r="AY785" s="22"/>
      <c r="BA785" s="1" t="s">
        <v>235</v>
      </c>
      <c r="BB785" s="22" t="str">
        <f>O785</f>
        <v>CAR</v>
      </c>
      <c r="BC785" s="1"/>
      <c r="BD785" s="1"/>
      <c r="BE785" s="1"/>
    </row>
    <row r="786" spans="1:57" ht="15.75" customHeight="1">
      <c r="A786" s="2" t="s">
        <v>770</v>
      </c>
      <c r="B786" s="1" t="s">
        <v>58</v>
      </c>
      <c r="C786" s="27">
        <v>45140</v>
      </c>
      <c r="D786" s="27">
        <v>45124</v>
      </c>
      <c r="E786" s="27">
        <v>45114</v>
      </c>
      <c r="F786" s="21">
        <v>45479</v>
      </c>
      <c r="G786" s="13" t="str">
        <f t="shared" si="262"/>
        <v>000-785/AIB RDC/2023</v>
      </c>
      <c r="H786" s="1">
        <v>5</v>
      </c>
      <c r="I786" s="1" t="s">
        <v>68</v>
      </c>
      <c r="J786" s="2" t="s">
        <v>725</v>
      </c>
      <c r="K786" s="1" t="s">
        <v>997</v>
      </c>
      <c r="L786" s="1" t="s">
        <v>116</v>
      </c>
      <c r="M786" s="2" t="s">
        <v>95</v>
      </c>
      <c r="N786" s="1" t="s">
        <v>96</v>
      </c>
      <c r="O786" s="2" t="s">
        <v>250</v>
      </c>
      <c r="P786" s="2" t="s">
        <v>251</v>
      </c>
      <c r="Q786" s="2" t="s">
        <v>135</v>
      </c>
      <c r="R786" s="2" t="s">
        <v>135</v>
      </c>
      <c r="S786" s="25">
        <v>0</v>
      </c>
      <c r="T786" s="25">
        <v>183839.52</v>
      </c>
      <c r="U786" s="25">
        <v>23354.43</v>
      </c>
      <c r="V786" s="25">
        <v>0</v>
      </c>
      <c r="W786" s="25">
        <v>100</v>
      </c>
      <c r="X786" s="25">
        <v>123000</v>
      </c>
      <c r="Y786" s="25">
        <v>24927.39</v>
      </c>
      <c r="Z786" s="17" t="e">
        <f t="shared" si="270"/>
        <v>#DIV/0!</v>
      </c>
      <c r="AA786" s="18">
        <v>0</v>
      </c>
      <c r="AB786" s="16">
        <f t="shared" si="278"/>
        <v>0</v>
      </c>
      <c r="AC786" s="16">
        <f>25.0000107046072%*U786</f>
        <v>5838.6099999999951</v>
      </c>
      <c r="AD786" s="16">
        <f>7.59493495934959%*X786</f>
        <v>9341.7699999999968</v>
      </c>
      <c r="AE786" s="16">
        <v>0</v>
      </c>
      <c r="AF786" s="16">
        <f t="shared" si="271"/>
        <v>15180.379999999992</v>
      </c>
      <c r="AG786" s="16">
        <f t="shared" si="275"/>
        <v>2428.8607999999986</v>
      </c>
      <c r="AH786" s="16">
        <f t="shared" si="272"/>
        <v>17609.240799999992</v>
      </c>
      <c r="AI786" s="16">
        <f t="shared" si="276"/>
        <v>303.60759999999982</v>
      </c>
      <c r="AJ786" s="16">
        <v>0</v>
      </c>
      <c r="AK786" s="16">
        <f t="shared" si="273"/>
        <v>303.60759999999982</v>
      </c>
      <c r="AL786" s="19"/>
      <c r="AM786" s="16">
        <f t="shared" si="264"/>
        <v>14876.772399999993</v>
      </c>
      <c r="AN786" s="16"/>
      <c r="AO786" s="20"/>
      <c r="AP786" s="16">
        <f t="shared" si="263"/>
        <v>0</v>
      </c>
      <c r="AQ786" s="16"/>
      <c r="AR786" s="15"/>
      <c r="AS786" s="16">
        <f t="shared" si="265"/>
        <v>0</v>
      </c>
      <c r="AT786" s="16"/>
      <c r="AU786" s="16">
        <f>4402.3+4402.41</f>
        <v>8804.7099999999991</v>
      </c>
      <c r="AV786" s="16">
        <f t="shared" si="269"/>
        <v>17609.240799999992</v>
      </c>
      <c r="AW786" s="60">
        <f t="shared" si="274"/>
        <v>8804.5307999999932</v>
      </c>
      <c r="AX786" s="16" t="str">
        <f t="shared" si="277"/>
        <v>RAWSUR</v>
      </c>
      <c r="AY786" s="22">
        <v>45240</v>
      </c>
      <c r="AZ786" s="22"/>
      <c r="BA786" s="1"/>
      <c r="BB786" s="22"/>
      <c r="BC786" s="1"/>
      <c r="BD786" s="1"/>
      <c r="BE786" s="1"/>
    </row>
    <row r="787" spans="1:57" ht="15.75" customHeight="1">
      <c r="A787" s="2" t="s">
        <v>784</v>
      </c>
      <c r="B787" s="1" t="s">
        <v>169</v>
      </c>
      <c r="C787" s="27">
        <v>45056</v>
      </c>
      <c r="D787" s="27"/>
      <c r="E787" s="27"/>
      <c r="F787" s="27"/>
      <c r="G787" s="13" t="str">
        <f t="shared" si="262"/>
        <v>000-786/AIB RDC/2023</v>
      </c>
      <c r="H787" s="1">
        <v>0</v>
      </c>
      <c r="I787" s="1" t="s">
        <v>83</v>
      </c>
      <c r="J787" s="29"/>
      <c r="K787" s="2" t="s">
        <v>1115</v>
      </c>
      <c r="L787" s="1"/>
      <c r="M787" s="1" t="s">
        <v>63</v>
      </c>
      <c r="N787" s="1" t="s">
        <v>64</v>
      </c>
      <c r="O787" s="1" t="s">
        <v>65</v>
      </c>
      <c r="P787" s="1" t="s">
        <v>65</v>
      </c>
      <c r="Q787" s="1" t="s">
        <v>117</v>
      </c>
      <c r="R787" s="1" t="s">
        <v>117</v>
      </c>
      <c r="S787" s="25">
        <v>0</v>
      </c>
      <c r="T787" s="25">
        <v>55.45</v>
      </c>
      <c r="U787" s="25">
        <v>0</v>
      </c>
      <c r="V787" s="25">
        <v>0</v>
      </c>
      <c r="W787" s="25">
        <v>10</v>
      </c>
      <c r="X787" s="25">
        <v>37.799999999999997</v>
      </c>
      <c r="Y787" s="25">
        <v>7.65</v>
      </c>
      <c r="Z787" s="17" t="e">
        <f t="shared" si="270"/>
        <v>#DIV/0!</v>
      </c>
      <c r="AA787" s="18">
        <v>0.1</v>
      </c>
      <c r="AB787" s="16">
        <f t="shared" si="278"/>
        <v>3.78</v>
      </c>
      <c r="AC787" s="16">
        <f>30%*U787</f>
        <v>0</v>
      </c>
      <c r="AD787" s="16">
        <v>0</v>
      </c>
      <c r="AE787" s="16">
        <v>0</v>
      </c>
      <c r="AF787" s="16">
        <f t="shared" si="271"/>
        <v>3.78</v>
      </c>
      <c r="AG787" s="16">
        <f t="shared" si="275"/>
        <v>0.6048</v>
      </c>
      <c r="AH787" s="16">
        <f t="shared" si="272"/>
        <v>4.3848000000000003</v>
      </c>
      <c r="AI787" s="16">
        <f t="shared" si="276"/>
        <v>7.5600000000000001E-2</v>
      </c>
      <c r="AJ787" s="16">
        <v>0</v>
      </c>
      <c r="AK787" s="16">
        <f t="shared" si="273"/>
        <v>7.5600000000000001E-2</v>
      </c>
      <c r="AL787" s="19"/>
      <c r="AM787" s="16">
        <f t="shared" si="264"/>
        <v>3.7043999999999997</v>
      </c>
      <c r="AN787" s="16" t="s">
        <v>228</v>
      </c>
      <c r="AO787" s="20"/>
      <c r="AP787" s="16">
        <f t="shared" si="263"/>
        <v>0</v>
      </c>
      <c r="AQ787" s="16"/>
      <c r="AR787" s="15"/>
      <c r="AS787" s="16">
        <f t="shared" si="265"/>
        <v>0</v>
      </c>
      <c r="AT787" s="16"/>
      <c r="AU787" s="16"/>
      <c r="AV787" s="16">
        <f t="shared" si="269"/>
        <v>4.3848000000000003</v>
      </c>
      <c r="AW787" s="60">
        <f t="shared" si="274"/>
        <v>4.3848000000000003</v>
      </c>
      <c r="AX787" s="16" t="str">
        <f t="shared" si="277"/>
        <v>SUNU</v>
      </c>
      <c r="AY787" s="22"/>
      <c r="BA787" s="1"/>
      <c r="BB787" s="22" t="str">
        <f>O787</f>
        <v>MOTOR TPL</v>
      </c>
      <c r="BC787" s="1"/>
      <c r="BD787" s="1"/>
      <c r="BE787" s="1"/>
    </row>
    <row r="788" spans="1:57" ht="15.75" customHeight="1">
      <c r="A788" s="2" t="s">
        <v>212</v>
      </c>
      <c r="B788" s="1" t="s">
        <v>169</v>
      </c>
      <c r="C788" s="27">
        <v>45103</v>
      </c>
      <c r="D788" s="27"/>
      <c r="E788" s="27">
        <v>45093</v>
      </c>
      <c r="F788" s="27">
        <v>45275</v>
      </c>
      <c r="G788" s="13" t="str">
        <f t="shared" si="262"/>
        <v>000-787/AIB RDC/2023</v>
      </c>
      <c r="H788" s="1">
        <v>0</v>
      </c>
      <c r="I788" s="1" t="s">
        <v>83</v>
      </c>
      <c r="J788" s="2"/>
      <c r="K788" s="2" t="s">
        <v>792</v>
      </c>
      <c r="L788" s="1"/>
      <c r="M788" s="1" t="s">
        <v>99</v>
      </c>
      <c r="N788" s="1" t="s">
        <v>100</v>
      </c>
      <c r="O788" s="1" t="s">
        <v>65</v>
      </c>
      <c r="P788" s="1" t="s">
        <v>65</v>
      </c>
      <c r="Q788" s="1" t="s">
        <v>117</v>
      </c>
      <c r="R788" s="1" t="s">
        <v>117</v>
      </c>
      <c r="S788" s="25">
        <v>0</v>
      </c>
      <c r="T788" s="25">
        <v>152.88999999999999</v>
      </c>
      <c r="U788" s="25">
        <v>0</v>
      </c>
      <c r="V788" s="25">
        <v>0</v>
      </c>
      <c r="W788" s="25">
        <v>10</v>
      </c>
      <c r="X788" s="25">
        <v>121.8</v>
      </c>
      <c r="Y788" s="25">
        <v>21.09</v>
      </c>
      <c r="Z788" s="17" t="e">
        <f t="shared" si="270"/>
        <v>#DIV/0!</v>
      </c>
      <c r="AA788" s="18">
        <v>0.1</v>
      </c>
      <c r="AB788" s="16">
        <f t="shared" si="278"/>
        <v>12.18</v>
      </c>
      <c r="AC788" s="16">
        <v>0</v>
      </c>
      <c r="AD788" s="16">
        <v>0</v>
      </c>
      <c r="AE788" s="16">
        <v>0</v>
      </c>
      <c r="AF788" s="16">
        <f t="shared" si="271"/>
        <v>12.18</v>
      </c>
      <c r="AG788" s="16">
        <f t="shared" si="275"/>
        <v>1.9488000000000001</v>
      </c>
      <c r="AH788" s="16">
        <f t="shared" si="272"/>
        <v>14.1288</v>
      </c>
      <c r="AI788" s="16">
        <f t="shared" si="276"/>
        <v>0.24360000000000001</v>
      </c>
      <c r="AJ788" s="16">
        <v>0</v>
      </c>
      <c r="AK788" s="16">
        <f t="shared" si="273"/>
        <v>0.24360000000000001</v>
      </c>
      <c r="AL788" s="19"/>
      <c r="AM788" s="16">
        <f t="shared" si="264"/>
        <v>11.936399999999999</v>
      </c>
      <c r="AN788" s="16"/>
      <c r="AO788" s="20"/>
      <c r="AP788" s="16">
        <f t="shared" si="263"/>
        <v>0</v>
      </c>
      <c r="AQ788" s="16"/>
      <c r="AR788" s="15"/>
      <c r="AS788" s="16">
        <f t="shared" si="265"/>
        <v>0</v>
      </c>
      <c r="AT788" s="16"/>
      <c r="AU788" s="16"/>
      <c r="AV788" s="16">
        <f t="shared" si="269"/>
        <v>14.1288</v>
      </c>
      <c r="AW788" s="60">
        <f t="shared" si="274"/>
        <v>14.1288</v>
      </c>
      <c r="AX788" s="16" t="str">
        <f t="shared" si="277"/>
        <v>SUNU</v>
      </c>
      <c r="AY788" s="22"/>
      <c r="AZ788" s="22"/>
      <c r="BA788" s="1"/>
      <c r="BB788" s="22"/>
      <c r="BC788" s="1"/>
      <c r="BD788" s="1"/>
      <c r="BE788" s="1"/>
    </row>
    <row r="789" spans="1:57" ht="15.75" customHeight="1">
      <c r="A789" s="2" t="s">
        <v>871</v>
      </c>
      <c r="B789" s="1" t="s">
        <v>58</v>
      </c>
      <c r="C789" s="27">
        <v>45128</v>
      </c>
      <c r="D789" s="27">
        <v>45139</v>
      </c>
      <c r="E789" s="27">
        <v>45139</v>
      </c>
      <c r="F789" s="27">
        <v>45504</v>
      </c>
      <c r="G789" s="13" t="str">
        <f t="shared" ref="G789:G852" si="279">TEXT(ROW(G789)-1,"000-000") &amp; "/AIB RDC/2023"</f>
        <v>000-788/AIB RDC/2023</v>
      </c>
      <c r="H789" s="1">
        <v>0</v>
      </c>
      <c r="I789" s="1" t="s">
        <v>83</v>
      </c>
      <c r="J789" s="29" t="s">
        <v>900</v>
      </c>
      <c r="K789" s="1" t="s">
        <v>901</v>
      </c>
      <c r="L789" s="1"/>
      <c r="M789" s="1" t="s">
        <v>74</v>
      </c>
      <c r="N789" s="1" t="s">
        <v>75</v>
      </c>
      <c r="O789" s="1" t="s">
        <v>80</v>
      </c>
      <c r="P789" s="1" t="s">
        <v>81</v>
      </c>
      <c r="Q789" s="1" t="s">
        <v>117</v>
      </c>
      <c r="R789" s="1" t="s">
        <v>117</v>
      </c>
      <c r="S789" s="25">
        <v>0</v>
      </c>
      <c r="T789" s="25">
        <v>24310.91</v>
      </c>
      <c r="U789" s="25">
        <v>0</v>
      </c>
      <c r="V789" s="25">
        <v>0</v>
      </c>
      <c r="W789" s="25">
        <v>240.7</v>
      </c>
      <c r="X789" s="25">
        <v>24070.21</v>
      </c>
      <c r="Y789" s="25">
        <v>0</v>
      </c>
      <c r="Z789" s="17" t="e">
        <f t="shared" si="270"/>
        <v>#DIV/0!</v>
      </c>
      <c r="AA789" s="18">
        <v>0.09</v>
      </c>
      <c r="AB789" s="16">
        <f t="shared" si="278"/>
        <v>2166.3188999999998</v>
      </c>
      <c r="AC789" s="16">
        <v>0</v>
      </c>
      <c r="AD789" s="16">
        <v>0</v>
      </c>
      <c r="AE789" s="16">
        <v>0</v>
      </c>
      <c r="AF789" s="16">
        <f t="shared" si="271"/>
        <v>2166.3188999999998</v>
      </c>
      <c r="AG789" s="16">
        <f t="shared" si="275"/>
        <v>346.61102399999999</v>
      </c>
      <c r="AH789" s="16">
        <f t="shared" si="272"/>
        <v>2512.9299239999996</v>
      </c>
      <c r="AI789" s="16">
        <f t="shared" si="276"/>
        <v>43.326377999999998</v>
      </c>
      <c r="AJ789" s="16">
        <v>0</v>
      </c>
      <c r="AK789" s="16">
        <f t="shared" si="273"/>
        <v>43.326377999999998</v>
      </c>
      <c r="AL789" s="19"/>
      <c r="AM789" s="16">
        <f t="shared" si="264"/>
        <v>2122.9925219999996</v>
      </c>
      <c r="AN789" s="16"/>
      <c r="AO789" s="20"/>
      <c r="AP789" s="16">
        <f t="shared" ref="AP789:AP852" si="280">AO789*AM789</f>
        <v>0</v>
      </c>
      <c r="AQ789" s="16"/>
      <c r="AR789" s="15"/>
      <c r="AS789" s="16">
        <f t="shared" si="265"/>
        <v>0</v>
      </c>
      <c r="AT789" s="16"/>
      <c r="AU789" s="16">
        <v>1396.07</v>
      </c>
      <c r="AV789" s="16">
        <f t="shared" si="269"/>
        <v>2512.9299239999996</v>
      </c>
      <c r="AW789" s="60">
        <f t="shared" si="274"/>
        <v>1116.8599239999996</v>
      </c>
      <c r="AX789" s="16" t="str">
        <f t="shared" si="277"/>
        <v>SUNU</v>
      </c>
      <c r="AY789" s="22">
        <v>45175</v>
      </c>
      <c r="AZ789" s="22"/>
      <c r="BA789" s="1"/>
      <c r="BB789" s="1"/>
      <c r="BC789" s="1"/>
      <c r="BD789" s="1"/>
      <c r="BE789" s="1"/>
    </row>
    <row r="790" spans="1:57" ht="15.75" hidden="1" customHeight="1">
      <c r="A790" s="2" t="s">
        <v>1005</v>
      </c>
      <c r="B790" s="1" t="s">
        <v>58</v>
      </c>
      <c r="C790" s="27">
        <v>45198</v>
      </c>
      <c r="D790" s="27">
        <v>45201</v>
      </c>
      <c r="E790" s="27">
        <v>45168</v>
      </c>
      <c r="F790" s="27">
        <v>45259</v>
      </c>
      <c r="G790" s="13" t="str">
        <f t="shared" si="279"/>
        <v>000-789/AIB RDC/2023</v>
      </c>
      <c r="H790" s="1">
        <v>1</v>
      </c>
      <c r="I790" s="1" t="s">
        <v>59</v>
      </c>
      <c r="J790" s="2" t="s">
        <v>944</v>
      </c>
      <c r="K790" s="1" t="s">
        <v>401</v>
      </c>
      <c r="L790" s="1"/>
      <c r="M790" s="1" t="s">
        <v>99</v>
      </c>
      <c r="N790" s="1" t="s">
        <v>1021</v>
      </c>
      <c r="O790" s="1" t="s">
        <v>101</v>
      </c>
      <c r="P790" s="1" t="s">
        <v>81</v>
      </c>
      <c r="Q790" s="1" t="s">
        <v>127</v>
      </c>
      <c r="R790" s="1" t="s">
        <v>127</v>
      </c>
      <c r="S790" s="25">
        <v>65000</v>
      </c>
      <c r="T790" s="25">
        <v>648.44000000000005</v>
      </c>
      <c r="U790" s="25">
        <v>0</v>
      </c>
      <c r="V790" s="25">
        <v>0</v>
      </c>
      <c r="W790" s="25">
        <v>50</v>
      </c>
      <c r="X790" s="25">
        <v>509</v>
      </c>
      <c r="Y790" s="25">
        <v>89.44</v>
      </c>
      <c r="Z790" s="17">
        <f t="shared" si="270"/>
        <v>7.8307692307692314E-3</v>
      </c>
      <c r="AA790" s="18">
        <v>0.1</v>
      </c>
      <c r="AB790" s="16">
        <f t="shared" si="278"/>
        <v>50.900000000000006</v>
      </c>
      <c r="AC790" s="16">
        <v>0</v>
      </c>
      <c r="AD790" s="16">
        <v>0</v>
      </c>
      <c r="AE790" s="16">
        <v>0</v>
      </c>
      <c r="AF790" s="16">
        <f t="shared" si="271"/>
        <v>50.900000000000006</v>
      </c>
      <c r="AG790" s="16">
        <f t="shared" si="275"/>
        <v>8.1440000000000019</v>
      </c>
      <c r="AH790" s="16">
        <f t="shared" si="272"/>
        <v>59.044000000000011</v>
      </c>
      <c r="AI790" s="16">
        <f t="shared" si="276"/>
        <v>1.0180000000000002</v>
      </c>
      <c r="AJ790" s="16">
        <v>0</v>
      </c>
      <c r="AK790" s="16">
        <f t="shared" si="273"/>
        <v>1.0180000000000002</v>
      </c>
      <c r="AL790" s="19"/>
      <c r="AM790" s="16">
        <f t="shared" si="264"/>
        <v>49.882000000000005</v>
      </c>
      <c r="AN790" s="16"/>
      <c r="AO790" s="20"/>
      <c r="AP790" s="16">
        <f t="shared" si="280"/>
        <v>0</v>
      </c>
      <c r="AQ790" s="16"/>
      <c r="AR790" s="15"/>
      <c r="AS790" s="16">
        <f t="shared" si="265"/>
        <v>0</v>
      </c>
      <c r="AT790" s="16"/>
      <c r="AU790" s="16">
        <v>59.044000000000011</v>
      </c>
      <c r="AV790" s="16">
        <f t="shared" si="269"/>
        <v>59.044000000000011</v>
      </c>
      <c r="AW790" s="16">
        <f t="shared" si="274"/>
        <v>0</v>
      </c>
      <c r="AX790" s="16" t="str">
        <f t="shared" si="277"/>
        <v>MAYFAIR</v>
      </c>
      <c r="AY790" s="22">
        <v>45231</v>
      </c>
      <c r="BA790" s="1"/>
      <c r="BB790" s="22"/>
      <c r="BC790" s="1"/>
      <c r="BD790" s="1"/>
      <c r="BE790" s="1"/>
    </row>
    <row r="791" spans="1:57" ht="15.75" hidden="1" customHeight="1">
      <c r="A791" s="2" t="s">
        <v>1005</v>
      </c>
      <c r="B791" s="1" t="s">
        <v>58</v>
      </c>
      <c r="C791" s="27">
        <v>45198</v>
      </c>
      <c r="D791" s="27">
        <v>45201</v>
      </c>
      <c r="E791" s="27">
        <v>45201</v>
      </c>
      <c r="F791" s="27">
        <v>45202</v>
      </c>
      <c r="G791" s="13" t="str">
        <f t="shared" si="279"/>
        <v>000-790/AIB RDC/2023</v>
      </c>
      <c r="H791" s="1">
        <v>0</v>
      </c>
      <c r="I791" s="1" t="s">
        <v>83</v>
      </c>
      <c r="J791" s="2" t="s">
        <v>1036</v>
      </c>
      <c r="K791" s="1" t="s">
        <v>401</v>
      </c>
      <c r="L791" s="1"/>
      <c r="M791" s="1" t="s">
        <v>99</v>
      </c>
      <c r="N791" s="1" t="s">
        <v>1021</v>
      </c>
      <c r="O791" s="1" t="s">
        <v>111</v>
      </c>
      <c r="P791" s="1" t="s">
        <v>112</v>
      </c>
      <c r="Q791" s="1" t="s">
        <v>127</v>
      </c>
      <c r="R791" s="1" t="s">
        <v>127</v>
      </c>
      <c r="S791" s="25">
        <v>300000</v>
      </c>
      <c r="T791" s="25">
        <v>1856</v>
      </c>
      <c r="U791" s="25">
        <v>0</v>
      </c>
      <c r="V791" s="25">
        <v>0</v>
      </c>
      <c r="W791" s="25">
        <v>100</v>
      </c>
      <c r="X791" s="25">
        <v>1500</v>
      </c>
      <c r="Y791" s="25">
        <v>256</v>
      </c>
      <c r="Z791" s="17">
        <f t="shared" si="270"/>
        <v>5.0000000000000001E-3</v>
      </c>
      <c r="AA791" s="18">
        <v>0.15</v>
      </c>
      <c r="AB791" s="16">
        <f t="shared" si="278"/>
        <v>225</v>
      </c>
      <c r="AC791" s="16">
        <v>0</v>
      </c>
      <c r="AD791" s="16">
        <v>0</v>
      </c>
      <c r="AE791" s="16">
        <v>0</v>
      </c>
      <c r="AF791" s="16">
        <f t="shared" si="271"/>
        <v>225</v>
      </c>
      <c r="AG791" s="16">
        <f t="shared" si="275"/>
        <v>36</v>
      </c>
      <c r="AH791" s="16">
        <f t="shared" si="272"/>
        <v>261</v>
      </c>
      <c r="AI791" s="16">
        <f t="shared" si="276"/>
        <v>4.5</v>
      </c>
      <c r="AJ791" s="16">
        <v>0</v>
      </c>
      <c r="AK791" s="16">
        <f t="shared" si="273"/>
        <v>4.5</v>
      </c>
      <c r="AL791" s="19"/>
      <c r="AM791" s="16">
        <f t="shared" si="264"/>
        <v>220.5</v>
      </c>
      <c r="AN791" s="16"/>
      <c r="AO791" s="20"/>
      <c r="AP791" s="16">
        <f t="shared" si="280"/>
        <v>0</v>
      </c>
      <c r="AQ791" s="16"/>
      <c r="AR791" s="15"/>
      <c r="AS791" s="16">
        <f t="shared" si="265"/>
        <v>0</v>
      </c>
      <c r="AT791" s="16"/>
      <c r="AU791" s="16">
        <v>261</v>
      </c>
      <c r="AV791" s="16">
        <f t="shared" si="269"/>
        <v>261</v>
      </c>
      <c r="AW791" s="16">
        <f t="shared" si="274"/>
        <v>0</v>
      </c>
      <c r="AX791" s="16" t="str">
        <f t="shared" si="277"/>
        <v>MAYFAIR</v>
      </c>
      <c r="AY791" s="22">
        <v>45231</v>
      </c>
      <c r="BA791" s="1"/>
      <c r="BB791" s="22"/>
      <c r="BC791" s="1"/>
      <c r="BD791" s="1"/>
      <c r="BE791" s="1"/>
    </row>
    <row r="792" spans="1:57" ht="15.75" customHeight="1">
      <c r="A792" s="2" t="s">
        <v>784</v>
      </c>
      <c r="B792" s="1" t="s">
        <v>169</v>
      </c>
      <c r="C792" s="27">
        <v>45191</v>
      </c>
      <c r="D792" s="27">
        <v>45191</v>
      </c>
      <c r="E792" s="27"/>
      <c r="F792" s="27"/>
      <c r="G792" s="13" t="str">
        <f t="shared" si="279"/>
        <v>000-791/AIB RDC/2023</v>
      </c>
      <c r="H792" s="1">
        <v>0</v>
      </c>
      <c r="I792" s="1" t="s">
        <v>83</v>
      </c>
      <c r="J792" s="2"/>
      <c r="K792" s="2" t="s">
        <v>1025</v>
      </c>
      <c r="L792" s="1"/>
      <c r="M792" s="1" t="s">
        <v>99</v>
      </c>
      <c r="N792" s="1" t="s">
        <v>1021</v>
      </c>
      <c r="O792" s="1" t="s">
        <v>104</v>
      </c>
      <c r="P792" s="1" t="s">
        <v>105</v>
      </c>
      <c r="Q792" s="1" t="s">
        <v>66</v>
      </c>
      <c r="R792" s="1" t="s">
        <v>66</v>
      </c>
      <c r="S792" s="25">
        <v>67063.47</v>
      </c>
      <c r="T792" s="25">
        <v>265.87</v>
      </c>
      <c r="U792" s="25">
        <v>0</v>
      </c>
      <c r="V792" s="25">
        <v>0</v>
      </c>
      <c r="W792" s="25">
        <v>10.07</v>
      </c>
      <c r="X792" s="25">
        <v>197.58</v>
      </c>
      <c r="Y792" s="25">
        <v>33.22</v>
      </c>
      <c r="Z792" s="17">
        <f t="shared" si="270"/>
        <v>2.9461642828800838E-3</v>
      </c>
      <c r="AA792" s="18">
        <v>0.15</v>
      </c>
      <c r="AB792" s="16">
        <f t="shared" si="278"/>
        <v>29.637</v>
      </c>
      <c r="AC792" s="16">
        <v>0</v>
      </c>
      <c r="AD792" s="16">
        <v>0</v>
      </c>
      <c r="AE792" s="16">
        <v>0</v>
      </c>
      <c r="AF792" s="16">
        <f t="shared" si="271"/>
        <v>29.637</v>
      </c>
      <c r="AG792" s="16">
        <f t="shared" si="275"/>
        <v>4.7419200000000004</v>
      </c>
      <c r="AH792" s="16">
        <f t="shared" si="272"/>
        <v>34.378920000000001</v>
      </c>
      <c r="AI792" s="16">
        <f t="shared" si="276"/>
        <v>0.59274000000000004</v>
      </c>
      <c r="AJ792" s="16">
        <v>0</v>
      </c>
      <c r="AK792" s="16">
        <f t="shared" si="273"/>
        <v>0.59274000000000004</v>
      </c>
      <c r="AL792" s="19"/>
      <c r="AM792" s="16">
        <f t="shared" si="264"/>
        <v>29.044260000000001</v>
      </c>
      <c r="AN792" s="16"/>
      <c r="AO792" s="20"/>
      <c r="AP792" s="16">
        <f t="shared" si="280"/>
        <v>0</v>
      </c>
      <c r="AQ792" s="16"/>
      <c r="AR792" s="15"/>
      <c r="AS792" s="16">
        <f t="shared" si="265"/>
        <v>0</v>
      </c>
      <c r="AT792" s="16"/>
      <c r="AU792" s="16"/>
      <c r="AV792" s="16">
        <f t="shared" si="269"/>
        <v>34.378920000000001</v>
      </c>
      <c r="AW792" s="60">
        <f t="shared" si="274"/>
        <v>34.378920000000001</v>
      </c>
      <c r="AX792" s="16" t="str">
        <f t="shared" si="277"/>
        <v>SFA</v>
      </c>
      <c r="AY792" s="22"/>
      <c r="BA792" s="1"/>
      <c r="BB792" s="22" t="str">
        <f>O792</f>
        <v>MARINE CARGO / GIT</v>
      </c>
      <c r="BC792" s="1"/>
      <c r="BD792" s="1"/>
      <c r="BE792" s="1"/>
    </row>
    <row r="793" spans="1:57" ht="15.75" hidden="1" customHeight="1">
      <c r="A793" s="2" t="s">
        <v>871</v>
      </c>
      <c r="B793" s="1" t="s">
        <v>58</v>
      </c>
      <c r="C793" s="27">
        <v>45175</v>
      </c>
      <c r="D793" s="27">
        <v>45175</v>
      </c>
      <c r="E793" s="27">
        <v>45141</v>
      </c>
      <c r="F793" s="27">
        <v>45506</v>
      </c>
      <c r="G793" s="13" t="str">
        <f t="shared" si="279"/>
        <v>000-792/AIB RDC/2023</v>
      </c>
      <c r="H793" s="1">
        <v>0</v>
      </c>
      <c r="I793" s="1" t="s">
        <v>83</v>
      </c>
      <c r="J793" s="2" t="s">
        <v>1039</v>
      </c>
      <c r="K793" s="1" t="s">
        <v>540</v>
      </c>
      <c r="L793" s="1"/>
      <c r="M793" s="1" t="s">
        <v>95</v>
      </c>
      <c r="N793" s="1" t="s">
        <v>644</v>
      </c>
      <c r="O793" s="28" t="s">
        <v>104</v>
      </c>
      <c r="P793" s="1" t="s">
        <v>105</v>
      </c>
      <c r="Q793" s="1" t="s">
        <v>66</v>
      </c>
      <c r="R793" s="1" t="s">
        <v>66</v>
      </c>
      <c r="S793" s="25">
        <v>46851.88</v>
      </c>
      <c r="T793" s="25">
        <v>85.32</v>
      </c>
      <c r="U793" s="25">
        <v>0</v>
      </c>
      <c r="V793" s="25">
        <v>0</v>
      </c>
      <c r="W793" s="25">
        <v>31</v>
      </c>
      <c r="X793" s="25">
        <v>44.98</v>
      </c>
      <c r="Y793" s="25">
        <v>8.32</v>
      </c>
      <c r="Z793" s="17">
        <f t="shared" si="270"/>
        <v>9.6004685404299679E-4</v>
      </c>
      <c r="AA793" s="18">
        <v>0.15</v>
      </c>
      <c r="AB793" s="16">
        <f t="shared" si="278"/>
        <v>6.746999999999999</v>
      </c>
      <c r="AC793" s="16">
        <v>0</v>
      </c>
      <c r="AD793" s="16">
        <v>0</v>
      </c>
      <c r="AE793" s="16">
        <v>0</v>
      </c>
      <c r="AF793" s="16">
        <f t="shared" si="271"/>
        <v>6.746999999999999</v>
      </c>
      <c r="AG793" s="16">
        <f t="shared" si="275"/>
        <v>1.0795199999999998</v>
      </c>
      <c r="AH793" s="16">
        <f t="shared" si="272"/>
        <v>7.8265199999999986</v>
      </c>
      <c r="AI793" s="16">
        <f t="shared" si="276"/>
        <v>0.13493999999999998</v>
      </c>
      <c r="AJ793" s="16">
        <v>0</v>
      </c>
      <c r="AK793" s="16">
        <f t="shared" si="273"/>
        <v>0.13493999999999998</v>
      </c>
      <c r="AL793" s="19"/>
      <c r="AM793" s="16">
        <f t="shared" si="264"/>
        <v>6.6120599999999987</v>
      </c>
      <c r="AN793" s="16" t="s">
        <v>147</v>
      </c>
      <c r="AO793" s="20">
        <v>0.4</v>
      </c>
      <c r="AP793" s="16">
        <f t="shared" si="280"/>
        <v>2.6448239999999998</v>
      </c>
      <c r="AQ793" s="16"/>
      <c r="AR793" s="15"/>
      <c r="AS793" s="16">
        <f t="shared" si="265"/>
        <v>2.6448239999999998</v>
      </c>
      <c r="AT793" s="16"/>
      <c r="AU793" s="16">
        <v>7.8265199999999986</v>
      </c>
      <c r="AV793" s="16">
        <f t="shared" si="269"/>
        <v>7.8265199999999986</v>
      </c>
      <c r="AW793" s="16">
        <f t="shared" si="274"/>
        <v>0</v>
      </c>
      <c r="AX793" s="16" t="str">
        <f t="shared" si="277"/>
        <v>SFA</v>
      </c>
      <c r="AY793" s="22">
        <v>45216</v>
      </c>
      <c r="BA793" s="1" t="s">
        <v>148</v>
      </c>
      <c r="BB793" s="1" t="s">
        <v>104</v>
      </c>
      <c r="BC793" s="1"/>
      <c r="BD793" s="1"/>
      <c r="BE793" s="1"/>
    </row>
    <row r="794" spans="1:57" ht="15.75" hidden="1" customHeight="1">
      <c r="A794" s="2" t="s">
        <v>784</v>
      </c>
      <c r="B794" s="1" t="s">
        <v>58</v>
      </c>
      <c r="C794" s="27">
        <v>45190</v>
      </c>
      <c r="D794" s="27">
        <v>45171</v>
      </c>
      <c r="E794" s="27">
        <v>45171</v>
      </c>
      <c r="F794" s="27">
        <v>45231</v>
      </c>
      <c r="G794" s="13" t="str">
        <f t="shared" si="279"/>
        <v>000-793/AIB RDC/2023</v>
      </c>
      <c r="H794" s="1">
        <v>0</v>
      </c>
      <c r="I794" s="1" t="s">
        <v>83</v>
      </c>
      <c r="J794" s="2">
        <v>70100052</v>
      </c>
      <c r="K794" s="1" t="s">
        <v>163</v>
      </c>
      <c r="L794" s="1"/>
      <c r="M794" s="1" t="s">
        <v>95</v>
      </c>
      <c r="N794" s="1" t="s">
        <v>836</v>
      </c>
      <c r="O794" s="1" t="s">
        <v>104</v>
      </c>
      <c r="P794" s="1" t="s">
        <v>105</v>
      </c>
      <c r="Q794" s="1" t="s">
        <v>135</v>
      </c>
      <c r="R794" s="1" t="s">
        <v>135</v>
      </c>
      <c r="S794" s="25">
        <v>1210068.6000000001</v>
      </c>
      <c r="T794" s="25">
        <v>6235.47</v>
      </c>
      <c r="U794" s="25">
        <v>0</v>
      </c>
      <c r="V794" s="25">
        <v>0</v>
      </c>
      <c r="W794" s="25">
        <v>444</v>
      </c>
      <c r="X794" s="25">
        <v>4840.28</v>
      </c>
      <c r="Y794" s="25">
        <v>845.48</v>
      </c>
      <c r="Z794" s="17">
        <f t="shared" si="270"/>
        <v>4.0000046278368014E-3</v>
      </c>
      <c r="AA794" s="18">
        <v>0.15</v>
      </c>
      <c r="AB794" s="16">
        <f t="shared" si="278"/>
        <v>726.04199999999992</v>
      </c>
      <c r="AC794" s="16">
        <v>0</v>
      </c>
      <c r="AD794" s="16">
        <v>0</v>
      </c>
      <c r="AE794" s="16">
        <v>0</v>
      </c>
      <c r="AF794" s="16">
        <f t="shared" si="271"/>
        <v>726.04199999999992</v>
      </c>
      <c r="AG794" s="16">
        <f t="shared" si="275"/>
        <v>116.16671999999998</v>
      </c>
      <c r="AH794" s="16">
        <f t="shared" si="272"/>
        <v>842.20871999999986</v>
      </c>
      <c r="AI794" s="16">
        <f t="shared" si="276"/>
        <v>14.520839999999998</v>
      </c>
      <c r="AJ794" s="16">
        <v>0</v>
      </c>
      <c r="AK794" s="16">
        <f t="shared" si="273"/>
        <v>14.520839999999998</v>
      </c>
      <c r="AL794" s="19"/>
      <c r="AM794" s="16">
        <f t="shared" si="264"/>
        <v>711.5211599999999</v>
      </c>
      <c r="AN794" s="16" t="s">
        <v>147</v>
      </c>
      <c r="AO794" s="20">
        <v>0.4</v>
      </c>
      <c r="AP794" s="16">
        <f t="shared" si="280"/>
        <v>284.60846399999997</v>
      </c>
      <c r="AQ794" s="16"/>
      <c r="AR794" s="15"/>
      <c r="AS794" s="16">
        <f t="shared" si="265"/>
        <v>284.60846399999997</v>
      </c>
      <c r="AT794" s="16"/>
      <c r="AU794" s="16">
        <v>842.20871999999986</v>
      </c>
      <c r="AV794" s="16">
        <f t="shared" si="269"/>
        <v>842.20871999999986</v>
      </c>
      <c r="AW794" s="16">
        <f t="shared" si="274"/>
        <v>0</v>
      </c>
      <c r="AX794" s="16" t="str">
        <f t="shared" si="277"/>
        <v>RAWSUR</v>
      </c>
      <c r="AY794" s="22">
        <v>45219</v>
      </c>
      <c r="BA794" s="1"/>
      <c r="BB794" s="22"/>
      <c r="BC794" s="1"/>
      <c r="BD794" s="1"/>
      <c r="BE794" s="1"/>
    </row>
    <row r="795" spans="1:57" ht="15.75" hidden="1" customHeight="1">
      <c r="A795" s="2" t="s">
        <v>871</v>
      </c>
      <c r="B795" s="1" t="s">
        <v>58</v>
      </c>
      <c r="C795" s="27">
        <v>45190</v>
      </c>
      <c r="D795" s="27">
        <v>45176</v>
      </c>
      <c r="E795" s="27">
        <v>45166</v>
      </c>
      <c r="F795" s="27">
        <v>45226</v>
      </c>
      <c r="G795" s="13" t="str">
        <f t="shared" si="279"/>
        <v>000-794/AIB RDC/2023</v>
      </c>
      <c r="H795" s="1">
        <v>0</v>
      </c>
      <c r="I795" s="1" t="s">
        <v>83</v>
      </c>
      <c r="J795" s="2">
        <v>70100051</v>
      </c>
      <c r="K795" s="1" t="s">
        <v>163</v>
      </c>
      <c r="L795" s="1"/>
      <c r="M795" s="1" t="s">
        <v>95</v>
      </c>
      <c r="N795" s="1" t="s">
        <v>836</v>
      </c>
      <c r="O795" s="1" t="s">
        <v>104</v>
      </c>
      <c r="P795" s="1" t="s">
        <v>105</v>
      </c>
      <c r="Q795" s="1" t="s">
        <v>135</v>
      </c>
      <c r="R795" s="1" t="s">
        <v>135</v>
      </c>
      <c r="S795" s="25">
        <v>666923.59</v>
      </c>
      <c r="T795" s="25">
        <v>3548.48</v>
      </c>
      <c r="U795" s="25">
        <v>0</v>
      </c>
      <c r="V795" s="25">
        <v>0</v>
      </c>
      <c r="W795" s="25">
        <v>370</v>
      </c>
      <c r="X795" s="25">
        <v>2667.69</v>
      </c>
      <c r="Y795" s="25">
        <v>486.06</v>
      </c>
      <c r="Z795" s="17">
        <f t="shared" si="270"/>
        <v>3.9999934625194475E-3</v>
      </c>
      <c r="AA795" s="18">
        <v>0.15</v>
      </c>
      <c r="AB795" s="16">
        <f t="shared" si="278"/>
        <v>400.15350000000001</v>
      </c>
      <c r="AC795" s="16">
        <v>0</v>
      </c>
      <c r="AD795" s="16">
        <v>0</v>
      </c>
      <c r="AE795" s="16">
        <v>0</v>
      </c>
      <c r="AF795" s="16">
        <f t="shared" si="271"/>
        <v>400.15350000000001</v>
      </c>
      <c r="AG795" s="16">
        <f t="shared" si="275"/>
        <v>64.024560000000008</v>
      </c>
      <c r="AH795" s="16">
        <f t="shared" si="272"/>
        <v>464.17806000000002</v>
      </c>
      <c r="AI795" s="16">
        <f t="shared" si="276"/>
        <v>8.003070000000001</v>
      </c>
      <c r="AJ795" s="16">
        <v>0</v>
      </c>
      <c r="AK795" s="16">
        <f t="shared" si="273"/>
        <v>8.003070000000001</v>
      </c>
      <c r="AL795" s="19"/>
      <c r="AM795" s="16">
        <f t="shared" si="264"/>
        <v>392.15043000000003</v>
      </c>
      <c r="AN795" s="16" t="s">
        <v>147</v>
      </c>
      <c r="AO795" s="20">
        <v>0.4</v>
      </c>
      <c r="AP795" s="16">
        <f t="shared" si="280"/>
        <v>156.86017200000003</v>
      </c>
      <c r="AQ795" s="16"/>
      <c r="AR795" s="15"/>
      <c r="AS795" s="16">
        <f t="shared" si="265"/>
        <v>156.86017200000003</v>
      </c>
      <c r="AT795" s="16"/>
      <c r="AU795" s="16">
        <v>464.17806000000002</v>
      </c>
      <c r="AV795" s="16">
        <f t="shared" si="269"/>
        <v>464.17806000000002</v>
      </c>
      <c r="AW795" s="16">
        <f t="shared" si="274"/>
        <v>0</v>
      </c>
      <c r="AX795" s="16" t="str">
        <f t="shared" si="277"/>
        <v>RAWSUR</v>
      </c>
      <c r="AY795" s="22">
        <v>45219</v>
      </c>
      <c r="BA795" s="1"/>
      <c r="BB795" s="22"/>
      <c r="BC795" s="1"/>
      <c r="BD795" s="1"/>
      <c r="BE795" s="1"/>
    </row>
    <row r="796" spans="1:57" ht="15.75" customHeight="1">
      <c r="A796" s="2" t="s">
        <v>165</v>
      </c>
      <c r="B796" s="1" t="s">
        <v>58</v>
      </c>
      <c r="C796" s="27">
        <v>45055</v>
      </c>
      <c r="D796" s="27">
        <v>45042</v>
      </c>
      <c r="E796" s="27">
        <v>44995</v>
      </c>
      <c r="F796" s="27">
        <v>45360</v>
      </c>
      <c r="G796" s="13" t="str">
        <f t="shared" si="279"/>
        <v>000-795/AIB RDC/2023</v>
      </c>
      <c r="H796" s="1">
        <v>1</v>
      </c>
      <c r="I796" s="1" t="s">
        <v>443</v>
      </c>
      <c r="J796" s="2" t="s">
        <v>366</v>
      </c>
      <c r="K796" s="1" t="s">
        <v>299</v>
      </c>
      <c r="L796" s="1"/>
      <c r="M796" s="2" t="s">
        <v>99</v>
      </c>
      <c r="N796" s="2" t="s">
        <v>100</v>
      </c>
      <c r="O796" s="1" t="s">
        <v>65</v>
      </c>
      <c r="P796" s="1" t="s">
        <v>65</v>
      </c>
      <c r="Q796" s="1" t="s">
        <v>127</v>
      </c>
      <c r="R796" s="1" t="s">
        <v>127</v>
      </c>
      <c r="S796" s="25">
        <v>0</v>
      </c>
      <c r="T796" s="25"/>
      <c r="U796" s="25">
        <v>0</v>
      </c>
      <c r="V796" s="25">
        <v>0</v>
      </c>
      <c r="W796" s="25">
        <v>0</v>
      </c>
      <c r="X796" s="25">
        <v>-296.44</v>
      </c>
      <c r="Y796" s="25">
        <v>0</v>
      </c>
      <c r="Z796" s="17" t="e">
        <f t="shared" si="270"/>
        <v>#DIV/0!</v>
      </c>
      <c r="AA796" s="18">
        <v>0.1</v>
      </c>
      <c r="AB796" s="16">
        <f t="shared" si="278"/>
        <v>-29.644000000000002</v>
      </c>
      <c r="AC796" s="16">
        <v>0</v>
      </c>
      <c r="AD796" s="16">
        <v>0</v>
      </c>
      <c r="AE796" s="16">
        <v>0</v>
      </c>
      <c r="AF796" s="16">
        <f t="shared" si="271"/>
        <v>-29.644000000000002</v>
      </c>
      <c r="AG796" s="16">
        <f t="shared" si="275"/>
        <v>-4.7430400000000006</v>
      </c>
      <c r="AH796" s="16">
        <f t="shared" si="272"/>
        <v>-34.387039999999999</v>
      </c>
      <c r="AI796" s="16">
        <f t="shared" si="276"/>
        <v>-0.59288000000000007</v>
      </c>
      <c r="AJ796" s="16">
        <v>0</v>
      </c>
      <c r="AK796" s="16">
        <f t="shared" si="273"/>
        <v>-0.59288000000000007</v>
      </c>
      <c r="AL796" s="19"/>
      <c r="AM796" s="16">
        <f t="shared" si="264"/>
        <v>-29.051120000000001</v>
      </c>
      <c r="AN796" s="16"/>
      <c r="AO796" s="20"/>
      <c r="AP796" s="16">
        <f t="shared" si="280"/>
        <v>0</v>
      </c>
      <c r="AQ796" s="16"/>
      <c r="AR796" s="15"/>
      <c r="AS796" s="16">
        <f t="shared" si="265"/>
        <v>0</v>
      </c>
      <c r="AT796" s="16"/>
      <c r="AU796" s="16"/>
      <c r="AV796" s="16">
        <f t="shared" si="269"/>
        <v>-34.387039999999999</v>
      </c>
      <c r="AW796" s="60">
        <f t="shared" si="274"/>
        <v>-34.387039999999999</v>
      </c>
      <c r="AX796" s="16" t="str">
        <f t="shared" si="277"/>
        <v>MAYFAIR</v>
      </c>
      <c r="AY796" s="22"/>
      <c r="AZ796" s="22"/>
      <c r="BA796" s="1"/>
      <c r="BB796" s="22"/>
      <c r="BC796" s="1"/>
      <c r="BD796" s="1"/>
      <c r="BE796" s="1"/>
    </row>
    <row r="797" spans="1:57" ht="15.75" hidden="1" customHeight="1">
      <c r="A797" s="2" t="s">
        <v>871</v>
      </c>
      <c r="B797" s="1" t="s">
        <v>58</v>
      </c>
      <c r="C797" s="27">
        <v>45191</v>
      </c>
      <c r="D797" s="27">
        <v>45177</v>
      </c>
      <c r="E797" s="27">
        <v>45166</v>
      </c>
      <c r="F797" s="27">
        <v>45530</v>
      </c>
      <c r="G797" s="13" t="str">
        <f t="shared" si="279"/>
        <v>000-796/AIB RDC/2023</v>
      </c>
      <c r="H797" s="1">
        <v>0</v>
      </c>
      <c r="I797" s="1" t="s">
        <v>83</v>
      </c>
      <c r="J797" s="2" t="s">
        <v>1041</v>
      </c>
      <c r="K797" s="2" t="s">
        <v>1042</v>
      </c>
      <c r="L797" s="1"/>
      <c r="M797" s="1" t="s">
        <v>95</v>
      </c>
      <c r="N797" s="1" t="s">
        <v>836</v>
      </c>
      <c r="O797" s="28" t="s">
        <v>104</v>
      </c>
      <c r="P797" s="1" t="s">
        <v>105</v>
      </c>
      <c r="Q797" s="1" t="s">
        <v>66</v>
      </c>
      <c r="R797" s="1" t="s">
        <v>66</v>
      </c>
      <c r="S797" s="25">
        <v>22890</v>
      </c>
      <c r="T797" s="25">
        <v>86.7</v>
      </c>
      <c r="U797" s="25">
        <v>0</v>
      </c>
      <c r="V797" s="25">
        <v>0</v>
      </c>
      <c r="W797" s="25">
        <v>0</v>
      </c>
      <c r="X797" s="25">
        <v>46.15</v>
      </c>
      <c r="Y797" s="25">
        <v>8.51</v>
      </c>
      <c r="Z797" s="17">
        <f t="shared" si="270"/>
        <v>2.0161642638706857E-3</v>
      </c>
      <c r="AA797" s="18">
        <v>0.15</v>
      </c>
      <c r="AB797" s="16">
        <f t="shared" si="278"/>
        <v>6.9224999999999994</v>
      </c>
      <c r="AC797" s="16">
        <v>0</v>
      </c>
      <c r="AD797" s="16">
        <v>0</v>
      </c>
      <c r="AE797" s="16">
        <v>0</v>
      </c>
      <c r="AF797" s="16">
        <f t="shared" si="271"/>
        <v>6.9224999999999994</v>
      </c>
      <c r="AG797" s="16">
        <f t="shared" si="275"/>
        <v>1.1075999999999999</v>
      </c>
      <c r="AH797" s="16">
        <f t="shared" si="272"/>
        <v>8.0300999999999991</v>
      </c>
      <c r="AI797" s="16">
        <f t="shared" si="276"/>
        <v>0.13844999999999999</v>
      </c>
      <c r="AJ797" s="16">
        <v>0</v>
      </c>
      <c r="AK797" s="16">
        <f t="shared" si="273"/>
        <v>0.13844999999999999</v>
      </c>
      <c r="AL797" s="19"/>
      <c r="AM797" s="16">
        <f t="shared" ref="AM797:AM860" si="281">AF797-AI797</f>
        <v>6.7840499999999997</v>
      </c>
      <c r="AN797" s="16" t="s">
        <v>147</v>
      </c>
      <c r="AO797" s="20">
        <v>0.4</v>
      </c>
      <c r="AP797" s="16">
        <f t="shared" si="280"/>
        <v>2.7136200000000001</v>
      </c>
      <c r="AQ797" s="16"/>
      <c r="AR797" s="15"/>
      <c r="AS797" s="16">
        <f t="shared" si="265"/>
        <v>2.7136200000000001</v>
      </c>
      <c r="AT797" s="16"/>
      <c r="AU797" s="16">
        <v>8.0300999999999991</v>
      </c>
      <c r="AV797" s="16">
        <f t="shared" si="269"/>
        <v>8.0300999999999991</v>
      </c>
      <c r="AW797" s="16">
        <f t="shared" si="274"/>
        <v>0</v>
      </c>
      <c r="AX797" s="16" t="str">
        <f t="shared" si="277"/>
        <v>SFA</v>
      </c>
      <c r="AY797" s="22">
        <v>45216</v>
      </c>
      <c r="BA797" s="1"/>
      <c r="BB797" s="22"/>
      <c r="BC797" s="1"/>
      <c r="BD797" s="1"/>
      <c r="BE797" s="1"/>
    </row>
    <row r="798" spans="1:57" ht="15.75" hidden="1" customHeight="1">
      <c r="A798" s="2" t="s">
        <v>871</v>
      </c>
      <c r="B798" s="1" t="s">
        <v>58</v>
      </c>
      <c r="C798" s="27">
        <v>45191</v>
      </c>
      <c r="D798" s="27">
        <v>45177</v>
      </c>
      <c r="E798" s="27">
        <v>45166</v>
      </c>
      <c r="F798" s="27">
        <v>45530</v>
      </c>
      <c r="G798" s="13" t="str">
        <f t="shared" si="279"/>
        <v>000-797/AIB RDC/2023</v>
      </c>
      <c r="H798" s="1">
        <v>0</v>
      </c>
      <c r="I798" s="1" t="s">
        <v>83</v>
      </c>
      <c r="J798" s="2" t="s">
        <v>1043</v>
      </c>
      <c r="K798" s="2" t="s">
        <v>1042</v>
      </c>
      <c r="L798" s="1"/>
      <c r="M798" s="1" t="s">
        <v>95</v>
      </c>
      <c r="N798" s="1" t="s">
        <v>836</v>
      </c>
      <c r="O798" s="28" t="s">
        <v>104</v>
      </c>
      <c r="P798" s="1" t="s">
        <v>105</v>
      </c>
      <c r="Q798" s="1" t="s">
        <v>66</v>
      </c>
      <c r="R798" s="1" t="s">
        <v>66</v>
      </c>
      <c r="S798" s="25">
        <v>22890</v>
      </c>
      <c r="T798" s="25">
        <v>86.7</v>
      </c>
      <c r="U798" s="25">
        <v>0</v>
      </c>
      <c r="V798" s="25">
        <v>0</v>
      </c>
      <c r="W798" s="25">
        <v>0</v>
      </c>
      <c r="X798" s="25">
        <v>46.15</v>
      </c>
      <c r="Y798" s="25">
        <v>8.51</v>
      </c>
      <c r="Z798" s="17">
        <f t="shared" si="270"/>
        <v>2.0161642638706857E-3</v>
      </c>
      <c r="AA798" s="18">
        <v>0.15</v>
      </c>
      <c r="AB798" s="16">
        <f t="shared" si="278"/>
        <v>6.9224999999999994</v>
      </c>
      <c r="AC798" s="16">
        <v>0</v>
      </c>
      <c r="AD798" s="16">
        <v>0</v>
      </c>
      <c r="AE798" s="16">
        <v>0</v>
      </c>
      <c r="AF798" s="16">
        <f t="shared" si="271"/>
        <v>6.9224999999999994</v>
      </c>
      <c r="AG798" s="16">
        <f t="shared" si="275"/>
        <v>1.1075999999999999</v>
      </c>
      <c r="AH798" s="16">
        <f t="shared" si="272"/>
        <v>8.0300999999999991</v>
      </c>
      <c r="AI798" s="16">
        <f t="shared" si="276"/>
        <v>0.13844999999999999</v>
      </c>
      <c r="AJ798" s="16">
        <v>0</v>
      </c>
      <c r="AK798" s="16">
        <f t="shared" si="273"/>
        <v>0.13844999999999999</v>
      </c>
      <c r="AL798" s="19"/>
      <c r="AM798" s="16">
        <f t="shared" si="281"/>
        <v>6.7840499999999997</v>
      </c>
      <c r="AN798" s="16" t="s">
        <v>147</v>
      </c>
      <c r="AO798" s="20">
        <v>0.4</v>
      </c>
      <c r="AP798" s="16">
        <f t="shared" si="280"/>
        <v>2.7136200000000001</v>
      </c>
      <c r="AQ798" s="16"/>
      <c r="AR798" s="15"/>
      <c r="AS798" s="16">
        <f t="shared" si="265"/>
        <v>2.7136200000000001</v>
      </c>
      <c r="AT798" s="16"/>
      <c r="AU798" s="16">
        <v>8.0300999999999991</v>
      </c>
      <c r="AV798" s="16">
        <f t="shared" si="269"/>
        <v>8.0300999999999991</v>
      </c>
      <c r="AW798" s="16">
        <f t="shared" si="274"/>
        <v>0</v>
      </c>
      <c r="AX798" s="16" t="str">
        <f t="shared" si="277"/>
        <v>SFA</v>
      </c>
      <c r="AY798" s="22">
        <v>45216</v>
      </c>
      <c r="BA798" s="1"/>
      <c r="BB798" s="22"/>
      <c r="BC798" s="1"/>
      <c r="BD798" s="1"/>
      <c r="BE798" s="1"/>
    </row>
    <row r="799" spans="1:57" ht="15.75" hidden="1" customHeight="1">
      <c r="A799" s="2" t="s">
        <v>871</v>
      </c>
      <c r="B799" s="1" t="s">
        <v>58</v>
      </c>
      <c r="C799" s="27">
        <v>45191</v>
      </c>
      <c r="D799" s="27">
        <v>45184</v>
      </c>
      <c r="E799" s="27">
        <v>45154</v>
      </c>
      <c r="F799" s="27">
        <v>45518</v>
      </c>
      <c r="G799" s="13" t="str">
        <f t="shared" si="279"/>
        <v>000-798/AIB RDC/2023</v>
      </c>
      <c r="H799" s="1">
        <v>0</v>
      </c>
      <c r="I799" s="1" t="s">
        <v>83</v>
      </c>
      <c r="J799" s="2" t="s">
        <v>1044</v>
      </c>
      <c r="K799" s="2" t="s">
        <v>532</v>
      </c>
      <c r="L799" s="1"/>
      <c r="M799" s="1" t="s">
        <v>95</v>
      </c>
      <c r="N799" s="1" t="s">
        <v>836</v>
      </c>
      <c r="O799" s="28" t="s">
        <v>104</v>
      </c>
      <c r="P799" s="1" t="s">
        <v>105</v>
      </c>
      <c r="Q799" s="2" t="s">
        <v>66</v>
      </c>
      <c r="R799" s="1" t="s">
        <v>66</v>
      </c>
      <c r="S799" s="25">
        <v>3855271</v>
      </c>
      <c r="T799" s="25">
        <v>8653</v>
      </c>
      <c r="U799" s="25">
        <v>0</v>
      </c>
      <c r="V799" s="25">
        <v>0</v>
      </c>
      <c r="W799" s="25">
        <v>162.69999999999999</v>
      </c>
      <c r="X799" s="25">
        <v>7217.06</v>
      </c>
      <c r="Y799" s="25">
        <v>1180.76</v>
      </c>
      <c r="Z799" s="17">
        <f t="shared" si="270"/>
        <v>1.8719981033758718E-3</v>
      </c>
      <c r="AA799" s="18">
        <v>0.15</v>
      </c>
      <c r="AB799" s="16">
        <f t="shared" si="278"/>
        <v>1082.559</v>
      </c>
      <c r="AC799" s="16">
        <v>0</v>
      </c>
      <c r="AD799" s="16">
        <v>0</v>
      </c>
      <c r="AE799" s="16">
        <v>0</v>
      </c>
      <c r="AF799" s="16">
        <f t="shared" si="271"/>
        <v>1082.559</v>
      </c>
      <c r="AG799" s="16">
        <f t="shared" si="275"/>
        <v>173.20944</v>
      </c>
      <c r="AH799" s="16">
        <f t="shared" si="272"/>
        <v>1255.7684400000001</v>
      </c>
      <c r="AI799" s="16">
        <f t="shared" si="276"/>
        <v>21.65118</v>
      </c>
      <c r="AJ799" s="16">
        <v>0</v>
      </c>
      <c r="AK799" s="16">
        <f t="shared" si="273"/>
        <v>21.65118</v>
      </c>
      <c r="AL799" s="19"/>
      <c r="AM799" s="16">
        <f t="shared" si="281"/>
        <v>1060.9078199999999</v>
      </c>
      <c r="AN799" s="16" t="s">
        <v>147</v>
      </c>
      <c r="AO799" s="20">
        <v>0.4</v>
      </c>
      <c r="AP799" s="16">
        <f t="shared" si="280"/>
        <v>424.36312799999996</v>
      </c>
      <c r="AQ799" s="16"/>
      <c r="AR799" s="15"/>
      <c r="AS799" s="16">
        <f t="shared" si="265"/>
        <v>424.36312799999996</v>
      </c>
      <c r="AT799" s="16"/>
      <c r="AU799" s="16">
        <v>1255.7684400000001</v>
      </c>
      <c r="AV799" s="16">
        <f t="shared" si="269"/>
        <v>1255.7684400000001</v>
      </c>
      <c r="AW799" s="16">
        <f t="shared" si="274"/>
        <v>0</v>
      </c>
      <c r="AX799" s="16" t="s">
        <v>66</v>
      </c>
      <c r="AY799" s="22">
        <v>45216</v>
      </c>
      <c r="BA799" s="1" t="s">
        <v>148</v>
      </c>
      <c r="BB799" s="1" t="s">
        <v>104</v>
      </c>
      <c r="BC799" s="1"/>
      <c r="BD799" s="1"/>
      <c r="BE799" s="1"/>
    </row>
    <row r="800" spans="1:57" ht="15.75" hidden="1" customHeight="1">
      <c r="A800" s="2" t="s">
        <v>784</v>
      </c>
      <c r="B800" s="1" t="s">
        <v>58</v>
      </c>
      <c r="C800" s="27">
        <v>45191</v>
      </c>
      <c r="D800" s="27">
        <v>45180</v>
      </c>
      <c r="E800" s="27">
        <v>45180</v>
      </c>
      <c r="F800" s="27">
        <v>45544</v>
      </c>
      <c r="G800" s="13" t="str">
        <f t="shared" si="279"/>
        <v>000-799/AIB RDC/2023</v>
      </c>
      <c r="H800" s="1">
        <v>0</v>
      </c>
      <c r="I800" s="1" t="s">
        <v>83</v>
      </c>
      <c r="J800" s="2" t="s">
        <v>1045</v>
      </c>
      <c r="K800" s="2" t="s">
        <v>532</v>
      </c>
      <c r="L800" s="1"/>
      <c r="M800" s="1" t="s">
        <v>95</v>
      </c>
      <c r="N800" s="1" t="s">
        <v>836</v>
      </c>
      <c r="O800" s="28" t="s">
        <v>104</v>
      </c>
      <c r="P800" s="1" t="s">
        <v>105</v>
      </c>
      <c r="Q800" s="1" t="s">
        <v>66</v>
      </c>
      <c r="R800" s="1" t="s">
        <v>66</v>
      </c>
      <c r="S800" s="25">
        <v>311842</v>
      </c>
      <c r="T800" s="25">
        <v>694.4</v>
      </c>
      <c r="U800" s="25">
        <v>0</v>
      </c>
      <c r="V800" s="25">
        <v>0</v>
      </c>
      <c r="W800" s="25">
        <v>17.350000000000001</v>
      </c>
      <c r="X800" s="25">
        <v>561.32000000000005</v>
      </c>
      <c r="Y800" s="25">
        <v>90.79</v>
      </c>
      <c r="Z800" s="17">
        <f t="shared" si="270"/>
        <v>1.8000141097094043E-3</v>
      </c>
      <c r="AA800" s="18">
        <v>0.15</v>
      </c>
      <c r="AB800" s="16">
        <f t="shared" si="278"/>
        <v>84.198000000000008</v>
      </c>
      <c r="AC800" s="16">
        <v>0</v>
      </c>
      <c r="AD800" s="16">
        <v>0</v>
      </c>
      <c r="AE800" s="16">
        <v>0</v>
      </c>
      <c r="AF800" s="16">
        <f t="shared" si="271"/>
        <v>84.198000000000008</v>
      </c>
      <c r="AG800" s="16">
        <f t="shared" si="275"/>
        <v>13.471680000000001</v>
      </c>
      <c r="AH800" s="16">
        <f t="shared" si="272"/>
        <v>97.669680000000014</v>
      </c>
      <c r="AI800" s="16">
        <f t="shared" si="276"/>
        <v>1.6839600000000001</v>
      </c>
      <c r="AJ800" s="16">
        <v>0</v>
      </c>
      <c r="AK800" s="16">
        <f t="shared" si="273"/>
        <v>1.6839600000000001</v>
      </c>
      <c r="AL800" s="19"/>
      <c r="AM800" s="16">
        <f t="shared" si="281"/>
        <v>82.514040000000008</v>
      </c>
      <c r="AN800" s="16" t="s">
        <v>147</v>
      </c>
      <c r="AO800" s="20">
        <v>0.4</v>
      </c>
      <c r="AP800" s="16">
        <f t="shared" si="280"/>
        <v>33.005616000000003</v>
      </c>
      <c r="AQ800" s="16"/>
      <c r="AR800" s="15"/>
      <c r="AS800" s="16">
        <f t="shared" si="265"/>
        <v>33.005616000000003</v>
      </c>
      <c r="AT800" s="16"/>
      <c r="AU800" s="16">
        <v>97.669680000000014</v>
      </c>
      <c r="AV800" s="16">
        <f t="shared" si="269"/>
        <v>97.669680000000014</v>
      </c>
      <c r="AW800" s="16">
        <f t="shared" si="274"/>
        <v>0</v>
      </c>
      <c r="AX800" s="16" t="str">
        <f t="shared" ref="AX800:AX831" si="282">Q800</f>
        <v>SFA</v>
      </c>
      <c r="AY800" s="22">
        <v>45216</v>
      </c>
      <c r="BA800" s="1" t="s">
        <v>148</v>
      </c>
      <c r="BB800" s="1" t="s">
        <v>104</v>
      </c>
      <c r="BC800" s="1"/>
      <c r="BD800" s="1"/>
      <c r="BE800" s="1"/>
    </row>
    <row r="801" spans="1:57" ht="15.75" hidden="1" customHeight="1">
      <c r="A801" s="2" t="s">
        <v>784</v>
      </c>
      <c r="B801" s="1" t="s">
        <v>58</v>
      </c>
      <c r="C801" s="27">
        <v>45194</v>
      </c>
      <c r="D801" s="27">
        <v>45191</v>
      </c>
      <c r="E801" s="27">
        <v>45198</v>
      </c>
      <c r="F801" s="27">
        <v>45243</v>
      </c>
      <c r="G801" s="13" t="str">
        <f t="shared" si="279"/>
        <v>000-800/AIB RDC/2023</v>
      </c>
      <c r="H801" s="1">
        <v>1</v>
      </c>
      <c r="I801" s="1" t="s">
        <v>189</v>
      </c>
      <c r="J801" s="2" t="s">
        <v>929</v>
      </c>
      <c r="K801" s="1" t="s">
        <v>930</v>
      </c>
      <c r="L801" s="1"/>
      <c r="M801" s="1" t="s">
        <v>95</v>
      </c>
      <c r="N801" s="1" t="s">
        <v>644</v>
      </c>
      <c r="O801" s="1" t="s">
        <v>104</v>
      </c>
      <c r="P801" s="1" t="s">
        <v>105</v>
      </c>
      <c r="Q801" s="1" t="s">
        <v>76</v>
      </c>
      <c r="R801" s="1" t="s">
        <v>76</v>
      </c>
      <c r="S801" s="25">
        <v>47100</v>
      </c>
      <c r="T801" s="25">
        <v>78.680000000000007</v>
      </c>
      <c r="U801" s="25">
        <v>0</v>
      </c>
      <c r="V801" s="25">
        <v>0</v>
      </c>
      <c r="W801" s="25">
        <v>10</v>
      </c>
      <c r="X801" s="25">
        <v>57.83</v>
      </c>
      <c r="Y801" s="25">
        <v>10</v>
      </c>
      <c r="Z801" s="17">
        <f t="shared" si="270"/>
        <v>1.2278131634819534E-3</v>
      </c>
      <c r="AA801" s="18">
        <v>0.15</v>
      </c>
      <c r="AB801" s="16">
        <f t="shared" si="278"/>
        <v>8.6745000000000001</v>
      </c>
      <c r="AC801" s="16">
        <v>0</v>
      </c>
      <c r="AD801" s="16">
        <v>0</v>
      </c>
      <c r="AE801" s="16">
        <v>0</v>
      </c>
      <c r="AF801" s="16">
        <f t="shared" si="271"/>
        <v>8.6745000000000001</v>
      </c>
      <c r="AG801" s="16">
        <f t="shared" si="275"/>
        <v>1.38792</v>
      </c>
      <c r="AH801" s="16">
        <f t="shared" si="272"/>
        <v>10.062419999999999</v>
      </c>
      <c r="AI801" s="16">
        <f t="shared" si="276"/>
        <v>0.17349000000000001</v>
      </c>
      <c r="AJ801" s="16">
        <v>0</v>
      </c>
      <c r="AK801" s="16">
        <f t="shared" si="273"/>
        <v>0.17349000000000001</v>
      </c>
      <c r="AL801" s="19"/>
      <c r="AM801" s="16">
        <f t="shared" si="281"/>
        <v>8.5010100000000008</v>
      </c>
      <c r="AN801" s="16"/>
      <c r="AO801" s="20"/>
      <c r="AP801" s="16">
        <f t="shared" si="280"/>
        <v>0</v>
      </c>
      <c r="AQ801" s="16"/>
      <c r="AR801" s="15"/>
      <c r="AS801" s="16">
        <f t="shared" ref="AS801:AS864" si="283">AP801-AQ801</f>
        <v>0</v>
      </c>
      <c r="AT801" s="16"/>
      <c r="AU801" s="16">
        <v>10.062419999999999</v>
      </c>
      <c r="AV801" s="16">
        <f t="shared" si="269"/>
        <v>10.062419999999999</v>
      </c>
      <c r="AW801" s="16">
        <f t="shared" si="274"/>
        <v>0</v>
      </c>
      <c r="AX801" s="16" t="str">
        <f t="shared" si="282"/>
        <v>ACTIVA</v>
      </c>
      <c r="AY801" s="22">
        <v>45222</v>
      </c>
      <c r="BA801" s="1"/>
      <c r="BB801" s="22"/>
      <c r="BC801" s="1"/>
      <c r="BD801" s="1"/>
      <c r="BE801" s="1"/>
    </row>
    <row r="802" spans="1:57" ht="15.75" customHeight="1">
      <c r="A802" s="2" t="s">
        <v>57</v>
      </c>
      <c r="B802" s="1" t="s">
        <v>58</v>
      </c>
      <c r="C802" s="27">
        <v>44925</v>
      </c>
      <c r="D802" s="27">
        <v>44977</v>
      </c>
      <c r="E802" s="27">
        <v>44927</v>
      </c>
      <c r="F802" s="27">
        <v>45291</v>
      </c>
      <c r="G802" s="13" t="str">
        <f t="shared" si="279"/>
        <v>000-801/AIB RDC/2023</v>
      </c>
      <c r="H802" s="1">
        <v>0</v>
      </c>
      <c r="I802" s="1" t="s">
        <v>83</v>
      </c>
      <c r="J802" s="38" t="s">
        <v>330</v>
      </c>
      <c r="K802" s="2" t="s">
        <v>331</v>
      </c>
      <c r="L802" s="1" t="s">
        <v>139</v>
      </c>
      <c r="M802" s="1" t="s">
        <v>63</v>
      </c>
      <c r="N802" s="1" t="s">
        <v>64</v>
      </c>
      <c r="O802" s="1" t="s">
        <v>107</v>
      </c>
      <c r="P802" s="1" t="s">
        <v>108</v>
      </c>
      <c r="Q802" s="1" t="s">
        <v>66</v>
      </c>
      <c r="R802" s="1" t="s">
        <v>66</v>
      </c>
      <c r="S802" s="25">
        <v>0</v>
      </c>
      <c r="T802" s="25">
        <v>79323.960000000006</v>
      </c>
      <c r="U802" s="25">
        <v>5424.83</v>
      </c>
      <c r="V802" s="25">
        <v>0</v>
      </c>
      <c r="W802" s="25">
        <v>317.41000000000003</v>
      </c>
      <c r="X802" s="25">
        <v>61481.46</v>
      </c>
      <c r="Y802" s="25">
        <v>10755.79</v>
      </c>
      <c r="Z802" s="17" t="e">
        <f t="shared" si="270"/>
        <v>#DIV/0!</v>
      </c>
      <c r="AA802" s="18">
        <v>7.4999999999999997E-2</v>
      </c>
      <c r="AB802" s="16">
        <f t="shared" si="278"/>
        <v>4611.1094999999996</v>
      </c>
      <c r="AC802" s="16">
        <f>30%*U802</f>
        <v>1627.4489999999998</v>
      </c>
      <c r="AD802" s="16">
        <v>0</v>
      </c>
      <c r="AE802" s="16">
        <v>0</v>
      </c>
      <c r="AF802" s="16">
        <f t="shared" si="271"/>
        <v>6238.5584999999992</v>
      </c>
      <c r="AG802" s="16">
        <f t="shared" si="275"/>
        <v>998.16935999999987</v>
      </c>
      <c r="AH802" s="16">
        <f t="shared" si="272"/>
        <v>7236.7278599999991</v>
      </c>
      <c r="AI802" s="16">
        <f t="shared" si="276"/>
        <v>124.77116999999998</v>
      </c>
      <c r="AJ802" s="16">
        <v>0</v>
      </c>
      <c r="AK802" s="16">
        <f t="shared" si="273"/>
        <v>124.77116999999998</v>
      </c>
      <c r="AL802" s="19"/>
      <c r="AM802" s="16">
        <f t="shared" si="281"/>
        <v>6113.7873299999992</v>
      </c>
      <c r="AN802" s="16" t="s">
        <v>77</v>
      </c>
      <c r="AO802" s="20">
        <v>0.35</v>
      </c>
      <c r="AP802" s="16">
        <f t="shared" si="280"/>
        <v>2139.8255654999998</v>
      </c>
      <c r="AQ802" s="16"/>
      <c r="AR802" s="15"/>
      <c r="AS802" s="16">
        <f t="shared" si="283"/>
        <v>2139.8255654999998</v>
      </c>
      <c r="AT802" s="16"/>
      <c r="AU802" s="16">
        <v>3918.6</v>
      </c>
      <c r="AV802" s="16">
        <f t="shared" si="269"/>
        <v>7236.7278599999991</v>
      </c>
      <c r="AW802" s="60">
        <f t="shared" si="274"/>
        <v>3318.1278599999991</v>
      </c>
      <c r="AX802" s="16" t="str">
        <f t="shared" si="282"/>
        <v>SFA</v>
      </c>
      <c r="AY802" s="22">
        <v>45005</v>
      </c>
      <c r="AZ802" s="22"/>
      <c r="BA802" s="1"/>
      <c r="BB802" s="22" t="str">
        <f>O802</f>
        <v>FIRE</v>
      </c>
      <c r="BC802" s="1"/>
      <c r="BD802" s="1"/>
      <c r="BE802" s="1"/>
    </row>
    <row r="803" spans="1:57" ht="15.75" hidden="1" customHeight="1">
      <c r="A803" s="2" t="s">
        <v>212</v>
      </c>
      <c r="B803" s="1" t="s">
        <v>58</v>
      </c>
      <c r="C803" s="27">
        <v>45166</v>
      </c>
      <c r="D803" s="27">
        <v>45122</v>
      </c>
      <c r="E803" s="27">
        <v>45107</v>
      </c>
      <c r="F803" s="27">
        <v>45472</v>
      </c>
      <c r="G803" s="13" t="str">
        <f t="shared" si="279"/>
        <v>000-802/AIB RDC/2023</v>
      </c>
      <c r="H803" s="1">
        <v>2</v>
      </c>
      <c r="I803" s="1" t="s">
        <v>68</v>
      </c>
      <c r="J803" s="37">
        <v>60100009</v>
      </c>
      <c r="K803" s="2" t="s">
        <v>61</v>
      </c>
      <c r="L803" s="1" t="s">
        <v>62</v>
      </c>
      <c r="M803" s="1" t="s">
        <v>63</v>
      </c>
      <c r="N803" s="1" t="s">
        <v>64</v>
      </c>
      <c r="O803" s="2" t="s">
        <v>921</v>
      </c>
      <c r="P803" s="2" t="s">
        <v>112</v>
      </c>
      <c r="Q803" s="2" t="s">
        <v>135</v>
      </c>
      <c r="R803" s="2" t="s">
        <v>135</v>
      </c>
      <c r="S803" s="25">
        <v>0</v>
      </c>
      <c r="T803" s="25">
        <v>476183.95</v>
      </c>
      <c r="U803" s="25">
        <v>60531.86</v>
      </c>
      <c r="V803" s="25">
        <v>-26981.24</v>
      </c>
      <c r="W803" s="25">
        <v>0</v>
      </c>
      <c r="X803" s="25">
        <v>343013.85</v>
      </c>
      <c r="Y803" s="25">
        <v>64567.32</v>
      </c>
      <c r="Z803" s="17" t="e">
        <f t="shared" si="270"/>
        <v>#DIV/0!</v>
      </c>
      <c r="AA803" s="18">
        <v>0</v>
      </c>
      <c r="AB803" s="16">
        <f t="shared" si="278"/>
        <v>0</v>
      </c>
      <c r="AC803" s="16">
        <f>30%*(U803+V803)</f>
        <v>10065.185999999998</v>
      </c>
      <c r="AD803" s="16">
        <v>0</v>
      </c>
      <c r="AE803" s="16">
        <v>0</v>
      </c>
      <c r="AF803" s="16">
        <f t="shared" si="271"/>
        <v>10065.185999999998</v>
      </c>
      <c r="AG803" s="16">
        <f t="shared" si="275"/>
        <v>1610.4297599999998</v>
      </c>
      <c r="AH803" s="16">
        <f t="shared" si="272"/>
        <v>11675.615759999997</v>
      </c>
      <c r="AI803" s="16">
        <f t="shared" si="276"/>
        <v>201.30371999999997</v>
      </c>
      <c r="AJ803" s="16">
        <v>0</v>
      </c>
      <c r="AK803" s="16">
        <f t="shared" si="273"/>
        <v>201.30371999999997</v>
      </c>
      <c r="AL803" s="19"/>
      <c r="AM803" s="16">
        <f t="shared" si="281"/>
        <v>9863.882279999998</v>
      </c>
      <c r="AN803" s="16"/>
      <c r="AO803" s="20"/>
      <c r="AP803" s="16">
        <f t="shared" si="280"/>
        <v>0</v>
      </c>
      <c r="AQ803" s="16"/>
      <c r="AR803" s="15"/>
      <c r="AS803" s="16">
        <f t="shared" si="283"/>
        <v>0</v>
      </c>
      <c r="AT803" s="16"/>
      <c r="AU803" s="16">
        <v>11675.615759999997</v>
      </c>
      <c r="AV803" s="16">
        <f t="shared" si="269"/>
        <v>11675.615759999997</v>
      </c>
      <c r="AW803" s="16">
        <f t="shared" si="274"/>
        <v>0</v>
      </c>
      <c r="AX803" s="16" t="str">
        <f t="shared" si="282"/>
        <v>RAWSUR</v>
      </c>
      <c r="AY803" s="22">
        <v>45174</v>
      </c>
      <c r="AZ803" s="22"/>
      <c r="BA803" s="1"/>
      <c r="BB803" s="1"/>
      <c r="BC803" s="1"/>
      <c r="BD803" s="1"/>
      <c r="BE803" s="1"/>
    </row>
    <row r="804" spans="1:57" ht="15.75" hidden="1" customHeight="1">
      <c r="A804" s="2" t="s">
        <v>784</v>
      </c>
      <c r="B804" s="1" t="s">
        <v>58</v>
      </c>
      <c r="C804" s="27">
        <v>45196</v>
      </c>
      <c r="D804" s="27">
        <v>45113</v>
      </c>
      <c r="E804" s="27">
        <v>45174</v>
      </c>
      <c r="F804" s="27">
        <v>45539</v>
      </c>
      <c r="G804" s="13" t="str">
        <f t="shared" si="279"/>
        <v>000-803/AIB RDC/2023</v>
      </c>
      <c r="H804" s="1">
        <v>0</v>
      </c>
      <c r="I804" s="1" t="s">
        <v>83</v>
      </c>
      <c r="J804" s="2" t="s">
        <v>1048</v>
      </c>
      <c r="K804" s="2" t="s">
        <v>197</v>
      </c>
      <c r="L804" s="1"/>
      <c r="M804" s="1" t="s">
        <v>95</v>
      </c>
      <c r="N804" s="1" t="s">
        <v>836</v>
      </c>
      <c r="O804" s="1" t="s">
        <v>104</v>
      </c>
      <c r="P804" s="1" t="s">
        <v>105</v>
      </c>
      <c r="Q804" s="1" t="s">
        <v>135</v>
      </c>
      <c r="R804" s="1" t="s">
        <v>135</v>
      </c>
      <c r="S804" s="25">
        <v>280438</v>
      </c>
      <c r="T804" s="25">
        <v>1716</v>
      </c>
      <c r="U804" s="25">
        <v>0</v>
      </c>
      <c r="V804" s="25">
        <v>0</v>
      </c>
      <c r="W804" s="25">
        <v>333</v>
      </c>
      <c r="X804" s="25">
        <v>1121.75</v>
      </c>
      <c r="Y804" s="25">
        <v>232.76</v>
      </c>
      <c r="Z804" s="17">
        <f t="shared" si="270"/>
        <v>3.9999928682988755E-3</v>
      </c>
      <c r="AA804" s="18">
        <v>0.15</v>
      </c>
      <c r="AB804" s="16">
        <f t="shared" si="278"/>
        <v>168.26249999999999</v>
      </c>
      <c r="AC804" s="16">
        <v>0</v>
      </c>
      <c r="AD804" s="16">
        <v>0</v>
      </c>
      <c r="AE804" s="16">
        <v>0</v>
      </c>
      <c r="AF804" s="16">
        <f t="shared" si="271"/>
        <v>168.26249999999999</v>
      </c>
      <c r="AG804" s="16">
        <f t="shared" si="275"/>
        <v>26.921999999999997</v>
      </c>
      <c r="AH804" s="16">
        <f t="shared" si="272"/>
        <v>195.18449999999999</v>
      </c>
      <c r="AI804" s="16">
        <f t="shared" si="276"/>
        <v>3.3652499999999996</v>
      </c>
      <c r="AJ804" s="16">
        <v>0</v>
      </c>
      <c r="AK804" s="16">
        <f t="shared" si="273"/>
        <v>3.3652499999999996</v>
      </c>
      <c r="AL804" s="19"/>
      <c r="AM804" s="16">
        <f t="shared" si="281"/>
        <v>164.89724999999999</v>
      </c>
      <c r="AN804" s="16" t="s">
        <v>147</v>
      </c>
      <c r="AO804" s="20">
        <v>0.4</v>
      </c>
      <c r="AP804" s="16">
        <f t="shared" si="280"/>
        <v>65.9589</v>
      </c>
      <c r="AQ804" s="16"/>
      <c r="AR804" s="15"/>
      <c r="AS804" s="16">
        <f t="shared" si="283"/>
        <v>65.9589</v>
      </c>
      <c r="AT804" s="16"/>
      <c r="AU804" s="16">
        <v>195.18449999999999</v>
      </c>
      <c r="AV804" s="16">
        <f t="shared" si="269"/>
        <v>195.18449999999999</v>
      </c>
      <c r="AW804" s="16">
        <f t="shared" si="274"/>
        <v>0</v>
      </c>
      <c r="AX804" s="16" t="str">
        <f t="shared" si="282"/>
        <v>RAWSUR</v>
      </c>
      <c r="AY804" s="22">
        <v>45219</v>
      </c>
      <c r="BA804" s="1"/>
      <c r="BB804" s="22"/>
      <c r="BC804" s="1"/>
      <c r="BD804" s="1"/>
      <c r="BE804" s="1"/>
    </row>
    <row r="805" spans="1:57" ht="15.75" hidden="1" customHeight="1">
      <c r="A805" s="2" t="s">
        <v>784</v>
      </c>
      <c r="B805" s="1" t="s">
        <v>58</v>
      </c>
      <c r="C805" s="27">
        <v>45196</v>
      </c>
      <c r="D805" s="27">
        <v>45169</v>
      </c>
      <c r="E805" s="27">
        <v>45174</v>
      </c>
      <c r="F805" s="27">
        <v>45539</v>
      </c>
      <c r="G805" s="13" t="str">
        <f t="shared" si="279"/>
        <v>000-804/AIB RDC/2023</v>
      </c>
      <c r="H805" s="1">
        <v>0</v>
      </c>
      <c r="I805" s="1" t="s">
        <v>83</v>
      </c>
      <c r="J805" s="2" t="s">
        <v>1049</v>
      </c>
      <c r="K805" s="2" t="s">
        <v>197</v>
      </c>
      <c r="L805" s="1"/>
      <c r="M805" s="1" t="s">
        <v>95</v>
      </c>
      <c r="N805" s="1" t="s">
        <v>836</v>
      </c>
      <c r="O805" s="1" t="s">
        <v>104</v>
      </c>
      <c r="P805" s="1" t="s">
        <v>105</v>
      </c>
      <c r="Q805" s="1" t="s">
        <v>135</v>
      </c>
      <c r="R805" s="1" t="s">
        <v>135</v>
      </c>
      <c r="S805" s="25">
        <v>422282</v>
      </c>
      <c r="T805" s="25">
        <v>2429.6999999999998</v>
      </c>
      <c r="U805" s="25">
        <v>0</v>
      </c>
      <c r="V805" s="25">
        <v>0</v>
      </c>
      <c r="W805" s="25">
        <v>370</v>
      </c>
      <c r="X805" s="25">
        <v>1689.12</v>
      </c>
      <c r="Y805" s="25">
        <v>329.16</v>
      </c>
      <c r="Z805" s="17">
        <f t="shared" si="270"/>
        <v>3.9999810553137472E-3</v>
      </c>
      <c r="AA805" s="18">
        <v>0.15</v>
      </c>
      <c r="AB805" s="16">
        <f t="shared" si="278"/>
        <v>253.36799999999997</v>
      </c>
      <c r="AC805" s="16">
        <v>0</v>
      </c>
      <c r="AD805" s="16">
        <v>0</v>
      </c>
      <c r="AE805" s="16">
        <v>0</v>
      </c>
      <c r="AF805" s="16">
        <f t="shared" si="271"/>
        <v>253.36799999999997</v>
      </c>
      <c r="AG805" s="16">
        <f t="shared" si="275"/>
        <v>40.538879999999999</v>
      </c>
      <c r="AH805" s="16">
        <f t="shared" si="272"/>
        <v>293.90687999999994</v>
      </c>
      <c r="AI805" s="16">
        <f t="shared" si="276"/>
        <v>5.0673599999999999</v>
      </c>
      <c r="AJ805" s="16">
        <v>0</v>
      </c>
      <c r="AK805" s="16">
        <f t="shared" si="273"/>
        <v>5.0673599999999999</v>
      </c>
      <c r="AL805" s="19"/>
      <c r="AM805" s="16">
        <f t="shared" si="281"/>
        <v>248.30063999999996</v>
      </c>
      <c r="AN805" s="16" t="s">
        <v>147</v>
      </c>
      <c r="AO805" s="20">
        <v>0.4</v>
      </c>
      <c r="AP805" s="16">
        <f t="shared" si="280"/>
        <v>99.320255999999986</v>
      </c>
      <c r="AQ805" s="16"/>
      <c r="AR805" s="15"/>
      <c r="AS805" s="16">
        <f t="shared" si="283"/>
        <v>99.320255999999986</v>
      </c>
      <c r="AT805" s="16"/>
      <c r="AU805" s="16">
        <v>293.90687999999994</v>
      </c>
      <c r="AV805" s="16">
        <f t="shared" si="269"/>
        <v>293.90687999999994</v>
      </c>
      <c r="AW805" s="16">
        <f t="shared" si="274"/>
        <v>0</v>
      </c>
      <c r="AX805" s="16" t="str">
        <f t="shared" si="282"/>
        <v>RAWSUR</v>
      </c>
      <c r="AY805" s="22">
        <v>45219</v>
      </c>
      <c r="BA805" s="1"/>
      <c r="BB805" s="22"/>
      <c r="BC805" s="1"/>
      <c r="BD805" s="1"/>
      <c r="BE805" s="1"/>
    </row>
    <row r="806" spans="1:57" ht="15.75" hidden="1" customHeight="1">
      <c r="A806" s="2" t="s">
        <v>784</v>
      </c>
      <c r="B806" s="1" t="s">
        <v>58</v>
      </c>
      <c r="C806" s="27">
        <v>45196</v>
      </c>
      <c r="D806" s="27">
        <v>45152</v>
      </c>
      <c r="E806" s="27">
        <v>45174</v>
      </c>
      <c r="F806" s="27">
        <v>45539</v>
      </c>
      <c r="G806" s="13" t="str">
        <f t="shared" si="279"/>
        <v>000-805/AIB RDC/2023</v>
      </c>
      <c r="H806" s="1">
        <v>0</v>
      </c>
      <c r="I806" s="1" t="s">
        <v>83</v>
      </c>
      <c r="J806" s="2" t="s">
        <v>1050</v>
      </c>
      <c r="K806" s="2" t="s">
        <v>197</v>
      </c>
      <c r="L806" s="1"/>
      <c r="M806" s="1" t="s">
        <v>95</v>
      </c>
      <c r="N806" s="1" t="s">
        <v>836</v>
      </c>
      <c r="O806" s="1" t="s">
        <v>104</v>
      </c>
      <c r="P806" s="1" t="s">
        <v>105</v>
      </c>
      <c r="Q806" s="1" t="s">
        <v>135</v>
      </c>
      <c r="R806" s="1" t="s">
        <v>135</v>
      </c>
      <c r="S806" s="25">
        <v>295192.28000000003</v>
      </c>
      <c r="T806" s="25">
        <v>1821.16</v>
      </c>
      <c r="U806" s="25">
        <v>0</v>
      </c>
      <c r="V806" s="25">
        <v>0</v>
      </c>
      <c r="W806" s="25">
        <v>333</v>
      </c>
      <c r="X806" s="25">
        <v>1210.3699999999999</v>
      </c>
      <c r="Y806" s="25">
        <v>246.94</v>
      </c>
      <c r="Z806" s="17">
        <f t="shared" si="270"/>
        <v>4.1002766061497267E-3</v>
      </c>
      <c r="AA806" s="18">
        <v>0.15</v>
      </c>
      <c r="AB806" s="16">
        <f t="shared" si="278"/>
        <v>181.55549999999997</v>
      </c>
      <c r="AC806" s="16">
        <v>0</v>
      </c>
      <c r="AD806" s="16">
        <v>0</v>
      </c>
      <c r="AE806" s="16">
        <v>0</v>
      </c>
      <c r="AF806" s="16">
        <f t="shared" si="271"/>
        <v>181.55549999999997</v>
      </c>
      <c r="AG806" s="16">
        <f t="shared" si="275"/>
        <v>29.048879999999997</v>
      </c>
      <c r="AH806" s="16">
        <f t="shared" si="272"/>
        <v>210.60437999999996</v>
      </c>
      <c r="AI806" s="16">
        <f t="shared" si="276"/>
        <v>3.6311099999999996</v>
      </c>
      <c r="AJ806" s="16">
        <v>0</v>
      </c>
      <c r="AK806" s="16">
        <f t="shared" si="273"/>
        <v>3.6311099999999996</v>
      </c>
      <c r="AL806" s="19"/>
      <c r="AM806" s="16">
        <f t="shared" si="281"/>
        <v>177.92438999999996</v>
      </c>
      <c r="AN806" s="16" t="s">
        <v>147</v>
      </c>
      <c r="AO806" s="20">
        <v>0.4</v>
      </c>
      <c r="AP806" s="16">
        <f t="shared" si="280"/>
        <v>71.169755999999992</v>
      </c>
      <c r="AQ806" s="16"/>
      <c r="AR806" s="15"/>
      <c r="AS806" s="16">
        <f t="shared" si="283"/>
        <v>71.169755999999992</v>
      </c>
      <c r="AT806" s="16"/>
      <c r="AU806" s="16">
        <v>210.60437999999996</v>
      </c>
      <c r="AV806" s="16">
        <f t="shared" si="269"/>
        <v>210.60437999999996</v>
      </c>
      <c r="AW806" s="16">
        <f t="shared" si="274"/>
        <v>0</v>
      </c>
      <c r="AX806" s="16" t="str">
        <f t="shared" si="282"/>
        <v>RAWSUR</v>
      </c>
      <c r="AY806" s="22">
        <v>45219</v>
      </c>
      <c r="BA806" s="1"/>
      <c r="BB806" s="22"/>
      <c r="BC806" s="1"/>
      <c r="BD806" s="1"/>
      <c r="BE806" s="1"/>
    </row>
    <row r="807" spans="1:57" ht="15.75" hidden="1" customHeight="1">
      <c r="A807" s="2" t="s">
        <v>784</v>
      </c>
      <c r="B807" s="1" t="s">
        <v>58</v>
      </c>
      <c r="C807" s="27">
        <v>45196</v>
      </c>
      <c r="D807" s="27">
        <v>45170</v>
      </c>
      <c r="E807" s="27">
        <v>45174</v>
      </c>
      <c r="F807" s="27">
        <v>45539</v>
      </c>
      <c r="G807" s="13" t="str">
        <f t="shared" si="279"/>
        <v>000-806/AIB RDC/2023</v>
      </c>
      <c r="H807" s="1">
        <v>0</v>
      </c>
      <c r="I807" s="1" t="s">
        <v>83</v>
      </c>
      <c r="J807" s="2" t="s">
        <v>1051</v>
      </c>
      <c r="K807" s="2" t="s">
        <v>197</v>
      </c>
      <c r="L807" s="1"/>
      <c r="M807" s="1" t="s">
        <v>95</v>
      </c>
      <c r="N807" s="1" t="s">
        <v>836</v>
      </c>
      <c r="O807" s="1" t="s">
        <v>104</v>
      </c>
      <c r="P807" s="1" t="s">
        <v>105</v>
      </c>
      <c r="Q807" s="1" t="s">
        <v>135</v>
      </c>
      <c r="R807" s="1" t="s">
        <v>135</v>
      </c>
      <c r="S807" s="25">
        <v>186678</v>
      </c>
      <c r="T807" s="25">
        <v>1235.83</v>
      </c>
      <c r="U807" s="25">
        <v>0</v>
      </c>
      <c r="V807" s="25">
        <v>0</v>
      </c>
      <c r="W807" s="25">
        <v>259</v>
      </c>
      <c r="X807" s="25">
        <v>788.32</v>
      </c>
      <c r="Y807" s="25">
        <v>167.58</v>
      </c>
      <c r="Z807" s="17">
        <f t="shared" si="270"/>
        <v>4.2228864676073239E-3</v>
      </c>
      <c r="AA807" s="18">
        <v>0.15</v>
      </c>
      <c r="AB807" s="16">
        <f t="shared" si="278"/>
        <v>118.248</v>
      </c>
      <c r="AC807" s="16">
        <v>0</v>
      </c>
      <c r="AD807" s="16">
        <v>0</v>
      </c>
      <c r="AE807" s="16">
        <v>0</v>
      </c>
      <c r="AF807" s="16">
        <f t="shared" si="271"/>
        <v>118.248</v>
      </c>
      <c r="AG807" s="16">
        <f t="shared" ref="AG807:AG838" si="284">16%*AF807</f>
        <v>18.91968</v>
      </c>
      <c r="AH807" s="16">
        <f t="shared" si="272"/>
        <v>137.16768000000002</v>
      </c>
      <c r="AI807" s="16">
        <f t="shared" ref="AI807:AI838" si="285">2%*(AB807+AC807+AD807)</f>
        <v>2.36496</v>
      </c>
      <c r="AJ807" s="16">
        <v>0</v>
      </c>
      <c r="AK807" s="16">
        <f t="shared" si="273"/>
        <v>2.36496</v>
      </c>
      <c r="AL807" s="19"/>
      <c r="AM807" s="16">
        <f t="shared" si="281"/>
        <v>115.88304000000001</v>
      </c>
      <c r="AN807" s="16" t="s">
        <v>147</v>
      </c>
      <c r="AO807" s="20">
        <v>0.4</v>
      </c>
      <c r="AP807" s="16">
        <f t="shared" si="280"/>
        <v>46.353216000000003</v>
      </c>
      <c r="AQ807" s="16"/>
      <c r="AR807" s="15"/>
      <c r="AS807" s="16">
        <f t="shared" si="283"/>
        <v>46.353216000000003</v>
      </c>
      <c r="AT807" s="16"/>
      <c r="AU807" s="16">
        <v>137.16768000000002</v>
      </c>
      <c r="AV807" s="16">
        <f t="shared" si="269"/>
        <v>137.16768000000002</v>
      </c>
      <c r="AW807" s="16">
        <f t="shared" si="274"/>
        <v>0</v>
      </c>
      <c r="AX807" s="16" t="str">
        <f t="shared" si="282"/>
        <v>RAWSUR</v>
      </c>
      <c r="AY807" s="22">
        <v>45219</v>
      </c>
      <c r="BA807" s="1"/>
      <c r="BB807" s="22"/>
      <c r="BC807" s="1"/>
      <c r="BD807" s="1"/>
      <c r="BE807" s="1"/>
    </row>
    <row r="808" spans="1:57" ht="15.75" hidden="1" customHeight="1">
      <c r="A808" s="2" t="s">
        <v>784</v>
      </c>
      <c r="B808" s="1" t="s">
        <v>58</v>
      </c>
      <c r="C808" s="27">
        <v>45196</v>
      </c>
      <c r="D808" s="27">
        <v>45152</v>
      </c>
      <c r="E808" s="27">
        <v>45174</v>
      </c>
      <c r="F808" s="27">
        <v>45539</v>
      </c>
      <c r="G808" s="13" t="str">
        <f t="shared" si="279"/>
        <v>000-807/AIB RDC/2023</v>
      </c>
      <c r="H808" s="1">
        <v>0</v>
      </c>
      <c r="I808" s="1" t="s">
        <v>83</v>
      </c>
      <c r="J808" s="2" t="s">
        <v>1052</v>
      </c>
      <c r="K808" s="2" t="s">
        <v>197</v>
      </c>
      <c r="L808" s="1"/>
      <c r="M808" s="1" t="s">
        <v>95</v>
      </c>
      <c r="N808" s="1" t="s">
        <v>836</v>
      </c>
      <c r="O808" s="1" t="s">
        <v>104</v>
      </c>
      <c r="P808" s="1" t="s">
        <v>105</v>
      </c>
      <c r="Q808" s="1" t="s">
        <v>135</v>
      </c>
      <c r="R808" s="1" t="s">
        <v>135</v>
      </c>
      <c r="S808" s="25">
        <v>421740.46</v>
      </c>
      <c r="T808" s="25">
        <v>2768.16</v>
      </c>
      <c r="U808" s="25">
        <v>0</v>
      </c>
      <c r="V808" s="25">
        <v>0</v>
      </c>
      <c r="W808" s="25">
        <v>481</v>
      </c>
      <c r="X808" s="25">
        <v>1864.88</v>
      </c>
      <c r="Y808" s="25">
        <v>375.34</v>
      </c>
      <c r="Z808" s="17">
        <f t="shared" si="270"/>
        <v>4.4218664720951841E-3</v>
      </c>
      <c r="AA808" s="18">
        <v>0.15</v>
      </c>
      <c r="AB808" s="16">
        <f t="shared" si="278"/>
        <v>279.73200000000003</v>
      </c>
      <c r="AC808" s="16">
        <v>0</v>
      </c>
      <c r="AD808" s="16">
        <v>0</v>
      </c>
      <c r="AE808" s="16">
        <v>0</v>
      </c>
      <c r="AF808" s="16">
        <f t="shared" si="271"/>
        <v>279.73200000000003</v>
      </c>
      <c r="AG808" s="16">
        <f t="shared" si="284"/>
        <v>44.757120000000008</v>
      </c>
      <c r="AH808" s="16">
        <f t="shared" si="272"/>
        <v>324.48912000000001</v>
      </c>
      <c r="AI808" s="16">
        <f t="shared" si="285"/>
        <v>5.5946400000000009</v>
      </c>
      <c r="AJ808" s="16">
        <v>0</v>
      </c>
      <c r="AK808" s="16">
        <f t="shared" si="273"/>
        <v>5.5946400000000009</v>
      </c>
      <c r="AL808" s="19"/>
      <c r="AM808" s="16">
        <f t="shared" si="281"/>
        <v>274.13736</v>
      </c>
      <c r="AN808" s="16" t="s">
        <v>147</v>
      </c>
      <c r="AO808" s="20">
        <v>0.4</v>
      </c>
      <c r="AP808" s="16">
        <f t="shared" si="280"/>
        <v>109.654944</v>
      </c>
      <c r="AQ808" s="16"/>
      <c r="AR808" s="15"/>
      <c r="AS808" s="16">
        <f t="shared" si="283"/>
        <v>109.654944</v>
      </c>
      <c r="AT808" s="16"/>
      <c r="AU808" s="16">
        <v>324.48912000000001</v>
      </c>
      <c r="AV808" s="16">
        <f t="shared" si="269"/>
        <v>324.48912000000001</v>
      </c>
      <c r="AW808" s="16">
        <f t="shared" si="274"/>
        <v>0</v>
      </c>
      <c r="AX808" s="16" t="str">
        <f t="shared" si="282"/>
        <v>RAWSUR</v>
      </c>
      <c r="AY808" s="22">
        <v>45219</v>
      </c>
      <c r="BA808" s="1"/>
      <c r="BB808" s="22"/>
      <c r="BC808" s="1"/>
      <c r="BD808" s="1"/>
      <c r="BE808" s="1"/>
    </row>
    <row r="809" spans="1:57" ht="15.75" hidden="1" customHeight="1">
      <c r="A809" s="2" t="s">
        <v>784</v>
      </c>
      <c r="B809" s="1" t="s">
        <v>58</v>
      </c>
      <c r="C809" s="27">
        <v>45196</v>
      </c>
      <c r="D809" s="27">
        <v>45154</v>
      </c>
      <c r="E809" s="27">
        <v>45174</v>
      </c>
      <c r="F809" s="27">
        <v>45539</v>
      </c>
      <c r="G809" s="13" t="str">
        <f t="shared" si="279"/>
        <v>000-808/AIB RDC/2023</v>
      </c>
      <c r="H809" s="1">
        <v>0</v>
      </c>
      <c r="I809" s="1" t="s">
        <v>83</v>
      </c>
      <c r="J809" s="2" t="s">
        <v>1053</v>
      </c>
      <c r="K809" s="2" t="s">
        <v>197</v>
      </c>
      <c r="L809" s="1"/>
      <c r="M809" s="1" t="s">
        <v>95</v>
      </c>
      <c r="N809" s="1" t="s">
        <v>836</v>
      </c>
      <c r="O809" s="1" t="s">
        <v>104</v>
      </c>
      <c r="P809" s="1" t="s">
        <v>105</v>
      </c>
      <c r="Q809" s="1" t="s">
        <v>135</v>
      </c>
      <c r="R809" s="1" t="s">
        <v>135</v>
      </c>
      <c r="S809" s="25">
        <v>642731.54</v>
      </c>
      <c r="T809" s="25">
        <v>3555.37</v>
      </c>
      <c r="U809" s="25">
        <v>0</v>
      </c>
      <c r="V809" s="25">
        <v>0</v>
      </c>
      <c r="W809" s="25">
        <v>407</v>
      </c>
      <c r="X809" s="25">
        <v>2606.1999999999998</v>
      </c>
      <c r="Y809" s="25">
        <v>482</v>
      </c>
      <c r="Z809" s="17">
        <f t="shared" si="270"/>
        <v>4.0548811405769812E-3</v>
      </c>
      <c r="AA809" s="18">
        <v>0.15</v>
      </c>
      <c r="AB809" s="16">
        <f t="shared" si="278"/>
        <v>390.92999999999995</v>
      </c>
      <c r="AC809" s="16">
        <v>0</v>
      </c>
      <c r="AD809" s="16">
        <v>0</v>
      </c>
      <c r="AE809" s="16">
        <v>0</v>
      </c>
      <c r="AF809" s="16">
        <f t="shared" si="271"/>
        <v>390.92999999999995</v>
      </c>
      <c r="AG809" s="16">
        <f t="shared" si="284"/>
        <v>62.548799999999993</v>
      </c>
      <c r="AH809" s="16">
        <f t="shared" si="272"/>
        <v>453.47879999999992</v>
      </c>
      <c r="AI809" s="16">
        <f t="shared" si="285"/>
        <v>7.8185999999999991</v>
      </c>
      <c r="AJ809" s="16">
        <v>0</v>
      </c>
      <c r="AK809" s="16">
        <f t="shared" si="273"/>
        <v>7.8185999999999991</v>
      </c>
      <c r="AL809" s="19"/>
      <c r="AM809" s="16">
        <f t="shared" si="281"/>
        <v>383.11139999999995</v>
      </c>
      <c r="AN809" s="16" t="s">
        <v>147</v>
      </c>
      <c r="AO809" s="20">
        <v>0.4</v>
      </c>
      <c r="AP809" s="16">
        <f t="shared" si="280"/>
        <v>153.24455999999998</v>
      </c>
      <c r="AQ809" s="16"/>
      <c r="AR809" s="15"/>
      <c r="AS809" s="16">
        <f t="shared" si="283"/>
        <v>153.24455999999998</v>
      </c>
      <c r="AT809" s="16"/>
      <c r="AU809" s="16">
        <v>453.47879999999992</v>
      </c>
      <c r="AV809" s="16">
        <f t="shared" si="269"/>
        <v>453.47879999999992</v>
      </c>
      <c r="AW809" s="16">
        <f t="shared" si="274"/>
        <v>0</v>
      </c>
      <c r="AX809" s="16" t="str">
        <f t="shared" si="282"/>
        <v>RAWSUR</v>
      </c>
      <c r="AY809" s="22">
        <v>45219</v>
      </c>
      <c r="BA809" s="1"/>
      <c r="BB809" s="22"/>
      <c r="BC809" s="1"/>
      <c r="BD809" s="1"/>
      <c r="BE809" s="1"/>
    </row>
    <row r="810" spans="1:57" ht="15.75" hidden="1" customHeight="1">
      <c r="A810" s="2" t="s">
        <v>784</v>
      </c>
      <c r="B810" s="1" t="s">
        <v>58</v>
      </c>
      <c r="C810" s="27">
        <v>45197</v>
      </c>
      <c r="D810" s="27">
        <v>45160</v>
      </c>
      <c r="E810" s="27">
        <v>45174</v>
      </c>
      <c r="F810" s="27">
        <v>45539</v>
      </c>
      <c r="G810" s="13" t="str">
        <f t="shared" si="279"/>
        <v>000-809/AIB RDC/2023</v>
      </c>
      <c r="H810" s="1">
        <v>0</v>
      </c>
      <c r="I810" s="1" t="s">
        <v>83</v>
      </c>
      <c r="J810" s="2" t="s">
        <v>1054</v>
      </c>
      <c r="K810" s="2" t="s">
        <v>197</v>
      </c>
      <c r="L810" s="1"/>
      <c r="M810" s="1" t="s">
        <v>95</v>
      </c>
      <c r="N810" s="1" t="s">
        <v>836</v>
      </c>
      <c r="O810" s="1" t="s">
        <v>104</v>
      </c>
      <c r="P810" s="1" t="s">
        <v>105</v>
      </c>
      <c r="Q810" s="1" t="s">
        <v>135</v>
      </c>
      <c r="R810" s="1" t="s">
        <v>135</v>
      </c>
      <c r="S810" s="25">
        <v>258261.52</v>
      </c>
      <c r="T810" s="25">
        <v>1568.26</v>
      </c>
      <c r="U810" s="25">
        <v>0</v>
      </c>
      <c r="V810" s="25">
        <v>0</v>
      </c>
      <c r="W810" s="25">
        <v>296</v>
      </c>
      <c r="X810" s="25">
        <v>1033.03</v>
      </c>
      <c r="Y810" s="25">
        <v>212.65</v>
      </c>
      <c r="Z810" s="17">
        <f t="shared" si="270"/>
        <v>3.9999377375305465E-3</v>
      </c>
      <c r="AA810" s="18">
        <v>0.15</v>
      </c>
      <c r="AB810" s="16">
        <f t="shared" ref="AB810:AB841" si="286">AA810*X810</f>
        <v>154.9545</v>
      </c>
      <c r="AC810" s="16">
        <v>0</v>
      </c>
      <c r="AD810" s="16">
        <v>0</v>
      </c>
      <c r="AE810" s="16">
        <v>0</v>
      </c>
      <c r="AF810" s="16">
        <f t="shared" si="271"/>
        <v>154.9545</v>
      </c>
      <c r="AG810" s="16">
        <f t="shared" si="284"/>
        <v>24.792719999999999</v>
      </c>
      <c r="AH810" s="16">
        <f t="shared" si="272"/>
        <v>179.74722</v>
      </c>
      <c r="AI810" s="16">
        <f t="shared" si="285"/>
        <v>3.0990899999999999</v>
      </c>
      <c r="AJ810" s="16">
        <v>0</v>
      </c>
      <c r="AK810" s="16">
        <f t="shared" si="273"/>
        <v>3.0990899999999999</v>
      </c>
      <c r="AL810" s="19"/>
      <c r="AM810" s="16">
        <f t="shared" si="281"/>
        <v>151.85541000000001</v>
      </c>
      <c r="AN810" s="16" t="s">
        <v>147</v>
      </c>
      <c r="AO810" s="20">
        <v>0.4</v>
      </c>
      <c r="AP810" s="16">
        <f t="shared" si="280"/>
        <v>60.742164000000002</v>
      </c>
      <c r="AQ810" s="16"/>
      <c r="AR810" s="15"/>
      <c r="AS810" s="16">
        <f t="shared" si="283"/>
        <v>60.742164000000002</v>
      </c>
      <c r="AT810" s="16"/>
      <c r="AU810" s="16">
        <v>179.74722</v>
      </c>
      <c r="AV810" s="16">
        <f t="shared" si="269"/>
        <v>179.74722</v>
      </c>
      <c r="AW810" s="16">
        <f t="shared" si="274"/>
        <v>0</v>
      </c>
      <c r="AX810" s="16" t="str">
        <f t="shared" si="282"/>
        <v>RAWSUR</v>
      </c>
      <c r="AY810" s="22">
        <v>45219</v>
      </c>
      <c r="BA810" s="1"/>
      <c r="BB810" s="22"/>
      <c r="BC810" s="1"/>
      <c r="BD810" s="1"/>
      <c r="BE810" s="1"/>
    </row>
    <row r="811" spans="1:57" ht="15.75" hidden="1" customHeight="1">
      <c r="A811" s="2" t="s">
        <v>784</v>
      </c>
      <c r="B811" s="1" t="s">
        <v>58</v>
      </c>
      <c r="C811" s="27">
        <v>45197</v>
      </c>
      <c r="D811" s="27">
        <v>45142</v>
      </c>
      <c r="E811" s="27">
        <v>45174</v>
      </c>
      <c r="F811" s="27">
        <v>45539</v>
      </c>
      <c r="G811" s="13" t="str">
        <f t="shared" si="279"/>
        <v>000-810/AIB RDC/2023</v>
      </c>
      <c r="H811" s="1">
        <v>0</v>
      </c>
      <c r="I811" s="1" t="s">
        <v>83</v>
      </c>
      <c r="J811" s="2" t="s">
        <v>1055</v>
      </c>
      <c r="K811" s="2" t="s">
        <v>197</v>
      </c>
      <c r="L811" s="1"/>
      <c r="M811" s="1" t="s">
        <v>95</v>
      </c>
      <c r="N811" s="1" t="s">
        <v>836</v>
      </c>
      <c r="O811" s="1" t="s">
        <v>104</v>
      </c>
      <c r="P811" s="1" t="s">
        <v>105</v>
      </c>
      <c r="Q811" s="1" t="s">
        <v>135</v>
      </c>
      <c r="R811" s="1" t="s">
        <v>135</v>
      </c>
      <c r="S811" s="25">
        <v>638813.07999999996</v>
      </c>
      <c r="T811" s="25">
        <v>3801</v>
      </c>
      <c r="U811" s="25">
        <v>0</v>
      </c>
      <c r="V811" s="25">
        <v>0</v>
      </c>
      <c r="W811" s="25">
        <v>666</v>
      </c>
      <c r="X811" s="25">
        <v>2555.2600000000002</v>
      </c>
      <c r="Y811" s="25">
        <v>464.11</v>
      </c>
      <c r="Z811" s="17">
        <f t="shared" si="270"/>
        <v>4.0000120222960997E-3</v>
      </c>
      <c r="AA811" s="18">
        <v>0.15</v>
      </c>
      <c r="AB811" s="16">
        <f t="shared" si="286"/>
        <v>383.28900000000004</v>
      </c>
      <c r="AC811" s="16">
        <v>0</v>
      </c>
      <c r="AD811" s="16">
        <v>0</v>
      </c>
      <c r="AE811" s="16">
        <v>0</v>
      </c>
      <c r="AF811" s="16">
        <f t="shared" si="271"/>
        <v>383.28900000000004</v>
      </c>
      <c r="AG811" s="16">
        <f t="shared" si="284"/>
        <v>61.326240000000006</v>
      </c>
      <c r="AH811" s="16">
        <f t="shared" si="272"/>
        <v>444.61524000000003</v>
      </c>
      <c r="AI811" s="16">
        <f t="shared" si="285"/>
        <v>7.6657800000000007</v>
      </c>
      <c r="AJ811" s="16">
        <v>0</v>
      </c>
      <c r="AK811" s="16">
        <f t="shared" si="273"/>
        <v>7.6657800000000007</v>
      </c>
      <c r="AL811" s="19"/>
      <c r="AM811" s="16">
        <f t="shared" si="281"/>
        <v>375.62322000000006</v>
      </c>
      <c r="AN811" s="16" t="s">
        <v>147</v>
      </c>
      <c r="AO811" s="20">
        <v>0.4</v>
      </c>
      <c r="AP811" s="16">
        <f t="shared" si="280"/>
        <v>150.24928800000004</v>
      </c>
      <c r="AQ811" s="16"/>
      <c r="AR811" s="15"/>
      <c r="AS811" s="16">
        <f t="shared" si="283"/>
        <v>150.24928800000004</v>
      </c>
      <c r="AT811" s="16"/>
      <c r="AU811" s="16">
        <v>444.61524000000003</v>
      </c>
      <c r="AV811" s="16">
        <f t="shared" si="269"/>
        <v>444.61524000000003</v>
      </c>
      <c r="AW811" s="16">
        <f t="shared" si="274"/>
        <v>0</v>
      </c>
      <c r="AX811" s="16" t="str">
        <f t="shared" si="282"/>
        <v>RAWSUR</v>
      </c>
      <c r="AY811" s="22">
        <v>45219</v>
      </c>
      <c r="BA811" s="1"/>
      <c r="BB811" s="22"/>
      <c r="BC811" s="1"/>
      <c r="BD811" s="1"/>
      <c r="BE811" s="1"/>
    </row>
    <row r="812" spans="1:57" ht="15.75" hidden="1" customHeight="1">
      <c r="A812" s="2" t="s">
        <v>871</v>
      </c>
      <c r="B812" s="1" t="s">
        <v>58</v>
      </c>
      <c r="C812" s="27">
        <v>44967</v>
      </c>
      <c r="D812" s="27">
        <v>45181</v>
      </c>
      <c r="E812" s="27">
        <v>45162</v>
      </c>
      <c r="F812" s="27">
        <v>45206</v>
      </c>
      <c r="G812" s="13" t="str">
        <f t="shared" si="279"/>
        <v>000-811/AIB RDC/2023</v>
      </c>
      <c r="H812" s="1">
        <v>0</v>
      </c>
      <c r="I812" s="1" t="s">
        <v>83</v>
      </c>
      <c r="J812" s="2" t="s">
        <v>1056</v>
      </c>
      <c r="K812" s="2" t="s">
        <v>1057</v>
      </c>
      <c r="L812" s="1"/>
      <c r="M812" s="1" t="s">
        <v>95</v>
      </c>
      <c r="N812" s="1" t="s">
        <v>644</v>
      </c>
      <c r="O812" s="1" t="s">
        <v>104</v>
      </c>
      <c r="P812" s="1" t="s">
        <v>105</v>
      </c>
      <c r="Q812" s="1" t="s">
        <v>76</v>
      </c>
      <c r="R812" s="1" t="s">
        <v>76</v>
      </c>
      <c r="S812" s="25">
        <v>4000</v>
      </c>
      <c r="T812" s="25">
        <v>65.599999999999994</v>
      </c>
      <c r="U812" s="25">
        <v>0</v>
      </c>
      <c r="V812" s="25">
        <v>0</v>
      </c>
      <c r="W812" s="25">
        <v>10</v>
      </c>
      <c r="X812" s="25">
        <v>25</v>
      </c>
      <c r="Y812" s="25">
        <v>5.6</v>
      </c>
      <c r="Z812" s="17">
        <f t="shared" si="270"/>
        <v>6.2500000000000003E-3</v>
      </c>
      <c r="AA812" s="18">
        <v>0.15</v>
      </c>
      <c r="AB812" s="16">
        <f t="shared" si="286"/>
        <v>3.75</v>
      </c>
      <c r="AC812" s="16">
        <v>0</v>
      </c>
      <c r="AD812" s="16">
        <v>0</v>
      </c>
      <c r="AE812" s="16">
        <v>0</v>
      </c>
      <c r="AF812" s="16">
        <f t="shared" si="271"/>
        <v>3.75</v>
      </c>
      <c r="AG812" s="16">
        <f t="shared" si="284"/>
        <v>0.6</v>
      </c>
      <c r="AH812" s="16">
        <f t="shared" si="272"/>
        <v>4.3499999999999996</v>
      </c>
      <c r="AI812" s="16">
        <f t="shared" si="285"/>
        <v>7.4999999999999997E-2</v>
      </c>
      <c r="AJ812" s="16">
        <v>0</v>
      </c>
      <c r="AK812" s="16">
        <f t="shared" si="273"/>
        <v>7.4999999999999997E-2</v>
      </c>
      <c r="AL812" s="19"/>
      <c r="AM812" s="16">
        <f t="shared" si="281"/>
        <v>3.6749999999999998</v>
      </c>
      <c r="AN812" s="16"/>
      <c r="AO812" s="20">
        <v>0</v>
      </c>
      <c r="AP812" s="16">
        <f t="shared" si="280"/>
        <v>0</v>
      </c>
      <c r="AQ812" s="16"/>
      <c r="AR812" s="15"/>
      <c r="AS812" s="16">
        <f t="shared" si="283"/>
        <v>0</v>
      </c>
      <c r="AT812" s="16"/>
      <c r="AU812" s="16">
        <v>4.3499999999999996</v>
      </c>
      <c r="AV812" s="16">
        <f t="shared" si="269"/>
        <v>4.3499999999999996</v>
      </c>
      <c r="AW812" s="16">
        <f t="shared" si="274"/>
        <v>0</v>
      </c>
      <c r="AX812" s="16" t="str">
        <f t="shared" si="282"/>
        <v>ACTIVA</v>
      </c>
      <c r="AY812" s="22">
        <v>45222</v>
      </c>
      <c r="BA812" s="1"/>
      <c r="BB812" s="22"/>
      <c r="BC812" s="1"/>
      <c r="BD812" s="1"/>
      <c r="BE812" s="1"/>
    </row>
    <row r="813" spans="1:57" ht="15.75" hidden="1" customHeight="1">
      <c r="A813" s="2" t="s">
        <v>784</v>
      </c>
      <c r="B813" s="1" t="s">
        <v>58</v>
      </c>
      <c r="C813" s="27">
        <v>45201</v>
      </c>
      <c r="D813" s="27">
        <v>45174</v>
      </c>
      <c r="E813" s="27">
        <v>45174</v>
      </c>
      <c r="F813" s="27">
        <v>45539</v>
      </c>
      <c r="G813" s="13" t="str">
        <f t="shared" si="279"/>
        <v>000-812/AIB RDC/2023</v>
      </c>
      <c r="H813" s="1">
        <v>0</v>
      </c>
      <c r="I813" s="1" t="s">
        <v>83</v>
      </c>
      <c r="J813" s="2" t="s">
        <v>1058</v>
      </c>
      <c r="K813" s="2" t="s">
        <v>197</v>
      </c>
      <c r="L813" s="1"/>
      <c r="M813" s="1" t="s">
        <v>95</v>
      </c>
      <c r="N813" s="1" t="s">
        <v>836</v>
      </c>
      <c r="O813" s="1" t="s">
        <v>104</v>
      </c>
      <c r="P813" s="1" t="s">
        <v>105</v>
      </c>
      <c r="Q813" s="1" t="s">
        <v>135</v>
      </c>
      <c r="R813" s="1" t="s">
        <v>135</v>
      </c>
      <c r="S813" s="25">
        <v>269147.2</v>
      </c>
      <c r="T813" s="25">
        <v>1702.25</v>
      </c>
      <c r="U813" s="25">
        <v>0</v>
      </c>
      <c r="V813" s="25">
        <v>0</v>
      </c>
      <c r="W813" s="25">
        <v>333</v>
      </c>
      <c r="X813" s="25">
        <v>1109.58</v>
      </c>
      <c r="Y813" s="25">
        <v>280.31</v>
      </c>
      <c r="Z813" s="17">
        <f t="shared" si="270"/>
        <v>4.1225767906929731E-3</v>
      </c>
      <c r="AA813" s="18">
        <v>0.15</v>
      </c>
      <c r="AB813" s="16">
        <f t="shared" si="286"/>
        <v>166.43699999999998</v>
      </c>
      <c r="AC813" s="16">
        <v>0</v>
      </c>
      <c r="AD813" s="16">
        <v>0</v>
      </c>
      <c r="AE813" s="16">
        <v>0</v>
      </c>
      <c r="AF813" s="16">
        <f t="shared" si="271"/>
        <v>166.43699999999998</v>
      </c>
      <c r="AG813" s="16">
        <f t="shared" si="284"/>
        <v>26.629919999999998</v>
      </c>
      <c r="AH813" s="16">
        <f t="shared" si="272"/>
        <v>193.06691999999998</v>
      </c>
      <c r="AI813" s="16">
        <f t="shared" si="285"/>
        <v>3.3287399999999998</v>
      </c>
      <c r="AJ813" s="16">
        <v>0</v>
      </c>
      <c r="AK813" s="16">
        <f t="shared" si="273"/>
        <v>3.3287399999999998</v>
      </c>
      <c r="AL813" s="19"/>
      <c r="AM813" s="16">
        <f t="shared" si="281"/>
        <v>163.10825999999997</v>
      </c>
      <c r="AN813" s="16" t="s">
        <v>147</v>
      </c>
      <c r="AO813" s="20">
        <v>0.4</v>
      </c>
      <c r="AP813" s="16">
        <f t="shared" si="280"/>
        <v>65.243303999999995</v>
      </c>
      <c r="AQ813" s="16"/>
      <c r="AR813" s="15"/>
      <c r="AS813" s="16">
        <f t="shared" si="283"/>
        <v>65.243303999999995</v>
      </c>
      <c r="AT813" s="16"/>
      <c r="AU813" s="16">
        <v>193.06691999999998</v>
      </c>
      <c r="AV813" s="16">
        <f t="shared" si="269"/>
        <v>193.06691999999998</v>
      </c>
      <c r="AW813" s="16">
        <f t="shared" si="274"/>
        <v>0</v>
      </c>
      <c r="AX813" s="16" t="str">
        <f t="shared" si="282"/>
        <v>RAWSUR</v>
      </c>
      <c r="AY813" s="22">
        <v>45219</v>
      </c>
      <c r="BA813" s="1"/>
      <c r="BB813" s="22"/>
      <c r="BC813" s="1"/>
      <c r="BD813" s="1"/>
      <c r="BE813" s="1"/>
    </row>
    <row r="814" spans="1:57" ht="15.75" hidden="1" customHeight="1">
      <c r="A814" s="2" t="s">
        <v>784</v>
      </c>
      <c r="B814" s="1" t="s">
        <v>58</v>
      </c>
      <c r="C814" s="27">
        <v>45201</v>
      </c>
      <c r="D814" s="27">
        <v>45176</v>
      </c>
      <c r="E814" s="27">
        <v>45176</v>
      </c>
      <c r="F814" s="27">
        <v>45541</v>
      </c>
      <c r="G814" s="13" t="str">
        <f t="shared" si="279"/>
        <v>000-813/AIB RDC/2023</v>
      </c>
      <c r="H814" s="1">
        <v>0</v>
      </c>
      <c r="I814" s="1" t="s">
        <v>83</v>
      </c>
      <c r="J814" s="2" t="s">
        <v>1059</v>
      </c>
      <c r="K814" s="2" t="s">
        <v>197</v>
      </c>
      <c r="L814" s="1"/>
      <c r="M814" s="1" t="s">
        <v>95</v>
      </c>
      <c r="N814" s="1" t="s">
        <v>836</v>
      </c>
      <c r="O814" s="1" t="s">
        <v>104</v>
      </c>
      <c r="P814" s="1" t="s">
        <v>105</v>
      </c>
      <c r="Q814" s="1" t="s">
        <v>135</v>
      </c>
      <c r="R814" s="1" t="s">
        <v>135</v>
      </c>
      <c r="S814" s="25">
        <v>204301.48</v>
      </c>
      <c r="T814" s="25">
        <v>1349.83</v>
      </c>
      <c r="U814" s="25">
        <v>0</v>
      </c>
      <c r="V814" s="25">
        <v>0</v>
      </c>
      <c r="W814" s="25">
        <v>259</v>
      </c>
      <c r="X814" s="25">
        <v>854.02</v>
      </c>
      <c r="Y814" s="25">
        <v>183.03</v>
      </c>
      <c r="Z814" s="17">
        <f t="shared" si="270"/>
        <v>4.1801948767086752E-3</v>
      </c>
      <c r="AA814" s="18">
        <v>0.15</v>
      </c>
      <c r="AB814" s="16">
        <f t="shared" si="286"/>
        <v>128.10299999999998</v>
      </c>
      <c r="AC814" s="16">
        <v>0</v>
      </c>
      <c r="AD814" s="16">
        <v>0</v>
      </c>
      <c r="AE814" s="16">
        <v>0</v>
      </c>
      <c r="AF814" s="16">
        <f t="shared" si="271"/>
        <v>128.10299999999998</v>
      </c>
      <c r="AG814" s="16">
        <f t="shared" si="284"/>
        <v>20.496479999999998</v>
      </c>
      <c r="AH814" s="16">
        <f t="shared" si="272"/>
        <v>148.59947999999997</v>
      </c>
      <c r="AI814" s="16">
        <f t="shared" si="285"/>
        <v>2.5620599999999998</v>
      </c>
      <c r="AJ814" s="16">
        <v>0</v>
      </c>
      <c r="AK814" s="16">
        <f t="shared" si="273"/>
        <v>2.5620599999999998</v>
      </c>
      <c r="AL814" s="19"/>
      <c r="AM814" s="16">
        <f t="shared" si="281"/>
        <v>125.54093999999998</v>
      </c>
      <c r="AN814" s="16" t="s">
        <v>147</v>
      </c>
      <c r="AO814" s="20">
        <v>0.4</v>
      </c>
      <c r="AP814" s="16">
        <f t="shared" si="280"/>
        <v>50.216375999999997</v>
      </c>
      <c r="AQ814" s="16"/>
      <c r="AR814" s="15"/>
      <c r="AS814" s="16">
        <f t="shared" si="283"/>
        <v>50.216375999999997</v>
      </c>
      <c r="AT814" s="16"/>
      <c r="AU814" s="16">
        <v>148.59947999999997</v>
      </c>
      <c r="AV814" s="16">
        <f t="shared" si="269"/>
        <v>148.59947999999997</v>
      </c>
      <c r="AW814" s="16">
        <f t="shared" si="274"/>
        <v>0</v>
      </c>
      <c r="AX814" s="16" t="str">
        <f t="shared" si="282"/>
        <v>RAWSUR</v>
      </c>
      <c r="AY814" s="22">
        <v>45219</v>
      </c>
      <c r="BA814" s="1"/>
      <c r="BB814" s="22"/>
      <c r="BC814" s="1"/>
      <c r="BD814" s="1"/>
      <c r="BE814" s="1"/>
    </row>
    <row r="815" spans="1:57" ht="15.75" hidden="1" customHeight="1">
      <c r="A815" s="2" t="s">
        <v>784</v>
      </c>
      <c r="B815" s="1" t="s">
        <v>58</v>
      </c>
      <c r="C815" s="27">
        <v>45201</v>
      </c>
      <c r="D815" s="27">
        <v>45176</v>
      </c>
      <c r="E815" s="27">
        <v>45176</v>
      </c>
      <c r="F815" s="27">
        <v>45541</v>
      </c>
      <c r="G815" s="13" t="str">
        <f t="shared" si="279"/>
        <v>000-814/AIB RDC/2023</v>
      </c>
      <c r="H815" s="1">
        <v>0</v>
      </c>
      <c r="I815" s="1" t="s">
        <v>83</v>
      </c>
      <c r="J815" s="2" t="s">
        <v>1060</v>
      </c>
      <c r="K815" s="2" t="s">
        <v>197</v>
      </c>
      <c r="L815" s="1"/>
      <c r="M815" s="1" t="s">
        <v>95</v>
      </c>
      <c r="N815" s="1" t="s">
        <v>836</v>
      </c>
      <c r="O815" s="1" t="s">
        <v>104</v>
      </c>
      <c r="P815" s="1" t="s">
        <v>105</v>
      </c>
      <c r="Q815" s="1" t="s">
        <v>135</v>
      </c>
      <c r="R815" s="1" t="s">
        <v>135</v>
      </c>
      <c r="S815" s="25">
        <v>525947.92000000004</v>
      </c>
      <c r="T815" s="25">
        <v>3068.93</v>
      </c>
      <c r="U815" s="25">
        <v>0</v>
      </c>
      <c r="V815" s="25">
        <v>0</v>
      </c>
      <c r="W815" s="25">
        <v>481</v>
      </c>
      <c r="X815" s="25">
        <v>2119.79</v>
      </c>
      <c r="Y815" s="25">
        <v>416.13</v>
      </c>
      <c r="Z815" s="17">
        <f t="shared" si="270"/>
        <v>4.0304180687700027E-3</v>
      </c>
      <c r="AA815" s="18">
        <v>0.15</v>
      </c>
      <c r="AB815" s="16">
        <f t="shared" si="286"/>
        <v>317.96850000000001</v>
      </c>
      <c r="AC815" s="16">
        <v>0</v>
      </c>
      <c r="AD815" s="16">
        <v>0</v>
      </c>
      <c r="AE815" s="16">
        <v>0</v>
      </c>
      <c r="AF815" s="16">
        <f t="shared" si="271"/>
        <v>317.96850000000001</v>
      </c>
      <c r="AG815" s="16">
        <f t="shared" si="284"/>
        <v>50.874960000000002</v>
      </c>
      <c r="AH815" s="16">
        <f t="shared" si="272"/>
        <v>368.84345999999999</v>
      </c>
      <c r="AI815" s="16">
        <f t="shared" si="285"/>
        <v>6.3593700000000002</v>
      </c>
      <c r="AJ815" s="16">
        <v>0</v>
      </c>
      <c r="AK815" s="16">
        <f t="shared" si="273"/>
        <v>6.3593700000000002</v>
      </c>
      <c r="AL815" s="19"/>
      <c r="AM815" s="16">
        <f t="shared" si="281"/>
        <v>311.60912999999999</v>
      </c>
      <c r="AN815" s="16" t="s">
        <v>147</v>
      </c>
      <c r="AO815" s="20">
        <v>0.4</v>
      </c>
      <c r="AP815" s="16">
        <f t="shared" si="280"/>
        <v>124.643652</v>
      </c>
      <c r="AQ815" s="16"/>
      <c r="AR815" s="15"/>
      <c r="AS815" s="16">
        <f t="shared" si="283"/>
        <v>124.643652</v>
      </c>
      <c r="AT815" s="16"/>
      <c r="AU815" s="16">
        <v>368.84345999999999</v>
      </c>
      <c r="AV815" s="16">
        <f t="shared" si="269"/>
        <v>368.84345999999999</v>
      </c>
      <c r="AW815" s="16">
        <f t="shared" si="274"/>
        <v>0</v>
      </c>
      <c r="AX815" s="16" t="str">
        <f t="shared" si="282"/>
        <v>RAWSUR</v>
      </c>
      <c r="AY815" s="22">
        <v>45219</v>
      </c>
      <c r="BA815" s="1"/>
      <c r="BB815" s="22"/>
      <c r="BC815" s="1"/>
      <c r="BD815" s="1"/>
      <c r="BE815" s="1"/>
    </row>
    <row r="816" spans="1:57" ht="15.75" hidden="1" customHeight="1">
      <c r="A816" s="2" t="s">
        <v>784</v>
      </c>
      <c r="B816" s="1" t="s">
        <v>58</v>
      </c>
      <c r="C816" s="27">
        <v>45201</v>
      </c>
      <c r="D816" s="27">
        <v>45176</v>
      </c>
      <c r="E816" s="27">
        <v>45176</v>
      </c>
      <c r="F816" s="27">
        <v>45541</v>
      </c>
      <c r="G816" s="13" t="str">
        <f t="shared" si="279"/>
        <v>000-815/AIB RDC/2023</v>
      </c>
      <c r="H816" s="1">
        <v>0</v>
      </c>
      <c r="I816" s="1" t="s">
        <v>83</v>
      </c>
      <c r="J816" s="2" t="s">
        <v>1061</v>
      </c>
      <c r="K816" s="2" t="s">
        <v>197</v>
      </c>
      <c r="L816" s="1"/>
      <c r="M816" s="1" t="s">
        <v>95</v>
      </c>
      <c r="N816" s="1" t="s">
        <v>836</v>
      </c>
      <c r="O816" s="1" t="s">
        <v>104</v>
      </c>
      <c r="P816" s="1" t="s">
        <v>105</v>
      </c>
      <c r="Q816" s="1" t="s">
        <v>135</v>
      </c>
      <c r="R816" s="1" t="s">
        <v>135</v>
      </c>
      <c r="S816" s="25">
        <v>265752</v>
      </c>
      <c r="T816" s="25">
        <v>1642.75</v>
      </c>
      <c r="U816" s="25">
        <v>0</v>
      </c>
      <c r="V816" s="25">
        <v>0</v>
      </c>
      <c r="W816" s="25">
        <v>296</v>
      </c>
      <c r="X816" s="25">
        <v>1096.1600000000001</v>
      </c>
      <c r="Y816" s="25">
        <v>222.76</v>
      </c>
      <c r="Z816" s="17">
        <f t="shared" si="270"/>
        <v>4.1247478852463951E-3</v>
      </c>
      <c r="AA816" s="18">
        <v>0.15</v>
      </c>
      <c r="AB816" s="16">
        <f t="shared" si="286"/>
        <v>164.42400000000001</v>
      </c>
      <c r="AC816" s="16">
        <v>0</v>
      </c>
      <c r="AD816" s="16">
        <v>0</v>
      </c>
      <c r="AE816" s="16">
        <v>0</v>
      </c>
      <c r="AF816" s="16">
        <f t="shared" si="271"/>
        <v>164.42400000000001</v>
      </c>
      <c r="AG816" s="16">
        <f t="shared" si="284"/>
        <v>26.307840000000002</v>
      </c>
      <c r="AH816" s="16">
        <f t="shared" si="272"/>
        <v>190.73184000000001</v>
      </c>
      <c r="AI816" s="16">
        <f t="shared" si="285"/>
        <v>3.2884800000000003</v>
      </c>
      <c r="AJ816" s="16">
        <v>0</v>
      </c>
      <c r="AK816" s="16">
        <f t="shared" si="273"/>
        <v>3.2884800000000003</v>
      </c>
      <c r="AL816" s="19"/>
      <c r="AM816" s="16">
        <f t="shared" si="281"/>
        <v>161.13552000000001</v>
      </c>
      <c r="AN816" s="16" t="s">
        <v>147</v>
      </c>
      <c r="AO816" s="20">
        <v>0.4</v>
      </c>
      <c r="AP816" s="16">
        <f t="shared" si="280"/>
        <v>64.454208000000008</v>
      </c>
      <c r="AQ816" s="16"/>
      <c r="AR816" s="15"/>
      <c r="AS816" s="16">
        <f t="shared" si="283"/>
        <v>64.454208000000008</v>
      </c>
      <c r="AT816" s="16"/>
      <c r="AU816" s="16">
        <v>190.73184000000001</v>
      </c>
      <c r="AV816" s="16">
        <f t="shared" si="269"/>
        <v>190.73184000000001</v>
      </c>
      <c r="AW816" s="16">
        <f t="shared" si="274"/>
        <v>0</v>
      </c>
      <c r="AX816" s="16" t="str">
        <f t="shared" si="282"/>
        <v>RAWSUR</v>
      </c>
      <c r="AY816" s="22">
        <v>45219</v>
      </c>
      <c r="BA816" s="1"/>
      <c r="BB816" s="22"/>
      <c r="BC816" s="1"/>
      <c r="BD816" s="1"/>
      <c r="BE816" s="1"/>
    </row>
    <row r="817" spans="1:57" ht="15.75" hidden="1" customHeight="1">
      <c r="A817" s="2" t="s">
        <v>784</v>
      </c>
      <c r="B817" s="1" t="s">
        <v>58</v>
      </c>
      <c r="C817" s="27">
        <v>45201</v>
      </c>
      <c r="D817" s="27">
        <v>45177</v>
      </c>
      <c r="E817" s="27">
        <v>45177</v>
      </c>
      <c r="F817" s="27">
        <v>45542</v>
      </c>
      <c r="G817" s="13" t="str">
        <f t="shared" si="279"/>
        <v>000-816/AIB RDC/2023</v>
      </c>
      <c r="H817" s="1">
        <v>0</v>
      </c>
      <c r="I817" s="1" t="s">
        <v>83</v>
      </c>
      <c r="J817" s="2" t="s">
        <v>1062</v>
      </c>
      <c r="K817" s="2" t="s">
        <v>197</v>
      </c>
      <c r="L817" s="1"/>
      <c r="M817" s="1" t="s">
        <v>95</v>
      </c>
      <c r="N817" s="1" t="s">
        <v>836</v>
      </c>
      <c r="O817" s="1" t="s">
        <v>104</v>
      </c>
      <c r="P817" s="1" t="s">
        <v>105</v>
      </c>
      <c r="Q817" s="1" t="s">
        <v>135</v>
      </c>
      <c r="R817" s="1" t="s">
        <v>135</v>
      </c>
      <c r="S817" s="25">
        <v>544779.68000000005</v>
      </c>
      <c r="T817" s="25">
        <v>3099.17</v>
      </c>
      <c r="U817" s="25">
        <v>0</v>
      </c>
      <c r="V817" s="25">
        <v>0</v>
      </c>
      <c r="W817" s="25">
        <v>370</v>
      </c>
      <c r="X817" s="25">
        <v>2256.44</v>
      </c>
      <c r="Y817" s="25">
        <v>420.23</v>
      </c>
      <c r="Z817" s="17">
        <f t="shared" si="270"/>
        <v>4.1419312849554149E-3</v>
      </c>
      <c r="AA817" s="18">
        <v>0.15</v>
      </c>
      <c r="AB817" s="16">
        <f t="shared" si="286"/>
        <v>338.46600000000001</v>
      </c>
      <c r="AC817" s="16">
        <v>0</v>
      </c>
      <c r="AD817" s="16">
        <v>0</v>
      </c>
      <c r="AE817" s="16">
        <v>0</v>
      </c>
      <c r="AF817" s="16">
        <f t="shared" si="271"/>
        <v>338.46600000000001</v>
      </c>
      <c r="AG817" s="16">
        <f t="shared" si="284"/>
        <v>54.154560000000004</v>
      </c>
      <c r="AH817" s="16">
        <f t="shared" si="272"/>
        <v>392.62056000000001</v>
      </c>
      <c r="AI817" s="16">
        <f t="shared" si="285"/>
        <v>6.7693200000000004</v>
      </c>
      <c r="AJ817" s="16">
        <v>0</v>
      </c>
      <c r="AK817" s="16">
        <f t="shared" si="273"/>
        <v>6.7693200000000004</v>
      </c>
      <c r="AL817" s="19"/>
      <c r="AM817" s="16">
        <f t="shared" si="281"/>
        <v>331.69668000000001</v>
      </c>
      <c r="AN817" s="16" t="s">
        <v>147</v>
      </c>
      <c r="AO817" s="20">
        <v>0.4</v>
      </c>
      <c r="AP817" s="16">
        <f t="shared" si="280"/>
        <v>132.67867200000001</v>
      </c>
      <c r="AQ817" s="16"/>
      <c r="AR817" s="15"/>
      <c r="AS817" s="16">
        <f t="shared" si="283"/>
        <v>132.67867200000001</v>
      </c>
      <c r="AT817" s="16"/>
      <c r="AU817" s="16">
        <v>392.62056000000001</v>
      </c>
      <c r="AV817" s="16">
        <f t="shared" si="269"/>
        <v>392.62056000000001</v>
      </c>
      <c r="AW817" s="16">
        <f t="shared" si="274"/>
        <v>0</v>
      </c>
      <c r="AX817" s="16" t="str">
        <f t="shared" si="282"/>
        <v>RAWSUR</v>
      </c>
      <c r="AY817" s="22">
        <v>45219</v>
      </c>
      <c r="BA817" s="1"/>
      <c r="BB817" s="22"/>
      <c r="BC817" s="1"/>
      <c r="BD817" s="1"/>
      <c r="BE817" s="1"/>
    </row>
    <row r="818" spans="1:57" ht="15.75" customHeight="1">
      <c r="A818" s="2" t="s">
        <v>212</v>
      </c>
      <c r="B818" s="1" t="s">
        <v>169</v>
      </c>
      <c r="C818" s="27">
        <v>45201</v>
      </c>
      <c r="D818" s="27">
        <v>45197</v>
      </c>
      <c r="E818" s="27">
        <v>45093</v>
      </c>
      <c r="F818" s="27">
        <v>45457</v>
      </c>
      <c r="G818" s="13" t="str">
        <f t="shared" si="279"/>
        <v>000-817/AIB RDC/2023</v>
      </c>
      <c r="H818" s="1">
        <v>0</v>
      </c>
      <c r="I818" s="1" t="s">
        <v>83</v>
      </c>
      <c r="J818" s="2" t="s">
        <v>1063</v>
      </c>
      <c r="K818" s="2" t="s">
        <v>209</v>
      </c>
      <c r="L818" s="1"/>
      <c r="M818" s="1" t="s">
        <v>95</v>
      </c>
      <c r="N818" s="1" t="s">
        <v>644</v>
      </c>
      <c r="O818" s="1" t="s">
        <v>104</v>
      </c>
      <c r="P818" s="1" t="s">
        <v>105</v>
      </c>
      <c r="Q818" s="1" t="s">
        <v>66</v>
      </c>
      <c r="R818" s="1" t="s">
        <v>66</v>
      </c>
      <c r="S818" s="25">
        <v>14200</v>
      </c>
      <c r="T818" s="25">
        <v>63.55</v>
      </c>
      <c r="U818" s="25">
        <v>0</v>
      </c>
      <c r="V818" s="25">
        <v>0</v>
      </c>
      <c r="W818" s="25">
        <v>6.65</v>
      </c>
      <c r="X818" s="25">
        <v>26.58</v>
      </c>
      <c r="Y818" s="25">
        <v>5.32</v>
      </c>
      <c r="Z818" s="17">
        <f t="shared" si="270"/>
        <v>1.8718309859154928E-3</v>
      </c>
      <c r="AA818" s="18">
        <v>0.15</v>
      </c>
      <c r="AB818" s="16">
        <f t="shared" si="286"/>
        <v>3.9869999999999997</v>
      </c>
      <c r="AC818" s="16">
        <v>0</v>
      </c>
      <c r="AD818" s="16">
        <v>0</v>
      </c>
      <c r="AE818" s="16">
        <v>0</v>
      </c>
      <c r="AF818" s="16">
        <f t="shared" si="271"/>
        <v>3.9869999999999997</v>
      </c>
      <c r="AG818" s="16">
        <f t="shared" si="284"/>
        <v>0.63791999999999993</v>
      </c>
      <c r="AH818" s="16">
        <f t="shared" si="272"/>
        <v>4.6249199999999995</v>
      </c>
      <c r="AI818" s="16">
        <f t="shared" si="285"/>
        <v>7.9739999999999991E-2</v>
      </c>
      <c r="AJ818" s="16">
        <v>0</v>
      </c>
      <c r="AK818" s="16">
        <f t="shared" si="273"/>
        <v>7.9739999999999991E-2</v>
      </c>
      <c r="AL818" s="19"/>
      <c r="AM818" s="16">
        <f t="shared" si="281"/>
        <v>3.9072599999999995</v>
      </c>
      <c r="AN818" s="16" t="s">
        <v>147</v>
      </c>
      <c r="AO818" s="20">
        <v>0.4</v>
      </c>
      <c r="AP818" s="16">
        <f t="shared" si="280"/>
        <v>1.5629039999999998</v>
      </c>
      <c r="AQ818" s="16"/>
      <c r="AR818" s="15"/>
      <c r="AS818" s="16">
        <f t="shared" si="283"/>
        <v>1.5629039999999998</v>
      </c>
      <c r="AT818" s="16"/>
      <c r="AU818" s="16"/>
      <c r="AV818" s="16">
        <f t="shared" si="269"/>
        <v>4.6249199999999995</v>
      </c>
      <c r="AW818" s="60">
        <f t="shared" si="274"/>
        <v>4.6249199999999995</v>
      </c>
      <c r="AX818" s="16" t="str">
        <f t="shared" si="282"/>
        <v>SFA</v>
      </c>
      <c r="AY818" s="22"/>
      <c r="BA818" s="1" t="s">
        <v>148</v>
      </c>
      <c r="BB818" s="22" t="str">
        <f>O818</f>
        <v>MARINE CARGO / GIT</v>
      </c>
      <c r="BC818" s="1"/>
      <c r="BD818" s="1"/>
      <c r="BE818" s="1"/>
    </row>
    <row r="819" spans="1:57" ht="15.75" hidden="1" customHeight="1">
      <c r="A819" s="2" t="s">
        <v>784</v>
      </c>
      <c r="B819" s="1" t="s">
        <v>58</v>
      </c>
      <c r="C819" s="27">
        <v>45202</v>
      </c>
      <c r="D819" s="27">
        <v>45182</v>
      </c>
      <c r="E819" s="27">
        <v>45177</v>
      </c>
      <c r="F819" s="27">
        <v>45237</v>
      </c>
      <c r="G819" s="13" t="str">
        <f t="shared" si="279"/>
        <v>000-818/AIB RDC/2023</v>
      </c>
      <c r="H819" s="1">
        <v>0</v>
      </c>
      <c r="I819" s="1" t="s">
        <v>83</v>
      </c>
      <c r="J819" s="2" t="s">
        <v>1064</v>
      </c>
      <c r="K819" s="2" t="s">
        <v>1047</v>
      </c>
      <c r="L819" s="1"/>
      <c r="M819" s="1" t="s">
        <v>95</v>
      </c>
      <c r="N819" s="1" t="s">
        <v>644</v>
      </c>
      <c r="O819" s="1" t="s">
        <v>104</v>
      </c>
      <c r="P819" s="1" t="s">
        <v>105</v>
      </c>
      <c r="Q819" s="1" t="s">
        <v>135</v>
      </c>
      <c r="R819" s="1" t="s">
        <v>135</v>
      </c>
      <c r="S819" s="25">
        <v>624507</v>
      </c>
      <c r="T819" s="25">
        <v>2622.87</v>
      </c>
      <c r="U819" s="25">
        <v>0</v>
      </c>
      <c r="V819" s="25">
        <v>0</v>
      </c>
      <c r="W819" s="25">
        <v>37</v>
      </c>
      <c r="X819" s="25">
        <v>2185.77</v>
      </c>
      <c r="Y819" s="25">
        <v>355.64</v>
      </c>
      <c r="Z819" s="17">
        <f t="shared" si="270"/>
        <v>3.4999927943161566E-3</v>
      </c>
      <c r="AA819" s="18">
        <v>0.15</v>
      </c>
      <c r="AB819" s="16">
        <f t="shared" si="286"/>
        <v>327.8655</v>
      </c>
      <c r="AC819" s="16">
        <v>0</v>
      </c>
      <c r="AD819" s="16">
        <v>0</v>
      </c>
      <c r="AE819" s="16">
        <v>0</v>
      </c>
      <c r="AF819" s="16">
        <f t="shared" si="271"/>
        <v>327.8655</v>
      </c>
      <c r="AG819" s="16">
        <f t="shared" si="284"/>
        <v>52.458480000000002</v>
      </c>
      <c r="AH819" s="16">
        <f t="shared" si="272"/>
        <v>380.32398000000001</v>
      </c>
      <c r="AI819" s="16">
        <f t="shared" si="285"/>
        <v>6.5573100000000002</v>
      </c>
      <c r="AJ819" s="16">
        <v>0</v>
      </c>
      <c r="AK819" s="16">
        <f t="shared" si="273"/>
        <v>6.5573100000000002</v>
      </c>
      <c r="AL819" s="19"/>
      <c r="AM819" s="16">
        <f t="shared" si="281"/>
        <v>321.30819000000002</v>
      </c>
      <c r="AN819" s="16" t="s">
        <v>147</v>
      </c>
      <c r="AO819" s="20">
        <v>0.4</v>
      </c>
      <c r="AP819" s="16">
        <f t="shared" si="280"/>
        <v>128.52327600000001</v>
      </c>
      <c r="AQ819" s="16"/>
      <c r="AR819" s="15"/>
      <c r="AS819" s="16">
        <f t="shared" si="283"/>
        <v>128.52327600000001</v>
      </c>
      <c r="AT819" s="16"/>
      <c r="AU819" s="16">
        <v>380.32398000000001</v>
      </c>
      <c r="AV819" s="16">
        <f t="shared" si="269"/>
        <v>380.32398000000001</v>
      </c>
      <c r="AW819" s="16">
        <f t="shared" si="274"/>
        <v>0</v>
      </c>
      <c r="AX819" s="16" t="str">
        <f t="shared" si="282"/>
        <v>RAWSUR</v>
      </c>
      <c r="AY819" s="22">
        <v>45219</v>
      </c>
      <c r="BA819" s="1"/>
      <c r="BB819" s="22"/>
      <c r="BC819" s="1"/>
      <c r="BD819" s="1"/>
      <c r="BE819" s="1"/>
    </row>
    <row r="820" spans="1:57" ht="15.75" hidden="1" customHeight="1">
      <c r="A820" s="2" t="s">
        <v>770</v>
      </c>
      <c r="B820" s="1" t="s">
        <v>58</v>
      </c>
      <c r="C820" s="27">
        <v>45202</v>
      </c>
      <c r="D820" s="27">
        <v>45177</v>
      </c>
      <c r="E820" s="27">
        <v>45177</v>
      </c>
      <c r="F820" s="27">
        <v>45267</v>
      </c>
      <c r="G820" s="13" t="str">
        <f t="shared" si="279"/>
        <v>000-819/AIB RDC/2023</v>
      </c>
      <c r="H820" s="1">
        <v>0</v>
      </c>
      <c r="I820" s="1" t="s">
        <v>83</v>
      </c>
      <c r="J820" s="2" t="s">
        <v>1065</v>
      </c>
      <c r="K820" s="2" t="s">
        <v>1047</v>
      </c>
      <c r="L820" s="1"/>
      <c r="M820" s="1" t="s">
        <v>95</v>
      </c>
      <c r="N820" s="1" t="s">
        <v>644</v>
      </c>
      <c r="O820" s="1" t="s">
        <v>104</v>
      </c>
      <c r="P820" s="1" t="s">
        <v>105</v>
      </c>
      <c r="Q820" s="1" t="s">
        <v>135</v>
      </c>
      <c r="R820" s="1" t="s">
        <v>135</v>
      </c>
      <c r="S820" s="25">
        <v>1107158</v>
      </c>
      <c r="T820" s="25">
        <v>3963</v>
      </c>
      <c r="U820" s="25">
        <v>0</v>
      </c>
      <c r="V820" s="25">
        <v>0</v>
      </c>
      <c r="W820" s="25">
        <v>37</v>
      </c>
      <c r="X820" s="25">
        <v>3321.47</v>
      </c>
      <c r="Y820" s="25">
        <v>537.36</v>
      </c>
      <c r="Z820" s="17">
        <f t="shared" si="270"/>
        <v>2.9999963871461884E-3</v>
      </c>
      <c r="AA820" s="18">
        <v>0.15</v>
      </c>
      <c r="AB820" s="16">
        <f t="shared" si="286"/>
        <v>498.22049999999996</v>
      </c>
      <c r="AC820" s="16">
        <v>0</v>
      </c>
      <c r="AD820" s="16">
        <v>0</v>
      </c>
      <c r="AE820" s="16">
        <v>0</v>
      </c>
      <c r="AF820" s="16">
        <f t="shared" si="271"/>
        <v>498.22049999999996</v>
      </c>
      <c r="AG820" s="16">
        <f t="shared" si="284"/>
        <v>79.715279999999993</v>
      </c>
      <c r="AH820" s="16">
        <f t="shared" si="272"/>
        <v>577.93577999999991</v>
      </c>
      <c r="AI820" s="16">
        <f t="shared" si="285"/>
        <v>9.9644099999999991</v>
      </c>
      <c r="AJ820" s="16">
        <v>0</v>
      </c>
      <c r="AK820" s="16">
        <f t="shared" si="273"/>
        <v>9.9644099999999991</v>
      </c>
      <c r="AL820" s="19"/>
      <c r="AM820" s="16">
        <f t="shared" si="281"/>
        <v>488.25608999999997</v>
      </c>
      <c r="AN820" s="16" t="s">
        <v>147</v>
      </c>
      <c r="AO820" s="20">
        <v>0.4</v>
      </c>
      <c r="AP820" s="16">
        <f t="shared" si="280"/>
        <v>195.302436</v>
      </c>
      <c r="AQ820" s="16"/>
      <c r="AR820" s="15"/>
      <c r="AS820" s="16">
        <f t="shared" si="283"/>
        <v>195.302436</v>
      </c>
      <c r="AT820" s="16"/>
      <c r="AU820" s="16">
        <v>577.93577999999991</v>
      </c>
      <c r="AV820" s="16">
        <f t="shared" si="269"/>
        <v>577.93577999999991</v>
      </c>
      <c r="AW820" s="16">
        <f t="shared" si="274"/>
        <v>0</v>
      </c>
      <c r="AX820" s="16" t="str">
        <f t="shared" si="282"/>
        <v>RAWSUR</v>
      </c>
      <c r="AY820" s="22">
        <v>45219</v>
      </c>
      <c r="BA820" s="1"/>
      <c r="BB820" s="22"/>
      <c r="BC820" s="1"/>
      <c r="BD820" s="1"/>
      <c r="BE820" s="1"/>
    </row>
    <row r="821" spans="1:57" ht="15.75" hidden="1" customHeight="1">
      <c r="A821" s="2" t="s">
        <v>784</v>
      </c>
      <c r="B821" s="1" t="s">
        <v>58</v>
      </c>
      <c r="C821" s="27">
        <v>45202</v>
      </c>
      <c r="D821" s="27">
        <v>45176</v>
      </c>
      <c r="E821" s="27">
        <v>45176</v>
      </c>
      <c r="F821" s="27">
        <v>45236</v>
      </c>
      <c r="G821" s="13" t="str">
        <f t="shared" si="279"/>
        <v>000-820/AIB RDC/2023</v>
      </c>
      <c r="H821" s="1">
        <v>0</v>
      </c>
      <c r="I821" s="1" t="s">
        <v>83</v>
      </c>
      <c r="J821" s="2" t="s">
        <v>1066</v>
      </c>
      <c r="K821" s="2" t="s">
        <v>1067</v>
      </c>
      <c r="L821" s="1"/>
      <c r="M821" s="1" t="s">
        <v>95</v>
      </c>
      <c r="N821" s="1" t="s">
        <v>644</v>
      </c>
      <c r="O821" s="1" t="s">
        <v>104</v>
      </c>
      <c r="P821" s="1" t="s">
        <v>105</v>
      </c>
      <c r="Q821" s="1" t="s">
        <v>135</v>
      </c>
      <c r="R821" s="1" t="s">
        <v>135</v>
      </c>
      <c r="S821" s="25">
        <v>288605</v>
      </c>
      <c r="T821" s="25">
        <v>1863.31</v>
      </c>
      <c r="U821" s="25">
        <v>0</v>
      </c>
      <c r="V821" s="25">
        <v>0</v>
      </c>
      <c r="W821" s="25">
        <v>407</v>
      </c>
      <c r="X821" s="25">
        <v>1172.07</v>
      </c>
      <c r="Y821" s="25">
        <v>252.67</v>
      </c>
      <c r="Z821" s="17">
        <f t="shared" si="270"/>
        <v>4.0611562516241918E-3</v>
      </c>
      <c r="AA821" s="18">
        <v>0.15</v>
      </c>
      <c r="AB821" s="16">
        <f t="shared" si="286"/>
        <v>175.81049999999999</v>
      </c>
      <c r="AC821" s="16">
        <v>0</v>
      </c>
      <c r="AD821" s="16">
        <v>0</v>
      </c>
      <c r="AE821" s="16">
        <v>0</v>
      </c>
      <c r="AF821" s="16">
        <f t="shared" si="271"/>
        <v>175.81049999999999</v>
      </c>
      <c r="AG821" s="16">
        <f t="shared" si="284"/>
        <v>28.12968</v>
      </c>
      <c r="AH821" s="16">
        <f t="shared" si="272"/>
        <v>203.94018</v>
      </c>
      <c r="AI821" s="16">
        <f t="shared" si="285"/>
        <v>3.5162100000000001</v>
      </c>
      <c r="AJ821" s="16">
        <v>0</v>
      </c>
      <c r="AK821" s="16">
        <f t="shared" si="273"/>
        <v>3.5162100000000001</v>
      </c>
      <c r="AL821" s="19"/>
      <c r="AM821" s="16">
        <f t="shared" si="281"/>
        <v>172.29428999999999</v>
      </c>
      <c r="AN821" s="16" t="s">
        <v>147</v>
      </c>
      <c r="AO821" s="20">
        <v>0.4</v>
      </c>
      <c r="AP821" s="16">
        <f t="shared" si="280"/>
        <v>68.917715999999999</v>
      </c>
      <c r="AQ821" s="16"/>
      <c r="AR821" s="15"/>
      <c r="AS821" s="16">
        <f t="shared" si="283"/>
        <v>68.917715999999999</v>
      </c>
      <c r="AT821" s="16"/>
      <c r="AU821" s="16">
        <v>203.94018</v>
      </c>
      <c r="AV821" s="16">
        <f t="shared" si="269"/>
        <v>203.94018</v>
      </c>
      <c r="AW821" s="16">
        <f t="shared" si="274"/>
        <v>0</v>
      </c>
      <c r="AX821" s="16" t="str">
        <f t="shared" si="282"/>
        <v>RAWSUR</v>
      </c>
      <c r="AY821" s="22">
        <v>45219</v>
      </c>
      <c r="BA821" s="1"/>
      <c r="BB821" s="22"/>
      <c r="BC821" s="1"/>
      <c r="BD821" s="1"/>
      <c r="BE821" s="1"/>
    </row>
    <row r="822" spans="1:57" ht="15.75" hidden="1" customHeight="1">
      <c r="A822" s="2" t="s">
        <v>784</v>
      </c>
      <c r="B822" s="1" t="s">
        <v>58</v>
      </c>
      <c r="C822" s="27">
        <v>45202</v>
      </c>
      <c r="D822" s="27">
        <v>45190</v>
      </c>
      <c r="E822" s="27">
        <v>45190</v>
      </c>
      <c r="F822" s="27">
        <v>45555</v>
      </c>
      <c r="G822" s="13" t="str">
        <f t="shared" si="279"/>
        <v>000-821/AIB RDC/2023</v>
      </c>
      <c r="H822" s="1">
        <v>0</v>
      </c>
      <c r="I822" s="1" t="s">
        <v>83</v>
      </c>
      <c r="J822" s="2" t="s">
        <v>1068</v>
      </c>
      <c r="K822" s="2" t="s">
        <v>197</v>
      </c>
      <c r="L822" s="1"/>
      <c r="M822" s="1" t="s">
        <v>95</v>
      </c>
      <c r="N822" s="1" t="s">
        <v>836</v>
      </c>
      <c r="O822" s="1" t="s">
        <v>104</v>
      </c>
      <c r="P822" s="1" t="s">
        <v>105</v>
      </c>
      <c r="Q822" s="1" t="s">
        <v>135</v>
      </c>
      <c r="R822" s="1" t="s">
        <v>135</v>
      </c>
      <c r="S822" s="25">
        <v>473301.2</v>
      </c>
      <c r="T822" s="25">
        <v>2954.81</v>
      </c>
      <c r="U822" s="25">
        <v>0</v>
      </c>
      <c r="V822" s="25">
        <v>0</v>
      </c>
      <c r="W822" s="25">
        <v>592</v>
      </c>
      <c r="X822" s="25">
        <v>1912.06</v>
      </c>
      <c r="Y822" s="25">
        <v>400.63</v>
      </c>
      <c r="Z822" s="17">
        <f t="shared" si="270"/>
        <v>4.0398376340478326E-3</v>
      </c>
      <c r="AA822" s="18">
        <v>0.15</v>
      </c>
      <c r="AB822" s="16">
        <f t="shared" si="286"/>
        <v>286.80899999999997</v>
      </c>
      <c r="AC822" s="16">
        <v>0</v>
      </c>
      <c r="AD822" s="16">
        <v>0</v>
      </c>
      <c r="AE822" s="16">
        <v>0</v>
      </c>
      <c r="AF822" s="16">
        <f t="shared" si="271"/>
        <v>286.80899999999997</v>
      </c>
      <c r="AG822" s="16">
        <f t="shared" si="284"/>
        <v>45.889439999999993</v>
      </c>
      <c r="AH822" s="16">
        <f t="shared" si="272"/>
        <v>332.69843999999995</v>
      </c>
      <c r="AI822" s="16">
        <f t="shared" si="285"/>
        <v>5.7361799999999992</v>
      </c>
      <c r="AJ822" s="16">
        <v>0</v>
      </c>
      <c r="AK822" s="16">
        <f t="shared" si="273"/>
        <v>5.7361799999999992</v>
      </c>
      <c r="AL822" s="19"/>
      <c r="AM822" s="16">
        <f t="shared" si="281"/>
        <v>281.07281999999998</v>
      </c>
      <c r="AN822" s="16" t="s">
        <v>147</v>
      </c>
      <c r="AO822" s="20">
        <v>0.4</v>
      </c>
      <c r="AP822" s="16">
        <f t="shared" si="280"/>
        <v>112.42912799999999</v>
      </c>
      <c r="AQ822" s="16"/>
      <c r="AR822" s="15"/>
      <c r="AS822" s="16">
        <f t="shared" si="283"/>
        <v>112.42912799999999</v>
      </c>
      <c r="AT822" s="16"/>
      <c r="AU822" s="16">
        <v>332.69843999999995</v>
      </c>
      <c r="AV822" s="16">
        <f t="shared" si="269"/>
        <v>332.69843999999995</v>
      </c>
      <c r="AW822" s="16">
        <f t="shared" si="274"/>
        <v>0</v>
      </c>
      <c r="AX822" s="16" t="str">
        <f t="shared" si="282"/>
        <v>RAWSUR</v>
      </c>
      <c r="AY822" s="22">
        <v>45219</v>
      </c>
      <c r="BA822" s="1"/>
      <c r="BB822" s="22"/>
      <c r="BC822" s="1"/>
      <c r="BD822" s="1"/>
      <c r="BE822" s="1"/>
    </row>
    <row r="823" spans="1:57" ht="15.75" hidden="1" customHeight="1">
      <c r="A823" s="2" t="s">
        <v>784</v>
      </c>
      <c r="B823" s="1" t="s">
        <v>58</v>
      </c>
      <c r="C823" s="27">
        <v>45202</v>
      </c>
      <c r="D823" s="27">
        <v>45190</v>
      </c>
      <c r="E823" s="27">
        <v>45183</v>
      </c>
      <c r="F823" s="27">
        <v>45243</v>
      </c>
      <c r="G823" s="13" t="str">
        <f t="shared" si="279"/>
        <v>000-822/AIB RDC/2023</v>
      </c>
      <c r="H823" s="1">
        <v>0</v>
      </c>
      <c r="I823" s="1" t="s">
        <v>83</v>
      </c>
      <c r="J823" s="2" t="s">
        <v>1069</v>
      </c>
      <c r="K823" s="2" t="s">
        <v>197</v>
      </c>
      <c r="L823" s="1"/>
      <c r="M823" s="1" t="s">
        <v>95</v>
      </c>
      <c r="N823" s="1" t="s">
        <v>836</v>
      </c>
      <c r="O823" s="1" t="s">
        <v>104</v>
      </c>
      <c r="P823" s="1" t="s">
        <v>105</v>
      </c>
      <c r="Q823" s="1" t="s">
        <v>135</v>
      </c>
      <c r="R823" s="1" t="s">
        <v>135</v>
      </c>
      <c r="S823" s="25">
        <v>49218</v>
      </c>
      <c r="T823" s="25">
        <v>275.95</v>
      </c>
      <c r="U823" s="25">
        <v>0</v>
      </c>
      <c r="V823" s="25">
        <v>0</v>
      </c>
      <c r="W823" s="25">
        <v>97</v>
      </c>
      <c r="X823" s="25">
        <v>196.87</v>
      </c>
      <c r="Y823" s="25">
        <v>37.42</v>
      </c>
      <c r="Z823" s="17">
        <f t="shared" si="270"/>
        <v>3.9999593644601573E-3</v>
      </c>
      <c r="AA823" s="18">
        <v>0.15</v>
      </c>
      <c r="AB823" s="16">
        <f t="shared" si="286"/>
        <v>29.5305</v>
      </c>
      <c r="AC823" s="16">
        <v>0</v>
      </c>
      <c r="AD823" s="16">
        <v>0</v>
      </c>
      <c r="AE823" s="16">
        <v>0</v>
      </c>
      <c r="AF823" s="16">
        <f t="shared" si="271"/>
        <v>29.5305</v>
      </c>
      <c r="AG823" s="16">
        <f t="shared" si="284"/>
        <v>4.7248799999999997</v>
      </c>
      <c r="AH823" s="16">
        <f t="shared" si="272"/>
        <v>34.255380000000002</v>
      </c>
      <c r="AI823" s="16">
        <f t="shared" si="285"/>
        <v>0.59060999999999997</v>
      </c>
      <c r="AJ823" s="16">
        <v>0</v>
      </c>
      <c r="AK823" s="16">
        <f t="shared" si="273"/>
        <v>0.59060999999999997</v>
      </c>
      <c r="AL823" s="19"/>
      <c r="AM823" s="16">
        <f t="shared" si="281"/>
        <v>28.939889999999998</v>
      </c>
      <c r="AN823" s="16" t="s">
        <v>147</v>
      </c>
      <c r="AO823" s="20">
        <v>0.4</v>
      </c>
      <c r="AP823" s="16">
        <f t="shared" si="280"/>
        <v>11.575956</v>
      </c>
      <c r="AQ823" s="16"/>
      <c r="AR823" s="15"/>
      <c r="AS823" s="16">
        <f t="shared" si="283"/>
        <v>11.575956</v>
      </c>
      <c r="AT823" s="16"/>
      <c r="AU823" s="16">
        <v>34.255380000000002</v>
      </c>
      <c r="AV823" s="16">
        <f t="shared" si="269"/>
        <v>34.255380000000002</v>
      </c>
      <c r="AW823" s="16">
        <f t="shared" si="274"/>
        <v>0</v>
      </c>
      <c r="AX823" s="16" t="str">
        <f t="shared" si="282"/>
        <v>RAWSUR</v>
      </c>
      <c r="AY823" s="22">
        <v>45219</v>
      </c>
      <c r="BA823" s="1"/>
      <c r="BB823" s="22"/>
      <c r="BC823" s="1"/>
      <c r="BD823" s="1"/>
      <c r="BE823" s="1"/>
    </row>
    <row r="824" spans="1:57" ht="15.75" hidden="1" customHeight="1">
      <c r="A824" s="2" t="s">
        <v>784</v>
      </c>
      <c r="B824" s="1" t="s">
        <v>58</v>
      </c>
      <c r="C824" s="27">
        <v>45202</v>
      </c>
      <c r="D824" s="27">
        <v>45201</v>
      </c>
      <c r="E824" s="27">
        <v>45197</v>
      </c>
      <c r="F824" s="27">
        <v>45561</v>
      </c>
      <c r="G824" s="13" t="str">
        <f t="shared" si="279"/>
        <v>000-823/AIB RDC/2023</v>
      </c>
      <c r="H824" s="1">
        <v>0</v>
      </c>
      <c r="I824" s="1" t="s">
        <v>83</v>
      </c>
      <c r="J824" s="2" t="s">
        <v>1070</v>
      </c>
      <c r="K824" s="2" t="s">
        <v>209</v>
      </c>
      <c r="L824" s="1"/>
      <c r="M824" s="1" t="s">
        <v>95</v>
      </c>
      <c r="N824" s="1" t="s">
        <v>836</v>
      </c>
      <c r="O824" s="28" t="s">
        <v>104</v>
      </c>
      <c r="P824" s="1" t="s">
        <v>105</v>
      </c>
      <c r="Q824" s="1" t="s">
        <v>66</v>
      </c>
      <c r="R824" s="1" t="s">
        <v>66</v>
      </c>
      <c r="S824" s="25">
        <v>1199338.04</v>
      </c>
      <c r="T824" s="25">
        <v>2295.71</v>
      </c>
      <c r="U824" s="25">
        <v>0</v>
      </c>
      <c r="V824" s="25">
        <v>0</v>
      </c>
      <c r="W824" s="25">
        <v>44.38</v>
      </c>
      <c r="X824" s="25">
        <v>1913.13</v>
      </c>
      <c r="Y824" s="25">
        <v>313.2</v>
      </c>
      <c r="Z824" s="17">
        <f t="shared" si="270"/>
        <v>1.5951549406370868E-3</v>
      </c>
      <c r="AA824" s="18">
        <v>0.15</v>
      </c>
      <c r="AB824" s="16">
        <f t="shared" si="286"/>
        <v>286.96949999999998</v>
      </c>
      <c r="AC824" s="16">
        <v>0</v>
      </c>
      <c r="AD824" s="16">
        <v>0</v>
      </c>
      <c r="AE824" s="16">
        <v>0</v>
      </c>
      <c r="AF824" s="16">
        <f t="shared" si="271"/>
        <v>286.96949999999998</v>
      </c>
      <c r="AG824" s="16">
        <f t="shared" si="284"/>
        <v>45.915119999999995</v>
      </c>
      <c r="AH824" s="16">
        <f t="shared" si="272"/>
        <v>332.88461999999998</v>
      </c>
      <c r="AI824" s="16">
        <f t="shared" si="285"/>
        <v>5.7393899999999993</v>
      </c>
      <c r="AJ824" s="16">
        <v>0</v>
      </c>
      <c r="AK824" s="16">
        <f t="shared" si="273"/>
        <v>5.7393899999999993</v>
      </c>
      <c r="AL824" s="19"/>
      <c r="AM824" s="16">
        <f t="shared" si="281"/>
        <v>281.23010999999997</v>
      </c>
      <c r="AN824" s="16" t="s">
        <v>147</v>
      </c>
      <c r="AO824" s="20">
        <v>0.4</v>
      </c>
      <c r="AP824" s="16">
        <f t="shared" si="280"/>
        <v>112.49204399999999</v>
      </c>
      <c r="AQ824" s="16"/>
      <c r="AR824" s="15"/>
      <c r="AS824" s="16">
        <f t="shared" si="283"/>
        <v>112.49204399999999</v>
      </c>
      <c r="AT824" s="16"/>
      <c r="AU824" s="16">
        <v>332.88461999999998</v>
      </c>
      <c r="AV824" s="16">
        <f t="shared" si="269"/>
        <v>332.88461999999998</v>
      </c>
      <c r="AW824" s="16">
        <f t="shared" si="274"/>
        <v>0</v>
      </c>
      <c r="AX824" s="16" t="str">
        <f t="shared" si="282"/>
        <v>SFA</v>
      </c>
      <c r="AY824" s="22">
        <v>45216</v>
      </c>
      <c r="BA824" s="1" t="s">
        <v>148</v>
      </c>
      <c r="BB824" s="22" t="str">
        <f>O824</f>
        <v>MARINE CARGO / GIT</v>
      </c>
      <c r="BC824" s="1"/>
      <c r="BD824" s="1"/>
      <c r="BE824" s="1"/>
    </row>
    <row r="825" spans="1:57" ht="15.75" customHeight="1">
      <c r="A825" s="2" t="s">
        <v>770</v>
      </c>
      <c r="B825" s="1" t="s">
        <v>169</v>
      </c>
      <c r="C825" s="27">
        <v>45180</v>
      </c>
      <c r="D825" s="27">
        <v>45124</v>
      </c>
      <c r="E825" s="27">
        <v>45124</v>
      </c>
      <c r="F825" s="21">
        <v>45489</v>
      </c>
      <c r="G825" s="13" t="str">
        <f t="shared" si="279"/>
        <v>000-824/AIB RDC/2023</v>
      </c>
      <c r="H825" s="1">
        <v>1</v>
      </c>
      <c r="I825" s="1" t="s">
        <v>68</v>
      </c>
      <c r="J825" s="2" t="s">
        <v>1000</v>
      </c>
      <c r="K825" s="1" t="s">
        <v>1001</v>
      </c>
      <c r="L825" s="1"/>
      <c r="M825" s="2" t="s">
        <v>99</v>
      </c>
      <c r="N825" s="1" t="s">
        <v>100</v>
      </c>
      <c r="O825" s="2" t="s">
        <v>284</v>
      </c>
      <c r="P825" s="2" t="s">
        <v>285</v>
      </c>
      <c r="Q825" s="2" t="s">
        <v>127</v>
      </c>
      <c r="R825" s="2" t="s">
        <v>127</v>
      </c>
      <c r="S825" s="25">
        <v>0</v>
      </c>
      <c r="T825" s="25">
        <v>37532.639999999999</v>
      </c>
      <c r="U825" s="25">
        <v>0</v>
      </c>
      <c r="V825" s="25">
        <v>0</v>
      </c>
      <c r="W825" s="25">
        <v>100</v>
      </c>
      <c r="X825" s="25">
        <v>31707.32</v>
      </c>
      <c r="Y825" s="25">
        <v>5086.17</v>
      </c>
      <c r="Z825" s="17" t="e">
        <f t="shared" si="270"/>
        <v>#DIV/0!</v>
      </c>
      <c r="AA825" s="18">
        <v>0.15</v>
      </c>
      <c r="AB825" s="16">
        <f t="shared" si="286"/>
        <v>4756.098</v>
      </c>
      <c r="AC825" s="16">
        <v>0</v>
      </c>
      <c r="AD825" s="16">
        <v>0</v>
      </c>
      <c r="AE825" s="16">
        <v>0</v>
      </c>
      <c r="AF825" s="16">
        <f t="shared" si="271"/>
        <v>4756.098</v>
      </c>
      <c r="AG825" s="16">
        <f t="shared" si="284"/>
        <v>760.97568000000001</v>
      </c>
      <c r="AH825" s="16">
        <f t="shared" si="272"/>
        <v>5517.0736799999995</v>
      </c>
      <c r="AI825" s="16">
        <f t="shared" si="285"/>
        <v>95.121960000000001</v>
      </c>
      <c r="AJ825" s="16">
        <v>0</v>
      </c>
      <c r="AK825" s="16">
        <f t="shared" si="273"/>
        <v>95.121960000000001</v>
      </c>
      <c r="AL825" s="19"/>
      <c r="AM825" s="16">
        <f t="shared" si="281"/>
        <v>4660.9760399999996</v>
      </c>
      <c r="AN825" s="16"/>
      <c r="AO825" s="20"/>
      <c r="AP825" s="16">
        <f t="shared" si="280"/>
        <v>0</v>
      </c>
      <c r="AQ825" s="16"/>
      <c r="AR825" s="15"/>
      <c r="AS825" s="16">
        <f t="shared" si="283"/>
        <v>0</v>
      </c>
      <c r="AT825" s="16"/>
      <c r="AU825" s="16"/>
      <c r="AV825" s="16">
        <f t="shared" ref="AV825:AV888" si="287">AH825</f>
        <v>5517.0736799999995</v>
      </c>
      <c r="AW825" s="60">
        <f t="shared" si="274"/>
        <v>5517.0736799999995</v>
      </c>
      <c r="AX825" s="16" t="str">
        <f t="shared" si="282"/>
        <v>MAYFAIR</v>
      </c>
      <c r="AY825" s="22"/>
      <c r="AZ825" s="22"/>
      <c r="BA825" s="1"/>
      <c r="BB825" s="22"/>
      <c r="BC825" s="1"/>
      <c r="BD825" s="1"/>
      <c r="BE825" s="1"/>
    </row>
    <row r="826" spans="1:57" ht="15.75" hidden="1" customHeight="1">
      <c r="A826" s="2" t="s">
        <v>784</v>
      </c>
      <c r="B826" s="1" t="s">
        <v>58</v>
      </c>
      <c r="C826" s="27">
        <v>45202</v>
      </c>
      <c r="D826" s="27">
        <v>45177</v>
      </c>
      <c r="E826" s="27">
        <v>45177</v>
      </c>
      <c r="F826" s="27">
        <v>45267</v>
      </c>
      <c r="G826" s="13" t="str">
        <f t="shared" si="279"/>
        <v>000-825/AIB RDC/2023</v>
      </c>
      <c r="H826" s="1">
        <v>0</v>
      </c>
      <c r="I826" s="1" t="s">
        <v>83</v>
      </c>
      <c r="J826" s="2" t="s">
        <v>1071</v>
      </c>
      <c r="K826" s="2" t="s">
        <v>1047</v>
      </c>
      <c r="L826" s="1"/>
      <c r="M826" s="1" t="s">
        <v>95</v>
      </c>
      <c r="N826" s="1" t="s">
        <v>644</v>
      </c>
      <c r="O826" s="1" t="s">
        <v>104</v>
      </c>
      <c r="P826" s="1" t="s">
        <v>105</v>
      </c>
      <c r="Q826" s="1" t="s">
        <v>135</v>
      </c>
      <c r="R826" s="1" t="s">
        <v>135</v>
      </c>
      <c r="S826" s="25">
        <v>402386</v>
      </c>
      <c r="T826" s="25">
        <v>1942.92</v>
      </c>
      <c r="U826" s="25">
        <v>0</v>
      </c>
      <c r="V826" s="25">
        <v>0</v>
      </c>
      <c r="W826" s="25">
        <v>37</v>
      </c>
      <c r="X826" s="25">
        <v>1609.54</v>
      </c>
      <c r="Y826" s="25">
        <v>263.45</v>
      </c>
      <c r="Z826" s="17">
        <f t="shared" si="270"/>
        <v>3.9999900592962972E-3</v>
      </c>
      <c r="AA826" s="18">
        <v>0.15</v>
      </c>
      <c r="AB826" s="16">
        <f t="shared" si="286"/>
        <v>241.43099999999998</v>
      </c>
      <c r="AC826" s="16">
        <v>0</v>
      </c>
      <c r="AD826" s="16">
        <v>0</v>
      </c>
      <c r="AE826" s="16">
        <v>0</v>
      </c>
      <c r="AF826" s="16">
        <f t="shared" si="271"/>
        <v>241.43099999999998</v>
      </c>
      <c r="AG826" s="16">
        <f t="shared" si="284"/>
        <v>38.628959999999999</v>
      </c>
      <c r="AH826" s="16">
        <f t="shared" si="272"/>
        <v>280.05995999999999</v>
      </c>
      <c r="AI826" s="16">
        <f t="shared" si="285"/>
        <v>4.8286199999999999</v>
      </c>
      <c r="AJ826" s="16">
        <v>0</v>
      </c>
      <c r="AK826" s="16">
        <f t="shared" si="273"/>
        <v>4.8286199999999999</v>
      </c>
      <c r="AL826" s="19"/>
      <c r="AM826" s="16">
        <f t="shared" si="281"/>
        <v>236.60237999999998</v>
      </c>
      <c r="AN826" s="16" t="s">
        <v>147</v>
      </c>
      <c r="AO826" s="20">
        <v>0.4</v>
      </c>
      <c r="AP826" s="16">
        <f t="shared" si="280"/>
        <v>94.640951999999999</v>
      </c>
      <c r="AQ826" s="16"/>
      <c r="AR826" s="15"/>
      <c r="AS826" s="16">
        <f t="shared" si="283"/>
        <v>94.640951999999999</v>
      </c>
      <c r="AT826" s="16"/>
      <c r="AU826" s="16">
        <v>280.05995999999999</v>
      </c>
      <c r="AV826" s="16">
        <f t="shared" si="287"/>
        <v>280.05995999999999</v>
      </c>
      <c r="AW826" s="16">
        <f t="shared" si="274"/>
        <v>0</v>
      </c>
      <c r="AX826" s="16" t="str">
        <f t="shared" si="282"/>
        <v>RAWSUR</v>
      </c>
      <c r="AY826" s="22">
        <v>45219</v>
      </c>
      <c r="BA826" s="1"/>
      <c r="BB826" s="22"/>
      <c r="BC826" s="1"/>
      <c r="BD826" s="1"/>
      <c r="BE826" s="1"/>
    </row>
    <row r="827" spans="1:57" ht="15.75" hidden="1" customHeight="1">
      <c r="A827" s="2" t="s">
        <v>784</v>
      </c>
      <c r="B827" s="1" t="s">
        <v>58</v>
      </c>
      <c r="C827" s="27">
        <v>45202</v>
      </c>
      <c r="D827" s="27">
        <v>45177</v>
      </c>
      <c r="E827" s="27">
        <v>45177</v>
      </c>
      <c r="F827" s="27">
        <v>45267</v>
      </c>
      <c r="G827" s="13" t="str">
        <f t="shared" si="279"/>
        <v>000-826/AIB RDC/2023</v>
      </c>
      <c r="H827" s="1">
        <v>0</v>
      </c>
      <c r="I827" s="1" t="s">
        <v>83</v>
      </c>
      <c r="J827" s="2" t="s">
        <v>1072</v>
      </c>
      <c r="K827" s="2" t="s">
        <v>1047</v>
      </c>
      <c r="L827" s="1"/>
      <c r="M827" s="1" t="s">
        <v>95</v>
      </c>
      <c r="N827" s="1" t="s">
        <v>644</v>
      </c>
      <c r="O827" s="1" t="s">
        <v>104</v>
      </c>
      <c r="P827" s="1" t="s">
        <v>105</v>
      </c>
      <c r="Q827" s="1" t="s">
        <v>135</v>
      </c>
      <c r="R827" s="1" t="s">
        <v>135</v>
      </c>
      <c r="S827" s="25">
        <v>901409</v>
      </c>
      <c r="T827" s="25">
        <v>4298.3100000000004</v>
      </c>
      <c r="U827" s="25">
        <v>0</v>
      </c>
      <c r="V827" s="25">
        <v>0</v>
      </c>
      <c r="W827" s="25">
        <v>37</v>
      </c>
      <c r="X827" s="25">
        <v>3605.64</v>
      </c>
      <c r="Y827" s="25">
        <v>582.82000000000005</v>
      </c>
      <c r="Z827" s="17">
        <f t="shared" si="270"/>
        <v>4.0000044374972959E-3</v>
      </c>
      <c r="AA827" s="18">
        <v>0.15</v>
      </c>
      <c r="AB827" s="16">
        <f t="shared" si="286"/>
        <v>540.846</v>
      </c>
      <c r="AC827" s="16">
        <v>0</v>
      </c>
      <c r="AD827" s="16">
        <v>0</v>
      </c>
      <c r="AE827" s="16">
        <v>0</v>
      </c>
      <c r="AF827" s="16">
        <f t="shared" si="271"/>
        <v>540.846</v>
      </c>
      <c r="AG827" s="16">
        <f t="shared" si="284"/>
        <v>86.535359999999997</v>
      </c>
      <c r="AH827" s="16">
        <f t="shared" si="272"/>
        <v>627.38135999999997</v>
      </c>
      <c r="AI827" s="16">
        <f t="shared" si="285"/>
        <v>10.81692</v>
      </c>
      <c r="AJ827" s="16">
        <v>0</v>
      </c>
      <c r="AK827" s="16">
        <f t="shared" si="273"/>
        <v>10.81692</v>
      </c>
      <c r="AL827" s="19"/>
      <c r="AM827" s="16">
        <f t="shared" si="281"/>
        <v>530.02908000000002</v>
      </c>
      <c r="AN827" s="16" t="s">
        <v>147</v>
      </c>
      <c r="AO827" s="20">
        <v>0.4</v>
      </c>
      <c r="AP827" s="16">
        <f t="shared" si="280"/>
        <v>212.01163200000002</v>
      </c>
      <c r="AQ827" s="16"/>
      <c r="AR827" s="15"/>
      <c r="AS827" s="16">
        <f t="shared" si="283"/>
        <v>212.01163200000002</v>
      </c>
      <c r="AT827" s="16"/>
      <c r="AU827" s="16">
        <v>627.38135999999997</v>
      </c>
      <c r="AV827" s="16">
        <f t="shared" si="287"/>
        <v>627.38135999999997</v>
      </c>
      <c r="AW827" s="16">
        <f t="shared" si="274"/>
        <v>0</v>
      </c>
      <c r="AX827" s="16" t="str">
        <f t="shared" si="282"/>
        <v>RAWSUR</v>
      </c>
      <c r="AY827" s="22">
        <v>45219</v>
      </c>
      <c r="BA827" s="1"/>
      <c r="BB827" s="22"/>
      <c r="BC827" s="1"/>
      <c r="BD827" s="1"/>
      <c r="BE827" s="1"/>
    </row>
    <row r="828" spans="1:57" ht="15.75" hidden="1" customHeight="1">
      <c r="A828" s="2" t="s">
        <v>784</v>
      </c>
      <c r="B828" s="1" t="s">
        <v>58</v>
      </c>
      <c r="C828" s="27">
        <v>45202</v>
      </c>
      <c r="D828" s="27">
        <v>45177</v>
      </c>
      <c r="E828" s="27">
        <v>45177</v>
      </c>
      <c r="F828" s="27">
        <v>45267</v>
      </c>
      <c r="G828" s="13" t="str">
        <f t="shared" si="279"/>
        <v>000-827/AIB RDC/2023</v>
      </c>
      <c r="H828" s="1">
        <v>0</v>
      </c>
      <c r="I828" s="1" t="s">
        <v>83</v>
      </c>
      <c r="J828" s="2" t="s">
        <v>1073</v>
      </c>
      <c r="K828" s="2" t="s">
        <v>1047</v>
      </c>
      <c r="L828" s="1"/>
      <c r="M828" s="1" t="s">
        <v>95</v>
      </c>
      <c r="N828" s="1" t="s">
        <v>644</v>
      </c>
      <c r="O828" s="1" t="s">
        <v>104</v>
      </c>
      <c r="P828" s="1" t="s">
        <v>105</v>
      </c>
      <c r="Q828" s="1" t="s">
        <v>135</v>
      </c>
      <c r="R828" s="1" t="s">
        <v>135</v>
      </c>
      <c r="S828" s="25">
        <v>1977409</v>
      </c>
      <c r="T828" s="25">
        <v>9377.0300000000007</v>
      </c>
      <c r="U828" s="25">
        <v>0</v>
      </c>
      <c r="V828" s="25">
        <v>0</v>
      </c>
      <c r="W828" s="25">
        <v>37</v>
      </c>
      <c r="X828" s="25">
        <v>7909.64</v>
      </c>
      <c r="Y828" s="25">
        <v>1271.46</v>
      </c>
      <c r="Z828" s="17">
        <f t="shared" si="270"/>
        <v>4.0000020228490923E-3</v>
      </c>
      <c r="AA828" s="18">
        <v>0.15</v>
      </c>
      <c r="AB828" s="16">
        <f t="shared" si="286"/>
        <v>1186.4459999999999</v>
      </c>
      <c r="AC828" s="16">
        <v>0</v>
      </c>
      <c r="AD828" s="16">
        <v>0</v>
      </c>
      <c r="AE828" s="16">
        <v>0</v>
      </c>
      <c r="AF828" s="16">
        <f t="shared" si="271"/>
        <v>1186.4459999999999</v>
      </c>
      <c r="AG828" s="16">
        <f t="shared" si="284"/>
        <v>189.83135999999999</v>
      </c>
      <c r="AH828" s="16">
        <f t="shared" si="272"/>
        <v>1376.2773599999998</v>
      </c>
      <c r="AI828" s="16">
        <f t="shared" si="285"/>
        <v>23.728919999999999</v>
      </c>
      <c r="AJ828" s="16">
        <v>0</v>
      </c>
      <c r="AK828" s="16">
        <f t="shared" si="273"/>
        <v>23.728919999999999</v>
      </c>
      <c r="AL828" s="19"/>
      <c r="AM828" s="16">
        <f t="shared" si="281"/>
        <v>1162.7170799999999</v>
      </c>
      <c r="AN828" s="16" t="s">
        <v>147</v>
      </c>
      <c r="AO828" s="20">
        <v>0.4</v>
      </c>
      <c r="AP828" s="16">
        <f t="shared" si="280"/>
        <v>465.08683199999996</v>
      </c>
      <c r="AQ828" s="16"/>
      <c r="AR828" s="15"/>
      <c r="AS828" s="16">
        <f t="shared" si="283"/>
        <v>465.08683199999996</v>
      </c>
      <c r="AT828" s="16"/>
      <c r="AU828" s="16">
        <v>1376.2773599999998</v>
      </c>
      <c r="AV828" s="16">
        <f t="shared" si="287"/>
        <v>1376.2773599999998</v>
      </c>
      <c r="AW828" s="16">
        <f t="shared" si="274"/>
        <v>0</v>
      </c>
      <c r="AX828" s="16" t="str">
        <f t="shared" si="282"/>
        <v>RAWSUR</v>
      </c>
      <c r="AY828" s="22">
        <v>45219</v>
      </c>
      <c r="BA828" s="1"/>
      <c r="BB828" s="22"/>
      <c r="BC828" s="1"/>
      <c r="BD828" s="1"/>
      <c r="BE828" s="1"/>
    </row>
    <row r="829" spans="1:57" ht="15.75" hidden="1" customHeight="1">
      <c r="A829" s="2" t="s">
        <v>770</v>
      </c>
      <c r="B829" s="1" t="s">
        <v>58</v>
      </c>
      <c r="C829" s="27">
        <v>45202</v>
      </c>
      <c r="D829" s="27">
        <v>45182</v>
      </c>
      <c r="E829" s="27">
        <v>45126</v>
      </c>
      <c r="F829" s="27">
        <v>45491</v>
      </c>
      <c r="G829" s="13" t="str">
        <f t="shared" si="279"/>
        <v>000-828/AIB RDC/2023</v>
      </c>
      <c r="H829" s="1">
        <v>0</v>
      </c>
      <c r="I829" s="1" t="s">
        <v>83</v>
      </c>
      <c r="J829" s="2" t="s">
        <v>1074</v>
      </c>
      <c r="K829" s="2" t="s">
        <v>1047</v>
      </c>
      <c r="L829" s="1"/>
      <c r="M829" s="1" t="s">
        <v>95</v>
      </c>
      <c r="N829" s="1" t="s">
        <v>644</v>
      </c>
      <c r="O829" s="1" t="s">
        <v>104</v>
      </c>
      <c r="P829" s="1" t="s">
        <v>105</v>
      </c>
      <c r="Q829" s="1" t="s">
        <v>66</v>
      </c>
      <c r="R829" s="1" t="s">
        <v>66</v>
      </c>
      <c r="S829" s="25">
        <v>2284786.6</v>
      </c>
      <c r="T829" s="25">
        <v>8953.2000000000007</v>
      </c>
      <c r="U829" s="25">
        <v>0</v>
      </c>
      <c r="V829" s="25">
        <v>0</v>
      </c>
      <c r="W829" s="25">
        <v>156.91999999999999</v>
      </c>
      <c r="X829" s="25">
        <v>7539.8</v>
      </c>
      <c r="Y829" s="25">
        <v>1231.48</v>
      </c>
      <c r="Z829" s="17">
        <f t="shared" si="270"/>
        <v>3.3000018469996279E-3</v>
      </c>
      <c r="AA829" s="18">
        <v>0.15</v>
      </c>
      <c r="AB829" s="16">
        <f t="shared" si="286"/>
        <v>1130.97</v>
      </c>
      <c r="AC829" s="16">
        <v>0</v>
      </c>
      <c r="AD829" s="16">
        <v>0</v>
      </c>
      <c r="AE829" s="16">
        <v>0</v>
      </c>
      <c r="AF829" s="16">
        <f t="shared" si="271"/>
        <v>1130.97</v>
      </c>
      <c r="AG829" s="16">
        <f t="shared" si="284"/>
        <v>180.95520000000002</v>
      </c>
      <c r="AH829" s="16">
        <f t="shared" si="272"/>
        <v>1311.9252000000001</v>
      </c>
      <c r="AI829" s="16">
        <f t="shared" si="285"/>
        <v>22.619400000000002</v>
      </c>
      <c r="AJ829" s="16">
        <v>0</v>
      </c>
      <c r="AK829" s="16">
        <f t="shared" si="273"/>
        <v>22.619400000000002</v>
      </c>
      <c r="AL829" s="19"/>
      <c r="AM829" s="16">
        <f t="shared" si="281"/>
        <v>1108.3506</v>
      </c>
      <c r="AN829" s="16" t="s">
        <v>147</v>
      </c>
      <c r="AO829" s="20">
        <v>0.4</v>
      </c>
      <c r="AP829" s="16">
        <f t="shared" si="280"/>
        <v>443.34023999999999</v>
      </c>
      <c r="AQ829" s="16"/>
      <c r="AR829" s="15"/>
      <c r="AS829" s="16">
        <f t="shared" si="283"/>
        <v>443.34023999999999</v>
      </c>
      <c r="AT829" s="16"/>
      <c r="AU829" s="16">
        <v>1311.9252000000001</v>
      </c>
      <c r="AV829" s="16">
        <f t="shared" si="287"/>
        <v>1311.9252000000001</v>
      </c>
      <c r="AW829" s="16">
        <f t="shared" si="274"/>
        <v>0</v>
      </c>
      <c r="AX829" s="16" t="str">
        <f t="shared" si="282"/>
        <v>SFA</v>
      </c>
      <c r="AY829" s="22">
        <v>45237</v>
      </c>
      <c r="BA829" s="1"/>
      <c r="BB829" s="22"/>
      <c r="BC829" s="1"/>
      <c r="BD829" s="1"/>
      <c r="BE829" s="1"/>
    </row>
    <row r="830" spans="1:57" ht="15.75" hidden="1" customHeight="1">
      <c r="A830" s="2" t="s">
        <v>784</v>
      </c>
      <c r="B830" s="1" t="s">
        <v>58</v>
      </c>
      <c r="C830" s="27">
        <v>45202</v>
      </c>
      <c r="D830" s="27">
        <v>45177</v>
      </c>
      <c r="E830" s="27">
        <v>45177</v>
      </c>
      <c r="F830" s="27">
        <v>45267</v>
      </c>
      <c r="G830" s="13" t="str">
        <f t="shared" si="279"/>
        <v>000-829/AIB RDC/2023</v>
      </c>
      <c r="H830" s="1">
        <v>0</v>
      </c>
      <c r="I830" s="1" t="s">
        <v>83</v>
      </c>
      <c r="J830" s="2" t="s">
        <v>1075</v>
      </c>
      <c r="K830" s="2" t="s">
        <v>1047</v>
      </c>
      <c r="L830" s="1"/>
      <c r="M830" s="1" t="s">
        <v>95</v>
      </c>
      <c r="N830" s="1" t="s">
        <v>644</v>
      </c>
      <c r="O830" s="1" t="s">
        <v>104</v>
      </c>
      <c r="P830" s="1" t="s">
        <v>105</v>
      </c>
      <c r="Q830" s="1" t="s">
        <v>135</v>
      </c>
      <c r="R830" s="1" t="s">
        <v>135</v>
      </c>
      <c r="S830" s="25">
        <v>840373</v>
      </c>
      <c r="T830" s="25">
        <v>3018.58</v>
      </c>
      <c r="U830" s="25">
        <v>0</v>
      </c>
      <c r="V830" s="25">
        <v>0</v>
      </c>
      <c r="W830" s="25">
        <v>37</v>
      </c>
      <c r="X830" s="25">
        <v>2521.13</v>
      </c>
      <c r="Y830" s="25">
        <v>409.3</v>
      </c>
      <c r="Z830" s="17">
        <f t="shared" si="270"/>
        <v>3.0000130894257669E-3</v>
      </c>
      <c r="AA830" s="18">
        <v>0.15</v>
      </c>
      <c r="AB830" s="16">
        <f t="shared" si="286"/>
        <v>378.16950000000003</v>
      </c>
      <c r="AC830" s="16">
        <v>0</v>
      </c>
      <c r="AD830" s="16">
        <v>0</v>
      </c>
      <c r="AE830" s="16">
        <v>0</v>
      </c>
      <c r="AF830" s="16">
        <f t="shared" si="271"/>
        <v>378.16950000000003</v>
      </c>
      <c r="AG830" s="16">
        <f t="shared" si="284"/>
        <v>60.507120000000008</v>
      </c>
      <c r="AH830" s="16">
        <f t="shared" si="272"/>
        <v>438.67662000000001</v>
      </c>
      <c r="AI830" s="16">
        <f t="shared" si="285"/>
        <v>7.5633900000000009</v>
      </c>
      <c r="AJ830" s="16">
        <v>0</v>
      </c>
      <c r="AK830" s="16">
        <f t="shared" si="273"/>
        <v>7.5633900000000009</v>
      </c>
      <c r="AL830" s="19"/>
      <c r="AM830" s="16">
        <f t="shared" si="281"/>
        <v>370.60611</v>
      </c>
      <c r="AN830" s="16" t="s">
        <v>147</v>
      </c>
      <c r="AO830" s="20">
        <v>0.4</v>
      </c>
      <c r="AP830" s="16">
        <f t="shared" si="280"/>
        <v>148.24244400000001</v>
      </c>
      <c r="AQ830" s="16"/>
      <c r="AR830" s="15"/>
      <c r="AS830" s="16">
        <f t="shared" si="283"/>
        <v>148.24244400000001</v>
      </c>
      <c r="AT830" s="16"/>
      <c r="AU830" s="16">
        <v>438.67662000000001</v>
      </c>
      <c r="AV830" s="16">
        <f t="shared" si="287"/>
        <v>438.67662000000001</v>
      </c>
      <c r="AW830" s="16">
        <f t="shared" si="274"/>
        <v>0</v>
      </c>
      <c r="AX830" s="16" t="str">
        <f t="shared" si="282"/>
        <v>RAWSUR</v>
      </c>
      <c r="AY830" s="22">
        <v>45219</v>
      </c>
      <c r="BA830" s="1"/>
      <c r="BB830" s="22"/>
      <c r="BC830" s="1"/>
      <c r="BD830" s="1"/>
      <c r="BE830" s="1"/>
    </row>
    <row r="831" spans="1:57" ht="15.75" hidden="1" customHeight="1">
      <c r="A831" s="2" t="s">
        <v>784</v>
      </c>
      <c r="B831" s="1" t="s">
        <v>58</v>
      </c>
      <c r="C831" s="27">
        <v>45202</v>
      </c>
      <c r="D831" s="27">
        <v>45177</v>
      </c>
      <c r="E831" s="27">
        <v>45181</v>
      </c>
      <c r="F831" s="27">
        <v>45546</v>
      </c>
      <c r="G831" s="13" t="str">
        <f t="shared" si="279"/>
        <v>000-830/AIB RDC/2023</v>
      </c>
      <c r="H831" s="1">
        <v>0</v>
      </c>
      <c r="I831" s="1" t="s">
        <v>83</v>
      </c>
      <c r="J831" s="2" t="s">
        <v>1076</v>
      </c>
      <c r="K831" s="2" t="s">
        <v>197</v>
      </c>
      <c r="L831" s="1"/>
      <c r="M831" s="1" t="s">
        <v>95</v>
      </c>
      <c r="N831" s="1" t="s">
        <v>836</v>
      </c>
      <c r="O831" s="1" t="s">
        <v>104</v>
      </c>
      <c r="P831" s="1" t="s">
        <v>105</v>
      </c>
      <c r="Q831" s="1" t="s">
        <v>135</v>
      </c>
      <c r="R831" s="1" t="s">
        <v>135</v>
      </c>
      <c r="S831" s="25">
        <v>306614</v>
      </c>
      <c r="T831" s="25">
        <v>1833.18</v>
      </c>
      <c r="U831" s="25">
        <v>0</v>
      </c>
      <c r="V831" s="25">
        <v>0</v>
      </c>
      <c r="W831" s="25">
        <v>296</v>
      </c>
      <c r="X831" s="25">
        <v>1257.54</v>
      </c>
      <c r="Y831" s="25">
        <v>248.57</v>
      </c>
      <c r="Z831" s="17">
        <f t="shared" si="270"/>
        <v>4.1013782801829005E-3</v>
      </c>
      <c r="AA831" s="18">
        <v>0.15</v>
      </c>
      <c r="AB831" s="16">
        <f t="shared" si="286"/>
        <v>188.631</v>
      </c>
      <c r="AC831" s="16">
        <v>0</v>
      </c>
      <c r="AD831" s="16">
        <v>0</v>
      </c>
      <c r="AE831" s="16">
        <v>0</v>
      </c>
      <c r="AF831" s="16">
        <f t="shared" si="271"/>
        <v>188.631</v>
      </c>
      <c r="AG831" s="16">
        <f t="shared" si="284"/>
        <v>30.180959999999999</v>
      </c>
      <c r="AH831" s="16">
        <f t="shared" si="272"/>
        <v>218.81196</v>
      </c>
      <c r="AI831" s="16">
        <f t="shared" si="285"/>
        <v>3.7726199999999999</v>
      </c>
      <c r="AJ831" s="16">
        <v>0</v>
      </c>
      <c r="AK831" s="16">
        <f t="shared" si="273"/>
        <v>3.7726199999999999</v>
      </c>
      <c r="AL831" s="19"/>
      <c r="AM831" s="16">
        <f t="shared" si="281"/>
        <v>184.85838000000001</v>
      </c>
      <c r="AN831" s="16" t="s">
        <v>147</v>
      </c>
      <c r="AO831" s="20">
        <v>0.4</v>
      </c>
      <c r="AP831" s="16">
        <f t="shared" si="280"/>
        <v>73.943352000000004</v>
      </c>
      <c r="AQ831" s="16"/>
      <c r="AR831" s="15"/>
      <c r="AS831" s="16">
        <f t="shared" si="283"/>
        <v>73.943352000000004</v>
      </c>
      <c r="AT831" s="16"/>
      <c r="AU831" s="16">
        <v>218.81196</v>
      </c>
      <c r="AV831" s="16">
        <f t="shared" si="287"/>
        <v>218.81196</v>
      </c>
      <c r="AW831" s="16">
        <f t="shared" si="274"/>
        <v>0</v>
      </c>
      <c r="AX831" s="16" t="str">
        <f t="shared" si="282"/>
        <v>RAWSUR</v>
      </c>
      <c r="AY831" s="22">
        <v>45219</v>
      </c>
      <c r="BA831" s="1"/>
      <c r="BB831" s="22"/>
      <c r="BC831" s="1"/>
      <c r="BD831" s="1"/>
      <c r="BE831" s="1"/>
    </row>
    <row r="832" spans="1:57" ht="15.75" hidden="1" customHeight="1">
      <c r="A832" s="2" t="s">
        <v>784</v>
      </c>
      <c r="B832" s="1" t="s">
        <v>58</v>
      </c>
      <c r="C832" s="27">
        <v>45202</v>
      </c>
      <c r="D832" s="27">
        <v>45190</v>
      </c>
      <c r="E832" s="27">
        <v>45189</v>
      </c>
      <c r="F832" s="27">
        <v>45249</v>
      </c>
      <c r="G832" s="13" t="str">
        <f t="shared" si="279"/>
        <v>000-831/AIB RDC/2023</v>
      </c>
      <c r="H832" s="1">
        <v>0</v>
      </c>
      <c r="I832" s="1" t="s">
        <v>83</v>
      </c>
      <c r="J832" s="2" t="s">
        <v>1077</v>
      </c>
      <c r="K832" s="2" t="s">
        <v>1067</v>
      </c>
      <c r="L832" s="1"/>
      <c r="M832" s="1" t="s">
        <v>95</v>
      </c>
      <c r="N832" s="1" t="s">
        <v>644</v>
      </c>
      <c r="O832" s="1" t="s">
        <v>104</v>
      </c>
      <c r="P832" s="1" t="s">
        <v>105</v>
      </c>
      <c r="Q832" s="1" t="s">
        <v>135</v>
      </c>
      <c r="R832" s="1" t="s">
        <v>135</v>
      </c>
      <c r="S832" s="25">
        <v>829855</v>
      </c>
      <c r="T832" s="25">
        <v>4047.9</v>
      </c>
      <c r="U832" s="25">
        <v>0</v>
      </c>
      <c r="V832" s="25">
        <v>0</v>
      </c>
      <c r="W832" s="25">
        <v>111</v>
      </c>
      <c r="X832" s="25">
        <v>3319.42</v>
      </c>
      <c r="Y832" s="25">
        <v>548.88</v>
      </c>
      <c r="Z832" s="17">
        <f t="shared" si="270"/>
        <v>4.0000000000000001E-3</v>
      </c>
      <c r="AA832" s="18">
        <v>0.15</v>
      </c>
      <c r="AB832" s="16">
        <f t="shared" si="286"/>
        <v>497.91300000000001</v>
      </c>
      <c r="AC832" s="16">
        <v>0</v>
      </c>
      <c r="AD832" s="16">
        <v>0</v>
      </c>
      <c r="AE832" s="16">
        <v>0</v>
      </c>
      <c r="AF832" s="16">
        <f t="shared" si="271"/>
        <v>497.91300000000001</v>
      </c>
      <c r="AG832" s="16">
        <f t="shared" si="284"/>
        <v>79.666080000000008</v>
      </c>
      <c r="AH832" s="16">
        <f t="shared" si="272"/>
        <v>577.57907999999998</v>
      </c>
      <c r="AI832" s="16">
        <f t="shared" si="285"/>
        <v>9.958260000000001</v>
      </c>
      <c r="AJ832" s="16">
        <v>0</v>
      </c>
      <c r="AK832" s="16">
        <f t="shared" si="273"/>
        <v>9.958260000000001</v>
      </c>
      <c r="AL832" s="19"/>
      <c r="AM832" s="16">
        <f t="shared" si="281"/>
        <v>487.95474000000002</v>
      </c>
      <c r="AN832" s="16" t="s">
        <v>147</v>
      </c>
      <c r="AO832" s="20">
        <v>0.4</v>
      </c>
      <c r="AP832" s="16">
        <f t="shared" si="280"/>
        <v>195.18189600000002</v>
      </c>
      <c r="AQ832" s="16"/>
      <c r="AR832" s="15"/>
      <c r="AS832" s="16">
        <f t="shared" si="283"/>
        <v>195.18189600000002</v>
      </c>
      <c r="AT832" s="16"/>
      <c r="AU832" s="16">
        <v>577.57907999999998</v>
      </c>
      <c r="AV832" s="16">
        <f t="shared" si="287"/>
        <v>577.57907999999998</v>
      </c>
      <c r="AW832" s="16">
        <f t="shared" si="274"/>
        <v>0</v>
      </c>
      <c r="AX832" s="16" t="str">
        <f t="shared" ref="AX832:AX863" si="288">Q832</f>
        <v>RAWSUR</v>
      </c>
      <c r="AY832" s="22">
        <v>45219</v>
      </c>
      <c r="BA832" s="1"/>
      <c r="BB832" s="22"/>
      <c r="BC832" s="1"/>
      <c r="BD832" s="1"/>
      <c r="BE832" s="1"/>
    </row>
    <row r="833" spans="1:57" ht="15.75" hidden="1" customHeight="1">
      <c r="A833" s="2" t="s">
        <v>784</v>
      </c>
      <c r="B833" s="1" t="s">
        <v>58</v>
      </c>
      <c r="C833" s="27">
        <v>45202</v>
      </c>
      <c r="D833" s="27">
        <v>45177</v>
      </c>
      <c r="E833" s="27">
        <v>45182</v>
      </c>
      <c r="F833" s="27">
        <v>45547</v>
      </c>
      <c r="G833" s="13" t="str">
        <f t="shared" si="279"/>
        <v>000-832/AIB RDC/2023</v>
      </c>
      <c r="H833" s="1">
        <v>0</v>
      </c>
      <c r="I833" s="1" t="s">
        <v>83</v>
      </c>
      <c r="J833" s="2" t="s">
        <v>1078</v>
      </c>
      <c r="K833" s="2" t="s">
        <v>197</v>
      </c>
      <c r="L833" s="1"/>
      <c r="M833" s="1" t="s">
        <v>95</v>
      </c>
      <c r="N833" s="1" t="s">
        <v>836</v>
      </c>
      <c r="O833" s="1" t="s">
        <v>104</v>
      </c>
      <c r="P833" s="1" t="s">
        <v>105</v>
      </c>
      <c r="Q833" s="1" t="s">
        <v>135</v>
      </c>
      <c r="R833" s="1" t="s">
        <v>135</v>
      </c>
      <c r="S833" s="25">
        <v>315618</v>
      </c>
      <c r="T833" s="25">
        <v>1962.48</v>
      </c>
      <c r="U833" s="25">
        <v>0</v>
      </c>
      <c r="V833" s="25">
        <v>0</v>
      </c>
      <c r="W833" s="25">
        <v>333</v>
      </c>
      <c r="X833" s="25">
        <v>1330.12</v>
      </c>
      <c r="Y833" s="25">
        <v>266.10000000000002</v>
      </c>
      <c r="Z833" s="17">
        <f t="shared" si="270"/>
        <v>4.2143350505991417E-3</v>
      </c>
      <c r="AA833" s="18">
        <v>0.15</v>
      </c>
      <c r="AB833" s="16">
        <f t="shared" si="286"/>
        <v>199.51799999999997</v>
      </c>
      <c r="AC833" s="16">
        <v>0</v>
      </c>
      <c r="AD833" s="16">
        <v>0</v>
      </c>
      <c r="AE833" s="16">
        <v>0</v>
      </c>
      <c r="AF833" s="16">
        <f t="shared" si="271"/>
        <v>199.51799999999997</v>
      </c>
      <c r="AG833" s="16">
        <f t="shared" si="284"/>
        <v>31.922879999999996</v>
      </c>
      <c r="AH833" s="16">
        <f t="shared" si="272"/>
        <v>231.44087999999996</v>
      </c>
      <c r="AI833" s="16">
        <f t="shared" si="285"/>
        <v>3.9903599999999995</v>
      </c>
      <c r="AJ833" s="16">
        <v>0</v>
      </c>
      <c r="AK833" s="16">
        <f t="shared" si="273"/>
        <v>3.9903599999999995</v>
      </c>
      <c r="AL833" s="19"/>
      <c r="AM833" s="16">
        <f t="shared" si="281"/>
        <v>195.52763999999996</v>
      </c>
      <c r="AN833" s="16" t="s">
        <v>147</v>
      </c>
      <c r="AO833" s="20">
        <v>0.4</v>
      </c>
      <c r="AP833" s="16">
        <f t="shared" si="280"/>
        <v>78.211055999999985</v>
      </c>
      <c r="AQ833" s="16"/>
      <c r="AR833" s="15"/>
      <c r="AS833" s="16">
        <f t="shared" si="283"/>
        <v>78.211055999999985</v>
      </c>
      <c r="AT833" s="16"/>
      <c r="AU833" s="16">
        <v>231.44087999999996</v>
      </c>
      <c r="AV833" s="16">
        <f t="shared" si="287"/>
        <v>231.44087999999996</v>
      </c>
      <c r="AW833" s="16">
        <f t="shared" si="274"/>
        <v>0</v>
      </c>
      <c r="AX833" s="16" t="str">
        <f t="shared" si="288"/>
        <v>RAWSUR</v>
      </c>
      <c r="AY833" s="22">
        <v>45219</v>
      </c>
      <c r="BA833" s="1"/>
      <c r="BB833" s="22"/>
      <c r="BC833" s="1"/>
      <c r="BD833" s="1"/>
      <c r="BE833" s="1"/>
    </row>
    <row r="834" spans="1:57" ht="15.75" hidden="1" customHeight="1">
      <c r="A834" s="2" t="s">
        <v>871</v>
      </c>
      <c r="B834" s="1" t="s">
        <v>58</v>
      </c>
      <c r="C834" s="27">
        <v>45202</v>
      </c>
      <c r="D834" s="27">
        <v>45182</v>
      </c>
      <c r="E834" s="27">
        <v>45169</v>
      </c>
      <c r="F834" s="27">
        <v>45534</v>
      </c>
      <c r="G834" s="13" t="str">
        <f t="shared" si="279"/>
        <v>000-833/AIB RDC/2023</v>
      </c>
      <c r="H834" s="1">
        <v>0</v>
      </c>
      <c r="I834" s="1" t="s">
        <v>83</v>
      </c>
      <c r="J834" s="2" t="s">
        <v>1079</v>
      </c>
      <c r="K834" s="2" t="s">
        <v>532</v>
      </c>
      <c r="L834" s="1"/>
      <c r="M834" s="1" t="s">
        <v>95</v>
      </c>
      <c r="N834" s="1" t="s">
        <v>836</v>
      </c>
      <c r="O834" s="28" t="s">
        <v>104</v>
      </c>
      <c r="P834" s="1" t="s">
        <v>105</v>
      </c>
      <c r="Q834" s="1" t="s">
        <v>66</v>
      </c>
      <c r="R834" s="1" t="s">
        <v>66</v>
      </c>
      <c r="S834" s="25">
        <v>439900</v>
      </c>
      <c r="T834" s="25">
        <v>856.56</v>
      </c>
      <c r="U834" s="25">
        <v>0</v>
      </c>
      <c r="V834" s="25">
        <v>0</v>
      </c>
      <c r="W834" s="25">
        <v>20.059999999999999</v>
      </c>
      <c r="X834" s="25">
        <v>696.82</v>
      </c>
      <c r="Y834" s="25">
        <v>114.7</v>
      </c>
      <c r="Z834" s="17">
        <f t="shared" si="270"/>
        <v>1.584041827688111E-3</v>
      </c>
      <c r="AA834" s="18">
        <v>0.15</v>
      </c>
      <c r="AB834" s="16">
        <f t="shared" si="286"/>
        <v>104.52300000000001</v>
      </c>
      <c r="AC834" s="16">
        <v>0</v>
      </c>
      <c r="AD834" s="16">
        <v>0</v>
      </c>
      <c r="AE834" s="16">
        <v>0</v>
      </c>
      <c r="AF834" s="16">
        <f t="shared" si="271"/>
        <v>104.52300000000001</v>
      </c>
      <c r="AG834" s="16">
        <f t="shared" si="284"/>
        <v>16.723680000000002</v>
      </c>
      <c r="AH834" s="16">
        <f t="shared" si="272"/>
        <v>121.24668000000001</v>
      </c>
      <c r="AI834" s="16">
        <f t="shared" si="285"/>
        <v>2.0904600000000002</v>
      </c>
      <c r="AJ834" s="16">
        <v>0</v>
      </c>
      <c r="AK834" s="16">
        <f t="shared" si="273"/>
        <v>2.0904600000000002</v>
      </c>
      <c r="AL834" s="19"/>
      <c r="AM834" s="16">
        <f t="shared" si="281"/>
        <v>102.43254000000002</v>
      </c>
      <c r="AN834" s="16" t="s">
        <v>147</v>
      </c>
      <c r="AO834" s="20">
        <v>0.4</v>
      </c>
      <c r="AP834" s="16">
        <f t="shared" si="280"/>
        <v>40.973016000000008</v>
      </c>
      <c r="AQ834" s="16"/>
      <c r="AR834" s="15"/>
      <c r="AS834" s="16">
        <f t="shared" si="283"/>
        <v>40.973016000000008</v>
      </c>
      <c r="AT834" s="16"/>
      <c r="AU834" s="16">
        <v>121.24668000000001</v>
      </c>
      <c r="AV834" s="16">
        <f t="shared" si="287"/>
        <v>121.24668000000001</v>
      </c>
      <c r="AW834" s="16">
        <f t="shared" si="274"/>
        <v>0</v>
      </c>
      <c r="AX834" s="16" t="str">
        <f t="shared" si="288"/>
        <v>SFA</v>
      </c>
      <c r="AY834" s="22">
        <v>45216</v>
      </c>
      <c r="BA834" s="1" t="s">
        <v>148</v>
      </c>
      <c r="BB834" s="1" t="s">
        <v>104</v>
      </c>
      <c r="BC834" s="1"/>
      <c r="BD834" s="1"/>
      <c r="BE834" s="1"/>
    </row>
    <row r="835" spans="1:57" ht="15.75" customHeight="1">
      <c r="A835" s="2" t="s">
        <v>1005</v>
      </c>
      <c r="B835" s="1" t="s">
        <v>169</v>
      </c>
      <c r="C835" s="27">
        <v>45198</v>
      </c>
      <c r="D835" s="27">
        <v>45212</v>
      </c>
      <c r="E835" s="27">
        <v>45212</v>
      </c>
      <c r="F835" s="27">
        <v>45577</v>
      </c>
      <c r="G835" s="13" t="str">
        <f t="shared" si="279"/>
        <v>000-834/AIB RDC/2023</v>
      </c>
      <c r="H835" s="1">
        <v>1</v>
      </c>
      <c r="I835" s="1" t="s">
        <v>68</v>
      </c>
      <c r="J835" s="2" t="s">
        <v>1030</v>
      </c>
      <c r="K835" s="2" t="s">
        <v>1031</v>
      </c>
      <c r="L835" s="1"/>
      <c r="M835" s="1" t="s">
        <v>99</v>
      </c>
      <c r="N835" s="1" t="s">
        <v>1021</v>
      </c>
      <c r="O835" s="1" t="s">
        <v>879</v>
      </c>
      <c r="P835" s="1" t="s">
        <v>112</v>
      </c>
      <c r="Q835" s="1" t="s">
        <v>117</v>
      </c>
      <c r="R835" s="1" t="s">
        <v>117</v>
      </c>
      <c r="S835" s="25">
        <v>1000000</v>
      </c>
      <c r="T835" s="25">
        <v>11130.2</v>
      </c>
      <c r="U835" s="25">
        <v>0</v>
      </c>
      <c r="V835" s="25">
        <v>0</v>
      </c>
      <c r="W835" s="25">
        <v>95</v>
      </c>
      <c r="X835" s="25">
        <v>9500</v>
      </c>
      <c r="Y835" s="25">
        <v>1535.2</v>
      </c>
      <c r="Z835" s="17">
        <f t="shared" si="270"/>
        <v>9.4999999999999998E-3</v>
      </c>
      <c r="AA835" s="18">
        <v>0.15</v>
      </c>
      <c r="AB835" s="16">
        <f t="shared" si="286"/>
        <v>1425</v>
      </c>
      <c r="AC835" s="16">
        <v>0</v>
      </c>
      <c r="AD835" s="16">
        <v>0</v>
      </c>
      <c r="AE835" s="16">
        <v>0</v>
      </c>
      <c r="AF835" s="16">
        <f t="shared" si="271"/>
        <v>1425</v>
      </c>
      <c r="AG835" s="16">
        <f t="shared" si="284"/>
        <v>228</v>
      </c>
      <c r="AH835" s="16">
        <f t="shared" si="272"/>
        <v>1653</v>
      </c>
      <c r="AI835" s="16">
        <f t="shared" si="285"/>
        <v>28.5</v>
      </c>
      <c r="AJ835" s="16">
        <v>0</v>
      </c>
      <c r="AK835" s="16">
        <f t="shared" si="273"/>
        <v>28.5</v>
      </c>
      <c r="AL835" s="19"/>
      <c r="AM835" s="16">
        <f t="shared" si="281"/>
        <v>1396.5</v>
      </c>
      <c r="AN835" s="16"/>
      <c r="AO835" s="20"/>
      <c r="AP835" s="16">
        <f t="shared" si="280"/>
        <v>0</v>
      </c>
      <c r="AQ835" s="16"/>
      <c r="AR835" s="15"/>
      <c r="AS835" s="16">
        <f t="shared" si="283"/>
        <v>0</v>
      </c>
      <c r="AT835" s="16"/>
      <c r="AU835" s="16"/>
      <c r="AV835" s="16">
        <f t="shared" si="287"/>
        <v>1653</v>
      </c>
      <c r="AW835" s="60">
        <f t="shared" si="274"/>
        <v>1653</v>
      </c>
      <c r="AX835" s="16" t="str">
        <f t="shared" si="288"/>
        <v>SUNU</v>
      </c>
      <c r="AY835" s="22"/>
      <c r="BA835" s="1"/>
      <c r="BB835" s="22"/>
      <c r="BC835" s="1"/>
      <c r="BD835" s="1"/>
      <c r="BE835" s="1"/>
    </row>
    <row r="836" spans="1:57" ht="15.75" hidden="1" customHeight="1">
      <c r="A836" s="2" t="s">
        <v>784</v>
      </c>
      <c r="B836" s="1" t="s">
        <v>58</v>
      </c>
      <c r="C836" s="27">
        <v>45202</v>
      </c>
      <c r="D836" s="27">
        <v>45194</v>
      </c>
      <c r="E836" s="27">
        <v>45190</v>
      </c>
      <c r="F836" s="27">
        <v>45280</v>
      </c>
      <c r="G836" s="13" t="str">
        <f t="shared" si="279"/>
        <v>000-835/AIB RDC/2023</v>
      </c>
      <c r="H836" s="1">
        <v>0</v>
      </c>
      <c r="I836" s="1" t="s">
        <v>83</v>
      </c>
      <c r="J836" s="2" t="s">
        <v>1081</v>
      </c>
      <c r="K836" s="2" t="s">
        <v>1067</v>
      </c>
      <c r="L836" s="1"/>
      <c r="M836" s="1" t="s">
        <v>95</v>
      </c>
      <c r="N836" s="1" t="s">
        <v>644</v>
      </c>
      <c r="O836" s="1" t="s">
        <v>104</v>
      </c>
      <c r="P836" s="1" t="s">
        <v>105</v>
      </c>
      <c r="Q836" s="1" t="s">
        <v>135</v>
      </c>
      <c r="R836" s="1" t="s">
        <v>135</v>
      </c>
      <c r="S836" s="25">
        <v>85855</v>
      </c>
      <c r="T836" s="25">
        <v>453.62</v>
      </c>
      <c r="U836" s="25">
        <v>0</v>
      </c>
      <c r="V836" s="25">
        <v>0</v>
      </c>
      <c r="W836" s="25">
        <v>37</v>
      </c>
      <c r="X836" s="25">
        <v>347.42</v>
      </c>
      <c r="Y836" s="25">
        <v>61.51</v>
      </c>
      <c r="Z836" s="17">
        <f t="shared" si="270"/>
        <v>4.0465901811193297E-3</v>
      </c>
      <c r="AA836" s="18">
        <v>0.15</v>
      </c>
      <c r="AB836" s="16">
        <f t="shared" si="286"/>
        <v>52.113</v>
      </c>
      <c r="AC836" s="16">
        <v>0</v>
      </c>
      <c r="AD836" s="16">
        <v>0</v>
      </c>
      <c r="AE836" s="16">
        <v>0</v>
      </c>
      <c r="AF836" s="16">
        <f t="shared" si="271"/>
        <v>52.113</v>
      </c>
      <c r="AG836" s="16">
        <f t="shared" si="284"/>
        <v>8.3380799999999997</v>
      </c>
      <c r="AH836" s="16">
        <f t="shared" si="272"/>
        <v>60.451079999999997</v>
      </c>
      <c r="AI836" s="16">
        <f t="shared" si="285"/>
        <v>1.04226</v>
      </c>
      <c r="AJ836" s="16">
        <v>0</v>
      </c>
      <c r="AK836" s="16">
        <f t="shared" si="273"/>
        <v>1.04226</v>
      </c>
      <c r="AL836" s="19"/>
      <c r="AM836" s="16">
        <f t="shared" si="281"/>
        <v>51.070740000000001</v>
      </c>
      <c r="AN836" s="16" t="s">
        <v>147</v>
      </c>
      <c r="AO836" s="20">
        <v>0.4</v>
      </c>
      <c r="AP836" s="16">
        <f t="shared" si="280"/>
        <v>20.428296000000003</v>
      </c>
      <c r="AQ836" s="16"/>
      <c r="AR836" s="15"/>
      <c r="AS836" s="16">
        <f t="shared" si="283"/>
        <v>20.428296000000003</v>
      </c>
      <c r="AT836" s="16"/>
      <c r="AU836" s="16">
        <v>60.451079999999997</v>
      </c>
      <c r="AV836" s="16">
        <f t="shared" si="287"/>
        <v>60.451079999999997</v>
      </c>
      <c r="AW836" s="16">
        <f t="shared" si="274"/>
        <v>0</v>
      </c>
      <c r="AX836" s="16" t="str">
        <f t="shared" si="288"/>
        <v>RAWSUR</v>
      </c>
      <c r="AY836" s="22">
        <v>45219</v>
      </c>
      <c r="BA836" s="1"/>
      <c r="BB836" s="22"/>
      <c r="BC836" s="1"/>
      <c r="BD836" s="1"/>
      <c r="BE836" s="1"/>
    </row>
    <row r="837" spans="1:57" ht="15.75" hidden="1" customHeight="1">
      <c r="A837" s="2" t="s">
        <v>784</v>
      </c>
      <c r="B837" s="1" t="s">
        <v>58</v>
      </c>
      <c r="C837" s="27">
        <v>45202</v>
      </c>
      <c r="D837" s="27">
        <v>45182</v>
      </c>
      <c r="E837" s="27">
        <v>45184</v>
      </c>
      <c r="F837" s="27">
        <v>45549</v>
      </c>
      <c r="G837" s="13" t="str">
        <f t="shared" si="279"/>
        <v>000-836/AIB RDC/2023</v>
      </c>
      <c r="H837" s="1">
        <v>0</v>
      </c>
      <c r="I837" s="1" t="s">
        <v>83</v>
      </c>
      <c r="J837" s="2" t="s">
        <v>1082</v>
      </c>
      <c r="K837" s="2" t="s">
        <v>197</v>
      </c>
      <c r="L837" s="1"/>
      <c r="M837" s="1" t="s">
        <v>95</v>
      </c>
      <c r="N837" s="1" t="s">
        <v>836</v>
      </c>
      <c r="O837" s="1" t="s">
        <v>104</v>
      </c>
      <c r="P837" s="1" t="s">
        <v>105</v>
      </c>
      <c r="Q837" s="1" t="s">
        <v>135</v>
      </c>
      <c r="R837" s="1" t="s">
        <v>135</v>
      </c>
      <c r="S837" s="25">
        <v>377332.66</v>
      </c>
      <c r="T837" s="25">
        <v>2282</v>
      </c>
      <c r="U837" s="25">
        <v>0</v>
      </c>
      <c r="V837" s="25">
        <v>0</v>
      </c>
      <c r="W837" s="25">
        <v>407</v>
      </c>
      <c r="X837" s="25">
        <v>1526.94</v>
      </c>
      <c r="Y837" s="25">
        <v>307.44</v>
      </c>
      <c r="Z837" s="17">
        <f t="shared" si="270"/>
        <v>4.0466679984711637E-3</v>
      </c>
      <c r="AA837" s="18">
        <v>0.15</v>
      </c>
      <c r="AB837" s="16">
        <f t="shared" si="286"/>
        <v>229.041</v>
      </c>
      <c r="AC837" s="16">
        <v>0</v>
      </c>
      <c r="AD837" s="16">
        <v>0</v>
      </c>
      <c r="AE837" s="16">
        <v>0</v>
      </c>
      <c r="AF837" s="16">
        <f t="shared" si="271"/>
        <v>229.041</v>
      </c>
      <c r="AG837" s="16">
        <f t="shared" si="284"/>
        <v>36.646560000000001</v>
      </c>
      <c r="AH837" s="16">
        <f t="shared" si="272"/>
        <v>265.68756000000002</v>
      </c>
      <c r="AI837" s="16">
        <f t="shared" si="285"/>
        <v>4.5808200000000001</v>
      </c>
      <c r="AJ837" s="16">
        <v>0</v>
      </c>
      <c r="AK837" s="16">
        <f t="shared" si="273"/>
        <v>4.5808200000000001</v>
      </c>
      <c r="AL837" s="19"/>
      <c r="AM837" s="16">
        <f t="shared" si="281"/>
        <v>224.46018000000001</v>
      </c>
      <c r="AN837" s="16" t="s">
        <v>147</v>
      </c>
      <c r="AO837" s="20">
        <v>0.4</v>
      </c>
      <c r="AP837" s="16">
        <f t="shared" si="280"/>
        <v>89.784072000000009</v>
      </c>
      <c r="AQ837" s="16"/>
      <c r="AR837" s="15"/>
      <c r="AS837" s="16">
        <f t="shared" si="283"/>
        <v>89.784072000000009</v>
      </c>
      <c r="AT837" s="16"/>
      <c r="AU837" s="16">
        <v>265.68756000000002</v>
      </c>
      <c r="AV837" s="16">
        <f t="shared" si="287"/>
        <v>265.68756000000002</v>
      </c>
      <c r="AW837" s="16">
        <f t="shared" si="274"/>
        <v>0</v>
      </c>
      <c r="AX837" s="16" t="str">
        <f t="shared" si="288"/>
        <v>RAWSUR</v>
      </c>
      <c r="AY837" s="22">
        <v>45219</v>
      </c>
      <c r="BA837" s="1"/>
      <c r="BB837" s="22"/>
      <c r="BC837" s="1"/>
      <c r="BD837" s="1"/>
      <c r="BE837" s="1"/>
    </row>
    <row r="838" spans="1:57" ht="15.75" hidden="1" customHeight="1">
      <c r="A838" s="2" t="s">
        <v>212</v>
      </c>
      <c r="B838" s="1" t="s">
        <v>58</v>
      </c>
      <c r="C838" s="27">
        <v>45202</v>
      </c>
      <c r="D838" s="27">
        <v>45190</v>
      </c>
      <c r="E838" s="27">
        <v>45081</v>
      </c>
      <c r="F838" s="27">
        <v>45446</v>
      </c>
      <c r="G838" s="13" t="str">
        <f t="shared" si="279"/>
        <v>000-837/AIB RDC/2023</v>
      </c>
      <c r="H838" s="1">
        <v>0</v>
      </c>
      <c r="I838" s="1" t="s">
        <v>83</v>
      </c>
      <c r="J838" s="2" t="s">
        <v>1083</v>
      </c>
      <c r="K838" s="2" t="s">
        <v>209</v>
      </c>
      <c r="L838" s="1"/>
      <c r="M838" s="1" t="s">
        <v>95</v>
      </c>
      <c r="N838" s="1" t="s">
        <v>836</v>
      </c>
      <c r="O838" s="1" t="s">
        <v>104</v>
      </c>
      <c r="P838" s="1" t="s">
        <v>105</v>
      </c>
      <c r="Q838" s="1" t="s">
        <v>66</v>
      </c>
      <c r="R838" s="1" t="s">
        <v>66</v>
      </c>
      <c r="S838" s="25">
        <v>13340</v>
      </c>
      <c r="T838" s="25">
        <v>49.85</v>
      </c>
      <c r="U838" s="25">
        <v>0</v>
      </c>
      <c r="V838" s="25">
        <v>0</v>
      </c>
      <c r="W838" s="25">
        <v>6.42</v>
      </c>
      <c r="X838" s="25">
        <v>15</v>
      </c>
      <c r="Y838" s="25">
        <v>3.43</v>
      </c>
      <c r="Z838" s="17">
        <f t="shared" ref="Z838:Z903" si="289">X838/S838</f>
        <v>1.1244377811094452E-3</v>
      </c>
      <c r="AA838" s="18">
        <v>0.15</v>
      </c>
      <c r="AB838" s="16">
        <f t="shared" si="286"/>
        <v>2.25</v>
      </c>
      <c r="AC838" s="16">
        <v>0</v>
      </c>
      <c r="AD838" s="16">
        <v>0</v>
      </c>
      <c r="AE838" s="16">
        <v>0</v>
      </c>
      <c r="AF838" s="16">
        <f t="shared" ref="AF838:AF901" si="290">SUM(AB838:AE838)</f>
        <v>2.25</v>
      </c>
      <c r="AG838" s="16">
        <f t="shared" si="284"/>
        <v>0.36</v>
      </c>
      <c r="AH838" s="16">
        <f t="shared" ref="AH838:AH901" si="291">AF838+AG838</f>
        <v>2.61</v>
      </c>
      <c r="AI838" s="16">
        <f t="shared" si="285"/>
        <v>4.4999999999999998E-2</v>
      </c>
      <c r="AJ838" s="16">
        <v>0</v>
      </c>
      <c r="AK838" s="16">
        <f t="shared" ref="AK838:AK901" si="292">AI838-AJ838</f>
        <v>4.4999999999999998E-2</v>
      </c>
      <c r="AL838" s="19"/>
      <c r="AM838" s="16">
        <f t="shared" si="281"/>
        <v>2.2050000000000001</v>
      </c>
      <c r="AN838" s="16" t="s">
        <v>147</v>
      </c>
      <c r="AO838" s="20">
        <v>0.4</v>
      </c>
      <c r="AP838" s="16">
        <f t="shared" si="280"/>
        <v>0.88200000000000012</v>
      </c>
      <c r="AQ838" s="16"/>
      <c r="AR838" s="15"/>
      <c r="AS838" s="16">
        <f t="shared" si="283"/>
        <v>0.88200000000000012</v>
      </c>
      <c r="AT838" s="16"/>
      <c r="AU838" s="16">
        <v>2.61</v>
      </c>
      <c r="AV838" s="16">
        <f t="shared" si="287"/>
        <v>2.61</v>
      </c>
      <c r="AW838" s="16">
        <f t="shared" ref="AW838:AW901" si="293">AV838-AU838</f>
        <v>0</v>
      </c>
      <c r="AX838" s="16" t="str">
        <f t="shared" si="288"/>
        <v>SFA</v>
      </c>
      <c r="AY838" s="22">
        <v>45216</v>
      </c>
      <c r="BA838" s="1" t="s">
        <v>148</v>
      </c>
      <c r="BB838" s="22" t="str">
        <f>O838</f>
        <v>MARINE CARGO / GIT</v>
      </c>
      <c r="BC838" s="1"/>
      <c r="BD838" s="1"/>
      <c r="BE838" s="1"/>
    </row>
    <row r="839" spans="1:57" ht="15.75" customHeight="1">
      <c r="A839" s="2" t="s">
        <v>1005</v>
      </c>
      <c r="B839" s="1" t="s">
        <v>169</v>
      </c>
      <c r="C839" s="27">
        <v>45198</v>
      </c>
      <c r="D839" s="27">
        <v>45146</v>
      </c>
      <c r="E839" s="27">
        <v>45207</v>
      </c>
      <c r="F839" s="27">
        <v>45572</v>
      </c>
      <c r="G839" s="13" t="str">
        <f t="shared" si="279"/>
        <v>000-838/AIB RDC/2023</v>
      </c>
      <c r="H839" s="1">
        <v>1</v>
      </c>
      <c r="I839" s="1" t="s">
        <v>68</v>
      </c>
      <c r="J839" s="2" t="s">
        <v>1032</v>
      </c>
      <c r="K839" s="2" t="s">
        <v>1031</v>
      </c>
      <c r="L839" s="1"/>
      <c r="M839" s="1" t="s">
        <v>99</v>
      </c>
      <c r="N839" s="1" t="s">
        <v>1021</v>
      </c>
      <c r="O839" s="1" t="s">
        <v>781</v>
      </c>
      <c r="P839" s="1" t="s">
        <v>112</v>
      </c>
      <c r="Q839" s="1" t="s">
        <v>117</v>
      </c>
      <c r="R839" s="1" t="s">
        <v>117</v>
      </c>
      <c r="S839" s="25">
        <v>5000000</v>
      </c>
      <c r="T839" s="25">
        <v>22260.400000000001</v>
      </c>
      <c r="U839" s="25">
        <v>0</v>
      </c>
      <c r="V839" s="25">
        <v>0</v>
      </c>
      <c r="W839" s="25">
        <v>190</v>
      </c>
      <c r="X839" s="25">
        <v>19000</v>
      </c>
      <c r="Y839" s="25">
        <v>3070.4</v>
      </c>
      <c r="Z839" s="17">
        <f t="shared" si="289"/>
        <v>3.8E-3</v>
      </c>
      <c r="AA839" s="18">
        <v>0.1</v>
      </c>
      <c r="AB839" s="16">
        <f t="shared" si="286"/>
        <v>1900</v>
      </c>
      <c r="AC839" s="16">
        <v>0</v>
      </c>
      <c r="AD839" s="16">
        <v>0</v>
      </c>
      <c r="AE839" s="16">
        <v>0</v>
      </c>
      <c r="AF839" s="16">
        <f t="shared" si="290"/>
        <v>1900</v>
      </c>
      <c r="AG839" s="16">
        <f t="shared" ref="AG839:AG870" si="294">16%*AF839</f>
        <v>304</v>
      </c>
      <c r="AH839" s="16">
        <f t="shared" si="291"/>
        <v>2204</v>
      </c>
      <c r="AI839" s="16">
        <f t="shared" ref="AI839:AI870" si="295">2%*(AB839+AC839+AD839)</f>
        <v>38</v>
      </c>
      <c r="AJ839" s="16">
        <v>0</v>
      </c>
      <c r="AK839" s="16">
        <f t="shared" si="292"/>
        <v>38</v>
      </c>
      <c r="AL839" s="19"/>
      <c r="AM839" s="16">
        <f t="shared" si="281"/>
        <v>1862</v>
      </c>
      <c r="AN839" s="16"/>
      <c r="AO839" s="20"/>
      <c r="AP839" s="16">
        <f t="shared" si="280"/>
        <v>0</v>
      </c>
      <c r="AQ839" s="16"/>
      <c r="AR839" s="15"/>
      <c r="AS839" s="16">
        <f t="shared" si="283"/>
        <v>0</v>
      </c>
      <c r="AT839" s="16"/>
      <c r="AU839" s="16"/>
      <c r="AV839" s="16">
        <f t="shared" si="287"/>
        <v>2204</v>
      </c>
      <c r="AW839" s="60">
        <f t="shared" si="293"/>
        <v>2204</v>
      </c>
      <c r="AX839" s="16" t="str">
        <f t="shared" si="288"/>
        <v>SUNU</v>
      </c>
      <c r="AY839" s="22"/>
      <c r="BA839" s="1"/>
      <c r="BB839" s="22"/>
      <c r="BC839" s="1"/>
      <c r="BD839" s="1"/>
      <c r="BE839" s="1"/>
    </row>
    <row r="840" spans="1:57" ht="15.75" hidden="1" customHeight="1">
      <c r="A840" s="2" t="s">
        <v>784</v>
      </c>
      <c r="B840" s="1" t="s">
        <v>58</v>
      </c>
      <c r="C840" s="27">
        <v>45203</v>
      </c>
      <c r="D840" s="27">
        <v>45198</v>
      </c>
      <c r="E840" s="27">
        <v>45173</v>
      </c>
      <c r="F840" s="27">
        <v>45291</v>
      </c>
      <c r="G840" s="13" t="str">
        <f t="shared" si="279"/>
        <v>000-839/AIB RDC/2023</v>
      </c>
      <c r="H840" s="1">
        <v>0</v>
      </c>
      <c r="I840" s="1" t="s">
        <v>83</v>
      </c>
      <c r="J840" s="2" t="s">
        <v>1085</v>
      </c>
      <c r="K840" s="2" t="s">
        <v>154</v>
      </c>
      <c r="L840" s="1"/>
      <c r="M840" s="1" t="s">
        <v>95</v>
      </c>
      <c r="N840" s="1" t="s">
        <v>96</v>
      </c>
      <c r="O840" s="28" t="s">
        <v>107</v>
      </c>
      <c r="P840" s="1" t="s">
        <v>108</v>
      </c>
      <c r="Q840" s="1" t="s">
        <v>66</v>
      </c>
      <c r="R840" s="1" t="s">
        <v>66</v>
      </c>
      <c r="S840" s="25">
        <v>2583000</v>
      </c>
      <c r="T840" s="25">
        <v>1181.98</v>
      </c>
      <c r="U840" s="25">
        <v>0</v>
      </c>
      <c r="V840" s="25">
        <v>0</v>
      </c>
      <c r="W840" s="25">
        <v>58.62</v>
      </c>
      <c r="X840" s="25">
        <v>960.33</v>
      </c>
      <c r="Y840" s="25">
        <v>163.03</v>
      </c>
      <c r="Z840" s="17">
        <f t="shared" si="289"/>
        <v>3.7178861788617887E-4</v>
      </c>
      <c r="AA840" s="18">
        <v>0.1</v>
      </c>
      <c r="AB840" s="16">
        <f t="shared" si="286"/>
        <v>96.033000000000015</v>
      </c>
      <c r="AC840" s="16">
        <v>0</v>
      </c>
      <c r="AD840" s="16">
        <v>0</v>
      </c>
      <c r="AE840" s="16">
        <v>0</v>
      </c>
      <c r="AF840" s="16">
        <f t="shared" si="290"/>
        <v>96.033000000000015</v>
      </c>
      <c r="AG840" s="16">
        <f t="shared" si="294"/>
        <v>15.365280000000002</v>
      </c>
      <c r="AH840" s="16">
        <f t="shared" si="291"/>
        <v>111.39828000000001</v>
      </c>
      <c r="AI840" s="16">
        <f t="shared" si="295"/>
        <v>1.9206600000000003</v>
      </c>
      <c r="AJ840" s="16">
        <v>0</v>
      </c>
      <c r="AK840" s="16">
        <f t="shared" si="292"/>
        <v>1.9206600000000003</v>
      </c>
      <c r="AL840" s="19"/>
      <c r="AM840" s="16">
        <f t="shared" si="281"/>
        <v>94.112340000000017</v>
      </c>
      <c r="AN840" s="16"/>
      <c r="AO840" s="20"/>
      <c r="AP840" s="16">
        <f t="shared" si="280"/>
        <v>0</v>
      </c>
      <c r="AQ840" s="16"/>
      <c r="AR840" s="15"/>
      <c r="AS840" s="16">
        <f t="shared" si="283"/>
        <v>0</v>
      </c>
      <c r="AT840" s="16"/>
      <c r="AU840" s="16">
        <v>111.39828000000001</v>
      </c>
      <c r="AV840" s="16">
        <f t="shared" si="287"/>
        <v>111.39828000000001</v>
      </c>
      <c r="AW840" s="16">
        <f t="shared" si="293"/>
        <v>0</v>
      </c>
      <c r="AX840" s="16" t="str">
        <f t="shared" si="288"/>
        <v>SFA</v>
      </c>
      <c r="AY840" s="22">
        <v>45216</v>
      </c>
      <c r="BA840" s="1"/>
      <c r="BB840" s="22"/>
      <c r="BC840" s="1"/>
      <c r="BD840" s="1"/>
      <c r="BE840" s="1"/>
    </row>
    <row r="841" spans="1:57" ht="15.75" hidden="1" customHeight="1">
      <c r="A841" s="2" t="s">
        <v>1005</v>
      </c>
      <c r="B841" s="1" t="s">
        <v>58</v>
      </c>
      <c r="C841" s="27">
        <v>45203</v>
      </c>
      <c r="D841" s="27">
        <v>45201</v>
      </c>
      <c r="E841" s="27">
        <v>45209</v>
      </c>
      <c r="F841" s="27">
        <v>45291</v>
      </c>
      <c r="G841" s="13" t="str">
        <f t="shared" si="279"/>
        <v>000-840/AIB RDC/2023</v>
      </c>
      <c r="H841" s="1">
        <v>1</v>
      </c>
      <c r="I841" s="1" t="s">
        <v>189</v>
      </c>
      <c r="J841" s="38" t="s">
        <v>1086</v>
      </c>
      <c r="K841" s="2" t="s">
        <v>154</v>
      </c>
      <c r="L841" s="1"/>
      <c r="M841" s="1" t="s">
        <v>95</v>
      </c>
      <c r="N841" s="1" t="s">
        <v>96</v>
      </c>
      <c r="O841" s="1" t="s">
        <v>101</v>
      </c>
      <c r="P841" s="1" t="s">
        <v>81</v>
      </c>
      <c r="Q841" s="1" t="s">
        <v>66</v>
      </c>
      <c r="R841" s="1" t="s">
        <v>66</v>
      </c>
      <c r="S841" s="25">
        <v>0</v>
      </c>
      <c r="T841" s="25">
        <v>3751.62</v>
      </c>
      <c r="U841" s="25">
        <v>0</v>
      </c>
      <c r="V841" s="25">
        <v>0</v>
      </c>
      <c r="W841" s="25">
        <v>86.79</v>
      </c>
      <c r="X841" s="25">
        <v>2675.26</v>
      </c>
      <c r="Y841" s="25">
        <v>517.46</v>
      </c>
      <c r="Z841" s="17" t="e">
        <f t="shared" si="289"/>
        <v>#DIV/0!</v>
      </c>
      <c r="AA841" s="18">
        <v>0.1</v>
      </c>
      <c r="AB841" s="16">
        <f t="shared" si="286"/>
        <v>267.52600000000001</v>
      </c>
      <c r="AC841" s="16">
        <v>0</v>
      </c>
      <c r="AD841" s="16">
        <v>0</v>
      </c>
      <c r="AE841" s="16">
        <v>0</v>
      </c>
      <c r="AF841" s="16">
        <f t="shared" si="290"/>
        <v>267.52600000000001</v>
      </c>
      <c r="AG841" s="16">
        <f t="shared" si="294"/>
        <v>42.804160000000003</v>
      </c>
      <c r="AH841" s="16">
        <f t="shared" si="291"/>
        <v>310.33016000000003</v>
      </c>
      <c r="AI841" s="16">
        <f t="shared" si="295"/>
        <v>5.3505200000000004</v>
      </c>
      <c r="AJ841" s="16">
        <v>0</v>
      </c>
      <c r="AK841" s="16">
        <f t="shared" si="292"/>
        <v>5.3505200000000004</v>
      </c>
      <c r="AL841" s="19"/>
      <c r="AM841" s="16">
        <f t="shared" si="281"/>
        <v>262.17547999999999</v>
      </c>
      <c r="AN841" s="16"/>
      <c r="AO841" s="20"/>
      <c r="AP841" s="16">
        <f t="shared" si="280"/>
        <v>0</v>
      </c>
      <c r="AQ841" s="16"/>
      <c r="AR841" s="15"/>
      <c r="AS841" s="16">
        <f t="shared" si="283"/>
        <v>0</v>
      </c>
      <c r="AT841" s="16"/>
      <c r="AU841" s="16">
        <v>310.33016000000003</v>
      </c>
      <c r="AV841" s="16">
        <f t="shared" si="287"/>
        <v>310.33016000000003</v>
      </c>
      <c r="AW841" s="16">
        <f t="shared" si="293"/>
        <v>0</v>
      </c>
      <c r="AX841" s="16" t="str">
        <f t="shared" si="288"/>
        <v>SFA</v>
      </c>
      <c r="AY841" s="22">
        <v>45216</v>
      </c>
      <c r="BA841" s="1"/>
      <c r="BB841" s="22"/>
      <c r="BC841" s="1"/>
      <c r="BD841" s="1"/>
      <c r="BE841" s="1"/>
    </row>
    <row r="842" spans="1:57" ht="15.75" hidden="1" customHeight="1">
      <c r="A842" s="2" t="s">
        <v>784</v>
      </c>
      <c r="B842" s="1" t="s">
        <v>58</v>
      </c>
      <c r="C842" s="27">
        <v>45203</v>
      </c>
      <c r="D842" s="27">
        <v>45199</v>
      </c>
      <c r="E842" s="27">
        <v>45170</v>
      </c>
      <c r="F842" s="27">
        <v>45291</v>
      </c>
      <c r="G842" s="13" t="str">
        <f t="shared" si="279"/>
        <v>000-841/AIB RDC/2023</v>
      </c>
      <c r="H842" s="1">
        <v>0</v>
      </c>
      <c r="I842" s="1" t="s">
        <v>83</v>
      </c>
      <c r="J842" s="2" t="s">
        <v>1087</v>
      </c>
      <c r="K842" s="2" t="s">
        <v>154</v>
      </c>
      <c r="L842" s="1"/>
      <c r="M842" s="1" t="s">
        <v>95</v>
      </c>
      <c r="N842" s="1" t="s">
        <v>96</v>
      </c>
      <c r="O842" s="1" t="s">
        <v>894</v>
      </c>
      <c r="P842" s="1" t="s">
        <v>105</v>
      </c>
      <c r="Q842" s="1" t="s">
        <v>66</v>
      </c>
      <c r="R842" s="1" t="s">
        <v>66</v>
      </c>
      <c r="S842" s="25">
        <v>0</v>
      </c>
      <c r="T842" s="25">
        <v>1500.02</v>
      </c>
      <c r="U842" s="25">
        <v>0</v>
      </c>
      <c r="V842" s="25">
        <v>0</v>
      </c>
      <c r="W842" s="25">
        <v>44.1</v>
      </c>
      <c r="X842" s="25">
        <v>1249.02</v>
      </c>
      <c r="Y842" s="25">
        <v>206.9</v>
      </c>
      <c r="Z842" s="17" t="e">
        <f t="shared" si="289"/>
        <v>#DIV/0!</v>
      </c>
      <c r="AA842" s="18">
        <v>0.1</v>
      </c>
      <c r="AB842" s="16">
        <f t="shared" ref="AB842:AB873" si="296">AA842*X842</f>
        <v>124.902</v>
      </c>
      <c r="AC842" s="16">
        <v>0</v>
      </c>
      <c r="AD842" s="16">
        <v>0</v>
      </c>
      <c r="AE842" s="16">
        <v>0</v>
      </c>
      <c r="AF842" s="16">
        <f t="shared" si="290"/>
        <v>124.902</v>
      </c>
      <c r="AG842" s="16">
        <f t="shared" si="294"/>
        <v>19.98432</v>
      </c>
      <c r="AH842" s="16">
        <f t="shared" si="291"/>
        <v>144.88632000000001</v>
      </c>
      <c r="AI842" s="16">
        <f t="shared" si="295"/>
        <v>2.49804</v>
      </c>
      <c r="AJ842" s="16">
        <v>0</v>
      </c>
      <c r="AK842" s="16">
        <f t="shared" si="292"/>
        <v>2.49804</v>
      </c>
      <c r="AL842" s="19"/>
      <c r="AM842" s="16">
        <f t="shared" si="281"/>
        <v>122.40396</v>
      </c>
      <c r="AN842" s="16"/>
      <c r="AO842" s="20"/>
      <c r="AP842" s="16">
        <f t="shared" si="280"/>
        <v>0</v>
      </c>
      <c r="AQ842" s="16"/>
      <c r="AR842" s="15"/>
      <c r="AS842" s="16">
        <f t="shared" si="283"/>
        <v>0</v>
      </c>
      <c r="AT842" s="16"/>
      <c r="AU842" s="16">
        <v>144.88632000000001</v>
      </c>
      <c r="AV842" s="16">
        <f t="shared" si="287"/>
        <v>144.88632000000001</v>
      </c>
      <c r="AW842" s="16">
        <f t="shared" si="293"/>
        <v>0</v>
      </c>
      <c r="AX842" s="16" t="str">
        <f t="shared" si="288"/>
        <v>SFA</v>
      </c>
      <c r="AY842" s="22">
        <v>45216</v>
      </c>
      <c r="BA842" s="1"/>
      <c r="BB842" s="22"/>
      <c r="BC842" s="1"/>
      <c r="BD842" s="1"/>
      <c r="BE842" s="1"/>
    </row>
    <row r="843" spans="1:57" ht="15.75" hidden="1" customHeight="1">
      <c r="A843" s="2" t="s">
        <v>784</v>
      </c>
      <c r="B843" s="1" t="s">
        <v>58</v>
      </c>
      <c r="C843" s="27">
        <v>45203</v>
      </c>
      <c r="D843" s="27">
        <v>45167</v>
      </c>
      <c r="E843" s="27">
        <v>45188</v>
      </c>
      <c r="F843" s="27">
        <v>45341</v>
      </c>
      <c r="G843" s="13" t="str">
        <f t="shared" si="279"/>
        <v>000-842/AIB RDC/2023</v>
      </c>
      <c r="H843" s="1">
        <v>4</v>
      </c>
      <c r="I843" s="1" t="s">
        <v>59</v>
      </c>
      <c r="J843" s="2" t="s">
        <v>359</v>
      </c>
      <c r="K843" s="2" t="s">
        <v>93</v>
      </c>
      <c r="L843" s="1"/>
      <c r="M843" s="1" t="s">
        <v>95</v>
      </c>
      <c r="N843" s="1" t="s">
        <v>96</v>
      </c>
      <c r="O843" s="1" t="s">
        <v>133</v>
      </c>
      <c r="P843" s="1" t="s">
        <v>134</v>
      </c>
      <c r="Q843" s="1" t="s">
        <v>117</v>
      </c>
      <c r="R843" s="1" t="s">
        <v>117</v>
      </c>
      <c r="S843" s="25">
        <v>0</v>
      </c>
      <c r="T843" s="25">
        <v>2194.08</v>
      </c>
      <c r="U843" s="25">
        <v>0</v>
      </c>
      <c r="V843" s="25">
        <v>0</v>
      </c>
      <c r="W843" s="25">
        <v>18.73</v>
      </c>
      <c r="X843" s="25">
        <v>1872.72</v>
      </c>
      <c r="Y843" s="25">
        <v>302.63</v>
      </c>
      <c r="Z843" s="17" t="e">
        <f t="shared" si="289"/>
        <v>#DIV/0!</v>
      </c>
      <c r="AA843" s="18">
        <v>0.15</v>
      </c>
      <c r="AB843" s="16">
        <f t="shared" si="296"/>
        <v>280.90800000000002</v>
      </c>
      <c r="AC843" s="16">
        <v>0</v>
      </c>
      <c r="AD843" s="16">
        <v>0</v>
      </c>
      <c r="AE843" s="16">
        <v>0</v>
      </c>
      <c r="AF843" s="16">
        <f t="shared" si="290"/>
        <v>280.90800000000002</v>
      </c>
      <c r="AG843" s="16">
        <f t="shared" si="294"/>
        <v>44.945280000000004</v>
      </c>
      <c r="AH843" s="16">
        <f t="shared" si="291"/>
        <v>325.85328000000004</v>
      </c>
      <c r="AI843" s="16">
        <f t="shared" si="295"/>
        <v>5.6181600000000005</v>
      </c>
      <c r="AJ843" s="16">
        <v>0</v>
      </c>
      <c r="AK843" s="16">
        <f t="shared" si="292"/>
        <v>5.6181600000000005</v>
      </c>
      <c r="AL843" s="19"/>
      <c r="AM843" s="16">
        <f t="shared" si="281"/>
        <v>275.28984000000003</v>
      </c>
      <c r="AN843" s="16"/>
      <c r="AO843" s="20"/>
      <c r="AP843" s="16">
        <f t="shared" si="280"/>
        <v>0</v>
      </c>
      <c r="AQ843" s="16"/>
      <c r="AR843" s="15"/>
      <c r="AS843" s="16">
        <f t="shared" si="283"/>
        <v>0</v>
      </c>
      <c r="AT843" s="16"/>
      <c r="AU843" s="16">
        <v>325.85328000000004</v>
      </c>
      <c r="AV843" s="16">
        <f t="shared" si="287"/>
        <v>325.85328000000004</v>
      </c>
      <c r="AW843" s="16">
        <f t="shared" si="293"/>
        <v>0</v>
      </c>
      <c r="AX843" s="16" t="str">
        <f t="shared" si="288"/>
        <v>SUNU</v>
      </c>
      <c r="AY843" s="22">
        <v>45237</v>
      </c>
      <c r="BA843" s="1"/>
      <c r="BB843" s="22"/>
      <c r="BC843" s="1"/>
      <c r="BD843" s="1"/>
      <c r="BE843" s="1"/>
    </row>
    <row r="844" spans="1:57" ht="15.75" hidden="1" customHeight="1">
      <c r="A844" s="2" t="s">
        <v>784</v>
      </c>
      <c r="B844" s="1" t="s">
        <v>58</v>
      </c>
      <c r="C844" s="27">
        <v>45203</v>
      </c>
      <c r="D844" s="27">
        <v>45191</v>
      </c>
      <c r="E844" s="27">
        <v>45176</v>
      </c>
      <c r="F844" s="27">
        <v>45291</v>
      </c>
      <c r="G844" s="13" t="str">
        <f t="shared" si="279"/>
        <v>000-843/AIB RDC/2023</v>
      </c>
      <c r="H844" s="1">
        <v>5</v>
      </c>
      <c r="I844" s="1" t="s">
        <v>59</v>
      </c>
      <c r="J844" s="2" t="s">
        <v>92</v>
      </c>
      <c r="K844" s="2" t="s">
        <v>93</v>
      </c>
      <c r="L844" s="1"/>
      <c r="M844" s="1" t="s">
        <v>95</v>
      </c>
      <c r="N844" s="1" t="s">
        <v>96</v>
      </c>
      <c r="O844" s="1" t="s">
        <v>65</v>
      </c>
      <c r="P844" s="1" t="s">
        <v>65</v>
      </c>
      <c r="Q844" s="1" t="s">
        <v>76</v>
      </c>
      <c r="R844" s="1" t="s">
        <v>76</v>
      </c>
      <c r="S844" s="25">
        <v>0</v>
      </c>
      <c r="T844" s="25">
        <v>115.87</v>
      </c>
      <c r="U844" s="25">
        <v>0</v>
      </c>
      <c r="V844" s="25">
        <v>0</v>
      </c>
      <c r="W844" s="25">
        <v>10</v>
      </c>
      <c r="X844" s="25">
        <v>89.89</v>
      </c>
      <c r="Y844" s="25">
        <v>15.98</v>
      </c>
      <c r="Z844" s="17" t="e">
        <f t="shared" si="289"/>
        <v>#DIV/0!</v>
      </c>
      <c r="AA844" s="18">
        <v>0.1</v>
      </c>
      <c r="AB844" s="16">
        <f t="shared" si="296"/>
        <v>8.9890000000000008</v>
      </c>
      <c r="AC844" s="16">
        <v>0</v>
      </c>
      <c r="AD844" s="16">
        <v>0</v>
      </c>
      <c r="AE844" s="16">
        <v>0</v>
      </c>
      <c r="AF844" s="16">
        <f t="shared" si="290"/>
        <v>8.9890000000000008</v>
      </c>
      <c r="AG844" s="16">
        <f t="shared" si="294"/>
        <v>1.4382400000000002</v>
      </c>
      <c r="AH844" s="16">
        <f t="shared" si="291"/>
        <v>10.427240000000001</v>
      </c>
      <c r="AI844" s="16">
        <f t="shared" si="295"/>
        <v>0.17978000000000002</v>
      </c>
      <c r="AJ844" s="16">
        <v>0</v>
      </c>
      <c r="AK844" s="16">
        <f t="shared" si="292"/>
        <v>0.17978000000000002</v>
      </c>
      <c r="AL844" s="19"/>
      <c r="AM844" s="16">
        <f t="shared" si="281"/>
        <v>8.8092200000000016</v>
      </c>
      <c r="AN844" s="16" t="s">
        <v>77</v>
      </c>
      <c r="AO844" s="20"/>
      <c r="AP844" s="16">
        <f t="shared" si="280"/>
        <v>0</v>
      </c>
      <c r="AQ844" s="16"/>
      <c r="AR844" s="15"/>
      <c r="AS844" s="16">
        <f t="shared" si="283"/>
        <v>0</v>
      </c>
      <c r="AT844" s="16"/>
      <c r="AU844" s="16">
        <v>10.427240000000001</v>
      </c>
      <c r="AV844" s="16">
        <f t="shared" si="287"/>
        <v>10.427240000000001</v>
      </c>
      <c r="AW844" s="16">
        <f t="shared" si="293"/>
        <v>0</v>
      </c>
      <c r="AX844" s="16" t="str">
        <f t="shared" si="288"/>
        <v>ACTIVA</v>
      </c>
      <c r="AY844" s="22">
        <v>45222</v>
      </c>
      <c r="BA844" s="1"/>
      <c r="BB844" s="22"/>
      <c r="BC844" s="1"/>
      <c r="BD844" s="1"/>
      <c r="BE844" s="1"/>
    </row>
    <row r="845" spans="1:57" ht="15.75" hidden="1" customHeight="1">
      <c r="A845" s="2" t="s">
        <v>230</v>
      </c>
      <c r="B845" s="1" t="s">
        <v>58</v>
      </c>
      <c r="C845" s="27">
        <v>45203</v>
      </c>
      <c r="D845" s="27">
        <v>45194</v>
      </c>
      <c r="E845" s="27">
        <v>45047</v>
      </c>
      <c r="F845" s="27">
        <v>45412</v>
      </c>
      <c r="G845" s="13" t="str">
        <f t="shared" si="279"/>
        <v>000-844/AIB RDC/2023</v>
      </c>
      <c r="H845" s="1">
        <v>0</v>
      </c>
      <c r="I845" s="1" t="s">
        <v>83</v>
      </c>
      <c r="J845" s="2" t="s">
        <v>1088</v>
      </c>
      <c r="K845" s="2" t="s">
        <v>188</v>
      </c>
      <c r="L845" s="1"/>
      <c r="M845" s="1" t="s">
        <v>95</v>
      </c>
      <c r="N845" s="1" t="s">
        <v>96</v>
      </c>
      <c r="O845" s="1" t="s">
        <v>111</v>
      </c>
      <c r="P845" s="1" t="s">
        <v>112</v>
      </c>
      <c r="Q845" s="1" t="s">
        <v>76</v>
      </c>
      <c r="R845" s="1" t="s">
        <v>76</v>
      </c>
      <c r="S845" s="25">
        <v>0</v>
      </c>
      <c r="T845" s="25">
        <v>4643.33</v>
      </c>
      <c r="U845" s="25">
        <v>0</v>
      </c>
      <c r="V845" s="25">
        <v>0</v>
      </c>
      <c r="W845" s="25">
        <v>39.630000000000003</v>
      </c>
      <c r="X845" s="25">
        <v>3963.24</v>
      </c>
      <c r="Y845" s="25">
        <v>640.46</v>
      </c>
      <c r="Z845" s="17" t="e">
        <f t="shared" si="289"/>
        <v>#DIV/0!</v>
      </c>
      <c r="AA845" s="18">
        <v>0.15</v>
      </c>
      <c r="AB845" s="16">
        <f t="shared" si="296"/>
        <v>594.48599999999999</v>
      </c>
      <c r="AC845" s="16">
        <v>0</v>
      </c>
      <c r="AD845" s="16">
        <v>0</v>
      </c>
      <c r="AE845" s="16">
        <v>0</v>
      </c>
      <c r="AF845" s="16">
        <f t="shared" si="290"/>
        <v>594.48599999999999</v>
      </c>
      <c r="AG845" s="16">
        <f t="shared" si="294"/>
        <v>95.117760000000004</v>
      </c>
      <c r="AH845" s="16">
        <f t="shared" si="291"/>
        <v>689.60375999999997</v>
      </c>
      <c r="AI845" s="16">
        <f t="shared" si="295"/>
        <v>11.889720000000001</v>
      </c>
      <c r="AJ845" s="16">
        <v>0</v>
      </c>
      <c r="AK845" s="16">
        <f t="shared" si="292"/>
        <v>11.889720000000001</v>
      </c>
      <c r="AL845" s="19"/>
      <c r="AM845" s="16">
        <f t="shared" si="281"/>
        <v>582.59627999999998</v>
      </c>
      <c r="AN845" s="16" t="s">
        <v>77</v>
      </c>
      <c r="AO845" s="20"/>
      <c r="AP845" s="16">
        <f t="shared" si="280"/>
        <v>0</v>
      </c>
      <c r="AQ845" s="16"/>
      <c r="AR845" s="15"/>
      <c r="AS845" s="16">
        <f t="shared" si="283"/>
        <v>0</v>
      </c>
      <c r="AT845" s="16"/>
      <c r="AU845" s="16">
        <v>689.60375999999997</v>
      </c>
      <c r="AV845" s="16">
        <f t="shared" si="287"/>
        <v>689.60375999999997</v>
      </c>
      <c r="AW845" s="16">
        <f t="shared" si="293"/>
        <v>0</v>
      </c>
      <c r="AX845" s="16" t="str">
        <f t="shared" si="288"/>
        <v>ACTIVA</v>
      </c>
      <c r="AY845" s="22">
        <v>45222</v>
      </c>
      <c r="BA845" s="1"/>
      <c r="BB845" s="22"/>
      <c r="BC845" s="1"/>
      <c r="BD845" s="1"/>
      <c r="BE845" s="1"/>
    </row>
    <row r="846" spans="1:57" ht="15.75" customHeight="1">
      <c r="A846" s="2" t="s">
        <v>1005</v>
      </c>
      <c r="B846" s="1" t="s">
        <v>169</v>
      </c>
      <c r="C846" s="27">
        <v>45198</v>
      </c>
      <c r="D846" s="27">
        <v>45212</v>
      </c>
      <c r="E846" s="27">
        <v>45212</v>
      </c>
      <c r="F846" s="27">
        <v>45211</v>
      </c>
      <c r="G846" s="13" t="str">
        <f t="shared" si="279"/>
        <v>000-845/AIB RDC/2023</v>
      </c>
      <c r="H846" s="1">
        <v>1</v>
      </c>
      <c r="I846" s="1" t="s">
        <v>68</v>
      </c>
      <c r="J846" s="2" t="s">
        <v>1033</v>
      </c>
      <c r="K846" s="2" t="s">
        <v>1031</v>
      </c>
      <c r="L846" s="1"/>
      <c r="M846" s="1" t="s">
        <v>99</v>
      </c>
      <c r="N846" s="1" t="s">
        <v>1021</v>
      </c>
      <c r="O846" s="1" t="s">
        <v>111</v>
      </c>
      <c r="P846" s="1" t="s">
        <v>112</v>
      </c>
      <c r="Q846" s="1" t="s">
        <v>117</v>
      </c>
      <c r="R846" s="1" t="s">
        <v>117</v>
      </c>
      <c r="S846" s="25">
        <v>1000000</v>
      </c>
      <c r="T846" s="25">
        <v>9372.7999999999993</v>
      </c>
      <c r="U846" s="25">
        <v>0</v>
      </c>
      <c r="V846" s="25">
        <v>0</v>
      </c>
      <c r="W846" s="25">
        <v>80</v>
      </c>
      <c r="X846" s="25">
        <v>8000</v>
      </c>
      <c r="Y846" s="25">
        <v>1292.8</v>
      </c>
      <c r="Z846" s="17">
        <f t="shared" si="289"/>
        <v>8.0000000000000002E-3</v>
      </c>
      <c r="AA846" s="18">
        <v>0.1</v>
      </c>
      <c r="AB846" s="16">
        <f t="shared" si="296"/>
        <v>800</v>
      </c>
      <c r="AC846" s="16">
        <v>0</v>
      </c>
      <c r="AD846" s="16">
        <v>0</v>
      </c>
      <c r="AE846" s="16">
        <v>0</v>
      </c>
      <c r="AF846" s="16">
        <f t="shared" si="290"/>
        <v>800</v>
      </c>
      <c r="AG846" s="16">
        <f t="shared" si="294"/>
        <v>128</v>
      </c>
      <c r="AH846" s="16">
        <f t="shared" si="291"/>
        <v>928</v>
      </c>
      <c r="AI846" s="16">
        <f t="shared" si="295"/>
        <v>16</v>
      </c>
      <c r="AJ846" s="16">
        <v>0</v>
      </c>
      <c r="AK846" s="16">
        <f t="shared" si="292"/>
        <v>16</v>
      </c>
      <c r="AL846" s="19"/>
      <c r="AM846" s="16">
        <f t="shared" si="281"/>
        <v>784</v>
      </c>
      <c r="AN846" s="16"/>
      <c r="AO846" s="20"/>
      <c r="AP846" s="16">
        <f t="shared" si="280"/>
        <v>0</v>
      </c>
      <c r="AQ846" s="16"/>
      <c r="AR846" s="15"/>
      <c r="AS846" s="16">
        <f t="shared" si="283"/>
        <v>0</v>
      </c>
      <c r="AT846" s="16"/>
      <c r="AU846" s="16"/>
      <c r="AV846" s="16">
        <f t="shared" si="287"/>
        <v>928</v>
      </c>
      <c r="AW846" s="60">
        <f t="shared" si="293"/>
        <v>928</v>
      </c>
      <c r="AX846" s="16" t="str">
        <f t="shared" si="288"/>
        <v>SUNU</v>
      </c>
      <c r="AY846" s="22"/>
      <c r="BA846" s="1"/>
      <c r="BB846" s="22"/>
      <c r="BC846" s="1"/>
      <c r="BD846" s="1"/>
      <c r="BE846" s="1"/>
    </row>
    <row r="847" spans="1:57" ht="15.75" customHeight="1">
      <c r="A847" s="2" t="s">
        <v>1005</v>
      </c>
      <c r="B847" s="1" t="s">
        <v>169</v>
      </c>
      <c r="C847" s="27">
        <v>45198</v>
      </c>
      <c r="D847" s="27">
        <v>45212</v>
      </c>
      <c r="E847" s="27">
        <v>45212</v>
      </c>
      <c r="F847" s="27">
        <v>45577</v>
      </c>
      <c r="G847" s="13" t="str">
        <f t="shared" si="279"/>
        <v>000-846/AIB RDC/2023</v>
      </c>
      <c r="H847" s="1">
        <v>1</v>
      </c>
      <c r="I847" s="1" t="s">
        <v>68</v>
      </c>
      <c r="J847" s="2" t="s">
        <v>1034</v>
      </c>
      <c r="K847" s="2" t="s">
        <v>1031</v>
      </c>
      <c r="L847" s="1"/>
      <c r="M847" s="1" t="s">
        <v>99</v>
      </c>
      <c r="N847" s="1" t="s">
        <v>1021</v>
      </c>
      <c r="O847" s="1" t="s">
        <v>111</v>
      </c>
      <c r="P847" s="1" t="s">
        <v>112</v>
      </c>
      <c r="Q847" s="1" t="s">
        <v>117</v>
      </c>
      <c r="R847" s="1" t="s">
        <v>117</v>
      </c>
      <c r="S847" s="25">
        <v>1000000</v>
      </c>
      <c r="T847" s="25">
        <v>16988.2</v>
      </c>
      <c r="U847" s="25">
        <v>0</v>
      </c>
      <c r="V847" s="25">
        <v>0</v>
      </c>
      <c r="W847" s="25">
        <v>145</v>
      </c>
      <c r="X847" s="25">
        <v>14500</v>
      </c>
      <c r="Y847" s="25">
        <v>2343.1999999999998</v>
      </c>
      <c r="Z847" s="17">
        <f t="shared" si="289"/>
        <v>1.4500000000000001E-2</v>
      </c>
      <c r="AA847" s="18">
        <v>0.1</v>
      </c>
      <c r="AB847" s="16">
        <f t="shared" si="296"/>
        <v>1450</v>
      </c>
      <c r="AC847" s="16">
        <v>0</v>
      </c>
      <c r="AD847" s="16">
        <v>0</v>
      </c>
      <c r="AE847" s="16">
        <v>0</v>
      </c>
      <c r="AF847" s="16">
        <f t="shared" si="290"/>
        <v>1450</v>
      </c>
      <c r="AG847" s="16">
        <f t="shared" si="294"/>
        <v>232</v>
      </c>
      <c r="AH847" s="16">
        <f t="shared" si="291"/>
        <v>1682</v>
      </c>
      <c r="AI847" s="16">
        <f t="shared" si="295"/>
        <v>29</v>
      </c>
      <c r="AJ847" s="16">
        <v>0</v>
      </c>
      <c r="AK847" s="16">
        <f t="shared" si="292"/>
        <v>29</v>
      </c>
      <c r="AL847" s="19"/>
      <c r="AM847" s="16">
        <f t="shared" si="281"/>
        <v>1421</v>
      </c>
      <c r="AN847" s="16"/>
      <c r="AO847" s="20"/>
      <c r="AP847" s="16">
        <f t="shared" si="280"/>
        <v>0</v>
      </c>
      <c r="AQ847" s="16"/>
      <c r="AR847" s="15"/>
      <c r="AS847" s="16">
        <f t="shared" si="283"/>
        <v>0</v>
      </c>
      <c r="AT847" s="16"/>
      <c r="AU847" s="16"/>
      <c r="AV847" s="16">
        <f t="shared" si="287"/>
        <v>1682</v>
      </c>
      <c r="AW847" s="60">
        <f t="shared" si="293"/>
        <v>1682</v>
      </c>
      <c r="AX847" s="16" t="str">
        <f t="shared" si="288"/>
        <v>SUNU</v>
      </c>
      <c r="AY847" s="22"/>
      <c r="BA847" s="1"/>
      <c r="BB847" s="22"/>
      <c r="BC847" s="1"/>
      <c r="BD847" s="1"/>
      <c r="BE847" s="1"/>
    </row>
    <row r="848" spans="1:57" ht="15.75" customHeight="1">
      <c r="A848" s="2" t="s">
        <v>784</v>
      </c>
      <c r="B848" s="1" t="s">
        <v>169</v>
      </c>
      <c r="C848" s="27">
        <v>45232</v>
      </c>
      <c r="D848" s="27">
        <v>45209</v>
      </c>
      <c r="E848" s="27">
        <v>45170</v>
      </c>
      <c r="F848" s="27">
        <v>45260</v>
      </c>
      <c r="G848" s="13" t="str">
        <f t="shared" si="279"/>
        <v>000-847/AIB RDC/2023</v>
      </c>
      <c r="H848" s="1">
        <v>1</v>
      </c>
      <c r="I848" s="1" t="s">
        <v>68</v>
      </c>
      <c r="J848" s="29">
        <v>10200002</v>
      </c>
      <c r="K848" s="1" t="s">
        <v>988</v>
      </c>
      <c r="L848" s="1"/>
      <c r="M848" s="1" t="s">
        <v>74</v>
      </c>
      <c r="N848" s="1" t="s">
        <v>724</v>
      </c>
      <c r="O848" s="2" t="s">
        <v>80</v>
      </c>
      <c r="P848" s="2" t="s">
        <v>81</v>
      </c>
      <c r="Q848" s="2" t="s">
        <v>135</v>
      </c>
      <c r="R848" s="2" t="s">
        <v>135</v>
      </c>
      <c r="S848" s="25">
        <v>0</v>
      </c>
      <c r="T848" s="25">
        <v>123825.14</v>
      </c>
      <c r="U848" s="25">
        <v>0</v>
      </c>
      <c r="V848" s="25">
        <v>0</v>
      </c>
      <c r="W848" s="25">
        <v>0</v>
      </c>
      <c r="X848" s="25">
        <v>121397.2</v>
      </c>
      <c r="Y848" s="25">
        <v>0</v>
      </c>
      <c r="Z848" s="17" t="e">
        <f t="shared" si="289"/>
        <v>#DIV/0!</v>
      </c>
      <c r="AA848" s="18">
        <v>0.1</v>
      </c>
      <c r="AB848" s="16">
        <f t="shared" si="296"/>
        <v>12139.720000000001</v>
      </c>
      <c r="AC848" s="16">
        <v>0</v>
      </c>
      <c r="AD848" s="16">
        <v>0</v>
      </c>
      <c r="AE848" s="16">
        <v>0</v>
      </c>
      <c r="AF848" s="16">
        <f t="shared" si="290"/>
        <v>12139.720000000001</v>
      </c>
      <c r="AG848" s="16">
        <f t="shared" si="294"/>
        <v>1942.3552000000002</v>
      </c>
      <c r="AH848" s="16">
        <f t="shared" si="291"/>
        <v>14082.075200000001</v>
      </c>
      <c r="AI848" s="16">
        <f t="shared" si="295"/>
        <v>242.79440000000002</v>
      </c>
      <c r="AJ848" s="16">
        <v>0</v>
      </c>
      <c r="AK848" s="16">
        <f t="shared" si="292"/>
        <v>242.79440000000002</v>
      </c>
      <c r="AL848" s="19"/>
      <c r="AM848" s="16">
        <f t="shared" si="281"/>
        <v>11896.9256</v>
      </c>
      <c r="AN848" s="16" t="s">
        <v>91</v>
      </c>
      <c r="AO848" s="20">
        <v>0.7</v>
      </c>
      <c r="AP848" s="16">
        <f t="shared" si="280"/>
        <v>8327.8479200000002</v>
      </c>
      <c r="AQ848" s="16"/>
      <c r="AR848" s="15"/>
      <c r="AS848" s="16">
        <f t="shared" si="283"/>
        <v>8327.8479200000002</v>
      </c>
      <c r="AT848" s="16"/>
      <c r="AU848" s="16">
        <v>7041.04</v>
      </c>
      <c r="AV848" s="16">
        <f t="shared" si="287"/>
        <v>14082.075200000001</v>
      </c>
      <c r="AW848" s="60">
        <f t="shared" si="293"/>
        <v>7041.0352000000012</v>
      </c>
      <c r="AX848" s="16" t="str">
        <f t="shared" si="288"/>
        <v>RAWSUR</v>
      </c>
      <c r="AY848" s="22">
        <v>45240</v>
      </c>
      <c r="BA848" s="1"/>
      <c r="BB848" s="22"/>
      <c r="BC848" s="1"/>
      <c r="BD848" s="1"/>
      <c r="BE848" s="1"/>
    </row>
    <row r="849" spans="1:57" ht="15.75" hidden="1" customHeight="1">
      <c r="A849" s="2" t="s">
        <v>784</v>
      </c>
      <c r="B849" s="1" t="s">
        <v>58</v>
      </c>
      <c r="C849" s="27">
        <v>45203</v>
      </c>
      <c r="D849" s="27">
        <v>45197</v>
      </c>
      <c r="E849" s="27">
        <v>45197</v>
      </c>
      <c r="F849" s="27">
        <v>45310</v>
      </c>
      <c r="G849" s="13" t="str">
        <f t="shared" si="279"/>
        <v>000-848/AIB RDC/2023</v>
      </c>
      <c r="H849" s="1">
        <v>0</v>
      </c>
      <c r="I849" s="1" t="s">
        <v>83</v>
      </c>
      <c r="J849" s="2" t="s">
        <v>1092</v>
      </c>
      <c r="K849" s="2" t="s">
        <v>154</v>
      </c>
      <c r="L849" s="1"/>
      <c r="M849" s="1" t="s">
        <v>95</v>
      </c>
      <c r="N849" s="1" t="s">
        <v>644</v>
      </c>
      <c r="O849" s="28" t="s">
        <v>133</v>
      </c>
      <c r="P849" s="1" t="s">
        <v>134</v>
      </c>
      <c r="Q849" s="1" t="s">
        <v>66</v>
      </c>
      <c r="R849" s="1" t="s">
        <v>66</v>
      </c>
      <c r="S849" s="25">
        <v>0</v>
      </c>
      <c r="T849" s="25">
        <v>1306.68</v>
      </c>
      <c r="U849" s="25">
        <v>0</v>
      </c>
      <c r="V849" s="25">
        <v>0</v>
      </c>
      <c r="W849" s="25">
        <v>40.340000000000003</v>
      </c>
      <c r="X849" s="25">
        <v>1086.1099999999999</v>
      </c>
      <c r="Y849" s="25">
        <v>180.23</v>
      </c>
      <c r="Z849" s="17" t="e">
        <f t="shared" si="289"/>
        <v>#DIV/0!</v>
      </c>
      <c r="AA849" s="18">
        <v>0.15</v>
      </c>
      <c r="AB849" s="16">
        <f t="shared" si="296"/>
        <v>162.91649999999998</v>
      </c>
      <c r="AC849" s="16">
        <v>0</v>
      </c>
      <c r="AD849" s="16">
        <v>0</v>
      </c>
      <c r="AE849" s="16">
        <v>0</v>
      </c>
      <c r="AF849" s="16">
        <f t="shared" si="290"/>
        <v>162.91649999999998</v>
      </c>
      <c r="AG849" s="16">
        <f t="shared" si="294"/>
        <v>26.06664</v>
      </c>
      <c r="AH849" s="16">
        <f t="shared" si="291"/>
        <v>188.98313999999999</v>
      </c>
      <c r="AI849" s="16">
        <f t="shared" si="295"/>
        <v>3.2583299999999999</v>
      </c>
      <c r="AJ849" s="16">
        <v>0</v>
      </c>
      <c r="AK849" s="16">
        <f t="shared" si="292"/>
        <v>3.2583299999999999</v>
      </c>
      <c r="AL849" s="19"/>
      <c r="AM849" s="16">
        <f t="shared" si="281"/>
        <v>159.65816999999998</v>
      </c>
      <c r="AN849" s="16"/>
      <c r="AO849" s="20"/>
      <c r="AP849" s="16">
        <f t="shared" si="280"/>
        <v>0</v>
      </c>
      <c r="AQ849" s="16"/>
      <c r="AR849" s="15"/>
      <c r="AS849" s="16">
        <f t="shared" si="283"/>
        <v>0</v>
      </c>
      <c r="AT849" s="16"/>
      <c r="AU849" s="16">
        <v>188.98313999999999</v>
      </c>
      <c r="AV849" s="16">
        <f t="shared" si="287"/>
        <v>188.98313999999999</v>
      </c>
      <c r="AW849" s="16">
        <f t="shared" si="293"/>
        <v>0</v>
      </c>
      <c r="AX849" s="16" t="str">
        <f t="shared" si="288"/>
        <v>SFA</v>
      </c>
      <c r="AY849" s="22">
        <v>45216</v>
      </c>
      <c r="BA849" s="1"/>
      <c r="BB849" s="22"/>
      <c r="BC849" s="1"/>
      <c r="BD849" s="1"/>
      <c r="BE849" s="1"/>
    </row>
    <row r="850" spans="1:57" ht="15.75" hidden="1" customHeight="1">
      <c r="A850" s="2" t="s">
        <v>784</v>
      </c>
      <c r="B850" s="1" t="s">
        <v>58</v>
      </c>
      <c r="C850" s="27">
        <v>45203</v>
      </c>
      <c r="D850" s="27">
        <v>45197</v>
      </c>
      <c r="E850" s="27">
        <v>45197</v>
      </c>
      <c r="F850" s="27">
        <v>45562</v>
      </c>
      <c r="G850" s="13" t="str">
        <f t="shared" si="279"/>
        <v>000-849/AIB RDC/2023</v>
      </c>
      <c r="H850" s="1">
        <v>0</v>
      </c>
      <c r="I850" s="1" t="s">
        <v>83</v>
      </c>
      <c r="J850" s="2" t="s">
        <v>1093</v>
      </c>
      <c r="K850" s="2" t="s">
        <v>197</v>
      </c>
      <c r="L850" s="1"/>
      <c r="M850" s="1" t="s">
        <v>95</v>
      </c>
      <c r="N850" s="1" t="s">
        <v>836</v>
      </c>
      <c r="O850" s="1" t="s">
        <v>104</v>
      </c>
      <c r="P850" s="1" t="s">
        <v>105</v>
      </c>
      <c r="Q850" s="1" t="s">
        <v>135</v>
      </c>
      <c r="R850" s="1" t="s">
        <v>135</v>
      </c>
      <c r="S850" s="25">
        <v>277096</v>
      </c>
      <c r="T850" s="25">
        <v>1814.68</v>
      </c>
      <c r="U850" s="25">
        <v>0</v>
      </c>
      <c r="V850" s="25">
        <v>0</v>
      </c>
      <c r="W850" s="25">
        <v>40.340000000000003</v>
      </c>
      <c r="X850" s="25">
        <v>1204.8599999999999</v>
      </c>
      <c r="Y850" s="25">
        <v>246.05</v>
      </c>
      <c r="Z850" s="17">
        <f t="shared" si="289"/>
        <v>4.3481681438923689E-3</v>
      </c>
      <c r="AA850" s="18">
        <v>0.15</v>
      </c>
      <c r="AB850" s="16">
        <f t="shared" si="296"/>
        <v>180.72899999999998</v>
      </c>
      <c r="AC850" s="16">
        <v>0</v>
      </c>
      <c r="AD850" s="16">
        <v>0</v>
      </c>
      <c r="AE850" s="16">
        <v>0</v>
      </c>
      <c r="AF850" s="16">
        <f t="shared" si="290"/>
        <v>180.72899999999998</v>
      </c>
      <c r="AG850" s="16">
        <f t="shared" si="294"/>
        <v>28.916639999999997</v>
      </c>
      <c r="AH850" s="16">
        <f t="shared" si="291"/>
        <v>209.64563999999999</v>
      </c>
      <c r="AI850" s="16">
        <f t="shared" si="295"/>
        <v>3.6145799999999997</v>
      </c>
      <c r="AJ850" s="16">
        <v>0</v>
      </c>
      <c r="AK850" s="16">
        <f t="shared" si="292"/>
        <v>3.6145799999999997</v>
      </c>
      <c r="AL850" s="19"/>
      <c r="AM850" s="16">
        <f t="shared" si="281"/>
        <v>177.11442</v>
      </c>
      <c r="AN850" s="16" t="s">
        <v>147</v>
      </c>
      <c r="AO850" s="20">
        <v>0.4</v>
      </c>
      <c r="AP850" s="16">
        <f t="shared" si="280"/>
        <v>70.845768000000007</v>
      </c>
      <c r="AQ850" s="16"/>
      <c r="AR850" s="15"/>
      <c r="AS850" s="16">
        <f t="shared" si="283"/>
        <v>70.845768000000007</v>
      </c>
      <c r="AT850" s="16"/>
      <c r="AU850" s="16">
        <v>209.64563999999999</v>
      </c>
      <c r="AV850" s="16">
        <f t="shared" si="287"/>
        <v>209.64563999999999</v>
      </c>
      <c r="AW850" s="16">
        <f t="shared" si="293"/>
        <v>0</v>
      </c>
      <c r="AX850" s="16" t="str">
        <f t="shared" si="288"/>
        <v>RAWSUR</v>
      </c>
      <c r="AY850" s="22">
        <v>45219</v>
      </c>
      <c r="BA850" s="1"/>
      <c r="BB850" s="22"/>
      <c r="BC850" s="1"/>
      <c r="BD850" s="1"/>
      <c r="BE850" s="1"/>
    </row>
    <row r="851" spans="1:57" ht="15.75" hidden="1" customHeight="1">
      <c r="A851" s="2" t="s">
        <v>784</v>
      </c>
      <c r="B851" s="1" t="s">
        <v>58</v>
      </c>
      <c r="C851" s="27">
        <v>45203</v>
      </c>
      <c r="D851" s="27">
        <v>45198</v>
      </c>
      <c r="E851" s="27">
        <v>45198</v>
      </c>
      <c r="F851" s="27">
        <v>45563</v>
      </c>
      <c r="G851" s="13" t="str">
        <f t="shared" si="279"/>
        <v>000-850/AIB RDC/2023</v>
      </c>
      <c r="H851" s="1">
        <v>0</v>
      </c>
      <c r="I851" s="1" t="s">
        <v>83</v>
      </c>
      <c r="J851" s="2" t="s">
        <v>1094</v>
      </c>
      <c r="K851" s="2" t="s">
        <v>1095</v>
      </c>
      <c r="L851" s="1"/>
      <c r="M851" s="1" t="s">
        <v>95</v>
      </c>
      <c r="N851" s="1" t="s">
        <v>836</v>
      </c>
      <c r="O851" s="28" t="s">
        <v>104</v>
      </c>
      <c r="P851" s="1" t="s">
        <v>105</v>
      </c>
      <c r="Q851" s="1" t="s">
        <v>66</v>
      </c>
      <c r="R851" s="1" t="s">
        <v>66</v>
      </c>
      <c r="S851" s="25">
        <v>559.33000000000004</v>
      </c>
      <c r="T851" s="25">
        <v>49.85</v>
      </c>
      <c r="U851" s="25">
        <v>0</v>
      </c>
      <c r="V851" s="25">
        <v>0</v>
      </c>
      <c r="W851" s="25">
        <v>6.42</v>
      </c>
      <c r="X851" s="25">
        <v>15</v>
      </c>
      <c r="Y851" s="25">
        <v>3.43</v>
      </c>
      <c r="Z851" s="17">
        <f t="shared" si="289"/>
        <v>2.6817799867698854E-2</v>
      </c>
      <c r="AA851" s="18">
        <v>0.15</v>
      </c>
      <c r="AB851" s="16">
        <f t="shared" si="296"/>
        <v>2.25</v>
      </c>
      <c r="AC851" s="16">
        <v>0</v>
      </c>
      <c r="AD851" s="16">
        <v>0</v>
      </c>
      <c r="AE851" s="16">
        <v>0</v>
      </c>
      <c r="AF851" s="16">
        <f t="shared" si="290"/>
        <v>2.25</v>
      </c>
      <c r="AG851" s="16">
        <f t="shared" si="294"/>
        <v>0.36</v>
      </c>
      <c r="AH851" s="16">
        <f t="shared" si="291"/>
        <v>2.61</v>
      </c>
      <c r="AI851" s="16">
        <f t="shared" si="295"/>
        <v>4.4999999999999998E-2</v>
      </c>
      <c r="AJ851" s="16">
        <v>0</v>
      </c>
      <c r="AK851" s="16">
        <f t="shared" si="292"/>
        <v>4.4999999999999998E-2</v>
      </c>
      <c r="AL851" s="19"/>
      <c r="AM851" s="16">
        <f t="shared" si="281"/>
        <v>2.2050000000000001</v>
      </c>
      <c r="AN851" s="16" t="s">
        <v>147</v>
      </c>
      <c r="AO851" s="20">
        <v>0.4</v>
      </c>
      <c r="AP851" s="16">
        <f t="shared" si="280"/>
        <v>0.88200000000000012</v>
      </c>
      <c r="AQ851" s="16">
        <v>0.88200000000000012</v>
      </c>
      <c r="AR851" s="15">
        <v>45229</v>
      </c>
      <c r="AS851" s="16">
        <f t="shared" si="283"/>
        <v>0</v>
      </c>
      <c r="AT851" s="16"/>
      <c r="AU851" s="16">
        <v>2.61</v>
      </c>
      <c r="AV851" s="16">
        <f t="shared" si="287"/>
        <v>2.61</v>
      </c>
      <c r="AW851" s="16">
        <f t="shared" si="293"/>
        <v>0</v>
      </c>
      <c r="AX851" s="16" t="str">
        <f t="shared" si="288"/>
        <v>SFA</v>
      </c>
      <c r="AY851" s="22">
        <v>45216</v>
      </c>
      <c r="BA851" s="1"/>
      <c r="BB851" s="22"/>
      <c r="BC851" s="1"/>
      <c r="BD851" s="1"/>
      <c r="BE851" s="1"/>
    </row>
    <row r="852" spans="1:57" ht="15.75" customHeight="1">
      <c r="A852" s="2" t="s">
        <v>165</v>
      </c>
      <c r="B852" s="1" t="s">
        <v>58</v>
      </c>
      <c r="C852" s="27">
        <v>44989</v>
      </c>
      <c r="D852" s="27">
        <v>44986</v>
      </c>
      <c r="E852" s="27">
        <v>44986</v>
      </c>
      <c r="F852" s="27">
        <v>45077</v>
      </c>
      <c r="G852" s="13" t="str">
        <f t="shared" si="279"/>
        <v>000-851/AIB RDC/2023</v>
      </c>
      <c r="H852" s="1">
        <v>1</v>
      </c>
      <c r="I852" s="1" t="s">
        <v>189</v>
      </c>
      <c r="J852" s="2" t="s">
        <v>1134</v>
      </c>
      <c r="K852" s="2" t="s">
        <v>988</v>
      </c>
      <c r="L852" s="1"/>
      <c r="M852" s="2" t="s">
        <v>74</v>
      </c>
      <c r="N852" s="2" t="s">
        <v>724</v>
      </c>
      <c r="O852" s="2" t="s">
        <v>80</v>
      </c>
      <c r="P852" s="2" t="s">
        <v>81</v>
      </c>
      <c r="Q852" s="2" t="s">
        <v>135</v>
      </c>
      <c r="R852" s="2" t="s">
        <v>1135</v>
      </c>
      <c r="S852" s="25">
        <v>0</v>
      </c>
      <c r="T852" s="25">
        <v>126462.5</v>
      </c>
      <c r="U852" s="25">
        <v>0</v>
      </c>
      <c r="V852" s="25">
        <v>0</v>
      </c>
      <c r="W852" s="25">
        <v>0</v>
      </c>
      <c r="X852" s="25">
        <v>123982.84</v>
      </c>
      <c r="Y852" s="25">
        <v>0</v>
      </c>
      <c r="Z852" s="17" t="e">
        <f t="shared" si="289"/>
        <v>#DIV/0!</v>
      </c>
      <c r="AA852" s="18">
        <v>0.1</v>
      </c>
      <c r="AB852" s="16">
        <f t="shared" si="296"/>
        <v>12398.284</v>
      </c>
      <c r="AC852" s="16">
        <v>0</v>
      </c>
      <c r="AD852" s="16">
        <v>0</v>
      </c>
      <c r="AE852" s="16">
        <v>0</v>
      </c>
      <c r="AF852" s="16">
        <f t="shared" si="290"/>
        <v>12398.284</v>
      </c>
      <c r="AG852" s="16">
        <v>0</v>
      </c>
      <c r="AH852" s="16">
        <f t="shared" si="291"/>
        <v>12398.284</v>
      </c>
      <c r="AI852" s="16">
        <f t="shared" si="295"/>
        <v>247.96567999999999</v>
      </c>
      <c r="AJ852" s="16">
        <v>0</v>
      </c>
      <c r="AK852" s="16">
        <f t="shared" si="292"/>
        <v>247.96567999999999</v>
      </c>
      <c r="AL852" s="19"/>
      <c r="AM852" s="16">
        <f t="shared" si="281"/>
        <v>12150.31832</v>
      </c>
      <c r="AN852" s="16" t="s">
        <v>91</v>
      </c>
      <c r="AO852" s="20">
        <v>0.7</v>
      </c>
      <c r="AP852" s="16">
        <f t="shared" si="280"/>
        <v>8505.2228240000004</v>
      </c>
      <c r="AQ852" s="16"/>
      <c r="AR852" s="15"/>
      <c r="AS852" s="16">
        <f t="shared" si="283"/>
        <v>8505.2228240000004</v>
      </c>
      <c r="AT852" s="16"/>
      <c r="AU852" s="16"/>
      <c r="AV852" s="16">
        <f t="shared" si="287"/>
        <v>12398.284</v>
      </c>
      <c r="AW852" s="60">
        <f t="shared" si="293"/>
        <v>12398.284</v>
      </c>
      <c r="AX852" s="16" t="str">
        <f t="shared" si="288"/>
        <v>RAWSUR</v>
      </c>
      <c r="AY852" s="22"/>
      <c r="BA852" s="1"/>
      <c r="BB852" s="22"/>
      <c r="BC852" s="1"/>
      <c r="BD852" s="1"/>
      <c r="BE852" s="1"/>
    </row>
    <row r="853" spans="1:57" ht="15.75" hidden="1" customHeight="1">
      <c r="A853" s="2" t="s">
        <v>784</v>
      </c>
      <c r="B853" s="1" t="s">
        <v>58</v>
      </c>
      <c r="C853" s="27">
        <v>45204</v>
      </c>
      <c r="D853" s="27">
        <v>45198</v>
      </c>
      <c r="E853" s="27">
        <v>45191</v>
      </c>
      <c r="F853" s="27">
        <v>45555</v>
      </c>
      <c r="G853" s="13" t="str">
        <f t="shared" ref="G853:G903" si="297">TEXT(ROW(G853)-1,"000-000") &amp; "/AIB RDC/2023"</f>
        <v>000-852/AIB RDC/2023</v>
      </c>
      <c r="H853" s="1">
        <v>0</v>
      </c>
      <c r="I853" s="1" t="s">
        <v>83</v>
      </c>
      <c r="J853" s="2" t="s">
        <v>1097</v>
      </c>
      <c r="K853" s="2" t="s">
        <v>209</v>
      </c>
      <c r="L853" s="1"/>
      <c r="M853" s="1" t="s">
        <v>95</v>
      </c>
      <c r="N853" s="1" t="s">
        <v>836</v>
      </c>
      <c r="O853" s="28" t="s">
        <v>104</v>
      </c>
      <c r="P853" s="1" t="s">
        <v>105</v>
      </c>
      <c r="Q853" s="1" t="s">
        <v>66</v>
      </c>
      <c r="R853" s="1" t="s">
        <v>66</v>
      </c>
      <c r="S853" s="25">
        <v>383965.32</v>
      </c>
      <c r="T853" s="25">
        <v>644.20000000000005</v>
      </c>
      <c r="U853" s="25">
        <v>0</v>
      </c>
      <c r="V853" s="25">
        <v>0</v>
      </c>
      <c r="W853" s="25">
        <v>16.47</v>
      </c>
      <c r="X853" s="25">
        <v>517.32000000000005</v>
      </c>
      <c r="Y853" s="25">
        <v>85.41</v>
      </c>
      <c r="Z853" s="17">
        <f t="shared" si="289"/>
        <v>1.347309178860216E-3</v>
      </c>
      <c r="AA853" s="18">
        <v>0.15</v>
      </c>
      <c r="AB853" s="16">
        <f t="shared" si="296"/>
        <v>77.597999999999999</v>
      </c>
      <c r="AC853" s="16">
        <v>0</v>
      </c>
      <c r="AD853" s="16">
        <v>0</v>
      </c>
      <c r="AE853" s="16">
        <v>0</v>
      </c>
      <c r="AF853" s="16">
        <f t="shared" si="290"/>
        <v>77.597999999999999</v>
      </c>
      <c r="AG853" s="16">
        <f t="shared" ref="AG853:AG884" si="298">16%*AF853</f>
        <v>12.41568</v>
      </c>
      <c r="AH853" s="16">
        <f t="shared" si="291"/>
        <v>90.013679999999994</v>
      </c>
      <c r="AI853" s="16">
        <f t="shared" si="295"/>
        <v>1.55196</v>
      </c>
      <c r="AJ853" s="16">
        <v>0</v>
      </c>
      <c r="AK853" s="16">
        <f t="shared" si="292"/>
        <v>1.55196</v>
      </c>
      <c r="AL853" s="19"/>
      <c r="AM853" s="16">
        <f t="shared" si="281"/>
        <v>76.046040000000005</v>
      </c>
      <c r="AN853" s="16" t="s">
        <v>147</v>
      </c>
      <c r="AO853" s="20">
        <v>0.4</v>
      </c>
      <c r="AP853" s="16">
        <f t="shared" ref="AP853:AP916" si="299">AO853*AM853</f>
        <v>30.418416000000004</v>
      </c>
      <c r="AQ853" s="16"/>
      <c r="AR853" s="15"/>
      <c r="AS853" s="16">
        <f t="shared" si="283"/>
        <v>30.418416000000004</v>
      </c>
      <c r="AT853" s="16"/>
      <c r="AU853" s="16">
        <v>90.013679999999994</v>
      </c>
      <c r="AV853" s="16">
        <f t="shared" si="287"/>
        <v>90.013679999999994</v>
      </c>
      <c r="AW853" s="16">
        <f t="shared" si="293"/>
        <v>0</v>
      </c>
      <c r="AX853" s="16" t="str">
        <f t="shared" si="288"/>
        <v>SFA</v>
      </c>
      <c r="AY853" s="22">
        <v>45216</v>
      </c>
      <c r="BA853" s="1" t="s">
        <v>148</v>
      </c>
      <c r="BB853" s="22" t="str">
        <f t="shared" ref="BB853:BB864" si="300">O853</f>
        <v>MARINE CARGO / GIT</v>
      </c>
      <c r="BC853" s="1"/>
      <c r="BD853" s="1"/>
      <c r="BE853" s="1"/>
    </row>
    <row r="854" spans="1:57" ht="15.75" hidden="1" customHeight="1">
      <c r="A854" s="2" t="s">
        <v>784</v>
      </c>
      <c r="B854" s="1" t="s">
        <v>58</v>
      </c>
      <c r="C854" s="27">
        <v>45204</v>
      </c>
      <c r="D854" s="27">
        <v>45198</v>
      </c>
      <c r="E854" s="27">
        <v>45191</v>
      </c>
      <c r="F854" s="27">
        <v>45555</v>
      </c>
      <c r="G854" s="13" t="str">
        <f t="shared" si="297"/>
        <v>000-853/AIB RDC/2023</v>
      </c>
      <c r="H854" s="1">
        <v>0</v>
      </c>
      <c r="I854" s="1" t="s">
        <v>83</v>
      </c>
      <c r="J854" s="2" t="s">
        <v>1098</v>
      </c>
      <c r="K854" s="2" t="s">
        <v>209</v>
      </c>
      <c r="L854" s="1"/>
      <c r="M854" s="1" t="s">
        <v>95</v>
      </c>
      <c r="N854" s="1" t="s">
        <v>836</v>
      </c>
      <c r="O854" s="28" t="s">
        <v>104</v>
      </c>
      <c r="P854" s="1" t="s">
        <v>105</v>
      </c>
      <c r="Q854" s="1" t="s">
        <v>66</v>
      </c>
      <c r="R854" s="1" t="s">
        <v>66</v>
      </c>
      <c r="S854" s="25">
        <v>19818.03</v>
      </c>
      <c r="T854" s="25">
        <v>75.989999999999995</v>
      </c>
      <c r="U854" s="25">
        <v>0</v>
      </c>
      <c r="V854" s="25">
        <v>0</v>
      </c>
      <c r="W854" s="25">
        <v>6.86</v>
      </c>
      <c r="X854" s="25">
        <v>37.1</v>
      </c>
      <c r="Y854" s="25">
        <v>7.03</v>
      </c>
      <c r="Z854" s="17">
        <f t="shared" si="289"/>
        <v>1.8720326894247311E-3</v>
      </c>
      <c r="AA854" s="18">
        <v>0.15</v>
      </c>
      <c r="AB854" s="16">
        <f t="shared" si="296"/>
        <v>5.5650000000000004</v>
      </c>
      <c r="AC854" s="16">
        <v>0</v>
      </c>
      <c r="AD854" s="16">
        <v>0</v>
      </c>
      <c r="AE854" s="16">
        <v>0</v>
      </c>
      <c r="AF854" s="16">
        <f t="shared" si="290"/>
        <v>5.5650000000000004</v>
      </c>
      <c r="AG854" s="16">
        <f t="shared" si="298"/>
        <v>0.89040000000000008</v>
      </c>
      <c r="AH854" s="16">
        <f t="shared" si="291"/>
        <v>6.4554000000000009</v>
      </c>
      <c r="AI854" s="16">
        <f t="shared" si="295"/>
        <v>0.11130000000000001</v>
      </c>
      <c r="AJ854" s="16">
        <v>0</v>
      </c>
      <c r="AK854" s="16">
        <f t="shared" si="292"/>
        <v>0.11130000000000001</v>
      </c>
      <c r="AL854" s="19"/>
      <c r="AM854" s="16">
        <f t="shared" si="281"/>
        <v>5.4537000000000004</v>
      </c>
      <c r="AN854" s="16" t="s">
        <v>147</v>
      </c>
      <c r="AO854" s="20">
        <v>0.4</v>
      </c>
      <c r="AP854" s="16">
        <f t="shared" si="299"/>
        <v>2.1814800000000001</v>
      </c>
      <c r="AQ854" s="16"/>
      <c r="AR854" s="15"/>
      <c r="AS854" s="16">
        <f t="shared" si="283"/>
        <v>2.1814800000000001</v>
      </c>
      <c r="AT854" s="16"/>
      <c r="AU854" s="16">
        <v>6.4554000000000009</v>
      </c>
      <c r="AV854" s="16">
        <f t="shared" si="287"/>
        <v>6.4554000000000009</v>
      </c>
      <c r="AW854" s="16">
        <f t="shared" si="293"/>
        <v>0</v>
      </c>
      <c r="AX854" s="16" t="str">
        <f t="shared" si="288"/>
        <v>SFA</v>
      </c>
      <c r="AY854" s="22">
        <v>45216</v>
      </c>
      <c r="BA854" s="1" t="s">
        <v>148</v>
      </c>
      <c r="BB854" s="22" t="str">
        <f t="shared" si="300"/>
        <v>MARINE CARGO / GIT</v>
      </c>
      <c r="BC854" s="1"/>
      <c r="BD854" s="1"/>
      <c r="BE854" s="1"/>
    </row>
    <row r="855" spans="1:57" ht="15.75" hidden="1" customHeight="1">
      <c r="A855" s="2" t="s">
        <v>784</v>
      </c>
      <c r="B855" s="1" t="s">
        <v>58</v>
      </c>
      <c r="C855" s="27">
        <v>45204</v>
      </c>
      <c r="D855" s="27">
        <v>45198</v>
      </c>
      <c r="E855" s="27">
        <v>45198</v>
      </c>
      <c r="F855" s="27">
        <v>45562</v>
      </c>
      <c r="G855" s="13" t="str">
        <f t="shared" si="297"/>
        <v>000-854/AIB RDC/2023</v>
      </c>
      <c r="H855" s="1">
        <v>0</v>
      </c>
      <c r="I855" s="1" t="s">
        <v>83</v>
      </c>
      <c r="J855" s="2" t="s">
        <v>1099</v>
      </c>
      <c r="K855" s="2" t="s">
        <v>209</v>
      </c>
      <c r="L855" s="1"/>
      <c r="M855" s="1" t="s">
        <v>95</v>
      </c>
      <c r="N855" s="1" t="s">
        <v>836</v>
      </c>
      <c r="O855" s="28" t="s">
        <v>104</v>
      </c>
      <c r="P855" s="1" t="s">
        <v>105</v>
      </c>
      <c r="Q855" s="1" t="s">
        <v>66</v>
      </c>
      <c r="R855" s="1" t="s">
        <v>66</v>
      </c>
      <c r="S855" s="25">
        <v>223188.06</v>
      </c>
      <c r="T855" s="25">
        <v>526.44000000000005</v>
      </c>
      <c r="U855" s="25">
        <v>0</v>
      </c>
      <c r="V855" s="25">
        <v>0</v>
      </c>
      <c r="W855" s="25">
        <v>14.48</v>
      </c>
      <c r="X855" s="25">
        <v>417.8</v>
      </c>
      <c r="Y855" s="25">
        <v>69.16</v>
      </c>
      <c r="Z855" s="17">
        <f t="shared" si="289"/>
        <v>1.871963939289584E-3</v>
      </c>
      <c r="AA855" s="18">
        <v>0.15</v>
      </c>
      <c r="AB855" s="16">
        <f t="shared" si="296"/>
        <v>62.67</v>
      </c>
      <c r="AC855" s="16">
        <v>0</v>
      </c>
      <c r="AD855" s="16">
        <v>0</v>
      </c>
      <c r="AE855" s="16">
        <v>0</v>
      </c>
      <c r="AF855" s="16">
        <f t="shared" si="290"/>
        <v>62.67</v>
      </c>
      <c r="AG855" s="16">
        <f t="shared" si="298"/>
        <v>10.027200000000001</v>
      </c>
      <c r="AH855" s="16">
        <f t="shared" si="291"/>
        <v>72.697200000000009</v>
      </c>
      <c r="AI855" s="16">
        <f t="shared" si="295"/>
        <v>1.2534000000000001</v>
      </c>
      <c r="AJ855" s="16">
        <v>0</v>
      </c>
      <c r="AK855" s="16">
        <f t="shared" si="292"/>
        <v>1.2534000000000001</v>
      </c>
      <c r="AL855" s="19"/>
      <c r="AM855" s="16">
        <f t="shared" si="281"/>
        <v>61.416600000000003</v>
      </c>
      <c r="AN855" s="16" t="s">
        <v>147</v>
      </c>
      <c r="AO855" s="20">
        <v>0.4</v>
      </c>
      <c r="AP855" s="16">
        <f t="shared" si="299"/>
        <v>24.566640000000003</v>
      </c>
      <c r="AQ855" s="16"/>
      <c r="AR855" s="15"/>
      <c r="AS855" s="16">
        <f t="shared" si="283"/>
        <v>24.566640000000003</v>
      </c>
      <c r="AT855" s="16"/>
      <c r="AU855" s="16">
        <v>72.697200000000009</v>
      </c>
      <c r="AV855" s="16">
        <f t="shared" si="287"/>
        <v>72.697200000000009</v>
      </c>
      <c r="AW855" s="16">
        <f t="shared" si="293"/>
        <v>0</v>
      </c>
      <c r="AX855" s="16" t="str">
        <f t="shared" si="288"/>
        <v>SFA</v>
      </c>
      <c r="AY855" s="22">
        <v>45216</v>
      </c>
      <c r="BA855" s="1" t="s">
        <v>148</v>
      </c>
      <c r="BB855" s="22" t="str">
        <f t="shared" si="300"/>
        <v>MARINE CARGO / GIT</v>
      </c>
      <c r="BC855" s="1"/>
      <c r="BD855" s="1"/>
      <c r="BE855" s="1"/>
    </row>
    <row r="856" spans="1:57" ht="15.75" hidden="1" customHeight="1">
      <c r="A856" s="2" t="s">
        <v>1005</v>
      </c>
      <c r="B856" s="1" t="s">
        <v>58</v>
      </c>
      <c r="C856" s="27">
        <v>45204</v>
      </c>
      <c r="D856" s="27">
        <v>45201</v>
      </c>
      <c r="E856" s="27">
        <v>45201</v>
      </c>
      <c r="F856" s="27">
        <v>45566</v>
      </c>
      <c r="G856" s="13" t="str">
        <f t="shared" si="297"/>
        <v>000-855/AIB RDC/2023</v>
      </c>
      <c r="H856" s="1">
        <v>0</v>
      </c>
      <c r="I856" s="1" t="s">
        <v>83</v>
      </c>
      <c r="J856" s="2" t="s">
        <v>1100</v>
      </c>
      <c r="K856" s="2" t="s">
        <v>209</v>
      </c>
      <c r="L856" s="1"/>
      <c r="M856" s="1" t="s">
        <v>95</v>
      </c>
      <c r="N856" s="1" t="s">
        <v>836</v>
      </c>
      <c r="O856" s="28" t="s">
        <v>104</v>
      </c>
      <c r="P856" s="1" t="s">
        <v>105</v>
      </c>
      <c r="Q856" s="1" t="s">
        <v>66</v>
      </c>
      <c r="R856" s="1" t="s">
        <v>66</v>
      </c>
      <c r="S856" s="25">
        <v>91239.09</v>
      </c>
      <c r="T856" s="25">
        <v>315.48</v>
      </c>
      <c r="U856" s="25">
        <v>0</v>
      </c>
      <c r="V856" s="25">
        <v>0</v>
      </c>
      <c r="W856" s="25">
        <v>10.91</v>
      </c>
      <c r="X856" s="25">
        <v>239.5</v>
      </c>
      <c r="Y856" s="25">
        <v>40.01</v>
      </c>
      <c r="Z856" s="17">
        <f t="shared" si="289"/>
        <v>2.6249713801398066E-3</v>
      </c>
      <c r="AA856" s="18">
        <v>0.15</v>
      </c>
      <c r="AB856" s="16">
        <f t="shared" si="296"/>
        <v>35.924999999999997</v>
      </c>
      <c r="AC856" s="16">
        <v>0</v>
      </c>
      <c r="AD856" s="16">
        <v>0</v>
      </c>
      <c r="AE856" s="16">
        <v>0</v>
      </c>
      <c r="AF856" s="16">
        <f t="shared" si="290"/>
        <v>35.924999999999997</v>
      </c>
      <c r="AG856" s="16">
        <f t="shared" si="298"/>
        <v>5.7479999999999993</v>
      </c>
      <c r="AH856" s="16">
        <f t="shared" si="291"/>
        <v>41.672999999999995</v>
      </c>
      <c r="AI856" s="16">
        <f t="shared" si="295"/>
        <v>0.71849999999999992</v>
      </c>
      <c r="AJ856" s="16">
        <v>0</v>
      </c>
      <c r="AK856" s="16">
        <f t="shared" si="292"/>
        <v>0.71849999999999992</v>
      </c>
      <c r="AL856" s="19"/>
      <c r="AM856" s="16">
        <f t="shared" si="281"/>
        <v>35.206499999999998</v>
      </c>
      <c r="AN856" s="16" t="s">
        <v>147</v>
      </c>
      <c r="AO856" s="20">
        <v>0.4</v>
      </c>
      <c r="AP856" s="16">
        <f t="shared" si="299"/>
        <v>14.082599999999999</v>
      </c>
      <c r="AQ856" s="16"/>
      <c r="AR856" s="15"/>
      <c r="AS856" s="16">
        <f t="shared" si="283"/>
        <v>14.082599999999999</v>
      </c>
      <c r="AT856" s="16"/>
      <c r="AU856" s="16">
        <v>41.672999999999995</v>
      </c>
      <c r="AV856" s="16">
        <f t="shared" si="287"/>
        <v>41.672999999999995</v>
      </c>
      <c r="AW856" s="16">
        <f t="shared" si="293"/>
        <v>0</v>
      </c>
      <c r="AX856" s="16" t="str">
        <f t="shared" si="288"/>
        <v>SFA</v>
      </c>
      <c r="AY856" s="22">
        <v>45216</v>
      </c>
      <c r="BA856" s="1" t="s">
        <v>148</v>
      </c>
      <c r="BB856" s="22" t="str">
        <f t="shared" si="300"/>
        <v>MARINE CARGO / GIT</v>
      </c>
      <c r="BC856" s="1"/>
      <c r="BD856" s="1"/>
      <c r="BE856" s="1"/>
    </row>
    <row r="857" spans="1:57" ht="15.75" customHeight="1">
      <c r="A857" s="2" t="s">
        <v>212</v>
      </c>
      <c r="B857" s="1" t="s">
        <v>169</v>
      </c>
      <c r="C857" s="27">
        <v>45085</v>
      </c>
      <c r="D857" s="27"/>
      <c r="E857" s="27"/>
      <c r="F857" s="27"/>
      <c r="G857" s="13" t="str">
        <f t="shared" si="297"/>
        <v>000-856/AIB RDC/2023</v>
      </c>
      <c r="H857" s="1">
        <v>0</v>
      </c>
      <c r="I857" s="1" t="s">
        <v>83</v>
      </c>
      <c r="J857" s="2"/>
      <c r="K857" s="2" t="s">
        <v>773</v>
      </c>
      <c r="L857" s="1"/>
      <c r="M857" s="1" t="s">
        <v>99</v>
      </c>
      <c r="N857" s="1" t="s">
        <v>100</v>
      </c>
      <c r="O857" s="1" t="s">
        <v>246</v>
      </c>
      <c r="P857" s="1" t="s">
        <v>108</v>
      </c>
      <c r="Q857" s="1" t="s">
        <v>66</v>
      </c>
      <c r="R857" s="1" t="s">
        <v>66</v>
      </c>
      <c r="S857" s="25">
        <v>1810872</v>
      </c>
      <c r="T857" s="40">
        <v>12998.61</v>
      </c>
      <c r="U857" s="40">
        <v>0</v>
      </c>
      <c r="V857" s="40">
        <v>0</v>
      </c>
      <c r="W857" s="40">
        <v>284.33</v>
      </c>
      <c r="X857" s="40">
        <v>10921.37</v>
      </c>
      <c r="Y857" s="40">
        <v>1792.91</v>
      </c>
      <c r="Z857" s="17">
        <f t="shared" si="289"/>
        <v>6.0310005345491019E-3</v>
      </c>
      <c r="AA857" s="18">
        <v>0.15</v>
      </c>
      <c r="AB857" s="16">
        <f t="shared" si="296"/>
        <v>1638.2055</v>
      </c>
      <c r="AC857" s="16">
        <v>0</v>
      </c>
      <c r="AD857" s="16">
        <v>0</v>
      </c>
      <c r="AE857" s="16">
        <v>0</v>
      </c>
      <c r="AF857" s="16">
        <f t="shared" si="290"/>
        <v>1638.2055</v>
      </c>
      <c r="AG857" s="16">
        <f t="shared" si="298"/>
        <v>262.11288000000002</v>
      </c>
      <c r="AH857" s="16">
        <f t="shared" si="291"/>
        <v>1900.3183800000002</v>
      </c>
      <c r="AI857" s="16">
        <f t="shared" si="295"/>
        <v>32.764110000000002</v>
      </c>
      <c r="AJ857" s="16">
        <v>0</v>
      </c>
      <c r="AK857" s="16">
        <f t="shared" si="292"/>
        <v>32.764110000000002</v>
      </c>
      <c r="AL857" s="19"/>
      <c r="AM857" s="16">
        <f t="shared" si="281"/>
        <v>1605.44139</v>
      </c>
      <c r="AN857" s="16"/>
      <c r="AO857" s="20"/>
      <c r="AP857" s="16">
        <f t="shared" si="299"/>
        <v>0</v>
      </c>
      <c r="AQ857" s="16"/>
      <c r="AR857" s="15"/>
      <c r="AS857" s="16">
        <f t="shared" si="283"/>
        <v>0</v>
      </c>
      <c r="AT857" s="16"/>
      <c r="AU857" s="16"/>
      <c r="AV857" s="16">
        <f t="shared" si="287"/>
        <v>1900.3183800000002</v>
      </c>
      <c r="AW857" s="60">
        <f t="shared" si="293"/>
        <v>1900.3183800000002</v>
      </c>
      <c r="AX857" s="16" t="str">
        <f t="shared" si="288"/>
        <v>SFA</v>
      </c>
      <c r="AY857" s="22"/>
      <c r="AZ857" s="22"/>
      <c r="BA857" s="1"/>
      <c r="BB857" s="22" t="str">
        <f t="shared" si="300"/>
        <v>MACHINARY BREAKDOWN</v>
      </c>
      <c r="BC857" s="1"/>
      <c r="BD857" s="1"/>
      <c r="BE857" s="1"/>
    </row>
    <row r="858" spans="1:57" ht="15.75" customHeight="1">
      <c r="A858" s="2" t="s">
        <v>165</v>
      </c>
      <c r="B858" s="1" t="s">
        <v>58</v>
      </c>
      <c r="C858" s="27">
        <v>45048</v>
      </c>
      <c r="D858" s="27">
        <v>45014</v>
      </c>
      <c r="E858" s="27">
        <v>45014</v>
      </c>
      <c r="F858" s="27">
        <v>45379</v>
      </c>
      <c r="G858" s="13" t="str">
        <f t="shared" si="297"/>
        <v>000-857/AIB RDC/2023</v>
      </c>
      <c r="H858" s="1">
        <v>0</v>
      </c>
      <c r="I858" s="1" t="s">
        <v>83</v>
      </c>
      <c r="J858" s="2" t="s">
        <v>439</v>
      </c>
      <c r="K858" s="2" t="s">
        <v>440</v>
      </c>
      <c r="L858" s="1"/>
      <c r="M858" s="2" t="s">
        <v>99</v>
      </c>
      <c r="N858" s="2" t="s">
        <v>100</v>
      </c>
      <c r="O858" s="1" t="s">
        <v>441</v>
      </c>
      <c r="P858" s="1" t="s">
        <v>105</v>
      </c>
      <c r="Q858" s="1" t="s">
        <v>117</v>
      </c>
      <c r="R858" s="1" t="s">
        <v>117</v>
      </c>
      <c r="S858" s="25">
        <v>0</v>
      </c>
      <c r="T858" s="25">
        <v>35901.29</v>
      </c>
      <c r="U858" s="25">
        <v>0</v>
      </c>
      <c r="V858" s="25">
        <v>0</v>
      </c>
      <c r="W858" s="25">
        <v>306.43</v>
      </c>
      <c r="X858" s="25">
        <v>30642.959999999999</v>
      </c>
      <c r="Y858" s="25">
        <v>4951.8999999999996</v>
      </c>
      <c r="Z858" s="17" t="e">
        <f t="shared" si="289"/>
        <v>#DIV/0!</v>
      </c>
      <c r="AA858" s="18">
        <v>0.15</v>
      </c>
      <c r="AB858" s="16">
        <f t="shared" si="296"/>
        <v>4596.4439999999995</v>
      </c>
      <c r="AC858" s="16">
        <v>0</v>
      </c>
      <c r="AD858" s="16">
        <v>0</v>
      </c>
      <c r="AE858" s="16">
        <v>0</v>
      </c>
      <c r="AF858" s="16">
        <f t="shared" si="290"/>
        <v>4596.4439999999995</v>
      </c>
      <c r="AG858" s="16">
        <f t="shared" si="298"/>
        <v>735.43103999999994</v>
      </c>
      <c r="AH858" s="16">
        <f t="shared" si="291"/>
        <v>5331.875039999999</v>
      </c>
      <c r="AI858" s="16">
        <f t="shared" si="295"/>
        <v>91.928879999999992</v>
      </c>
      <c r="AJ858" s="16">
        <v>0</v>
      </c>
      <c r="AK858" s="16">
        <f t="shared" si="292"/>
        <v>91.928879999999992</v>
      </c>
      <c r="AL858" s="19"/>
      <c r="AM858" s="16">
        <f t="shared" si="281"/>
        <v>4504.5151199999991</v>
      </c>
      <c r="AN858" s="16" t="s">
        <v>77</v>
      </c>
      <c r="AO858" s="20"/>
      <c r="AP858" s="16">
        <f t="shared" si="299"/>
        <v>0</v>
      </c>
      <c r="AQ858" s="16"/>
      <c r="AR858" s="15"/>
      <c r="AS858" s="16">
        <f t="shared" si="283"/>
        <v>0</v>
      </c>
      <c r="AT858" s="16"/>
      <c r="AU858" s="16">
        <f>255.68+1077.29</f>
        <v>1332.97</v>
      </c>
      <c r="AV858" s="16">
        <f t="shared" si="287"/>
        <v>5331.875039999999</v>
      </c>
      <c r="AW858" s="60">
        <f t="shared" si="293"/>
        <v>3998.9050399999987</v>
      </c>
      <c r="AX858" s="16" t="str">
        <f t="shared" si="288"/>
        <v>SUNU</v>
      </c>
      <c r="AY858" s="22">
        <v>45099</v>
      </c>
      <c r="AZ858" s="22"/>
      <c r="BA858" s="1"/>
      <c r="BB858" s="22" t="str">
        <f t="shared" si="300"/>
        <v>CIT</v>
      </c>
      <c r="BC858" s="1"/>
      <c r="BD858" s="1"/>
      <c r="BE858" s="1" t="s">
        <v>442</v>
      </c>
    </row>
    <row r="859" spans="1:57" ht="15.75" customHeight="1">
      <c r="A859" s="2" t="s">
        <v>784</v>
      </c>
      <c r="B859" s="1" t="s">
        <v>169</v>
      </c>
      <c r="C859" s="27">
        <v>45184</v>
      </c>
      <c r="D859" s="27">
        <v>45184</v>
      </c>
      <c r="E859" s="27">
        <v>45170</v>
      </c>
      <c r="F859" s="27">
        <v>45291</v>
      </c>
      <c r="G859" s="13" t="str">
        <f t="shared" si="297"/>
        <v>000-858/AIB RDC/2023</v>
      </c>
      <c r="H859" s="1">
        <v>1</v>
      </c>
      <c r="I859" s="1" t="s">
        <v>59</v>
      </c>
      <c r="J859" s="2" t="s">
        <v>1009</v>
      </c>
      <c r="K859" s="2" t="s">
        <v>85</v>
      </c>
      <c r="L859" s="1"/>
      <c r="M859" s="1" t="s">
        <v>74</v>
      </c>
      <c r="N859" s="1" t="s">
        <v>724</v>
      </c>
      <c r="O859" s="1" t="s">
        <v>101</v>
      </c>
      <c r="P859" s="1" t="s">
        <v>81</v>
      </c>
      <c r="Q859" s="1" t="s">
        <v>117</v>
      </c>
      <c r="R859" s="1" t="s">
        <v>117</v>
      </c>
      <c r="S859" s="25">
        <v>0</v>
      </c>
      <c r="T859" s="25">
        <v>159.15</v>
      </c>
      <c r="U859" s="25">
        <v>0</v>
      </c>
      <c r="V859" s="25">
        <v>0</v>
      </c>
      <c r="W859" s="25">
        <v>10</v>
      </c>
      <c r="X859" s="25">
        <v>127.2</v>
      </c>
      <c r="Y859" s="25">
        <v>21.95</v>
      </c>
      <c r="Z859" s="17" t="e">
        <f t="shared" si="289"/>
        <v>#DIV/0!</v>
      </c>
      <c r="AA859" s="18">
        <v>0.1</v>
      </c>
      <c r="AB859" s="16">
        <f t="shared" si="296"/>
        <v>12.72</v>
      </c>
      <c r="AC859" s="16">
        <v>0</v>
      </c>
      <c r="AD859" s="16">
        <v>0</v>
      </c>
      <c r="AE859" s="16">
        <v>0</v>
      </c>
      <c r="AF859" s="16">
        <f t="shared" si="290"/>
        <v>12.72</v>
      </c>
      <c r="AG859" s="16">
        <f t="shared" si="298"/>
        <v>2.0352000000000001</v>
      </c>
      <c r="AH859" s="16">
        <f t="shared" si="291"/>
        <v>14.7552</v>
      </c>
      <c r="AI859" s="16">
        <f t="shared" si="295"/>
        <v>0.25440000000000002</v>
      </c>
      <c r="AJ859" s="16">
        <v>0</v>
      </c>
      <c r="AK859" s="16">
        <f t="shared" si="292"/>
        <v>0.25440000000000002</v>
      </c>
      <c r="AL859" s="19"/>
      <c r="AM859" s="16">
        <f t="shared" si="281"/>
        <v>12.4656</v>
      </c>
      <c r="AN859" s="16" t="s">
        <v>77</v>
      </c>
      <c r="AO859" s="20"/>
      <c r="AP859" s="16">
        <f t="shared" si="299"/>
        <v>0</v>
      </c>
      <c r="AQ859" s="16"/>
      <c r="AR859" s="15"/>
      <c r="AS859" s="16">
        <f t="shared" si="283"/>
        <v>0</v>
      </c>
      <c r="AT859" s="16"/>
      <c r="AU859" s="16"/>
      <c r="AV859" s="16">
        <f t="shared" si="287"/>
        <v>14.7552</v>
      </c>
      <c r="AW859" s="60">
        <f t="shared" si="293"/>
        <v>14.7552</v>
      </c>
      <c r="AX859" s="16" t="str">
        <f t="shared" si="288"/>
        <v>SUNU</v>
      </c>
      <c r="AY859" s="22"/>
      <c r="BA859" s="1"/>
      <c r="BB859" s="22" t="str">
        <f t="shared" si="300"/>
        <v>GPA</v>
      </c>
      <c r="BC859" s="1"/>
      <c r="BD859" s="1"/>
      <c r="BE859" s="1"/>
    </row>
    <row r="860" spans="1:57" ht="15.75" hidden="1" customHeight="1">
      <c r="A860" s="2" t="s">
        <v>784</v>
      </c>
      <c r="B860" s="1" t="s">
        <v>58</v>
      </c>
      <c r="C860" s="27">
        <v>45026</v>
      </c>
      <c r="D860" s="27">
        <v>45184</v>
      </c>
      <c r="E860" s="27">
        <v>45184</v>
      </c>
      <c r="F860" s="27">
        <v>45473</v>
      </c>
      <c r="G860" s="13" t="str">
        <f t="shared" si="297"/>
        <v>000-859/AIB RDC/2023</v>
      </c>
      <c r="H860" s="1">
        <v>0</v>
      </c>
      <c r="I860" s="1" t="s">
        <v>83</v>
      </c>
      <c r="J860" s="29" t="s">
        <v>1103</v>
      </c>
      <c r="K860" s="2" t="s">
        <v>1104</v>
      </c>
      <c r="L860" s="1" t="s">
        <v>123</v>
      </c>
      <c r="M860" s="1" t="s">
        <v>63</v>
      </c>
      <c r="N860" s="1" t="s">
        <v>71</v>
      </c>
      <c r="O860" s="1" t="s">
        <v>133</v>
      </c>
      <c r="P860" s="1" t="s">
        <v>134</v>
      </c>
      <c r="Q860" s="1" t="s">
        <v>66</v>
      </c>
      <c r="R860" s="1" t="s">
        <v>66</v>
      </c>
      <c r="S860" s="25">
        <v>71455</v>
      </c>
      <c r="T860" s="25">
        <v>3345.28</v>
      </c>
      <c r="U860" s="25">
        <v>0</v>
      </c>
      <c r="V860" s="25">
        <v>0</v>
      </c>
      <c r="W860" s="25">
        <v>100.26</v>
      </c>
      <c r="X860" s="25">
        <v>2783.6</v>
      </c>
      <c r="Y860" s="25">
        <v>461.42</v>
      </c>
      <c r="Z860" s="17">
        <f t="shared" si="289"/>
        <v>3.8955986285074524E-2</v>
      </c>
      <c r="AA860" s="18">
        <v>0.15</v>
      </c>
      <c r="AB860" s="16">
        <f t="shared" si="296"/>
        <v>417.53999999999996</v>
      </c>
      <c r="AC860" s="16">
        <v>0</v>
      </c>
      <c r="AD860" s="16">
        <v>0</v>
      </c>
      <c r="AE860" s="16">
        <v>0</v>
      </c>
      <c r="AF860" s="16">
        <f t="shared" si="290"/>
        <v>417.53999999999996</v>
      </c>
      <c r="AG860" s="16">
        <f t="shared" si="298"/>
        <v>66.806399999999996</v>
      </c>
      <c r="AH860" s="16">
        <f t="shared" si="291"/>
        <v>484.34639999999996</v>
      </c>
      <c r="AI860" s="16">
        <f t="shared" si="295"/>
        <v>8.3507999999999996</v>
      </c>
      <c r="AJ860" s="16">
        <v>0</v>
      </c>
      <c r="AK860" s="16">
        <f t="shared" si="292"/>
        <v>8.3507999999999996</v>
      </c>
      <c r="AL860" s="19"/>
      <c r="AM860" s="16">
        <f t="shared" si="281"/>
        <v>409.18919999999997</v>
      </c>
      <c r="AN860" s="16" t="s">
        <v>206</v>
      </c>
      <c r="AO860" s="20">
        <v>0.5</v>
      </c>
      <c r="AP860" s="16">
        <f t="shared" si="299"/>
        <v>204.59459999999999</v>
      </c>
      <c r="AQ860" s="16"/>
      <c r="AR860" s="15"/>
      <c r="AS860" s="16">
        <f t="shared" si="283"/>
        <v>204.59459999999999</v>
      </c>
      <c r="AT860" s="16"/>
      <c r="AU860" s="16">
        <v>484.34639999999996</v>
      </c>
      <c r="AV860" s="16">
        <f t="shared" si="287"/>
        <v>484.34639999999996</v>
      </c>
      <c r="AW860" s="16">
        <f t="shared" si="293"/>
        <v>0</v>
      </c>
      <c r="AX860" s="16" t="str">
        <f t="shared" si="288"/>
        <v>SFA</v>
      </c>
      <c r="AY860" s="22">
        <v>45216</v>
      </c>
      <c r="BA860" s="1"/>
      <c r="BB860" s="22" t="str">
        <f t="shared" si="300"/>
        <v>COMP MOTOR</v>
      </c>
      <c r="BC860" s="1"/>
      <c r="BD860" s="1"/>
      <c r="BE860" s="1"/>
    </row>
    <row r="861" spans="1:57" ht="15.75" hidden="1" customHeight="1">
      <c r="A861" s="2" t="s">
        <v>784</v>
      </c>
      <c r="B861" s="1" t="s">
        <v>169</v>
      </c>
      <c r="C861" s="27">
        <v>45026</v>
      </c>
      <c r="D861" s="27">
        <v>45173</v>
      </c>
      <c r="E861" s="27">
        <v>45173</v>
      </c>
      <c r="F861" s="27">
        <v>45568</v>
      </c>
      <c r="G861" s="13" t="str">
        <f t="shared" si="297"/>
        <v>000-860/AIB RDC/2023</v>
      </c>
      <c r="H861" s="1">
        <v>0</v>
      </c>
      <c r="I861" s="1" t="s">
        <v>83</v>
      </c>
      <c r="J861" s="29" t="s">
        <v>1105</v>
      </c>
      <c r="K861" s="2" t="s">
        <v>807</v>
      </c>
      <c r="L861" s="1"/>
      <c r="M861" s="1" t="s">
        <v>63</v>
      </c>
      <c r="N861" s="1" t="s">
        <v>71</v>
      </c>
      <c r="O861" s="1" t="s">
        <v>104</v>
      </c>
      <c r="P861" s="1" t="s">
        <v>105</v>
      </c>
      <c r="Q861" s="1" t="s">
        <v>117</v>
      </c>
      <c r="R861" s="1" t="s">
        <v>117</v>
      </c>
      <c r="S861" s="25">
        <v>2042781</v>
      </c>
      <c r="T861" s="25">
        <v>4786.6400000000003</v>
      </c>
      <c r="U861" s="25">
        <v>0</v>
      </c>
      <c r="V861" s="25">
        <v>0</v>
      </c>
      <c r="W861" s="25">
        <v>40.85</v>
      </c>
      <c r="X861" s="25">
        <v>4088.56</v>
      </c>
      <c r="Y861" s="25">
        <v>660.23</v>
      </c>
      <c r="Z861" s="17">
        <f t="shared" si="289"/>
        <v>2.0014676071492734E-3</v>
      </c>
      <c r="AA861" s="18">
        <v>0.15</v>
      </c>
      <c r="AB861" s="16">
        <f t="shared" si="296"/>
        <v>613.28399999999999</v>
      </c>
      <c r="AC861" s="16">
        <v>0</v>
      </c>
      <c r="AD861" s="16">
        <v>0</v>
      </c>
      <c r="AE861" s="16">
        <v>0</v>
      </c>
      <c r="AF861" s="16">
        <f t="shared" si="290"/>
        <v>613.28399999999999</v>
      </c>
      <c r="AG861" s="16">
        <f t="shared" si="298"/>
        <v>98.125439999999998</v>
      </c>
      <c r="AH861" s="16">
        <f t="shared" si="291"/>
        <v>711.40944000000002</v>
      </c>
      <c r="AI861" s="16">
        <f t="shared" si="295"/>
        <v>12.26568</v>
      </c>
      <c r="AJ861" s="16">
        <v>0</v>
      </c>
      <c r="AK861" s="16">
        <f t="shared" si="292"/>
        <v>12.26568</v>
      </c>
      <c r="AL861" s="19"/>
      <c r="AM861" s="16">
        <f t="shared" ref="AM861:AM903" si="301">AF861-AI861</f>
        <v>601.01832000000002</v>
      </c>
      <c r="AN861" s="16" t="s">
        <v>206</v>
      </c>
      <c r="AO861" s="20">
        <v>0.5</v>
      </c>
      <c r="AP861" s="16">
        <f t="shared" si="299"/>
        <v>300.50916000000001</v>
      </c>
      <c r="AQ861" s="16"/>
      <c r="AR861" s="15"/>
      <c r="AS861" s="16">
        <f t="shared" si="283"/>
        <v>300.50916000000001</v>
      </c>
      <c r="AT861" s="16"/>
      <c r="AU861" s="16">
        <v>711.40944000000002</v>
      </c>
      <c r="AV861" s="16">
        <f t="shared" si="287"/>
        <v>711.40944000000002</v>
      </c>
      <c r="AW861" s="16">
        <f t="shared" si="293"/>
        <v>0</v>
      </c>
      <c r="AX861" s="16" t="str">
        <f t="shared" si="288"/>
        <v>SUNU</v>
      </c>
      <c r="AY861" s="22">
        <v>45237</v>
      </c>
      <c r="BA861" s="1"/>
      <c r="BB861" s="22" t="str">
        <f t="shared" si="300"/>
        <v>MARINE CARGO / GIT</v>
      </c>
      <c r="BC861" s="1"/>
      <c r="BD861" s="1"/>
      <c r="BE861" s="1"/>
    </row>
    <row r="862" spans="1:57" ht="15.75" hidden="1" customHeight="1">
      <c r="A862" s="2" t="s">
        <v>784</v>
      </c>
      <c r="B862" s="1" t="s">
        <v>58</v>
      </c>
      <c r="C862" s="27">
        <v>45026</v>
      </c>
      <c r="D862" s="27">
        <v>45180</v>
      </c>
      <c r="E862" s="27">
        <v>45177</v>
      </c>
      <c r="F862" s="27">
        <v>45542</v>
      </c>
      <c r="G862" s="13" t="str">
        <f t="shared" si="297"/>
        <v>000-861/AIB RDC/2023</v>
      </c>
      <c r="H862" s="1">
        <v>0</v>
      </c>
      <c r="I862" s="1" t="s">
        <v>83</v>
      </c>
      <c r="J862" s="29" t="s">
        <v>1106</v>
      </c>
      <c r="K862" s="2" t="s">
        <v>912</v>
      </c>
      <c r="L862" s="1"/>
      <c r="M862" s="1" t="s">
        <v>63</v>
      </c>
      <c r="N862" s="1" t="s">
        <v>71</v>
      </c>
      <c r="O862" s="28" t="s">
        <v>65</v>
      </c>
      <c r="P862" s="1" t="s">
        <v>65</v>
      </c>
      <c r="Q862" s="1" t="s">
        <v>66</v>
      </c>
      <c r="R862" s="1" t="s">
        <v>66</v>
      </c>
      <c r="S862" s="25">
        <v>0</v>
      </c>
      <c r="T862" s="25">
        <v>25572.54</v>
      </c>
      <c r="U862" s="25">
        <v>0</v>
      </c>
      <c r="V862" s="25">
        <v>0</v>
      </c>
      <c r="W862" s="25">
        <v>869.08</v>
      </c>
      <c r="X862" s="25">
        <v>21176.22</v>
      </c>
      <c r="Y862" s="25">
        <v>3527.24</v>
      </c>
      <c r="Z862" s="17" t="e">
        <f t="shared" si="289"/>
        <v>#DIV/0!</v>
      </c>
      <c r="AA862" s="18">
        <v>0.1</v>
      </c>
      <c r="AB862" s="16">
        <f t="shared" si="296"/>
        <v>2117.6220000000003</v>
      </c>
      <c r="AC862" s="16">
        <v>0</v>
      </c>
      <c r="AD862" s="16">
        <v>0</v>
      </c>
      <c r="AE862" s="16">
        <v>0</v>
      </c>
      <c r="AF862" s="16">
        <f t="shared" si="290"/>
        <v>2117.6220000000003</v>
      </c>
      <c r="AG862" s="16">
        <f t="shared" si="298"/>
        <v>338.81952000000007</v>
      </c>
      <c r="AH862" s="16">
        <f t="shared" si="291"/>
        <v>2456.4415200000003</v>
      </c>
      <c r="AI862" s="16">
        <f t="shared" si="295"/>
        <v>42.352440000000009</v>
      </c>
      <c r="AJ862" s="16">
        <v>0</v>
      </c>
      <c r="AK862" s="16">
        <f t="shared" si="292"/>
        <v>42.352440000000009</v>
      </c>
      <c r="AL862" s="19"/>
      <c r="AM862" s="16">
        <f t="shared" si="301"/>
        <v>2075.2695600000002</v>
      </c>
      <c r="AN862" s="16" t="s">
        <v>206</v>
      </c>
      <c r="AO862" s="20">
        <v>0.5</v>
      </c>
      <c r="AP862" s="16">
        <f t="shared" si="299"/>
        <v>1037.6347800000001</v>
      </c>
      <c r="AQ862" s="16"/>
      <c r="AR862" s="15"/>
      <c r="AS862" s="16">
        <f t="shared" si="283"/>
        <v>1037.6347800000001</v>
      </c>
      <c r="AT862" s="16"/>
      <c r="AU862" s="16">
        <v>2456.4415200000003</v>
      </c>
      <c r="AV862" s="16">
        <f t="shared" si="287"/>
        <v>2456.4415200000003</v>
      </c>
      <c r="AW862" s="16">
        <f t="shared" si="293"/>
        <v>0</v>
      </c>
      <c r="AX862" s="16" t="str">
        <f t="shared" si="288"/>
        <v>SFA</v>
      </c>
      <c r="AY862" s="22">
        <v>45216</v>
      </c>
      <c r="BA862" s="1"/>
      <c r="BB862" s="22" t="str">
        <f t="shared" si="300"/>
        <v>MOTOR TPL</v>
      </c>
      <c r="BC862" s="1"/>
      <c r="BD862" s="1"/>
      <c r="BE862" s="1"/>
    </row>
    <row r="863" spans="1:57" ht="15.75" customHeight="1">
      <c r="A863" s="2" t="s">
        <v>784</v>
      </c>
      <c r="B863" s="1" t="s">
        <v>169</v>
      </c>
      <c r="C863" s="27">
        <v>45175</v>
      </c>
      <c r="D863" s="27">
        <v>45175</v>
      </c>
      <c r="E863" s="27">
        <v>45170</v>
      </c>
      <c r="F863" s="27">
        <v>45291</v>
      </c>
      <c r="G863" s="13" t="str">
        <f t="shared" si="297"/>
        <v>000-862/AIB RDC/2023</v>
      </c>
      <c r="H863" s="1">
        <v>5</v>
      </c>
      <c r="I863" s="1" t="s">
        <v>59</v>
      </c>
      <c r="J863" s="2" t="s">
        <v>84</v>
      </c>
      <c r="K863" s="2" t="s">
        <v>85</v>
      </c>
      <c r="L863" s="1"/>
      <c r="M863" s="1" t="s">
        <v>74</v>
      </c>
      <c r="N863" s="1" t="s">
        <v>724</v>
      </c>
      <c r="O863" s="1" t="s">
        <v>80</v>
      </c>
      <c r="P863" s="1" t="s">
        <v>81</v>
      </c>
      <c r="Q863" s="1" t="s">
        <v>76</v>
      </c>
      <c r="R863" s="1" t="s">
        <v>76</v>
      </c>
      <c r="S863" s="25">
        <v>0</v>
      </c>
      <c r="T863" s="25">
        <v>3815</v>
      </c>
      <c r="U863" s="25">
        <v>0</v>
      </c>
      <c r="V863" s="25">
        <v>0</v>
      </c>
      <c r="W863" s="25">
        <v>0</v>
      </c>
      <c r="X863" s="25">
        <v>3815</v>
      </c>
      <c r="Y863" s="25">
        <v>0</v>
      </c>
      <c r="Z863" s="17" t="e">
        <f t="shared" si="289"/>
        <v>#DIV/0!</v>
      </c>
      <c r="AA863" s="18">
        <v>0.05</v>
      </c>
      <c r="AB863" s="16">
        <f t="shared" si="296"/>
        <v>190.75</v>
      </c>
      <c r="AC863" s="16">
        <v>0</v>
      </c>
      <c r="AD863" s="16">
        <v>0</v>
      </c>
      <c r="AE863" s="16">
        <v>0</v>
      </c>
      <c r="AF863" s="16">
        <f t="shared" si="290"/>
        <v>190.75</v>
      </c>
      <c r="AG863" s="16">
        <f t="shared" si="298"/>
        <v>30.52</v>
      </c>
      <c r="AH863" s="16">
        <f t="shared" si="291"/>
        <v>221.27</v>
      </c>
      <c r="AI863" s="16">
        <f t="shared" si="295"/>
        <v>3.8149999999999999</v>
      </c>
      <c r="AJ863" s="16">
        <v>0</v>
      </c>
      <c r="AK863" s="16">
        <f t="shared" si="292"/>
        <v>3.8149999999999999</v>
      </c>
      <c r="AL863" s="19"/>
      <c r="AM863" s="16">
        <f t="shared" si="301"/>
        <v>186.935</v>
      </c>
      <c r="AN863" s="16" t="s">
        <v>77</v>
      </c>
      <c r="AO863" s="20"/>
      <c r="AP863" s="16">
        <f t="shared" si="299"/>
        <v>0</v>
      </c>
      <c r="AQ863" s="16"/>
      <c r="AR863" s="15"/>
      <c r="AS863" s="16">
        <f t="shared" si="283"/>
        <v>0</v>
      </c>
      <c r="AT863" s="16"/>
      <c r="AU863" s="16"/>
      <c r="AV863" s="16">
        <f t="shared" si="287"/>
        <v>221.27</v>
      </c>
      <c r="AW863" s="60">
        <f t="shared" si="293"/>
        <v>221.27</v>
      </c>
      <c r="AX863" s="16" t="str">
        <f t="shared" si="288"/>
        <v>ACTIVA</v>
      </c>
      <c r="AY863" s="22"/>
      <c r="BA863" s="1"/>
      <c r="BB863" s="22" t="str">
        <f t="shared" si="300"/>
        <v>MEDICAL</v>
      </c>
      <c r="BC863" s="1"/>
      <c r="BD863" s="1"/>
      <c r="BE863" s="1"/>
    </row>
    <row r="864" spans="1:57" ht="15.75" customHeight="1">
      <c r="A864" s="2" t="s">
        <v>157</v>
      </c>
      <c r="B864" s="1" t="s">
        <v>58</v>
      </c>
      <c r="C864" s="27">
        <v>44964</v>
      </c>
      <c r="D864" s="27"/>
      <c r="E864" s="27">
        <v>44967</v>
      </c>
      <c r="F864" s="27">
        <v>45331</v>
      </c>
      <c r="G864" s="13" t="str">
        <f t="shared" si="297"/>
        <v>000-863/AIB RDC/2023</v>
      </c>
      <c r="H864" s="1">
        <v>2</v>
      </c>
      <c r="I864" s="1" t="s">
        <v>68</v>
      </c>
      <c r="J864" s="2" t="s">
        <v>279</v>
      </c>
      <c r="K864" s="2" t="s">
        <v>280</v>
      </c>
      <c r="L864" s="1"/>
      <c r="M864" s="1" t="s">
        <v>99</v>
      </c>
      <c r="N864" s="1" t="s">
        <v>100</v>
      </c>
      <c r="O864" s="1" t="s">
        <v>107</v>
      </c>
      <c r="P864" s="1" t="s">
        <v>108</v>
      </c>
      <c r="Q864" s="1" t="s">
        <v>127</v>
      </c>
      <c r="R864" s="1" t="s">
        <v>127</v>
      </c>
      <c r="S864" s="25">
        <v>3200000</v>
      </c>
      <c r="T864" s="25">
        <v>4833.87</v>
      </c>
      <c r="U864" s="16">
        <v>0</v>
      </c>
      <c r="V864" s="16">
        <v>0</v>
      </c>
      <c r="W864" s="25">
        <v>20</v>
      </c>
      <c r="X864" s="25">
        <v>4076.5</v>
      </c>
      <c r="Y864" s="25">
        <v>655.44</v>
      </c>
      <c r="Z864" s="17">
        <f t="shared" si="289"/>
        <v>1.2739062500000001E-3</v>
      </c>
      <c r="AA864" s="18">
        <v>0.15</v>
      </c>
      <c r="AB864" s="16">
        <f t="shared" si="296"/>
        <v>611.47500000000002</v>
      </c>
      <c r="AC864" s="16">
        <v>0</v>
      </c>
      <c r="AD864" s="16">
        <v>0</v>
      </c>
      <c r="AE864" s="16">
        <v>0</v>
      </c>
      <c r="AF864" s="16">
        <f t="shared" si="290"/>
        <v>611.47500000000002</v>
      </c>
      <c r="AG864" s="16">
        <f t="shared" si="298"/>
        <v>97.836000000000013</v>
      </c>
      <c r="AH864" s="16">
        <f t="shared" si="291"/>
        <v>709.31100000000004</v>
      </c>
      <c r="AI864" s="16">
        <f t="shared" si="295"/>
        <v>12.229500000000002</v>
      </c>
      <c r="AJ864" s="16">
        <v>0</v>
      </c>
      <c r="AK864" s="16">
        <f t="shared" si="292"/>
        <v>12.229500000000002</v>
      </c>
      <c r="AL864" s="19"/>
      <c r="AM864" s="16">
        <f t="shared" si="301"/>
        <v>599.24549999999999</v>
      </c>
      <c r="AN864" s="16"/>
      <c r="AO864" s="20"/>
      <c r="AP864" s="16">
        <f t="shared" si="299"/>
        <v>0</v>
      </c>
      <c r="AQ864" s="16"/>
      <c r="AR864" s="15"/>
      <c r="AS864" s="16">
        <f t="shared" si="283"/>
        <v>0</v>
      </c>
      <c r="AT864" s="16"/>
      <c r="AU864" s="16"/>
      <c r="AV864" s="16">
        <f t="shared" si="287"/>
        <v>709.31100000000004</v>
      </c>
      <c r="AW864" s="60">
        <f t="shared" si="293"/>
        <v>709.31100000000004</v>
      </c>
      <c r="AX864" s="16" t="str">
        <f t="shared" ref="AX864:AX895" si="302">Q864</f>
        <v>MAYFAIR</v>
      </c>
      <c r="AY864" s="22"/>
      <c r="AZ864" s="22"/>
      <c r="BA864" s="1"/>
      <c r="BB864" s="22" t="str">
        <f t="shared" si="300"/>
        <v>FIRE</v>
      </c>
      <c r="BC864" s="1"/>
      <c r="BD864" s="1"/>
      <c r="BE864" s="36" t="s">
        <v>281</v>
      </c>
    </row>
    <row r="865" spans="1:57" ht="15.75" customHeight="1">
      <c r="A865" s="2" t="s">
        <v>784</v>
      </c>
      <c r="B865" s="1" t="s">
        <v>58</v>
      </c>
      <c r="C865" s="27">
        <v>45194</v>
      </c>
      <c r="D865" s="27">
        <v>45184</v>
      </c>
      <c r="E865" s="27">
        <v>45184</v>
      </c>
      <c r="F865" s="27">
        <v>45548</v>
      </c>
      <c r="G865" s="13" t="str">
        <f t="shared" si="297"/>
        <v>000-864/AIB RDC/2023</v>
      </c>
      <c r="H865" s="1">
        <v>0</v>
      </c>
      <c r="I865" s="1" t="s">
        <v>83</v>
      </c>
      <c r="J865" s="2" t="s">
        <v>1046</v>
      </c>
      <c r="K865" s="2" t="s">
        <v>1047</v>
      </c>
      <c r="L865" s="1"/>
      <c r="M865" s="1" t="s">
        <v>95</v>
      </c>
      <c r="N865" s="1" t="s">
        <v>836</v>
      </c>
      <c r="O865" s="1" t="s">
        <v>104</v>
      </c>
      <c r="P865" s="1" t="s">
        <v>105</v>
      </c>
      <c r="Q865" s="1" t="s">
        <v>66</v>
      </c>
      <c r="R865" s="1" t="s">
        <v>66</v>
      </c>
      <c r="S865" s="25">
        <v>3621473.62</v>
      </c>
      <c r="T865" s="25">
        <v>10132.17</v>
      </c>
      <c r="U865" s="25">
        <v>0</v>
      </c>
      <c r="V865" s="25">
        <v>0</v>
      </c>
      <c r="W865" s="25">
        <v>176.84</v>
      </c>
      <c r="X865" s="25">
        <v>8536.24</v>
      </c>
      <c r="Y865" s="25">
        <v>1394.09</v>
      </c>
      <c r="Z865" s="17">
        <f t="shared" si="289"/>
        <v>2.3571178187955432E-3</v>
      </c>
      <c r="AA865" s="18">
        <v>0.15</v>
      </c>
      <c r="AB865" s="16">
        <f t="shared" si="296"/>
        <v>1280.4359999999999</v>
      </c>
      <c r="AC865" s="16">
        <v>0</v>
      </c>
      <c r="AD865" s="16">
        <v>0</v>
      </c>
      <c r="AE865" s="16">
        <v>0</v>
      </c>
      <c r="AF865" s="16">
        <f t="shared" si="290"/>
        <v>1280.4359999999999</v>
      </c>
      <c r="AG865" s="16">
        <f t="shared" si="298"/>
        <v>204.86975999999999</v>
      </c>
      <c r="AH865" s="16">
        <f t="shared" si="291"/>
        <v>1485.30576</v>
      </c>
      <c r="AI865" s="16">
        <f t="shared" si="295"/>
        <v>25.608719999999998</v>
      </c>
      <c r="AJ865" s="16">
        <v>0</v>
      </c>
      <c r="AK865" s="16">
        <f t="shared" si="292"/>
        <v>25.608719999999998</v>
      </c>
      <c r="AL865" s="19"/>
      <c r="AM865" s="16">
        <f t="shared" si="301"/>
        <v>1254.82728</v>
      </c>
      <c r="AN865" s="16" t="s">
        <v>147</v>
      </c>
      <c r="AO865" s="20">
        <v>0.4</v>
      </c>
      <c r="AP865" s="16">
        <f t="shared" si="299"/>
        <v>501.93091200000003</v>
      </c>
      <c r="AQ865" s="16"/>
      <c r="AR865" s="15"/>
      <c r="AS865" s="16">
        <f t="shared" ref="AS865:AS903" si="303">AP865-AQ865</f>
        <v>501.93091200000003</v>
      </c>
      <c r="AT865" s="16"/>
      <c r="AU865" s="16">
        <v>1398.9</v>
      </c>
      <c r="AV865" s="16">
        <f t="shared" si="287"/>
        <v>1485.30576</v>
      </c>
      <c r="AW865" s="60">
        <f t="shared" si="293"/>
        <v>86.405759999999873</v>
      </c>
      <c r="AX865" s="16" t="str">
        <f t="shared" si="302"/>
        <v>SFA</v>
      </c>
      <c r="AY865" s="22">
        <v>45237</v>
      </c>
      <c r="BA865" s="1"/>
      <c r="BB865" s="22"/>
      <c r="BC865" s="1"/>
      <c r="BD865" s="1"/>
      <c r="BE865" s="1"/>
    </row>
    <row r="866" spans="1:57" ht="15.75" customHeight="1">
      <c r="A866" s="2" t="s">
        <v>770</v>
      </c>
      <c r="B866" s="1" t="s">
        <v>169</v>
      </c>
      <c r="C866" s="27">
        <v>45121</v>
      </c>
      <c r="D866" s="27"/>
      <c r="E866" s="27">
        <v>45122</v>
      </c>
      <c r="F866" s="21">
        <v>45487</v>
      </c>
      <c r="G866" s="13" t="str">
        <f t="shared" si="297"/>
        <v>000-865/AIB RDC/2023</v>
      </c>
      <c r="H866" s="1">
        <v>2</v>
      </c>
      <c r="I866" s="1" t="s">
        <v>68</v>
      </c>
      <c r="J866" s="14" t="s">
        <v>931</v>
      </c>
      <c r="K866" s="1" t="s">
        <v>932</v>
      </c>
      <c r="L866" s="1"/>
      <c r="M866" s="1" t="s">
        <v>99</v>
      </c>
      <c r="N866" s="1" t="s">
        <v>100</v>
      </c>
      <c r="O866" s="1" t="s">
        <v>284</v>
      </c>
      <c r="P866" s="1" t="s">
        <v>285</v>
      </c>
      <c r="Q866" s="1" t="s">
        <v>127</v>
      </c>
      <c r="R866" s="1" t="s">
        <v>127</v>
      </c>
      <c r="S866" s="25">
        <v>0</v>
      </c>
      <c r="T866" s="25">
        <v>23229.15</v>
      </c>
      <c r="U866" s="25">
        <v>0</v>
      </c>
      <c r="V866" s="25">
        <v>0</v>
      </c>
      <c r="W866" s="25">
        <v>50</v>
      </c>
      <c r="X866" s="25">
        <v>19635.78</v>
      </c>
      <c r="Y866" s="25">
        <v>3149.72</v>
      </c>
      <c r="Z866" s="17" t="e">
        <f t="shared" si="289"/>
        <v>#DIV/0!</v>
      </c>
      <c r="AA866" s="18">
        <v>0.15</v>
      </c>
      <c r="AB866" s="16">
        <f t="shared" si="296"/>
        <v>2945.3669999999997</v>
      </c>
      <c r="AC866" s="16">
        <v>0</v>
      </c>
      <c r="AD866" s="16">
        <v>0</v>
      </c>
      <c r="AE866" s="16">
        <v>0</v>
      </c>
      <c r="AF866" s="16">
        <f t="shared" si="290"/>
        <v>2945.3669999999997</v>
      </c>
      <c r="AG866" s="16">
        <f t="shared" si="298"/>
        <v>471.25871999999998</v>
      </c>
      <c r="AH866" s="16">
        <f t="shared" si="291"/>
        <v>3416.6257199999995</v>
      </c>
      <c r="AI866" s="16">
        <f t="shared" si="295"/>
        <v>58.907339999999998</v>
      </c>
      <c r="AJ866" s="16">
        <v>0</v>
      </c>
      <c r="AK866" s="16">
        <f t="shared" si="292"/>
        <v>58.907339999999998</v>
      </c>
      <c r="AL866" s="19"/>
      <c r="AM866" s="16">
        <f t="shared" si="301"/>
        <v>2886.4596599999995</v>
      </c>
      <c r="AN866" s="16"/>
      <c r="AO866" s="20"/>
      <c r="AP866" s="16">
        <f t="shared" si="299"/>
        <v>0</v>
      </c>
      <c r="AQ866" s="16"/>
      <c r="AR866" s="15"/>
      <c r="AS866" s="16">
        <f t="shared" si="303"/>
        <v>0</v>
      </c>
      <c r="AT866" s="16"/>
      <c r="AU866" s="16"/>
      <c r="AV866" s="16">
        <f t="shared" si="287"/>
        <v>3416.6257199999995</v>
      </c>
      <c r="AW866" s="60">
        <f t="shared" si="293"/>
        <v>3416.6257199999995</v>
      </c>
      <c r="AX866" s="16" t="str">
        <f t="shared" si="302"/>
        <v>MAYFAIR</v>
      </c>
      <c r="AY866" s="22"/>
      <c r="AZ866" s="22"/>
      <c r="BA866" s="1"/>
      <c r="BB866" s="22"/>
      <c r="BC866" s="1"/>
      <c r="BD866" s="1"/>
      <c r="BE866" s="1"/>
    </row>
    <row r="867" spans="1:57" ht="15.75" customHeight="1">
      <c r="A867" s="2" t="s">
        <v>157</v>
      </c>
      <c r="B867" s="1" t="s">
        <v>169</v>
      </c>
      <c r="C867" s="27">
        <v>44965</v>
      </c>
      <c r="D867" s="27"/>
      <c r="E867" s="27">
        <v>44966</v>
      </c>
      <c r="F867" s="27">
        <v>45024</v>
      </c>
      <c r="G867" s="13" t="str">
        <f t="shared" si="297"/>
        <v>000-866/AIB RDC/2023</v>
      </c>
      <c r="H867" s="1">
        <v>0</v>
      </c>
      <c r="I867" s="1" t="s">
        <v>83</v>
      </c>
      <c r="J867" s="2"/>
      <c r="K867" s="2" t="s">
        <v>274</v>
      </c>
      <c r="L867" s="1"/>
      <c r="M867" s="1" t="s">
        <v>99</v>
      </c>
      <c r="N867" s="1" t="s">
        <v>100</v>
      </c>
      <c r="O867" s="1" t="s">
        <v>104</v>
      </c>
      <c r="P867" s="1" t="s">
        <v>105</v>
      </c>
      <c r="Q867" s="1" t="s">
        <v>135</v>
      </c>
      <c r="R867" s="1" t="s">
        <v>135</v>
      </c>
      <c r="S867" s="25">
        <v>200000</v>
      </c>
      <c r="T867" s="25">
        <v>737.5</v>
      </c>
      <c r="U867" s="16">
        <v>0</v>
      </c>
      <c r="V867" s="16">
        <v>0</v>
      </c>
      <c r="W867" s="25">
        <v>25</v>
      </c>
      <c r="X867" s="25">
        <v>600</v>
      </c>
      <c r="Y867" s="25">
        <v>100</v>
      </c>
      <c r="Z867" s="17">
        <f t="shared" si="289"/>
        <v>3.0000000000000001E-3</v>
      </c>
      <c r="AA867" s="18">
        <v>0.15</v>
      </c>
      <c r="AB867" s="16">
        <f t="shared" si="296"/>
        <v>90</v>
      </c>
      <c r="AC867" s="16">
        <v>0</v>
      </c>
      <c r="AD867" s="16">
        <v>0</v>
      </c>
      <c r="AE867" s="16">
        <v>0</v>
      </c>
      <c r="AF867" s="16">
        <f t="shared" si="290"/>
        <v>90</v>
      </c>
      <c r="AG867" s="16">
        <f t="shared" si="298"/>
        <v>14.4</v>
      </c>
      <c r="AH867" s="16">
        <f t="shared" si="291"/>
        <v>104.4</v>
      </c>
      <c r="AI867" s="16">
        <f t="shared" si="295"/>
        <v>1.8</v>
      </c>
      <c r="AJ867" s="16">
        <v>0</v>
      </c>
      <c r="AK867" s="16">
        <f t="shared" si="292"/>
        <v>1.8</v>
      </c>
      <c r="AL867" s="19"/>
      <c r="AM867" s="16">
        <f t="shared" si="301"/>
        <v>88.2</v>
      </c>
      <c r="AN867" s="16"/>
      <c r="AO867" s="20">
        <v>0</v>
      </c>
      <c r="AP867" s="16">
        <f t="shared" si="299"/>
        <v>0</v>
      </c>
      <c r="AQ867" s="16"/>
      <c r="AR867" s="15"/>
      <c r="AS867" s="16">
        <f t="shared" si="303"/>
        <v>0</v>
      </c>
      <c r="AT867" s="16"/>
      <c r="AU867" s="16"/>
      <c r="AV867" s="16">
        <f t="shared" si="287"/>
        <v>104.4</v>
      </c>
      <c r="AW867" s="60">
        <f t="shared" si="293"/>
        <v>104.4</v>
      </c>
      <c r="AX867" s="16" t="str">
        <f t="shared" si="302"/>
        <v>RAWSUR</v>
      </c>
      <c r="AY867" s="22"/>
      <c r="AZ867" s="22"/>
      <c r="BA867" s="1" t="s">
        <v>275</v>
      </c>
      <c r="BB867" s="22" t="str">
        <f>O867</f>
        <v>MARINE CARGO / GIT</v>
      </c>
      <c r="BC867" s="1"/>
      <c r="BD867" s="1"/>
      <c r="BE867" s="1" t="s">
        <v>276</v>
      </c>
    </row>
    <row r="868" spans="1:57" ht="15.75" customHeight="1">
      <c r="A868" s="2" t="s">
        <v>871</v>
      </c>
      <c r="B868" s="1" t="s">
        <v>58</v>
      </c>
      <c r="C868" s="27">
        <v>45139</v>
      </c>
      <c r="D868" s="27">
        <v>45219</v>
      </c>
      <c r="E868" s="27">
        <v>45219</v>
      </c>
      <c r="F868" s="21">
        <v>45583</v>
      </c>
      <c r="G868" s="13" t="str">
        <f t="shared" si="297"/>
        <v>000-867/AIB RDC/2023</v>
      </c>
      <c r="H868" s="1">
        <v>0</v>
      </c>
      <c r="I868" s="1" t="s">
        <v>83</v>
      </c>
      <c r="J868" s="14" t="s">
        <v>933</v>
      </c>
      <c r="K868" s="1" t="s">
        <v>934</v>
      </c>
      <c r="L868" s="1"/>
      <c r="M868" s="1" t="s">
        <v>99</v>
      </c>
      <c r="N868" s="1" t="s">
        <v>100</v>
      </c>
      <c r="O868" s="1" t="s">
        <v>781</v>
      </c>
      <c r="P868" s="1" t="s">
        <v>112</v>
      </c>
      <c r="Q868" s="1" t="s">
        <v>66</v>
      </c>
      <c r="R868" s="1" t="s">
        <v>66</v>
      </c>
      <c r="S868" s="25">
        <v>1000000</v>
      </c>
      <c r="T868" s="25">
        <v>11164.88</v>
      </c>
      <c r="U868" s="25">
        <v>1411.76</v>
      </c>
      <c r="V868" s="25">
        <v>0</v>
      </c>
      <c r="W868" s="25">
        <v>50</v>
      </c>
      <c r="X868" s="25">
        <v>8000</v>
      </c>
      <c r="Y868" s="25">
        <v>1513.88</v>
      </c>
      <c r="Z868" s="17">
        <f t="shared" si="289"/>
        <v>8.0000000000000002E-3</v>
      </c>
      <c r="AA868" s="18">
        <v>0.1</v>
      </c>
      <c r="AB868" s="16">
        <f t="shared" si="296"/>
        <v>800</v>
      </c>
      <c r="AC868" s="16">
        <v>0</v>
      </c>
      <c r="AD868" s="16">
        <v>0</v>
      </c>
      <c r="AE868" s="16">
        <v>0</v>
      </c>
      <c r="AF868" s="16">
        <f t="shared" si="290"/>
        <v>800</v>
      </c>
      <c r="AG868" s="16">
        <f t="shared" si="298"/>
        <v>128</v>
      </c>
      <c r="AH868" s="16">
        <f t="shared" si="291"/>
        <v>928</v>
      </c>
      <c r="AI868" s="16">
        <f t="shared" si="295"/>
        <v>16</v>
      </c>
      <c r="AJ868" s="16">
        <v>0</v>
      </c>
      <c r="AK868" s="16">
        <f t="shared" si="292"/>
        <v>16</v>
      </c>
      <c r="AL868" s="19"/>
      <c r="AM868" s="16">
        <f t="shared" si="301"/>
        <v>784</v>
      </c>
      <c r="AN868" s="16"/>
      <c r="AO868" s="20"/>
      <c r="AP868" s="16">
        <f t="shared" si="299"/>
        <v>0</v>
      </c>
      <c r="AQ868" s="16"/>
      <c r="AR868" s="15"/>
      <c r="AS868" s="16">
        <f t="shared" si="303"/>
        <v>0</v>
      </c>
      <c r="AT868" s="16"/>
      <c r="AU868" s="16">
        <v>231.99</v>
      </c>
      <c r="AV868" s="16">
        <f t="shared" si="287"/>
        <v>928</v>
      </c>
      <c r="AW868" s="60">
        <f t="shared" si="293"/>
        <v>696.01</v>
      </c>
      <c r="AX868" s="16" t="str">
        <f t="shared" si="302"/>
        <v>SFA</v>
      </c>
      <c r="AY868" s="22">
        <v>45237</v>
      </c>
      <c r="AZ868" s="22"/>
      <c r="BA868" s="1"/>
      <c r="BB868" s="22"/>
      <c r="BC868" s="1"/>
      <c r="BD868" s="1"/>
      <c r="BE868" s="1"/>
    </row>
    <row r="869" spans="1:57" ht="15.75" customHeight="1">
      <c r="A869" s="2" t="s">
        <v>1005</v>
      </c>
      <c r="B869" s="1" t="s">
        <v>169</v>
      </c>
      <c r="C869" s="27">
        <v>45244</v>
      </c>
      <c r="D869" s="27">
        <v>45201</v>
      </c>
      <c r="E869" s="27">
        <v>45206</v>
      </c>
      <c r="F869" s="21">
        <v>45242</v>
      </c>
      <c r="G869" s="13" t="str">
        <f t="shared" si="297"/>
        <v>000-868/AIB RDC/2023</v>
      </c>
      <c r="H869" s="1">
        <v>0</v>
      </c>
      <c r="I869" s="1" t="s">
        <v>83</v>
      </c>
      <c r="J869" s="29" t="s">
        <v>1138</v>
      </c>
      <c r="K869" s="2" t="s">
        <v>1139</v>
      </c>
      <c r="L869" s="1"/>
      <c r="M869" s="1" t="s">
        <v>74</v>
      </c>
      <c r="N869" s="1" t="s">
        <v>724</v>
      </c>
      <c r="O869" s="1" t="s">
        <v>302</v>
      </c>
      <c r="P869" s="1" t="s">
        <v>81</v>
      </c>
      <c r="Q869" s="1" t="s">
        <v>117</v>
      </c>
      <c r="R869" s="1" t="s">
        <v>117</v>
      </c>
      <c r="S869" s="25">
        <v>0</v>
      </c>
      <c r="T869" s="25">
        <v>79.59</v>
      </c>
      <c r="U869" s="25">
        <v>0</v>
      </c>
      <c r="V869" s="25">
        <v>0</v>
      </c>
      <c r="W869" s="25">
        <v>1.35</v>
      </c>
      <c r="X869" s="25">
        <v>67.260000000000005</v>
      </c>
      <c r="Y869" s="25">
        <v>10.98</v>
      </c>
      <c r="Z869" s="17" t="e">
        <f t="shared" si="289"/>
        <v>#DIV/0!</v>
      </c>
      <c r="AA869" s="58">
        <v>0.2</v>
      </c>
      <c r="AB869" s="16">
        <f t="shared" si="296"/>
        <v>13.452000000000002</v>
      </c>
      <c r="AC869" s="16">
        <v>0</v>
      </c>
      <c r="AD869" s="16">
        <v>0</v>
      </c>
      <c r="AE869" s="16">
        <v>0</v>
      </c>
      <c r="AF869" s="16">
        <f t="shared" si="290"/>
        <v>13.452000000000002</v>
      </c>
      <c r="AG869" s="16">
        <f t="shared" si="298"/>
        <v>2.1523200000000005</v>
      </c>
      <c r="AH869" s="16">
        <f t="shared" si="291"/>
        <v>15.604320000000001</v>
      </c>
      <c r="AI869" s="16">
        <f t="shared" si="295"/>
        <v>0.26904000000000006</v>
      </c>
      <c r="AJ869" s="16">
        <v>0</v>
      </c>
      <c r="AK869" s="16">
        <f t="shared" si="292"/>
        <v>0.26904000000000006</v>
      </c>
      <c r="AL869" s="19"/>
      <c r="AM869" s="16">
        <f t="shared" si="301"/>
        <v>13.182960000000001</v>
      </c>
      <c r="AN869" s="16"/>
      <c r="AO869" s="20"/>
      <c r="AP869" s="16">
        <f t="shared" si="299"/>
        <v>0</v>
      </c>
      <c r="AQ869" s="16"/>
      <c r="AR869" s="15"/>
      <c r="AS869" s="16">
        <f t="shared" si="303"/>
        <v>0</v>
      </c>
      <c r="AT869" s="16"/>
      <c r="AU869" s="16"/>
      <c r="AV869" s="16">
        <f t="shared" si="287"/>
        <v>15.604320000000001</v>
      </c>
      <c r="AW869" s="60">
        <f t="shared" si="293"/>
        <v>15.604320000000001</v>
      </c>
      <c r="AX869" s="16" t="str">
        <f t="shared" si="302"/>
        <v>SUNU</v>
      </c>
      <c r="AY869" s="22"/>
      <c r="BA869" s="1"/>
      <c r="BB869" s="22"/>
      <c r="BC869" s="1"/>
      <c r="BD869" s="1"/>
      <c r="BE869" s="1"/>
    </row>
    <row r="870" spans="1:57" ht="15.75" customHeight="1">
      <c r="A870" s="2" t="s">
        <v>157</v>
      </c>
      <c r="B870" s="1" t="s">
        <v>169</v>
      </c>
      <c r="C870" s="27">
        <v>44980</v>
      </c>
      <c r="D870" s="27"/>
      <c r="E870" s="27"/>
      <c r="F870" s="27"/>
      <c r="G870" s="13" t="str">
        <f t="shared" si="297"/>
        <v>000-869/AIB RDC/2023</v>
      </c>
      <c r="H870" s="1">
        <v>0</v>
      </c>
      <c r="I870" s="1" t="s">
        <v>83</v>
      </c>
      <c r="J870" s="2"/>
      <c r="K870" s="2" t="s">
        <v>191</v>
      </c>
      <c r="L870" s="1"/>
      <c r="M870" s="1" t="s">
        <v>99</v>
      </c>
      <c r="N870" s="1" t="s">
        <v>100</v>
      </c>
      <c r="O870" s="1" t="s">
        <v>133</v>
      </c>
      <c r="P870" s="1" t="s">
        <v>134</v>
      </c>
      <c r="Q870" s="1" t="s">
        <v>66</v>
      </c>
      <c r="R870" s="1" t="s">
        <v>66</v>
      </c>
      <c r="S870" s="25">
        <v>44369</v>
      </c>
      <c r="T870" s="25">
        <v>575.66999999999996</v>
      </c>
      <c r="U870" s="25">
        <v>0</v>
      </c>
      <c r="V870" s="25">
        <v>0</v>
      </c>
      <c r="W870" s="25">
        <v>7.21</v>
      </c>
      <c r="X870" s="25">
        <v>480.64</v>
      </c>
      <c r="Y870" s="25">
        <v>78.06</v>
      </c>
      <c r="Z870" s="17">
        <f t="shared" si="289"/>
        <v>1.0832788658748226E-2</v>
      </c>
      <c r="AA870" s="18">
        <v>0.15</v>
      </c>
      <c r="AB870" s="16">
        <f t="shared" si="296"/>
        <v>72.095999999999989</v>
      </c>
      <c r="AC870" s="16">
        <v>0</v>
      </c>
      <c r="AD870" s="16">
        <v>0</v>
      </c>
      <c r="AE870" s="16">
        <v>0</v>
      </c>
      <c r="AF870" s="16">
        <f t="shared" si="290"/>
        <v>72.095999999999989</v>
      </c>
      <c r="AG870" s="16">
        <f t="shared" si="298"/>
        <v>11.535359999999999</v>
      </c>
      <c r="AH870" s="16">
        <f t="shared" si="291"/>
        <v>83.631359999999987</v>
      </c>
      <c r="AI870" s="16">
        <f t="shared" si="295"/>
        <v>1.4419199999999999</v>
      </c>
      <c r="AJ870" s="16">
        <v>0</v>
      </c>
      <c r="AK870" s="16">
        <f t="shared" si="292"/>
        <v>1.4419199999999999</v>
      </c>
      <c r="AL870" s="19"/>
      <c r="AM870" s="16">
        <f t="shared" si="301"/>
        <v>70.654079999999993</v>
      </c>
      <c r="AN870" s="16"/>
      <c r="AO870" s="20"/>
      <c r="AP870" s="16">
        <f t="shared" si="299"/>
        <v>0</v>
      </c>
      <c r="AQ870" s="16"/>
      <c r="AR870" s="15"/>
      <c r="AS870" s="16">
        <f t="shared" si="303"/>
        <v>0</v>
      </c>
      <c r="AT870" s="16"/>
      <c r="AU870" s="16"/>
      <c r="AV870" s="16">
        <f t="shared" si="287"/>
        <v>83.631359999999987</v>
      </c>
      <c r="AW870" s="60">
        <f t="shared" si="293"/>
        <v>83.631359999999987</v>
      </c>
      <c r="AX870" s="16" t="str">
        <f t="shared" si="302"/>
        <v>SFA</v>
      </c>
      <c r="AY870" s="22"/>
      <c r="AZ870" s="22"/>
      <c r="BA870" s="1"/>
      <c r="BB870" s="22" t="str">
        <f>O870</f>
        <v>COMP MOTOR</v>
      </c>
      <c r="BC870" s="1"/>
      <c r="BD870" s="1"/>
      <c r="BE870" s="1" t="s">
        <v>293</v>
      </c>
    </row>
    <row r="871" spans="1:57" ht="15.75" customHeight="1">
      <c r="A871" s="2" t="s">
        <v>871</v>
      </c>
      <c r="B871" s="1" t="s">
        <v>169</v>
      </c>
      <c r="C871" s="27">
        <v>45163</v>
      </c>
      <c r="D871" s="27">
        <v>45154</v>
      </c>
      <c r="E871" s="27">
        <v>45149</v>
      </c>
      <c r="F871" s="21">
        <v>45260</v>
      </c>
      <c r="G871" s="13" t="str">
        <f t="shared" si="297"/>
        <v>000-870/AIB RDC/2023</v>
      </c>
      <c r="H871" s="1">
        <v>2</v>
      </c>
      <c r="I871" s="1" t="s">
        <v>59</v>
      </c>
      <c r="J871" s="14" t="s">
        <v>973</v>
      </c>
      <c r="K871" s="1" t="s">
        <v>328</v>
      </c>
      <c r="L871" s="1" t="s">
        <v>329</v>
      </c>
      <c r="M871" s="1" t="s">
        <v>63</v>
      </c>
      <c r="N871" s="1" t="s">
        <v>146</v>
      </c>
      <c r="O871" s="1" t="s">
        <v>133</v>
      </c>
      <c r="P871" s="1" t="s">
        <v>65</v>
      </c>
      <c r="Q871" s="1" t="s">
        <v>135</v>
      </c>
      <c r="R871" s="1" t="s">
        <v>135</v>
      </c>
      <c r="S871" s="25">
        <v>0</v>
      </c>
      <c r="T871" s="25">
        <v>2127.3000000000002</v>
      </c>
      <c r="U871" s="25">
        <v>0</v>
      </c>
      <c r="V871" s="25">
        <v>0</v>
      </c>
      <c r="W871" s="25">
        <v>20</v>
      </c>
      <c r="X871" s="25">
        <v>1789.78</v>
      </c>
      <c r="Y871" s="25">
        <v>288.44</v>
      </c>
      <c r="Z871" s="17" t="e">
        <f t="shared" si="289"/>
        <v>#DIV/0!</v>
      </c>
      <c r="AA871" s="18">
        <v>0.1</v>
      </c>
      <c r="AB871" s="16">
        <f t="shared" si="296"/>
        <v>178.97800000000001</v>
      </c>
      <c r="AC871" s="16">
        <v>0</v>
      </c>
      <c r="AD871" s="16">
        <v>0</v>
      </c>
      <c r="AE871" s="16">
        <v>0</v>
      </c>
      <c r="AF871" s="16">
        <f t="shared" si="290"/>
        <v>178.97800000000001</v>
      </c>
      <c r="AG871" s="16">
        <f t="shared" si="298"/>
        <v>28.636480000000002</v>
      </c>
      <c r="AH871" s="16">
        <f t="shared" si="291"/>
        <v>207.61448000000001</v>
      </c>
      <c r="AI871" s="16">
        <f t="shared" ref="AI871:AI903" si="304">2%*(AB871+AC871+AD871)</f>
        <v>3.5795600000000003</v>
      </c>
      <c r="AJ871" s="16">
        <v>0</v>
      </c>
      <c r="AK871" s="16">
        <f t="shared" si="292"/>
        <v>3.5795600000000003</v>
      </c>
      <c r="AL871" s="19"/>
      <c r="AM871" s="16">
        <f t="shared" si="301"/>
        <v>175.39844000000002</v>
      </c>
      <c r="AN871" s="16" t="s">
        <v>319</v>
      </c>
      <c r="AO871" s="20"/>
      <c r="AP871" s="16">
        <f t="shared" si="299"/>
        <v>0</v>
      </c>
      <c r="AQ871" s="16"/>
      <c r="AR871" s="15"/>
      <c r="AS871" s="16">
        <f t="shared" si="303"/>
        <v>0</v>
      </c>
      <c r="AT871" s="16"/>
      <c r="AU871" s="16"/>
      <c r="AV871" s="16">
        <f t="shared" si="287"/>
        <v>207.61448000000001</v>
      </c>
      <c r="AW871" s="60">
        <f t="shared" si="293"/>
        <v>207.61448000000001</v>
      </c>
      <c r="AX871" s="16" t="str">
        <f t="shared" si="302"/>
        <v>RAWSUR</v>
      </c>
      <c r="AY871" s="22"/>
      <c r="AZ871" s="22"/>
      <c r="BA871" s="1"/>
      <c r="BB871" s="22"/>
      <c r="BC871" s="1"/>
      <c r="BD871" s="1"/>
      <c r="BE871" s="1"/>
    </row>
    <row r="872" spans="1:57" ht="15.75" hidden="1" customHeight="1">
      <c r="A872" s="2" t="s">
        <v>784</v>
      </c>
      <c r="B872" s="1" t="s">
        <v>58</v>
      </c>
      <c r="C872" s="27">
        <v>45056</v>
      </c>
      <c r="D872" s="27">
        <v>45194</v>
      </c>
      <c r="E872" s="27">
        <v>45195</v>
      </c>
      <c r="F872" s="27">
        <v>45560</v>
      </c>
      <c r="G872" s="13" t="str">
        <f t="shared" si="297"/>
        <v>000-871/AIB RDC/2023</v>
      </c>
      <c r="H872" s="1">
        <v>0</v>
      </c>
      <c r="I872" s="1" t="s">
        <v>83</v>
      </c>
      <c r="J872" s="29" t="s">
        <v>1116</v>
      </c>
      <c r="K872" s="2" t="s">
        <v>331</v>
      </c>
      <c r="L872" s="1" t="s">
        <v>139</v>
      </c>
      <c r="M872" s="1" t="s">
        <v>63</v>
      </c>
      <c r="N872" s="1" t="s">
        <v>644</v>
      </c>
      <c r="O872" s="1" t="s">
        <v>133</v>
      </c>
      <c r="P872" s="1" t="s">
        <v>134</v>
      </c>
      <c r="Q872" s="1" t="s">
        <v>66</v>
      </c>
      <c r="R872" s="1" t="s">
        <v>66</v>
      </c>
      <c r="S872" s="25">
        <v>162188</v>
      </c>
      <c r="T872" s="25">
        <v>8527.51</v>
      </c>
      <c r="U872" s="25">
        <v>0</v>
      </c>
      <c r="V872" s="25">
        <v>0</v>
      </c>
      <c r="W872" s="25">
        <v>258.36</v>
      </c>
      <c r="X872" s="25">
        <v>7092.95</v>
      </c>
      <c r="Y872" s="25">
        <v>1176.2</v>
      </c>
      <c r="Z872" s="17">
        <f t="shared" si="289"/>
        <v>4.3732890226157298E-2</v>
      </c>
      <c r="AA872" s="18">
        <v>0.15</v>
      </c>
      <c r="AB872" s="16">
        <f t="shared" si="296"/>
        <v>1063.9424999999999</v>
      </c>
      <c r="AC872" s="16">
        <f>30%*U872</f>
        <v>0</v>
      </c>
      <c r="AD872" s="16">
        <v>0</v>
      </c>
      <c r="AE872" s="16">
        <v>0</v>
      </c>
      <c r="AF872" s="16">
        <f t="shared" si="290"/>
        <v>1063.9424999999999</v>
      </c>
      <c r="AG872" s="16">
        <f t="shared" si="298"/>
        <v>170.23079999999999</v>
      </c>
      <c r="AH872" s="16">
        <f t="shared" si="291"/>
        <v>1234.1732999999999</v>
      </c>
      <c r="AI872" s="16">
        <f t="shared" si="304"/>
        <v>21.278849999999998</v>
      </c>
      <c r="AJ872" s="16">
        <v>0</v>
      </c>
      <c r="AK872" s="16">
        <f t="shared" si="292"/>
        <v>21.278849999999998</v>
      </c>
      <c r="AL872" s="19"/>
      <c r="AM872" s="16">
        <f t="shared" si="301"/>
        <v>1042.66365</v>
      </c>
      <c r="AN872" s="16" t="s">
        <v>77</v>
      </c>
      <c r="AO872" s="20"/>
      <c r="AP872" s="16">
        <f t="shared" si="299"/>
        <v>0</v>
      </c>
      <c r="AQ872" s="16"/>
      <c r="AR872" s="15"/>
      <c r="AS872" s="16">
        <f t="shared" si="303"/>
        <v>0</v>
      </c>
      <c r="AT872" s="16"/>
      <c r="AU872" s="16">
        <v>1234.1732999999999</v>
      </c>
      <c r="AV872" s="16">
        <f t="shared" si="287"/>
        <v>1234.1732999999999</v>
      </c>
      <c r="AW872" s="16">
        <f t="shared" si="293"/>
        <v>0</v>
      </c>
      <c r="AX872" s="16" t="str">
        <f t="shared" si="302"/>
        <v>SFA</v>
      </c>
      <c r="AY872" s="22">
        <v>45237</v>
      </c>
      <c r="BA872" s="1"/>
      <c r="BB872" s="22" t="str">
        <f>O872</f>
        <v>COMP MOTOR</v>
      </c>
      <c r="BC872" s="1"/>
      <c r="BD872" s="1"/>
      <c r="BE872" s="1"/>
    </row>
    <row r="873" spans="1:57" ht="15.75" customHeight="1">
      <c r="A873" s="2" t="s">
        <v>871</v>
      </c>
      <c r="B873" s="1" t="s">
        <v>169</v>
      </c>
      <c r="C873" s="27">
        <v>45163</v>
      </c>
      <c r="D873" s="27">
        <v>45153</v>
      </c>
      <c r="E873" s="27">
        <v>45149</v>
      </c>
      <c r="F873" s="21">
        <v>45260</v>
      </c>
      <c r="G873" s="13" t="str">
        <f t="shared" si="297"/>
        <v>000-872/AIB RDC/2023</v>
      </c>
      <c r="H873" s="1">
        <v>1</v>
      </c>
      <c r="I873" s="1" t="s">
        <v>443</v>
      </c>
      <c r="J873" s="14" t="s">
        <v>973</v>
      </c>
      <c r="K873" s="1" t="s">
        <v>328</v>
      </c>
      <c r="L873" s="1" t="s">
        <v>329</v>
      </c>
      <c r="M873" s="1" t="s">
        <v>63</v>
      </c>
      <c r="N873" s="1" t="s">
        <v>146</v>
      </c>
      <c r="O873" s="1" t="s">
        <v>133</v>
      </c>
      <c r="P873" s="1" t="s">
        <v>134</v>
      </c>
      <c r="Q873" s="1" t="s">
        <v>135</v>
      </c>
      <c r="R873" s="1" t="s">
        <v>135</v>
      </c>
      <c r="S873" s="25">
        <v>0</v>
      </c>
      <c r="T873" s="25">
        <v>-851.27</v>
      </c>
      <c r="U873" s="25">
        <v>0</v>
      </c>
      <c r="V873" s="25">
        <v>0</v>
      </c>
      <c r="W873" s="25">
        <v>0</v>
      </c>
      <c r="X873" s="25">
        <v>-721.41</v>
      </c>
      <c r="Y873" s="25">
        <v>-115.43</v>
      </c>
      <c r="Z873" s="17" t="e">
        <f t="shared" si="289"/>
        <v>#DIV/0!</v>
      </c>
      <c r="AA873" s="18">
        <v>0.1</v>
      </c>
      <c r="AB873" s="16">
        <f t="shared" si="296"/>
        <v>-72.141000000000005</v>
      </c>
      <c r="AC873" s="16">
        <v>0</v>
      </c>
      <c r="AD873" s="16">
        <v>0</v>
      </c>
      <c r="AE873" s="16">
        <v>0</v>
      </c>
      <c r="AF873" s="16">
        <f t="shared" si="290"/>
        <v>-72.141000000000005</v>
      </c>
      <c r="AG873" s="16">
        <f t="shared" si="298"/>
        <v>-11.542560000000002</v>
      </c>
      <c r="AH873" s="16">
        <f t="shared" si="291"/>
        <v>-83.68356</v>
      </c>
      <c r="AI873" s="16">
        <f t="shared" si="304"/>
        <v>-1.4428200000000002</v>
      </c>
      <c r="AJ873" s="16">
        <v>0</v>
      </c>
      <c r="AK873" s="16">
        <f t="shared" si="292"/>
        <v>-1.4428200000000002</v>
      </c>
      <c r="AL873" s="19"/>
      <c r="AM873" s="16">
        <f t="shared" si="301"/>
        <v>-70.698180000000008</v>
      </c>
      <c r="AN873" s="16" t="s">
        <v>319</v>
      </c>
      <c r="AO873" s="20"/>
      <c r="AP873" s="16">
        <f t="shared" si="299"/>
        <v>0</v>
      </c>
      <c r="AQ873" s="16"/>
      <c r="AR873" s="15"/>
      <c r="AS873" s="16">
        <f t="shared" si="303"/>
        <v>0</v>
      </c>
      <c r="AT873" s="16"/>
      <c r="AU873" s="16"/>
      <c r="AV873" s="16">
        <f t="shared" si="287"/>
        <v>-83.68356</v>
      </c>
      <c r="AW873" s="60">
        <f t="shared" si="293"/>
        <v>-83.68356</v>
      </c>
      <c r="AX873" s="16" t="str">
        <f t="shared" si="302"/>
        <v>RAWSUR</v>
      </c>
      <c r="AY873" s="22"/>
      <c r="AZ873" s="22"/>
      <c r="BA873" s="1"/>
      <c r="BB873" s="22"/>
      <c r="BC873" s="1"/>
      <c r="BD873" s="1"/>
      <c r="BE873" s="1"/>
    </row>
    <row r="874" spans="1:57" ht="15.75" hidden="1" customHeight="1">
      <c r="A874" s="2" t="s">
        <v>165</v>
      </c>
      <c r="B874" s="1" t="s">
        <v>169</v>
      </c>
      <c r="C874" s="27">
        <v>45056</v>
      </c>
      <c r="D874" s="27">
        <v>45200</v>
      </c>
      <c r="E874" s="27">
        <v>44986</v>
      </c>
      <c r="F874" s="27">
        <v>45351</v>
      </c>
      <c r="G874" s="13" t="str">
        <f t="shared" si="297"/>
        <v>000-873/AIB RDC/2023</v>
      </c>
      <c r="H874" s="1">
        <v>0</v>
      </c>
      <c r="I874" s="1" t="s">
        <v>860</v>
      </c>
      <c r="J874" s="29" t="s">
        <v>1119</v>
      </c>
      <c r="K874" s="2" t="s">
        <v>1118</v>
      </c>
      <c r="L874" s="1" t="s">
        <v>62</v>
      </c>
      <c r="M874" s="1" t="s">
        <v>63</v>
      </c>
      <c r="N874" s="1" t="s">
        <v>64</v>
      </c>
      <c r="O874" s="1" t="s">
        <v>111</v>
      </c>
      <c r="P874" s="1" t="s">
        <v>112</v>
      </c>
      <c r="Q874" s="1" t="s">
        <v>135</v>
      </c>
      <c r="R874" s="1" t="s">
        <v>1120</v>
      </c>
      <c r="S874" s="25">
        <v>185746117.06</v>
      </c>
      <c r="T874" s="25">
        <v>2654.27</v>
      </c>
      <c r="U874" s="25">
        <v>362.82</v>
      </c>
      <c r="V874" s="25">
        <v>-199.94</v>
      </c>
      <c r="W874" s="25">
        <v>0</v>
      </c>
      <c r="X874" s="25">
        <v>2056</v>
      </c>
      <c r="Y874" s="25">
        <v>387.01</v>
      </c>
      <c r="Z874" s="17">
        <f t="shared" si="289"/>
        <v>1.106887203104153E-5</v>
      </c>
      <c r="AA874" s="18">
        <v>0</v>
      </c>
      <c r="AB874" s="16">
        <f t="shared" ref="AB874:AB905" si="305">AA874*X874</f>
        <v>0</v>
      </c>
      <c r="AC874" s="16">
        <f>30%*(U874+V874)</f>
        <v>48.863999999999997</v>
      </c>
      <c r="AD874" s="16">
        <v>0</v>
      </c>
      <c r="AE874" s="16">
        <v>0</v>
      </c>
      <c r="AF874" s="16">
        <f t="shared" si="290"/>
        <v>48.863999999999997</v>
      </c>
      <c r="AG874" s="16">
        <f t="shared" si="298"/>
        <v>7.8182399999999994</v>
      </c>
      <c r="AH874" s="16">
        <f t="shared" si="291"/>
        <v>56.682239999999993</v>
      </c>
      <c r="AI874" s="16">
        <f t="shared" si="304"/>
        <v>0.97727999999999993</v>
      </c>
      <c r="AJ874" s="16">
        <v>0</v>
      </c>
      <c r="AK874" s="16">
        <f t="shared" si="292"/>
        <v>0.97727999999999993</v>
      </c>
      <c r="AL874" s="19"/>
      <c r="AM874" s="16">
        <f t="shared" si="301"/>
        <v>47.886719999999997</v>
      </c>
      <c r="AN874" s="16" t="s">
        <v>195</v>
      </c>
      <c r="AO874" s="20"/>
      <c r="AP874" s="16">
        <f t="shared" si="299"/>
        <v>0</v>
      </c>
      <c r="AQ874" s="16"/>
      <c r="AR874" s="15"/>
      <c r="AS874" s="16">
        <f t="shared" si="303"/>
        <v>0</v>
      </c>
      <c r="AT874" s="16"/>
      <c r="AU874" s="16">
        <v>56.682239999999993</v>
      </c>
      <c r="AV874" s="16">
        <f t="shared" si="287"/>
        <v>56.682239999999993</v>
      </c>
      <c r="AW874" s="16">
        <f t="shared" si="293"/>
        <v>0</v>
      </c>
      <c r="AX874" s="16" t="str">
        <f t="shared" si="302"/>
        <v>RAWSUR</v>
      </c>
      <c r="AY874" s="22">
        <v>45240</v>
      </c>
      <c r="BA874" s="1"/>
      <c r="BB874" s="22" t="str">
        <f>O874</f>
        <v>GENERAL LIABILITY</v>
      </c>
      <c r="BC874" s="1"/>
      <c r="BD874" s="1"/>
      <c r="BE874" s="1"/>
    </row>
    <row r="875" spans="1:57" ht="15.75" customHeight="1">
      <c r="A875" s="2" t="s">
        <v>871</v>
      </c>
      <c r="B875" s="1" t="s">
        <v>169</v>
      </c>
      <c r="C875" s="27">
        <v>45163</v>
      </c>
      <c r="D875" s="27"/>
      <c r="E875" s="27">
        <v>45162</v>
      </c>
      <c r="F875" s="21">
        <v>45260</v>
      </c>
      <c r="G875" s="13" t="str">
        <f t="shared" si="297"/>
        <v>000-874/AIB RDC/2023</v>
      </c>
      <c r="H875" s="1">
        <v>2</v>
      </c>
      <c r="I875" s="1" t="s">
        <v>59</v>
      </c>
      <c r="J875" s="14" t="s">
        <v>974</v>
      </c>
      <c r="K875" s="1" t="s">
        <v>328</v>
      </c>
      <c r="L875" s="1" t="s">
        <v>329</v>
      </c>
      <c r="M875" s="1" t="s">
        <v>63</v>
      </c>
      <c r="N875" s="1" t="s">
        <v>146</v>
      </c>
      <c r="O875" s="1" t="s">
        <v>65</v>
      </c>
      <c r="P875" s="1" t="s">
        <v>134</v>
      </c>
      <c r="Q875" s="1" t="s">
        <v>135</v>
      </c>
      <c r="R875" s="1" t="s">
        <v>135</v>
      </c>
      <c r="S875" s="25">
        <v>0</v>
      </c>
      <c r="T875" s="25">
        <v>367.7</v>
      </c>
      <c r="U875" s="25">
        <v>0</v>
      </c>
      <c r="V875" s="25">
        <v>0</v>
      </c>
      <c r="W875" s="25">
        <v>100</v>
      </c>
      <c r="X875" s="25">
        <v>211.57</v>
      </c>
      <c r="Y875" s="25">
        <v>49.88</v>
      </c>
      <c r="Z875" s="17" t="e">
        <f t="shared" si="289"/>
        <v>#DIV/0!</v>
      </c>
      <c r="AA875" s="18">
        <v>0.1</v>
      </c>
      <c r="AB875" s="16">
        <f t="shared" si="305"/>
        <v>21.157</v>
      </c>
      <c r="AC875" s="16">
        <v>0</v>
      </c>
      <c r="AD875" s="16">
        <v>0</v>
      </c>
      <c r="AE875" s="16">
        <v>0</v>
      </c>
      <c r="AF875" s="16">
        <f t="shared" si="290"/>
        <v>21.157</v>
      </c>
      <c r="AG875" s="16">
        <f t="shared" si="298"/>
        <v>3.3851200000000001</v>
      </c>
      <c r="AH875" s="16">
        <f t="shared" si="291"/>
        <v>24.542120000000001</v>
      </c>
      <c r="AI875" s="16">
        <f t="shared" si="304"/>
        <v>0.42314000000000002</v>
      </c>
      <c r="AJ875" s="16">
        <v>0</v>
      </c>
      <c r="AK875" s="16">
        <f t="shared" si="292"/>
        <v>0.42314000000000002</v>
      </c>
      <c r="AL875" s="19"/>
      <c r="AM875" s="16">
        <f t="shared" si="301"/>
        <v>20.73386</v>
      </c>
      <c r="AN875" s="16" t="s">
        <v>319</v>
      </c>
      <c r="AO875" s="20"/>
      <c r="AP875" s="16">
        <f t="shared" si="299"/>
        <v>0</v>
      </c>
      <c r="AQ875" s="16"/>
      <c r="AR875" s="15"/>
      <c r="AS875" s="16">
        <f t="shared" si="303"/>
        <v>0</v>
      </c>
      <c r="AT875" s="16"/>
      <c r="AU875" s="16"/>
      <c r="AV875" s="16">
        <f t="shared" si="287"/>
        <v>24.542120000000001</v>
      </c>
      <c r="AW875" s="60">
        <f t="shared" si="293"/>
        <v>24.542120000000001</v>
      </c>
      <c r="AX875" s="16" t="str">
        <f t="shared" si="302"/>
        <v>RAWSUR</v>
      </c>
      <c r="AY875" s="22"/>
      <c r="AZ875" s="22"/>
      <c r="BA875" s="1"/>
      <c r="BB875" s="22"/>
      <c r="BC875" s="1"/>
      <c r="BD875" s="1"/>
      <c r="BE875" s="1"/>
    </row>
    <row r="876" spans="1:57" ht="15.75" customHeight="1">
      <c r="A876" s="2" t="s">
        <v>1005</v>
      </c>
      <c r="B876" s="1" t="s">
        <v>169</v>
      </c>
      <c r="C876" s="27">
        <v>45087</v>
      </c>
      <c r="D876" s="27">
        <v>45220</v>
      </c>
      <c r="E876" s="27">
        <v>45220</v>
      </c>
      <c r="F876" s="27">
        <v>45585</v>
      </c>
      <c r="G876" s="13" t="str">
        <f t="shared" si="297"/>
        <v>000-875/AIB RDC/2023</v>
      </c>
      <c r="H876" s="1">
        <v>1</v>
      </c>
      <c r="I876" s="1" t="s">
        <v>68</v>
      </c>
      <c r="J876" s="29" t="s">
        <v>1123</v>
      </c>
      <c r="K876" s="2" t="s">
        <v>1124</v>
      </c>
      <c r="L876" s="1"/>
      <c r="M876" s="1" t="s">
        <v>63</v>
      </c>
      <c r="N876" s="1" t="s">
        <v>71</v>
      </c>
      <c r="O876" s="1" t="s">
        <v>107</v>
      </c>
      <c r="P876" s="1" t="s">
        <v>108</v>
      </c>
      <c r="Q876" s="1" t="s">
        <v>117</v>
      </c>
      <c r="R876" s="1" t="s">
        <v>117</v>
      </c>
      <c r="S876" s="25">
        <v>0</v>
      </c>
      <c r="T876" s="25">
        <v>34796.86</v>
      </c>
      <c r="U876" s="25">
        <v>0</v>
      </c>
      <c r="V876" s="25">
        <v>0</v>
      </c>
      <c r="W876" s="25">
        <v>297</v>
      </c>
      <c r="X876" s="25">
        <v>29700.3</v>
      </c>
      <c r="Y876" s="25">
        <v>4799.5600000000004</v>
      </c>
      <c r="Z876" s="17" t="e">
        <f t="shared" si="289"/>
        <v>#DIV/0!</v>
      </c>
      <c r="AA876" s="18">
        <v>0.15</v>
      </c>
      <c r="AB876" s="16">
        <f t="shared" si="305"/>
        <v>4455.0450000000001</v>
      </c>
      <c r="AC876" s="16">
        <f>30%*U876</f>
        <v>0</v>
      </c>
      <c r="AD876" s="16">
        <v>0</v>
      </c>
      <c r="AE876" s="16">
        <v>0</v>
      </c>
      <c r="AF876" s="16">
        <f t="shared" si="290"/>
        <v>4455.0450000000001</v>
      </c>
      <c r="AG876" s="16">
        <f t="shared" si="298"/>
        <v>712.80720000000008</v>
      </c>
      <c r="AH876" s="16">
        <f t="shared" si="291"/>
        <v>5167.8522000000003</v>
      </c>
      <c r="AI876" s="16">
        <f t="shared" si="304"/>
        <v>89.10090000000001</v>
      </c>
      <c r="AJ876" s="16">
        <v>0</v>
      </c>
      <c r="AK876" s="16">
        <f t="shared" si="292"/>
        <v>89.10090000000001</v>
      </c>
      <c r="AL876" s="19"/>
      <c r="AM876" s="16">
        <f t="shared" si="301"/>
        <v>4365.9440999999997</v>
      </c>
      <c r="AN876" s="16" t="s">
        <v>206</v>
      </c>
      <c r="AO876" s="20">
        <v>0.5</v>
      </c>
      <c r="AP876" s="16">
        <f t="shared" si="299"/>
        <v>2182.9720499999999</v>
      </c>
      <c r="AQ876" s="16"/>
      <c r="AR876" s="15"/>
      <c r="AS876" s="16">
        <f t="shared" si="303"/>
        <v>2182.9720499999999</v>
      </c>
      <c r="AT876" s="16"/>
      <c r="AU876" s="16"/>
      <c r="AV876" s="16">
        <f t="shared" si="287"/>
        <v>5167.8522000000003</v>
      </c>
      <c r="AW876" s="60">
        <f t="shared" si="293"/>
        <v>5167.8522000000003</v>
      </c>
      <c r="AX876" s="16" t="str">
        <f t="shared" si="302"/>
        <v>SUNU</v>
      </c>
      <c r="AY876" s="22"/>
      <c r="BA876" s="1"/>
      <c r="BB876" s="22" t="str">
        <f>O876</f>
        <v>FIRE</v>
      </c>
      <c r="BC876" s="1"/>
      <c r="BD876" s="1"/>
      <c r="BE876" s="1"/>
    </row>
    <row r="877" spans="1:57" ht="15.75" hidden="1" customHeight="1">
      <c r="A877" s="2" t="s">
        <v>784</v>
      </c>
      <c r="B877" s="1" t="s">
        <v>58</v>
      </c>
      <c r="C877" s="27">
        <v>45087</v>
      </c>
      <c r="D877" s="27">
        <v>45197</v>
      </c>
      <c r="E877" s="27">
        <v>45175</v>
      </c>
      <c r="F877" s="27">
        <v>45322</v>
      </c>
      <c r="G877" s="13" t="str">
        <f t="shared" si="297"/>
        <v>000-876/AIB RDC/2023</v>
      </c>
      <c r="H877" s="1">
        <v>2</v>
      </c>
      <c r="I877" s="1" t="s">
        <v>989</v>
      </c>
      <c r="J877" s="29" t="s">
        <v>210</v>
      </c>
      <c r="K877" s="1" t="s">
        <v>211</v>
      </c>
      <c r="L877" s="1" t="s">
        <v>94</v>
      </c>
      <c r="M877" s="1" t="s">
        <v>63</v>
      </c>
      <c r="N877" s="1" t="s">
        <v>71</v>
      </c>
      <c r="O877" s="1" t="s">
        <v>133</v>
      </c>
      <c r="P877" s="1" t="s">
        <v>134</v>
      </c>
      <c r="Q877" s="1" t="s">
        <v>66</v>
      </c>
      <c r="R877" s="1" t="s">
        <v>66</v>
      </c>
      <c r="S877" s="25">
        <v>51127</v>
      </c>
      <c r="T877" s="25">
        <v>-1221</v>
      </c>
      <c r="U877" s="25">
        <v>0</v>
      </c>
      <c r="V877" s="25">
        <v>0</v>
      </c>
      <c r="W877" s="25">
        <v>0</v>
      </c>
      <c r="X877" s="25">
        <v>-1052.5899999999999</v>
      </c>
      <c r="Y877" s="25">
        <v>-168.41</v>
      </c>
      <c r="Z877" s="17">
        <f t="shared" si="289"/>
        <v>-2.0587752068378741E-2</v>
      </c>
      <c r="AA877" s="18">
        <v>0.15</v>
      </c>
      <c r="AB877" s="16">
        <f t="shared" si="305"/>
        <v>-157.88849999999999</v>
      </c>
      <c r="AC877" s="16">
        <f>30%*U877</f>
        <v>0</v>
      </c>
      <c r="AD877" s="16">
        <v>0</v>
      </c>
      <c r="AE877" s="16">
        <v>0</v>
      </c>
      <c r="AF877" s="16">
        <f t="shared" si="290"/>
        <v>-157.88849999999999</v>
      </c>
      <c r="AG877" s="16">
        <f t="shared" si="298"/>
        <v>-25.262159999999998</v>
      </c>
      <c r="AH877" s="16">
        <f t="shared" si="291"/>
        <v>-183.15065999999999</v>
      </c>
      <c r="AI877" s="16">
        <f t="shared" si="304"/>
        <v>-3.1577699999999997</v>
      </c>
      <c r="AJ877" s="16">
        <v>0</v>
      </c>
      <c r="AK877" s="16">
        <f t="shared" si="292"/>
        <v>-3.1577699999999997</v>
      </c>
      <c r="AL877" s="19"/>
      <c r="AM877" s="16">
        <f t="shared" si="301"/>
        <v>-154.73072999999999</v>
      </c>
      <c r="AN877" s="16" t="s">
        <v>206</v>
      </c>
      <c r="AO877" s="20">
        <v>0.5</v>
      </c>
      <c r="AP877" s="16">
        <f t="shared" si="299"/>
        <v>-77.365364999999997</v>
      </c>
      <c r="AQ877" s="16"/>
      <c r="AR877" s="15"/>
      <c r="AS877" s="16">
        <f t="shared" si="303"/>
        <v>-77.365364999999997</v>
      </c>
      <c r="AT877" s="16"/>
      <c r="AU877" s="16">
        <v>-183.15065999999999</v>
      </c>
      <c r="AV877" s="16">
        <f t="shared" si="287"/>
        <v>-183.15065999999999</v>
      </c>
      <c r="AW877" s="16">
        <f t="shared" si="293"/>
        <v>0</v>
      </c>
      <c r="AX877" s="16" t="str">
        <f t="shared" si="302"/>
        <v>SFA</v>
      </c>
      <c r="AY877" s="22">
        <v>45237</v>
      </c>
      <c r="BA877" s="1"/>
      <c r="BB877" s="22" t="str">
        <f>O877</f>
        <v>COMP MOTOR</v>
      </c>
      <c r="BC877" s="1"/>
      <c r="BD877" s="1"/>
      <c r="BE877" s="1"/>
    </row>
    <row r="878" spans="1:57" ht="15.75" hidden="1" customHeight="1">
      <c r="A878" s="2" t="s">
        <v>770</v>
      </c>
      <c r="B878" s="1" t="s">
        <v>169</v>
      </c>
      <c r="C878" s="27">
        <v>45087</v>
      </c>
      <c r="D878" s="27">
        <v>45197</v>
      </c>
      <c r="E878" s="27">
        <v>45122</v>
      </c>
      <c r="F878" s="27">
        <v>45641</v>
      </c>
      <c r="G878" s="13" t="str">
        <f t="shared" si="297"/>
        <v>000-877/AIB RDC/2023</v>
      </c>
      <c r="H878" s="1">
        <v>0</v>
      </c>
      <c r="I878" s="1" t="s">
        <v>83</v>
      </c>
      <c r="J878" s="29" t="s">
        <v>1125</v>
      </c>
      <c r="K878" s="1" t="s">
        <v>955</v>
      </c>
      <c r="L878" s="1" t="s">
        <v>1126</v>
      </c>
      <c r="M878" s="1" t="s">
        <v>63</v>
      </c>
      <c r="N878" s="1" t="s">
        <v>71</v>
      </c>
      <c r="O878" s="1" t="s">
        <v>284</v>
      </c>
      <c r="P878" s="1" t="s">
        <v>285</v>
      </c>
      <c r="Q878" s="1" t="s">
        <v>117</v>
      </c>
      <c r="R878" s="1" t="s">
        <v>117</v>
      </c>
      <c r="S878" s="25">
        <v>34805000</v>
      </c>
      <c r="T878" s="25">
        <v>144468.18</v>
      </c>
      <c r="U878" s="25">
        <v>18185.82</v>
      </c>
      <c r="V878" s="25">
        <v>0</v>
      </c>
      <c r="W878" s="25">
        <v>1212</v>
      </c>
      <c r="X878" s="25">
        <v>103053</v>
      </c>
      <c r="Y878" s="25">
        <v>19592.189999999999</v>
      </c>
      <c r="Z878" s="17">
        <f t="shared" si="289"/>
        <v>2.960867691423646E-3</v>
      </c>
      <c r="AA878" s="18">
        <v>0</v>
      </c>
      <c r="AB878" s="16">
        <f t="shared" si="305"/>
        <v>0</v>
      </c>
      <c r="AC878" s="16">
        <f>30%*U878</f>
        <v>5455.7460000000001</v>
      </c>
      <c r="AD878" s="16">
        <v>0</v>
      </c>
      <c r="AE878" s="16">
        <v>0</v>
      </c>
      <c r="AF878" s="16">
        <f t="shared" si="290"/>
        <v>5455.7460000000001</v>
      </c>
      <c r="AG878" s="16">
        <f t="shared" si="298"/>
        <v>872.91935999999998</v>
      </c>
      <c r="AH878" s="16">
        <f t="shared" si="291"/>
        <v>6328.66536</v>
      </c>
      <c r="AI878" s="16">
        <f t="shared" si="304"/>
        <v>109.11492</v>
      </c>
      <c r="AJ878" s="16">
        <v>0</v>
      </c>
      <c r="AK878" s="16">
        <f t="shared" si="292"/>
        <v>109.11492</v>
      </c>
      <c r="AL878" s="19"/>
      <c r="AM878" s="16">
        <f t="shared" si="301"/>
        <v>5346.6310800000001</v>
      </c>
      <c r="AN878" s="16"/>
      <c r="AO878" s="20"/>
      <c r="AP878" s="16">
        <f t="shared" si="299"/>
        <v>0</v>
      </c>
      <c r="AQ878" s="16"/>
      <c r="AR878" s="15"/>
      <c r="AS878" s="16">
        <f t="shared" si="303"/>
        <v>0</v>
      </c>
      <c r="AT878" s="16"/>
      <c r="AU878" s="16">
        <v>6328.66536</v>
      </c>
      <c r="AV878" s="16">
        <f t="shared" si="287"/>
        <v>6328.66536</v>
      </c>
      <c r="AW878" s="16">
        <f t="shared" si="293"/>
        <v>0</v>
      </c>
      <c r="AX878" s="16" t="str">
        <f t="shared" si="302"/>
        <v>SUNU</v>
      </c>
      <c r="AY878" s="22">
        <v>45237</v>
      </c>
      <c r="BA878" s="1"/>
      <c r="BB878" s="22" t="str">
        <f>O878</f>
        <v>PVT</v>
      </c>
      <c r="BC878" s="1"/>
      <c r="BD878" s="1"/>
      <c r="BE878" s="1"/>
    </row>
    <row r="879" spans="1:57" ht="15.75" hidden="1" customHeight="1">
      <c r="A879" s="2" t="s">
        <v>871</v>
      </c>
      <c r="B879" s="1" t="s">
        <v>58</v>
      </c>
      <c r="C879" s="27">
        <v>45166</v>
      </c>
      <c r="D879" s="27">
        <v>45166</v>
      </c>
      <c r="E879" s="27">
        <v>45166</v>
      </c>
      <c r="F879" s="27">
        <v>45531</v>
      </c>
      <c r="G879" s="13" t="str">
        <f t="shared" si="297"/>
        <v>000-878/AIB RDC/2023</v>
      </c>
      <c r="H879" s="1">
        <v>0</v>
      </c>
      <c r="I879" s="1" t="s">
        <v>83</v>
      </c>
      <c r="J879" s="29" t="s">
        <v>1127</v>
      </c>
      <c r="K879" s="2" t="s">
        <v>370</v>
      </c>
      <c r="L879" s="1"/>
      <c r="M879" s="1" t="s">
        <v>99</v>
      </c>
      <c r="N879" s="1" t="s">
        <v>1021</v>
      </c>
      <c r="O879" s="28" t="s">
        <v>104</v>
      </c>
      <c r="P879" s="1" t="s">
        <v>105</v>
      </c>
      <c r="Q879" s="1" t="s">
        <v>66</v>
      </c>
      <c r="R879" s="1" t="s">
        <v>66</v>
      </c>
      <c r="S879" s="25">
        <v>0</v>
      </c>
      <c r="T879" s="25">
        <v>49.85</v>
      </c>
      <c r="U879" s="25">
        <v>0</v>
      </c>
      <c r="V879" s="25">
        <v>0</v>
      </c>
      <c r="W879" s="25">
        <v>6</v>
      </c>
      <c r="X879" s="25">
        <v>15</v>
      </c>
      <c r="Y879" s="25">
        <v>3.43</v>
      </c>
      <c r="Z879" s="17" t="e">
        <f t="shared" si="289"/>
        <v>#DIV/0!</v>
      </c>
      <c r="AA879" s="18">
        <v>0.15</v>
      </c>
      <c r="AB879" s="16">
        <f t="shared" si="305"/>
        <v>2.25</v>
      </c>
      <c r="AC879" s="16">
        <v>0</v>
      </c>
      <c r="AD879" s="16">
        <v>0</v>
      </c>
      <c r="AE879" s="16">
        <v>0</v>
      </c>
      <c r="AF879" s="16">
        <f t="shared" si="290"/>
        <v>2.25</v>
      </c>
      <c r="AG879" s="16">
        <f t="shared" si="298"/>
        <v>0.36</v>
      </c>
      <c r="AH879" s="16">
        <f t="shared" si="291"/>
        <v>2.61</v>
      </c>
      <c r="AI879" s="16">
        <f t="shared" si="304"/>
        <v>4.4999999999999998E-2</v>
      </c>
      <c r="AJ879" s="16">
        <v>0</v>
      </c>
      <c r="AK879" s="16">
        <f t="shared" si="292"/>
        <v>4.4999999999999998E-2</v>
      </c>
      <c r="AL879" s="19"/>
      <c r="AM879" s="16">
        <f t="shared" si="301"/>
        <v>2.2050000000000001</v>
      </c>
      <c r="AN879" s="16"/>
      <c r="AO879" s="20"/>
      <c r="AP879" s="16">
        <f t="shared" si="299"/>
        <v>0</v>
      </c>
      <c r="AQ879" s="16"/>
      <c r="AR879" s="15"/>
      <c r="AS879" s="16">
        <f t="shared" si="303"/>
        <v>0</v>
      </c>
      <c r="AT879" s="16"/>
      <c r="AU879" s="16">
        <v>2.61</v>
      </c>
      <c r="AV879" s="16">
        <f t="shared" si="287"/>
        <v>2.61</v>
      </c>
      <c r="AW879" s="16">
        <f t="shared" si="293"/>
        <v>0</v>
      </c>
      <c r="AX879" s="16" t="str">
        <f t="shared" si="302"/>
        <v>SFA</v>
      </c>
      <c r="AY879" s="22">
        <v>45216</v>
      </c>
      <c r="BA879" s="1"/>
      <c r="BB879" s="22"/>
      <c r="BC879" s="1"/>
      <c r="BD879" s="1"/>
      <c r="BE879" s="1"/>
    </row>
    <row r="880" spans="1:57" ht="15.75" hidden="1" customHeight="1">
      <c r="A880" s="2" t="s">
        <v>784</v>
      </c>
      <c r="B880" s="1" t="s">
        <v>58</v>
      </c>
      <c r="C880" s="27">
        <v>45191</v>
      </c>
      <c r="D880" s="27">
        <v>45191</v>
      </c>
      <c r="E880" s="27">
        <v>45191</v>
      </c>
      <c r="F880" s="27">
        <v>45556</v>
      </c>
      <c r="G880" s="13" t="str">
        <f t="shared" si="297"/>
        <v>000-879/AIB RDC/2023</v>
      </c>
      <c r="H880" s="1">
        <v>0</v>
      </c>
      <c r="I880" s="1" t="s">
        <v>83</v>
      </c>
      <c r="J880" s="29" t="s">
        <v>1128</v>
      </c>
      <c r="K880" s="1" t="s">
        <v>540</v>
      </c>
      <c r="L880" s="1"/>
      <c r="M880" s="1" t="s">
        <v>95</v>
      </c>
      <c r="N880" s="1" t="s">
        <v>644</v>
      </c>
      <c r="O880" s="28" t="s">
        <v>104</v>
      </c>
      <c r="P880" s="1" t="s">
        <v>105</v>
      </c>
      <c r="Q880" s="1" t="s">
        <v>66</v>
      </c>
      <c r="R880" s="1" t="s">
        <v>66</v>
      </c>
      <c r="S880" s="25">
        <v>0</v>
      </c>
      <c r="T880" s="25">
        <v>377.28</v>
      </c>
      <c r="U880" s="25">
        <v>0</v>
      </c>
      <c r="V880" s="25">
        <v>0</v>
      </c>
      <c r="W880" s="25">
        <v>6</v>
      </c>
      <c r="X880" s="25">
        <v>291.74</v>
      </c>
      <c r="Y880" s="25">
        <v>48.59</v>
      </c>
      <c r="Z880" s="17" t="e">
        <f t="shared" si="289"/>
        <v>#DIV/0!</v>
      </c>
      <c r="AA880" s="18">
        <v>0.15</v>
      </c>
      <c r="AB880" s="16">
        <f t="shared" si="305"/>
        <v>43.761000000000003</v>
      </c>
      <c r="AC880" s="16">
        <v>0</v>
      </c>
      <c r="AD880" s="16">
        <v>0</v>
      </c>
      <c r="AE880" s="16">
        <v>0</v>
      </c>
      <c r="AF880" s="16">
        <f t="shared" si="290"/>
        <v>43.761000000000003</v>
      </c>
      <c r="AG880" s="16">
        <f t="shared" si="298"/>
        <v>7.0017600000000009</v>
      </c>
      <c r="AH880" s="16">
        <f t="shared" si="291"/>
        <v>50.76276</v>
      </c>
      <c r="AI880" s="16">
        <f t="shared" si="304"/>
        <v>0.87522000000000011</v>
      </c>
      <c r="AJ880" s="16">
        <v>0</v>
      </c>
      <c r="AK880" s="16">
        <f t="shared" si="292"/>
        <v>0.87522000000000011</v>
      </c>
      <c r="AL880" s="19"/>
      <c r="AM880" s="16">
        <f t="shared" si="301"/>
        <v>42.885780000000004</v>
      </c>
      <c r="AN880" s="16" t="s">
        <v>147</v>
      </c>
      <c r="AO880" s="20">
        <v>0.4</v>
      </c>
      <c r="AP880" s="16">
        <f t="shared" si="299"/>
        <v>17.154312000000001</v>
      </c>
      <c r="AQ880" s="16"/>
      <c r="AR880" s="15"/>
      <c r="AS880" s="16">
        <f t="shared" si="303"/>
        <v>17.154312000000001</v>
      </c>
      <c r="AT880" s="16"/>
      <c r="AU880" s="16">
        <v>50.76276</v>
      </c>
      <c r="AV880" s="16">
        <f t="shared" si="287"/>
        <v>50.76276</v>
      </c>
      <c r="AW880" s="16">
        <f t="shared" si="293"/>
        <v>0</v>
      </c>
      <c r="AX880" s="16" t="str">
        <f t="shared" si="302"/>
        <v>SFA</v>
      </c>
      <c r="AY880" s="22">
        <v>45216</v>
      </c>
      <c r="BA880" s="1" t="s">
        <v>148</v>
      </c>
      <c r="BB880" s="1" t="s">
        <v>104</v>
      </c>
      <c r="BC880" s="1"/>
      <c r="BD880" s="1"/>
      <c r="BE880" s="1"/>
    </row>
    <row r="881" spans="1:57" ht="15.75" hidden="1" customHeight="1">
      <c r="A881" s="2" t="s">
        <v>784</v>
      </c>
      <c r="B881" s="1" t="s">
        <v>58</v>
      </c>
      <c r="C881" s="27">
        <v>45176</v>
      </c>
      <c r="D881" s="27">
        <v>45176</v>
      </c>
      <c r="E881" s="27">
        <v>45175</v>
      </c>
      <c r="F881" s="27">
        <v>45539</v>
      </c>
      <c r="G881" s="13" t="str">
        <f t="shared" si="297"/>
        <v>000-880/AIB RDC/2023</v>
      </c>
      <c r="H881" s="1">
        <v>0</v>
      </c>
      <c r="I881" s="1" t="s">
        <v>83</v>
      </c>
      <c r="J881" s="29" t="s">
        <v>1040</v>
      </c>
      <c r="K881" s="1" t="s">
        <v>163</v>
      </c>
      <c r="L881" s="1"/>
      <c r="M881" s="1" t="s">
        <v>95</v>
      </c>
      <c r="N881" s="1" t="s">
        <v>836</v>
      </c>
      <c r="O881" s="28" t="s">
        <v>104</v>
      </c>
      <c r="P881" s="1" t="s">
        <v>105</v>
      </c>
      <c r="Q881" s="1" t="s">
        <v>66</v>
      </c>
      <c r="R881" s="1" t="s">
        <v>66</v>
      </c>
      <c r="S881" s="25">
        <v>0</v>
      </c>
      <c r="T881" s="25">
        <v>1727.68</v>
      </c>
      <c r="U881" s="25">
        <v>0</v>
      </c>
      <c r="V881" s="25">
        <v>0</v>
      </c>
      <c r="W881" s="25">
        <f>24+12</f>
        <v>36</v>
      </c>
      <c r="X881" s="25">
        <v>1297.4000000000001</v>
      </c>
      <c r="Y881" s="25">
        <v>217.61</v>
      </c>
      <c r="Z881" s="17" t="e">
        <f t="shared" si="289"/>
        <v>#DIV/0!</v>
      </c>
      <c r="AA881" s="18">
        <v>0.15</v>
      </c>
      <c r="AB881" s="16">
        <f t="shared" si="305"/>
        <v>194.61</v>
      </c>
      <c r="AC881" s="16">
        <v>0</v>
      </c>
      <c r="AD881" s="16">
        <v>0</v>
      </c>
      <c r="AE881" s="16">
        <v>0</v>
      </c>
      <c r="AF881" s="16">
        <f t="shared" si="290"/>
        <v>194.61</v>
      </c>
      <c r="AG881" s="16">
        <f t="shared" si="298"/>
        <v>31.137600000000003</v>
      </c>
      <c r="AH881" s="16">
        <f t="shared" si="291"/>
        <v>225.74760000000001</v>
      </c>
      <c r="AI881" s="16">
        <f t="shared" si="304"/>
        <v>3.8922000000000003</v>
      </c>
      <c r="AJ881" s="16">
        <v>0</v>
      </c>
      <c r="AK881" s="16">
        <f t="shared" si="292"/>
        <v>3.8922000000000003</v>
      </c>
      <c r="AL881" s="19"/>
      <c r="AM881" s="16">
        <f t="shared" si="301"/>
        <v>190.71780000000001</v>
      </c>
      <c r="AN881" s="16" t="s">
        <v>147</v>
      </c>
      <c r="AO881" s="20">
        <v>0.4</v>
      </c>
      <c r="AP881" s="16">
        <f t="shared" si="299"/>
        <v>76.287120000000002</v>
      </c>
      <c r="AQ881" s="16"/>
      <c r="AR881" s="15"/>
      <c r="AS881" s="16">
        <f t="shared" si="303"/>
        <v>76.287120000000002</v>
      </c>
      <c r="AT881" s="16"/>
      <c r="AU881" s="16">
        <v>225.74760000000001</v>
      </c>
      <c r="AV881" s="16">
        <f t="shared" si="287"/>
        <v>225.74760000000001</v>
      </c>
      <c r="AW881" s="16">
        <f t="shared" si="293"/>
        <v>0</v>
      </c>
      <c r="AX881" s="16" t="str">
        <f t="shared" si="302"/>
        <v>SFA</v>
      </c>
      <c r="AY881" s="22">
        <v>45216</v>
      </c>
      <c r="BA881" s="1" t="s">
        <v>148</v>
      </c>
      <c r="BB881" s="22" t="str">
        <f>O881</f>
        <v>MARINE CARGO / GIT</v>
      </c>
      <c r="BC881" s="1"/>
      <c r="BD881" s="1"/>
      <c r="BE881" s="1"/>
    </row>
    <row r="882" spans="1:57" ht="15.75" hidden="1" customHeight="1">
      <c r="A882" s="2" t="s">
        <v>871</v>
      </c>
      <c r="B882" s="1" t="s">
        <v>58</v>
      </c>
      <c r="C882" s="27">
        <v>45189</v>
      </c>
      <c r="D882" s="27">
        <v>45189</v>
      </c>
      <c r="E882" s="27">
        <v>45168</v>
      </c>
      <c r="F882" s="27">
        <v>45533</v>
      </c>
      <c r="G882" s="13" t="str">
        <f t="shared" si="297"/>
        <v>000-881/AIB RDC/2023</v>
      </c>
      <c r="H882" s="1">
        <v>0</v>
      </c>
      <c r="I882" s="1" t="s">
        <v>83</v>
      </c>
      <c r="J882" s="29" t="s">
        <v>1080</v>
      </c>
      <c r="K882" s="1" t="s">
        <v>163</v>
      </c>
      <c r="L882" s="1"/>
      <c r="M882" s="1" t="s">
        <v>95</v>
      </c>
      <c r="N882" s="1" t="s">
        <v>836</v>
      </c>
      <c r="O882" s="28" t="s">
        <v>104</v>
      </c>
      <c r="P882" s="1" t="s">
        <v>105</v>
      </c>
      <c r="Q882" s="1" t="s">
        <v>66</v>
      </c>
      <c r="R882" s="1" t="s">
        <v>66</v>
      </c>
      <c r="S882" s="25">
        <v>0</v>
      </c>
      <c r="T882" s="25">
        <v>49.85</v>
      </c>
      <c r="U882" s="25">
        <v>0</v>
      </c>
      <c r="V882" s="25">
        <v>0</v>
      </c>
      <c r="W882" s="25">
        <v>6</v>
      </c>
      <c r="X882" s="25">
        <v>15</v>
      </c>
      <c r="Y882" s="25">
        <v>3.43</v>
      </c>
      <c r="Z882" s="17" t="e">
        <f t="shared" si="289"/>
        <v>#DIV/0!</v>
      </c>
      <c r="AA882" s="18">
        <v>0.15</v>
      </c>
      <c r="AB882" s="16">
        <f t="shared" si="305"/>
        <v>2.25</v>
      </c>
      <c r="AC882" s="16">
        <v>0</v>
      </c>
      <c r="AD882" s="16">
        <v>0</v>
      </c>
      <c r="AE882" s="16">
        <v>0</v>
      </c>
      <c r="AF882" s="16">
        <f t="shared" si="290"/>
        <v>2.25</v>
      </c>
      <c r="AG882" s="16">
        <f t="shared" si="298"/>
        <v>0.36</v>
      </c>
      <c r="AH882" s="16">
        <f t="shared" si="291"/>
        <v>2.61</v>
      </c>
      <c r="AI882" s="16">
        <f t="shared" si="304"/>
        <v>4.4999999999999998E-2</v>
      </c>
      <c r="AJ882" s="16">
        <v>0</v>
      </c>
      <c r="AK882" s="16">
        <f t="shared" si="292"/>
        <v>4.4999999999999998E-2</v>
      </c>
      <c r="AL882" s="19"/>
      <c r="AM882" s="16">
        <f t="shared" si="301"/>
        <v>2.2050000000000001</v>
      </c>
      <c r="AN882" s="16" t="s">
        <v>147</v>
      </c>
      <c r="AO882" s="20">
        <v>0.4</v>
      </c>
      <c r="AP882" s="16">
        <f t="shared" si="299"/>
        <v>0.88200000000000012</v>
      </c>
      <c r="AQ882" s="16"/>
      <c r="AR882" s="15"/>
      <c r="AS882" s="16">
        <f t="shared" si="303"/>
        <v>0.88200000000000012</v>
      </c>
      <c r="AT882" s="16"/>
      <c r="AU882" s="16">
        <v>2.61</v>
      </c>
      <c r="AV882" s="16">
        <f t="shared" si="287"/>
        <v>2.61</v>
      </c>
      <c r="AW882" s="16">
        <f t="shared" si="293"/>
        <v>0</v>
      </c>
      <c r="AX882" s="16" t="str">
        <f t="shared" si="302"/>
        <v>SFA</v>
      </c>
      <c r="AY882" s="22">
        <v>45216</v>
      </c>
      <c r="BA882" s="1" t="s">
        <v>148</v>
      </c>
      <c r="BB882" s="22" t="str">
        <f>O882</f>
        <v>MARINE CARGO / GIT</v>
      </c>
      <c r="BC882" s="1"/>
      <c r="BD882" s="1"/>
      <c r="BE882" s="1"/>
    </row>
    <row r="883" spans="1:57" ht="15.75" hidden="1" customHeight="1">
      <c r="A883" s="2" t="s">
        <v>784</v>
      </c>
      <c r="B883" s="1" t="s">
        <v>58</v>
      </c>
      <c r="C883" s="27">
        <v>45197</v>
      </c>
      <c r="D883" s="27">
        <v>45197</v>
      </c>
      <c r="E883" s="27">
        <v>45197</v>
      </c>
      <c r="F883" s="27">
        <v>45562</v>
      </c>
      <c r="G883" s="13" t="str">
        <f t="shared" si="297"/>
        <v>000-882/AIB RDC/2023</v>
      </c>
      <c r="H883" s="1">
        <v>0</v>
      </c>
      <c r="I883" s="1" t="s">
        <v>83</v>
      </c>
      <c r="J883" s="29" t="s">
        <v>1084</v>
      </c>
      <c r="K883" s="1" t="s">
        <v>163</v>
      </c>
      <c r="L883" s="1"/>
      <c r="M883" s="1" t="s">
        <v>95</v>
      </c>
      <c r="N883" s="1" t="s">
        <v>836</v>
      </c>
      <c r="O883" s="28" t="s">
        <v>104</v>
      </c>
      <c r="P883" s="1" t="s">
        <v>105</v>
      </c>
      <c r="Q883" s="1" t="s">
        <v>66</v>
      </c>
      <c r="R883" s="1" t="s">
        <v>66</v>
      </c>
      <c r="S883" s="25">
        <v>0</v>
      </c>
      <c r="T883" s="25">
        <v>410.77</v>
      </c>
      <c r="U883" s="25">
        <v>0</v>
      </c>
      <c r="V883" s="25">
        <v>0</v>
      </c>
      <c r="W883" s="25">
        <v>6</v>
      </c>
      <c r="X883" s="25">
        <v>320.04000000000002</v>
      </c>
      <c r="Y883" s="25">
        <v>53.21</v>
      </c>
      <c r="Z883" s="17" t="e">
        <f t="shared" si="289"/>
        <v>#DIV/0!</v>
      </c>
      <c r="AA883" s="18">
        <v>0.15</v>
      </c>
      <c r="AB883" s="16">
        <f t="shared" si="305"/>
        <v>48.006</v>
      </c>
      <c r="AC883" s="16">
        <v>0</v>
      </c>
      <c r="AD883" s="16">
        <v>0</v>
      </c>
      <c r="AE883" s="16">
        <v>0</v>
      </c>
      <c r="AF883" s="16">
        <f t="shared" si="290"/>
        <v>48.006</v>
      </c>
      <c r="AG883" s="16">
        <f t="shared" si="298"/>
        <v>7.6809599999999998</v>
      </c>
      <c r="AH883" s="16">
        <f t="shared" si="291"/>
        <v>55.686959999999999</v>
      </c>
      <c r="AI883" s="16">
        <f t="shared" si="304"/>
        <v>0.96011999999999997</v>
      </c>
      <c r="AJ883" s="16">
        <v>0</v>
      </c>
      <c r="AK883" s="16">
        <f t="shared" si="292"/>
        <v>0.96011999999999997</v>
      </c>
      <c r="AL883" s="19"/>
      <c r="AM883" s="16">
        <f t="shared" si="301"/>
        <v>47.045879999999997</v>
      </c>
      <c r="AN883" s="16" t="s">
        <v>147</v>
      </c>
      <c r="AO883" s="20">
        <v>0.4</v>
      </c>
      <c r="AP883" s="16">
        <f t="shared" si="299"/>
        <v>18.818352000000001</v>
      </c>
      <c r="AQ883" s="16"/>
      <c r="AR883" s="15"/>
      <c r="AS883" s="16">
        <f t="shared" si="303"/>
        <v>18.818352000000001</v>
      </c>
      <c r="AT883" s="16"/>
      <c r="AU883" s="16">
        <v>55.686959999999999</v>
      </c>
      <c r="AV883" s="16">
        <f t="shared" si="287"/>
        <v>55.686959999999999</v>
      </c>
      <c r="AW883" s="16">
        <f t="shared" si="293"/>
        <v>0</v>
      </c>
      <c r="AX883" s="16" t="str">
        <f t="shared" si="302"/>
        <v>SFA</v>
      </c>
      <c r="AY883" s="22">
        <v>45216</v>
      </c>
      <c r="BA883" s="1" t="s">
        <v>148</v>
      </c>
      <c r="BB883" s="22" t="str">
        <f>O883</f>
        <v>MARINE CARGO / GIT</v>
      </c>
      <c r="BC883" s="1"/>
      <c r="BD883" s="1"/>
      <c r="BE883" s="1"/>
    </row>
    <row r="884" spans="1:57" ht="15.75" hidden="1" customHeight="1">
      <c r="A884" s="2" t="s">
        <v>784</v>
      </c>
      <c r="B884" s="1" t="s">
        <v>58</v>
      </c>
      <c r="C884" s="27">
        <v>45197</v>
      </c>
      <c r="D884" s="27">
        <v>45197</v>
      </c>
      <c r="E884" s="27">
        <v>45197</v>
      </c>
      <c r="F884" s="27">
        <v>45561</v>
      </c>
      <c r="G884" s="13" t="str">
        <f t="shared" si="297"/>
        <v>000-883/AIB RDC/2023</v>
      </c>
      <c r="H884" s="1">
        <v>0</v>
      </c>
      <c r="I884" s="1" t="s">
        <v>83</v>
      </c>
      <c r="J884" s="29" t="s">
        <v>1091</v>
      </c>
      <c r="K884" s="1" t="s">
        <v>163</v>
      </c>
      <c r="L884" s="1"/>
      <c r="M884" s="1" t="s">
        <v>95</v>
      </c>
      <c r="N884" s="1" t="s">
        <v>836</v>
      </c>
      <c r="O884" s="28" t="s">
        <v>104</v>
      </c>
      <c r="P884" s="1" t="s">
        <v>105</v>
      </c>
      <c r="Q884" s="1" t="s">
        <v>66</v>
      </c>
      <c r="R884" s="1" t="s">
        <v>66</v>
      </c>
      <c r="S884" s="25">
        <v>0</v>
      </c>
      <c r="T884" s="25">
        <v>232.88</v>
      </c>
      <c r="U884" s="25">
        <v>0</v>
      </c>
      <c r="V884" s="25">
        <v>0</v>
      </c>
      <c r="W884" s="25">
        <v>6</v>
      </c>
      <c r="X884" s="25">
        <v>169.7</v>
      </c>
      <c r="Y884" s="25">
        <v>28.67</v>
      </c>
      <c r="Z884" s="17" t="e">
        <f t="shared" si="289"/>
        <v>#DIV/0!</v>
      </c>
      <c r="AA884" s="18">
        <v>0.15</v>
      </c>
      <c r="AB884" s="16">
        <f t="shared" si="305"/>
        <v>25.454999999999998</v>
      </c>
      <c r="AC884" s="16">
        <v>0</v>
      </c>
      <c r="AD884" s="16">
        <v>0</v>
      </c>
      <c r="AE884" s="16">
        <v>0</v>
      </c>
      <c r="AF884" s="16">
        <f t="shared" si="290"/>
        <v>25.454999999999998</v>
      </c>
      <c r="AG884" s="16">
        <f t="shared" si="298"/>
        <v>4.0728</v>
      </c>
      <c r="AH884" s="16">
        <f t="shared" si="291"/>
        <v>29.527799999999999</v>
      </c>
      <c r="AI884" s="16">
        <f t="shared" si="304"/>
        <v>0.5091</v>
      </c>
      <c r="AJ884" s="16">
        <v>0</v>
      </c>
      <c r="AK884" s="16">
        <f t="shared" si="292"/>
        <v>0.5091</v>
      </c>
      <c r="AL884" s="19"/>
      <c r="AM884" s="16">
        <f t="shared" si="301"/>
        <v>24.945899999999998</v>
      </c>
      <c r="AN884" s="16" t="s">
        <v>147</v>
      </c>
      <c r="AO884" s="20">
        <v>0.4</v>
      </c>
      <c r="AP884" s="16">
        <f t="shared" si="299"/>
        <v>9.9783600000000003</v>
      </c>
      <c r="AQ884" s="16"/>
      <c r="AR884" s="15"/>
      <c r="AS884" s="16">
        <f t="shared" si="303"/>
        <v>9.9783600000000003</v>
      </c>
      <c r="AT884" s="16"/>
      <c r="AU884" s="16">
        <v>29.527799999999999</v>
      </c>
      <c r="AV884" s="16">
        <f t="shared" si="287"/>
        <v>29.527799999999999</v>
      </c>
      <c r="AW884" s="16">
        <f t="shared" si="293"/>
        <v>0</v>
      </c>
      <c r="AX884" s="16" t="str">
        <f t="shared" si="302"/>
        <v>SFA</v>
      </c>
      <c r="AY884" s="22">
        <v>45216</v>
      </c>
      <c r="BA884" s="1" t="s">
        <v>148</v>
      </c>
      <c r="BB884" s="22" t="str">
        <f>O884</f>
        <v>MARINE CARGO / GIT</v>
      </c>
      <c r="BC884" s="1"/>
      <c r="BD884" s="1"/>
      <c r="BE884" s="1"/>
    </row>
    <row r="885" spans="1:57" ht="15.75" hidden="1" customHeight="1">
      <c r="A885" s="2" t="s">
        <v>784</v>
      </c>
      <c r="B885" s="1" t="s">
        <v>58</v>
      </c>
      <c r="C885" s="27">
        <v>45197</v>
      </c>
      <c r="D885" s="27">
        <v>45197</v>
      </c>
      <c r="E885" s="27">
        <v>45197</v>
      </c>
      <c r="F885" s="27">
        <v>45561</v>
      </c>
      <c r="G885" s="13" t="str">
        <f t="shared" si="297"/>
        <v>000-884/AIB RDC/2023</v>
      </c>
      <c r="H885" s="1">
        <v>0</v>
      </c>
      <c r="I885" s="1" t="s">
        <v>83</v>
      </c>
      <c r="J885" s="29" t="s">
        <v>1096</v>
      </c>
      <c r="K885" s="1" t="s">
        <v>163</v>
      </c>
      <c r="L885" s="1"/>
      <c r="M885" s="1" t="s">
        <v>95</v>
      </c>
      <c r="N885" s="1" t="s">
        <v>836</v>
      </c>
      <c r="O885" s="28" t="s">
        <v>104</v>
      </c>
      <c r="P885" s="1" t="s">
        <v>105</v>
      </c>
      <c r="Q885" s="1" t="s">
        <v>66</v>
      </c>
      <c r="R885" s="1" t="s">
        <v>66</v>
      </c>
      <c r="S885" s="25">
        <v>0</v>
      </c>
      <c r="T885" s="25">
        <v>1158.29</v>
      </c>
      <c r="U885" s="25">
        <v>0</v>
      </c>
      <c r="V885" s="25">
        <v>0</v>
      </c>
      <c r="W885" s="25">
        <v>30</v>
      </c>
      <c r="X885" s="25">
        <v>843.3</v>
      </c>
      <c r="Y885" s="25">
        <v>142.52000000000001</v>
      </c>
      <c r="Z885" s="17" t="e">
        <f t="shared" si="289"/>
        <v>#DIV/0!</v>
      </c>
      <c r="AA885" s="18">
        <v>0.15</v>
      </c>
      <c r="AB885" s="16">
        <f t="shared" si="305"/>
        <v>126.49499999999999</v>
      </c>
      <c r="AC885" s="16">
        <v>0</v>
      </c>
      <c r="AD885" s="16">
        <v>0</v>
      </c>
      <c r="AE885" s="16">
        <v>0</v>
      </c>
      <c r="AF885" s="16">
        <f t="shared" si="290"/>
        <v>126.49499999999999</v>
      </c>
      <c r="AG885" s="16">
        <f t="shared" ref="AG885:AG916" si="306">16%*AF885</f>
        <v>20.2392</v>
      </c>
      <c r="AH885" s="16">
        <f t="shared" si="291"/>
        <v>146.73419999999999</v>
      </c>
      <c r="AI885" s="16">
        <f t="shared" si="304"/>
        <v>2.5299</v>
      </c>
      <c r="AJ885" s="16">
        <v>0</v>
      </c>
      <c r="AK885" s="16">
        <f t="shared" si="292"/>
        <v>2.5299</v>
      </c>
      <c r="AL885" s="19"/>
      <c r="AM885" s="16">
        <f t="shared" si="301"/>
        <v>123.96509999999999</v>
      </c>
      <c r="AN885" s="16" t="s">
        <v>147</v>
      </c>
      <c r="AO885" s="20">
        <v>0.4</v>
      </c>
      <c r="AP885" s="16">
        <f t="shared" si="299"/>
        <v>49.586039999999997</v>
      </c>
      <c r="AQ885" s="16"/>
      <c r="AR885" s="15"/>
      <c r="AS885" s="16">
        <f t="shared" si="303"/>
        <v>49.586039999999997</v>
      </c>
      <c r="AT885" s="16"/>
      <c r="AU885" s="16">
        <v>146.73419999999999</v>
      </c>
      <c r="AV885" s="16">
        <f t="shared" si="287"/>
        <v>146.73419999999999</v>
      </c>
      <c r="AW885" s="16">
        <f t="shared" si="293"/>
        <v>0</v>
      </c>
      <c r="AX885" s="16" t="str">
        <f t="shared" si="302"/>
        <v>SFA</v>
      </c>
      <c r="AY885" s="22">
        <v>45216</v>
      </c>
      <c r="BA885" s="1" t="s">
        <v>148</v>
      </c>
      <c r="BB885" s="22" t="str">
        <f>O885</f>
        <v>MARINE CARGO / GIT</v>
      </c>
      <c r="BC885" s="1"/>
      <c r="BD885" s="1"/>
      <c r="BE885" s="1"/>
    </row>
    <row r="886" spans="1:57" ht="15.75" hidden="1" customHeight="1">
      <c r="A886" s="2" t="s">
        <v>784</v>
      </c>
      <c r="B886" s="1" t="s">
        <v>58</v>
      </c>
      <c r="C886" s="27">
        <v>45190</v>
      </c>
      <c r="D886" s="27">
        <v>45190</v>
      </c>
      <c r="E886" s="27">
        <v>45187</v>
      </c>
      <c r="F886" s="27">
        <v>45541</v>
      </c>
      <c r="G886" s="13" t="str">
        <f t="shared" si="297"/>
        <v>000-885/AIB RDC/2023</v>
      </c>
      <c r="H886" s="1">
        <v>1</v>
      </c>
      <c r="I886" s="1" t="s">
        <v>59</v>
      </c>
      <c r="J886" s="14" t="s">
        <v>982</v>
      </c>
      <c r="K886" s="24" t="s">
        <v>450</v>
      </c>
      <c r="L886" s="1" t="s">
        <v>62</v>
      </c>
      <c r="M886" s="1" t="s">
        <v>63</v>
      </c>
      <c r="N886" s="1" t="s">
        <v>71</v>
      </c>
      <c r="O886" s="1" t="s">
        <v>65</v>
      </c>
      <c r="P886" s="1" t="s">
        <v>65</v>
      </c>
      <c r="Q886" s="1" t="s">
        <v>66</v>
      </c>
      <c r="R886" s="1" t="s">
        <v>66</v>
      </c>
      <c r="S886" s="25">
        <v>0</v>
      </c>
      <c r="T886" s="25">
        <v>976.12</v>
      </c>
      <c r="U886" s="25">
        <v>0</v>
      </c>
      <c r="V886" s="25">
        <v>0</v>
      </c>
      <c r="W886" s="25">
        <f>18.46+12.16</f>
        <v>30.62</v>
      </c>
      <c r="X886" s="25">
        <v>810.87</v>
      </c>
      <c r="Y886" s="25">
        <v>134.63</v>
      </c>
      <c r="Z886" s="17" t="e">
        <f t="shared" si="289"/>
        <v>#DIV/0!</v>
      </c>
      <c r="AA886" s="18">
        <v>0.1</v>
      </c>
      <c r="AB886" s="16">
        <f t="shared" si="305"/>
        <v>81.087000000000003</v>
      </c>
      <c r="AC886" s="16">
        <v>0</v>
      </c>
      <c r="AD886" s="16">
        <v>0</v>
      </c>
      <c r="AE886" s="16">
        <v>0</v>
      </c>
      <c r="AF886" s="16">
        <f t="shared" si="290"/>
        <v>81.087000000000003</v>
      </c>
      <c r="AG886" s="16">
        <f t="shared" si="306"/>
        <v>12.973920000000001</v>
      </c>
      <c r="AH886" s="16">
        <f t="shared" si="291"/>
        <v>94.06092000000001</v>
      </c>
      <c r="AI886" s="16">
        <f t="shared" si="304"/>
        <v>1.6217400000000002</v>
      </c>
      <c r="AJ886" s="16">
        <v>0</v>
      </c>
      <c r="AK886" s="16">
        <f t="shared" si="292"/>
        <v>1.6217400000000002</v>
      </c>
      <c r="AL886" s="19"/>
      <c r="AM886" s="16">
        <f t="shared" si="301"/>
        <v>79.465260000000001</v>
      </c>
      <c r="AN886" s="16" t="s">
        <v>206</v>
      </c>
      <c r="AO886" s="20">
        <v>0.5</v>
      </c>
      <c r="AP886" s="16">
        <f t="shared" si="299"/>
        <v>39.73263</v>
      </c>
      <c r="AQ886" s="16"/>
      <c r="AR886" s="15"/>
      <c r="AS886" s="16">
        <f t="shared" si="303"/>
        <v>39.73263</v>
      </c>
      <c r="AT886" s="16"/>
      <c r="AU886" s="16">
        <v>94.06092000000001</v>
      </c>
      <c r="AV886" s="16">
        <f t="shared" si="287"/>
        <v>94.06092000000001</v>
      </c>
      <c r="AW886" s="16">
        <f t="shared" si="293"/>
        <v>0</v>
      </c>
      <c r="AX886" s="16" t="str">
        <f t="shared" si="302"/>
        <v>SFA</v>
      </c>
      <c r="AY886" s="22">
        <v>45216</v>
      </c>
      <c r="BA886" s="1"/>
      <c r="BB886" s="22"/>
      <c r="BC886" s="1"/>
      <c r="BD886" s="1"/>
      <c r="BE886" s="1"/>
    </row>
    <row r="887" spans="1:57" ht="15.75" hidden="1" customHeight="1">
      <c r="A887" s="2" t="s">
        <v>212</v>
      </c>
      <c r="B887" s="1" t="s">
        <v>58</v>
      </c>
      <c r="C887" s="27">
        <v>45089</v>
      </c>
      <c r="D887" s="27">
        <v>45171</v>
      </c>
      <c r="E887" s="27">
        <v>45078</v>
      </c>
      <c r="F887" s="27">
        <v>45351</v>
      </c>
      <c r="G887" s="13" t="str">
        <f t="shared" si="297"/>
        <v>000-886/AIB RDC/2023</v>
      </c>
      <c r="H887" s="1">
        <v>5</v>
      </c>
      <c r="I887" s="1" t="s">
        <v>68</v>
      </c>
      <c r="J887" s="14">
        <v>45000005</v>
      </c>
      <c r="K887" s="2" t="s">
        <v>1118</v>
      </c>
      <c r="L887" s="1" t="s">
        <v>62</v>
      </c>
      <c r="M887" s="2" t="s">
        <v>63</v>
      </c>
      <c r="N887" s="1" t="s">
        <v>64</v>
      </c>
      <c r="O887" s="1" t="s">
        <v>194</v>
      </c>
      <c r="P887" s="1" t="s">
        <v>108</v>
      </c>
      <c r="Q887" s="1" t="s">
        <v>135</v>
      </c>
      <c r="R887" s="1" t="s">
        <v>195</v>
      </c>
      <c r="S887" s="25">
        <v>185746117.06</v>
      </c>
      <c r="T887" s="25">
        <v>318302.92</v>
      </c>
      <c r="U887" s="25">
        <v>40447.24</v>
      </c>
      <c r="V887" s="25">
        <v>-20682.02</v>
      </c>
      <c r="W887" s="25">
        <v>100</v>
      </c>
      <c r="X887" s="25">
        <v>229201</v>
      </c>
      <c r="Y887" s="25">
        <v>43159.72</v>
      </c>
      <c r="Z887" s="17">
        <f t="shared" si="289"/>
        <v>1.2339477326783802E-3</v>
      </c>
      <c r="AA887" s="18">
        <v>0</v>
      </c>
      <c r="AB887" s="16">
        <f t="shared" si="305"/>
        <v>0</v>
      </c>
      <c r="AC887" s="16">
        <f>30%*(U887+V887)</f>
        <v>5929.5659999999989</v>
      </c>
      <c r="AD887" s="16">
        <v>0</v>
      </c>
      <c r="AE887" s="16">
        <v>5000</v>
      </c>
      <c r="AF887" s="16">
        <f t="shared" si="290"/>
        <v>10929.565999999999</v>
      </c>
      <c r="AG887" s="16">
        <f t="shared" si="306"/>
        <v>1748.73056</v>
      </c>
      <c r="AH887" s="16">
        <f t="shared" si="291"/>
        <v>12678.296559999999</v>
      </c>
      <c r="AI887" s="16">
        <f t="shared" si="304"/>
        <v>118.59131999999998</v>
      </c>
      <c r="AJ887" s="16">
        <v>0</v>
      </c>
      <c r="AK887" s="16">
        <f t="shared" si="292"/>
        <v>118.59131999999998</v>
      </c>
      <c r="AL887" s="19"/>
      <c r="AM887" s="16">
        <f t="shared" si="301"/>
        <v>10810.974679999999</v>
      </c>
      <c r="AN887" s="16" t="s">
        <v>195</v>
      </c>
      <c r="AO887" s="20"/>
      <c r="AP887" s="16">
        <f t="shared" si="299"/>
        <v>0</v>
      </c>
      <c r="AQ887" s="16"/>
      <c r="AR887" s="15"/>
      <c r="AS887" s="16">
        <f t="shared" si="303"/>
        <v>0</v>
      </c>
      <c r="AT887" s="16"/>
      <c r="AU887" s="16">
        <f>6878.29656+5800</f>
        <v>12678.296559999999</v>
      </c>
      <c r="AV887" s="16">
        <f t="shared" si="287"/>
        <v>12678.296559999999</v>
      </c>
      <c r="AW887" s="16">
        <f t="shared" si="293"/>
        <v>0</v>
      </c>
      <c r="AX887" s="16" t="str">
        <f t="shared" si="302"/>
        <v>RAWSUR</v>
      </c>
      <c r="AY887" s="22">
        <v>45219</v>
      </c>
      <c r="BA887" s="1"/>
      <c r="BB887" s="22"/>
      <c r="BC887" s="1"/>
      <c r="BD887" s="1"/>
      <c r="BE887" s="1"/>
    </row>
    <row r="888" spans="1:57" ht="15.75" hidden="1" customHeight="1">
      <c r="A888" s="2" t="s">
        <v>165</v>
      </c>
      <c r="B888" s="1" t="s">
        <v>58</v>
      </c>
      <c r="C888" s="27">
        <v>45089</v>
      </c>
      <c r="D888" s="27">
        <v>44986</v>
      </c>
      <c r="E888" s="27">
        <v>44986</v>
      </c>
      <c r="F888" s="27">
        <v>45077</v>
      </c>
      <c r="G888" s="13" t="str">
        <f t="shared" si="297"/>
        <v>000-887/AIB RDC/2023</v>
      </c>
      <c r="H888" s="1">
        <v>4</v>
      </c>
      <c r="I888" s="1" t="s">
        <v>189</v>
      </c>
      <c r="J888" s="14">
        <v>45000005</v>
      </c>
      <c r="K888" s="2" t="s">
        <v>1118</v>
      </c>
      <c r="L888" s="1" t="s">
        <v>62</v>
      </c>
      <c r="M888" s="2" t="s">
        <v>63</v>
      </c>
      <c r="N888" s="1" t="s">
        <v>64</v>
      </c>
      <c r="O888" s="1" t="s">
        <v>107</v>
      </c>
      <c r="P888" s="1" t="s">
        <v>108</v>
      </c>
      <c r="Q888" s="1" t="s">
        <v>135</v>
      </c>
      <c r="R888" s="1" t="s">
        <v>135</v>
      </c>
      <c r="S888" s="25">
        <v>0</v>
      </c>
      <c r="T888" s="25">
        <v>154891.34</v>
      </c>
      <c r="U888" s="25">
        <v>19674.580000000002</v>
      </c>
      <c r="V888" s="25">
        <v>0</v>
      </c>
      <c r="W888" s="25">
        <v>100</v>
      </c>
      <c r="X888" s="25">
        <v>111489.27</v>
      </c>
      <c r="Y888" s="25">
        <v>21002.22</v>
      </c>
      <c r="Z888" s="17" t="e">
        <f t="shared" si="289"/>
        <v>#DIV/0!</v>
      </c>
      <c r="AA888" s="18">
        <v>0</v>
      </c>
      <c r="AB888" s="16">
        <f t="shared" si="305"/>
        <v>0</v>
      </c>
      <c r="AC888" s="16">
        <f>30%*(U888+V888)</f>
        <v>5902.3740000000007</v>
      </c>
      <c r="AD888" s="16">
        <v>0</v>
      </c>
      <c r="AE888" s="16">
        <v>0</v>
      </c>
      <c r="AF888" s="16">
        <f t="shared" si="290"/>
        <v>5902.3740000000007</v>
      </c>
      <c r="AG888" s="16">
        <f t="shared" si="306"/>
        <v>944.37984000000017</v>
      </c>
      <c r="AH888" s="16">
        <f t="shared" si="291"/>
        <v>6846.7538400000012</v>
      </c>
      <c r="AI888" s="16">
        <f t="shared" si="304"/>
        <v>118.04748000000002</v>
      </c>
      <c r="AJ888" s="16">
        <v>0</v>
      </c>
      <c r="AK888" s="16">
        <f t="shared" si="292"/>
        <v>118.04748000000002</v>
      </c>
      <c r="AL888" s="19"/>
      <c r="AM888" s="16">
        <f t="shared" si="301"/>
        <v>5784.3265200000005</v>
      </c>
      <c r="AN888" s="16" t="s">
        <v>195</v>
      </c>
      <c r="AO888" s="20"/>
      <c r="AP888" s="16">
        <f t="shared" si="299"/>
        <v>0</v>
      </c>
      <c r="AQ888" s="16"/>
      <c r="AR888" s="15"/>
      <c r="AS888" s="16">
        <f t="shared" si="303"/>
        <v>0</v>
      </c>
      <c r="AT888" s="16"/>
      <c r="AU888" s="16">
        <v>6846.7538400000012</v>
      </c>
      <c r="AV888" s="16">
        <f t="shared" si="287"/>
        <v>6846.7538400000012</v>
      </c>
      <c r="AW888" s="16">
        <f t="shared" si="293"/>
        <v>0</v>
      </c>
      <c r="AX888" s="16" t="str">
        <f t="shared" si="302"/>
        <v>RAWSUR</v>
      </c>
      <c r="AY888" s="22">
        <v>45219</v>
      </c>
      <c r="BA888" s="1"/>
      <c r="BB888" s="22"/>
      <c r="BC888" s="1"/>
      <c r="BD888" s="1"/>
      <c r="BE888" s="1"/>
    </row>
    <row r="889" spans="1:57" ht="15.75" hidden="1" customHeight="1">
      <c r="A889" s="2" t="s">
        <v>165</v>
      </c>
      <c r="B889" s="1" t="s">
        <v>58</v>
      </c>
      <c r="C889" s="27">
        <v>45089</v>
      </c>
      <c r="D889" s="27">
        <v>45171</v>
      </c>
      <c r="E889" s="27">
        <v>44986</v>
      </c>
      <c r="F889" s="27">
        <v>45350</v>
      </c>
      <c r="G889" s="13" t="str">
        <f t="shared" si="297"/>
        <v>000-888/AIB RDC/2023</v>
      </c>
      <c r="H889" s="1">
        <v>4</v>
      </c>
      <c r="I889" s="1" t="s">
        <v>68</v>
      </c>
      <c r="J889" s="14">
        <v>60100003</v>
      </c>
      <c r="K889" s="2" t="s">
        <v>1118</v>
      </c>
      <c r="L889" s="1" t="s">
        <v>62</v>
      </c>
      <c r="M889" s="2" t="s">
        <v>63</v>
      </c>
      <c r="N889" s="1" t="s">
        <v>64</v>
      </c>
      <c r="O889" s="1" t="s">
        <v>111</v>
      </c>
      <c r="P889" s="1" t="s">
        <v>112</v>
      </c>
      <c r="Q889" s="1" t="s">
        <v>135</v>
      </c>
      <c r="R889" s="1" t="s">
        <v>135</v>
      </c>
      <c r="S889" s="25">
        <v>0</v>
      </c>
      <c r="T889" s="25">
        <v>11537.07</v>
      </c>
      <c r="U889" s="25">
        <v>1451.58</v>
      </c>
      <c r="V889" s="25">
        <v>-799.91</v>
      </c>
      <c r="W889" s="25">
        <v>100</v>
      </c>
      <c r="X889" s="25">
        <v>8225.6</v>
      </c>
      <c r="Y889" s="25">
        <v>1564.35</v>
      </c>
      <c r="Z889" s="17" t="e">
        <f t="shared" si="289"/>
        <v>#DIV/0!</v>
      </c>
      <c r="AA889" s="18">
        <v>0</v>
      </c>
      <c r="AB889" s="16">
        <f t="shared" si="305"/>
        <v>0</v>
      </c>
      <c r="AC889" s="16">
        <f>30%*(U889+V889)</f>
        <v>195.50099999999998</v>
      </c>
      <c r="AD889" s="16">
        <v>0</v>
      </c>
      <c r="AE889" s="16">
        <v>0</v>
      </c>
      <c r="AF889" s="16">
        <f t="shared" si="290"/>
        <v>195.50099999999998</v>
      </c>
      <c r="AG889" s="16">
        <f t="shared" si="306"/>
        <v>31.280159999999999</v>
      </c>
      <c r="AH889" s="16">
        <f t="shared" si="291"/>
        <v>226.78115999999997</v>
      </c>
      <c r="AI889" s="16">
        <f t="shared" si="304"/>
        <v>3.9100199999999998</v>
      </c>
      <c r="AJ889" s="16">
        <v>0</v>
      </c>
      <c r="AK889" s="16">
        <f t="shared" si="292"/>
        <v>3.9100199999999998</v>
      </c>
      <c r="AL889" s="19"/>
      <c r="AM889" s="16">
        <f t="shared" si="301"/>
        <v>191.59097999999997</v>
      </c>
      <c r="AN889" s="16" t="s">
        <v>195</v>
      </c>
      <c r="AO889" s="20"/>
      <c r="AP889" s="16">
        <f t="shared" si="299"/>
        <v>0</v>
      </c>
      <c r="AQ889" s="16"/>
      <c r="AR889" s="15"/>
      <c r="AS889" s="16">
        <f t="shared" si="303"/>
        <v>0</v>
      </c>
      <c r="AT889" s="16"/>
      <c r="AU889" s="16">
        <v>226.78115999999997</v>
      </c>
      <c r="AV889" s="16">
        <f t="shared" ref="AV889:AV903" si="307">AH889</f>
        <v>226.78115999999997</v>
      </c>
      <c r="AW889" s="16">
        <f t="shared" si="293"/>
        <v>0</v>
      </c>
      <c r="AX889" s="16" t="str">
        <f t="shared" si="302"/>
        <v>RAWSUR</v>
      </c>
      <c r="AY889" s="22">
        <v>45219</v>
      </c>
      <c r="BA889" s="1"/>
      <c r="BB889" s="22"/>
      <c r="BC889" s="1"/>
      <c r="BD889" s="1"/>
      <c r="BE889" s="1"/>
    </row>
    <row r="890" spans="1:57" ht="15.75" hidden="1" customHeight="1">
      <c r="A890" s="2" t="s">
        <v>784</v>
      </c>
      <c r="B890" s="1" t="s">
        <v>58</v>
      </c>
      <c r="C890" s="27">
        <v>45201</v>
      </c>
      <c r="D890" s="27">
        <v>45174</v>
      </c>
      <c r="E890" s="27">
        <v>45174</v>
      </c>
      <c r="F890" s="27">
        <v>45234</v>
      </c>
      <c r="G890" s="13" t="str">
        <f t="shared" si="297"/>
        <v>000-889/AIB RDC/2023</v>
      </c>
      <c r="H890" s="1">
        <v>0</v>
      </c>
      <c r="I890" s="1" t="s">
        <v>83</v>
      </c>
      <c r="J890" s="2" t="s">
        <v>1129</v>
      </c>
      <c r="K890" s="2" t="s">
        <v>197</v>
      </c>
      <c r="L890" s="1"/>
      <c r="M890" s="1" t="s">
        <v>95</v>
      </c>
      <c r="N890" s="1" t="s">
        <v>836</v>
      </c>
      <c r="O890" s="1" t="s">
        <v>104</v>
      </c>
      <c r="P890" s="1" t="s">
        <v>105</v>
      </c>
      <c r="Q890" s="1" t="s">
        <v>135</v>
      </c>
      <c r="R890" s="1" t="s">
        <v>135</v>
      </c>
      <c r="S890" s="25">
        <v>0</v>
      </c>
      <c r="T890" s="25">
        <v>2076.9499999999998</v>
      </c>
      <c r="U890" s="25">
        <v>0</v>
      </c>
      <c r="V890" s="25">
        <v>0</v>
      </c>
      <c r="W890" s="25">
        <v>296</v>
      </c>
      <c r="X890" s="25">
        <v>1464.13</v>
      </c>
      <c r="Y890" s="25">
        <v>281.63</v>
      </c>
      <c r="Z890" s="17" t="e">
        <f t="shared" si="289"/>
        <v>#DIV/0!</v>
      </c>
      <c r="AA890" s="18">
        <v>0.15</v>
      </c>
      <c r="AB890" s="16">
        <f t="shared" si="305"/>
        <v>219.61950000000002</v>
      </c>
      <c r="AC890" s="16">
        <v>0</v>
      </c>
      <c r="AD890" s="16">
        <v>0</v>
      </c>
      <c r="AE890" s="16">
        <v>0</v>
      </c>
      <c r="AF890" s="16">
        <f t="shared" si="290"/>
        <v>219.61950000000002</v>
      </c>
      <c r="AG890" s="16">
        <f t="shared" si="306"/>
        <v>35.139120000000005</v>
      </c>
      <c r="AH890" s="16">
        <f t="shared" si="291"/>
        <v>254.75862000000001</v>
      </c>
      <c r="AI890" s="16">
        <f t="shared" si="304"/>
        <v>4.3923900000000007</v>
      </c>
      <c r="AJ890" s="16">
        <v>0</v>
      </c>
      <c r="AK890" s="16">
        <f t="shared" si="292"/>
        <v>4.3923900000000007</v>
      </c>
      <c r="AL890" s="19"/>
      <c r="AM890" s="16">
        <f t="shared" si="301"/>
        <v>215.22711000000001</v>
      </c>
      <c r="AN890" s="16" t="s">
        <v>147</v>
      </c>
      <c r="AO890" s="20">
        <v>0.4</v>
      </c>
      <c r="AP890" s="16">
        <f t="shared" si="299"/>
        <v>86.090844000000004</v>
      </c>
      <c r="AQ890" s="16"/>
      <c r="AR890" s="15"/>
      <c r="AS890" s="16">
        <f t="shared" si="303"/>
        <v>86.090844000000004</v>
      </c>
      <c r="AT890" s="16"/>
      <c r="AU890" s="16">
        <v>254.75862000000001</v>
      </c>
      <c r="AV890" s="16">
        <f t="shared" si="307"/>
        <v>254.75862000000001</v>
      </c>
      <c r="AW890" s="16">
        <f t="shared" si="293"/>
        <v>0</v>
      </c>
      <c r="AX890" s="16" t="str">
        <f t="shared" si="302"/>
        <v>RAWSUR</v>
      </c>
      <c r="AY890" s="22">
        <v>45219</v>
      </c>
      <c r="BA890" s="1"/>
      <c r="BB890" s="22"/>
      <c r="BC890" s="1"/>
      <c r="BD890" s="1"/>
      <c r="BE890" s="1"/>
    </row>
    <row r="891" spans="1:57" ht="15.75" hidden="1" customHeight="1">
      <c r="A891" s="2" t="s">
        <v>784</v>
      </c>
      <c r="B891" s="1" t="s">
        <v>58</v>
      </c>
      <c r="C891" s="27">
        <v>45229</v>
      </c>
      <c r="D891" s="27">
        <v>45174</v>
      </c>
      <c r="E891" s="27">
        <v>45174</v>
      </c>
      <c r="F891" s="27">
        <v>45518</v>
      </c>
      <c r="G891" s="13" t="str">
        <f t="shared" si="297"/>
        <v>000-890/AIB RDC/2023</v>
      </c>
      <c r="H891" s="1">
        <v>7</v>
      </c>
      <c r="I891" s="1" t="s">
        <v>59</v>
      </c>
      <c r="J891" s="29">
        <v>73200022</v>
      </c>
      <c r="K891" s="1" t="s">
        <v>907</v>
      </c>
      <c r="L891" s="1"/>
      <c r="M891" s="1" t="s">
        <v>74</v>
      </c>
      <c r="N891" s="1" t="s">
        <v>75</v>
      </c>
      <c r="O891" s="2" t="s">
        <v>104</v>
      </c>
      <c r="P891" s="2" t="s">
        <v>105</v>
      </c>
      <c r="Q891" s="2" t="s">
        <v>135</v>
      </c>
      <c r="R891" s="2" t="s">
        <v>135</v>
      </c>
      <c r="S891" s="25">
        <v>0</v>
      </c>
      <c r="T891" s="25">
        <v>7262</v>
      </c>
      <c r="U891" s="25">
        <v>0</v>
      </c>
      <c r="V891" s="25">
        <v>0</v>
      </c>
      <c r="W891" s="25">
        <v>100</v>
      </c>
      <c r="X891" s="25">
        <v>6054.24</v>
      </c>
      <c r="Y891" s="25">
        <v>984.68</v>
      </c>
      <c r="Z891" s="17" t="e">
        <f t="shared" si="289"/>
        <v>#DIV/0!</v>
      </c>
      <c r="AA891" s="18">
        <v>0.15</v>
      </c>
      <c r="AB891" s="16">
        <f t="shared" si="305"/>
        <v>908.13599999999997</v>
      </c>
      <c r="AC891" s="16">
        <v>0</v>
      </c>
      <c r="AD891" s="16">
        <v>0</v>
      </c>
      <c r="AE891" s="16">
        <v>0</v>
      </c>
      <c r="AF891" s="16">
        <f t="shared" si="290"/>
        <v>908.13599999999997</v>
      </c>
      <c r="AG891" s="16">
        <f t="shared" si="306"/>
        <v>145.30176</v>
      </c>
      <c r="AH891" s="16">
        <f t="shared" si="291"/>
        <v>1053.43776</v>
      </c>
      <c r="AI891" s="16">
        <f t="shared" si="304"/>
        <v>18.16272</v>
      </c>
      <c r="AJ891" s="16">
        <v>0</v>
      </c>
      <c r="AK891" s="16">
        <f t="shared" si="292"/>
        <v>18.16272</v>
      </c>
      <c r="AL891" s="19"/>
      <c r="AM891" s="16">
        <f t="shared" si="301"/>
        <v>889.97327999999993</v>
      </c>
      <c r="AN891" s="16"/>
      <c r="AO891" s="20"/>
      <c r="AP891" s="16">
        <f t="shared" si="299"/>
        <v>0</v>
      </c>
      <c r="AQ891" s="16"/>
      <c r="AR891" s="15"/>
      <c r="AS891" s="16">
        <f t="shared" si="303"/>
        <v>0</v>
      </c>
      <c r="AT891" s="16"/>
      <c r="AU891" s="16">
        <v>1053.43776</v>
      </c>
      <c r="AV891" s="16">
        <f t="shared" si="307"/>
        <v>1053.43776</v>
      </c>
      <c r="AW891" s="16">
        <f t="shared" si="293"/>
        <v>0</v>
      </c>
      <c r="AX891" s="16" t="str">
        <f t="shared" si="302"/>
        <v>RAWSUR</v>
      </c>
      <c r="AY891" s="22">
        <v>45219</v>
      </c>
      <c r="BA891" s="1"/>
      <c r="BB891" s="22"/>
      <c r="BC891" s="1"/>
      <c r="BD891" s="1"/>
      <c r="BE891" s="1"/>
    </row>
    <row r="892" spans="1:57" ht="15.75" hidden="1" customHeight="1">
      <c r="A892" s="2" t="s">
        <v>784</v>
      </c>
      <c r="B892" s="1" t="s">
        <v>58</v>
      </c>
      <c r="C892" s="27">
        <v>45229</v>
      </c>
      <c r="D892" s="27">
        <v>45170</v>
      </c>
      <c r="E892" s="27">
        <v>45171</v>
      </c>
      <c r="F892" s="27">
        <v>45518</v>
      </c>
      <c r="G892" s="13" t="str">
        <f t="shared" si="297"/>
        <v>000-891/AIB RDC/2023</v>
      </c>
      <c r="H892" s="1">
        <v>6</v>
      </c>
      <c r="I892" s="1" t="s">
        <v>59</v>
      </c>
      <c r="J892" s="29">
        <v>73200022</v>
      </c>
      <c r="K892" s="1" t="s">
        <v>907</v>
      </c>
      <c r="L892" s="1"/>
      <c r="M892" s="1" t="s">
        <v>74</v>
      </c>
      <c r="N892" s="1" t="s">
        <v>75</v>
      </c>
      <c r="O892" s="2" t="s">
        <v>104</v>
      </c>
      <c r="P892" s="2" t="s">
        <v>105</v>
      </c>
      <c r="Q892" s="2" t="s">
        <v>135</v>
      </c>
      <c r="R892" s="2" t="s">
        <v>135</v>
      </c>
      <c r="S892" s="25">
        <v>0</v>
      </c>
      <c r="T892" s="25">
        <v>27998.35</v>
      </c>
      <c r="U892" s="25">
        <v>0</v>
      </c>
      <c r="V892" s="25">
        <v>0</v>
      </c>
      <c r="W892" s="25">
        <v>1258</v>
      </c>
      <c r="X892" s="25">
        <v>22469.41</v>
      </c>
      <c r="Y892" s="25">
        <v>3796.39</v>
      </c>
      <c r="Z892" s="17" t="e">
        <f t="shared" si="289"/>
        <v>#DIV/0!</v>
      </c>
      <c r="AA892" s="18">
        <v>0.15</v>
      </c>
      <c r="AB892" s="16">
        <f t="shared" si="305"/>
        <v>3370.4114999999997</v>
      </c>
      <c r="AC892" s="16">
        <v>0</v>
      </c>
      <c r="AD892" s="16">
        <v>0</v>
      </c>
      <c r="AE892" s="16">
        <v>0</v>
      </c>
      <c r="AF892" s="16">
        <f t="shared" si="290"/>
        <v>3370.4114999999997</v>
      </c>
      <c r="AG892" s="16">
        <f t="shared" si="306"/>
        <v>539.26583999999991</v>
      </c>
      <c r="AH892" s="16">
        <f t="shared" si="291"/>
        <v>3909.6773399999997</v>
      </c>
      <c r="AI892" s="16">
        <f t="shared" si="304"/>
        <v>67.408229999999989</v>
      </c>
      <c r="AJ892" s="16">
        <v>0</v>
      </c>
      <c r="AK892" s="16">
        <f t="shared" si="292"/>
        <v>67.408229999999989</v>
      </c>
      <c r="AL892" s="19"/>
      <c r="AM892" s="16">
        <f t="shared" si="301"/>
        <v>3303.0032699999997</v>
      </c>
      <c r="AN892" s="16"/>
      <c r="AO892" s="20"/>
      <c r="AP892" s="16">
        <f t="shared" si="299"/>
        <v>0</v>
      </c>
      <c r="AQ892" s="16"/>
      <c r="AR892" s="15"/>
      <c r="AS892" s="16">
        <f t="shared" si="303"/>
        <v>0</v>
      </c>
      <c r="AT892" s="16"/>
      <c r="AU892" s="16">
        <v>3909.6773399999997</v>
      </c>
      <c r="AV892" s="16">
        <f t="shared" si="307"/>
        <v>3909.6773399999997</v>
      </c>
      <c r="AW892" s="16">
        <f t="shared" si="293"/>
        <v>0</v>
      </c>
      <c r="AX892" s="16" t="str">
        <f t="shared" si="302"/>
        <v>RAWSUR</v>
      </c>
      <c r="AY892" s="22">
        <v>45219</v>
      </c>
      <c r="BA892" s="1"/>
      <c r="BB892" s="22"/>
      <c r="BC892" s="1"/>
      <c r="BD892" s="1"/>
      <c r="BE892" s="1"/>
    </row>
    <row r="893" spans="1:57" ht="15.75" hidden="1" customHeight="1">
      <c r="A893" s="2" t="s">
        <v>230</v>
      </c>
      <c r="B893" s="1" t="s">
        <v>58</v>
      </c>
      <c r="C893" s="27">
        <v>45230</v>
      </c>
      <c r="D893" s="27">
        <v>45176</v>
      </c>
      <c r="E893" s="27">
        <v>45061</v>
      </c>
      <c r="F893" s="27">
        <v>45426</v>
      </c>
      <c r="G893" s="13" t="str">
        <f t="shared" si="297"/>
        <v>000-892/AIB RDC/2023</v>
      </c>
      <c r="H893" s="1">
        <v>3</v>
      </c>
      <c r="I893" s="1" t="s">
        <v>68</v>
      </c>
      <c r="J893" s="29" t="s">
        <v>1130</v>
      </c>
      <c r="K893" s="1" t="s">
        <v>1131</v>
      </c>
      <c r="L893" s="1"/>
      <c r="M893" s="1" t="s">
        <v>63</v>
      </c>
      <c r="N893" s="1" t="s">
        <v>100</v>
      </c>
      <c r="O893" s="2" t="s">
        <v>107</v>
      </c>
      <c r="P893" s="2" t="s">
        <v>108</v>
      </c>
      <c r="Q893" s="2" t="s">
        <v>127</v>
      </c>
      <c r="R893" s="2" t="s">
        <v>127</v>
      </c>
      <c r="S893" s="25">
        <v>0</v>
      </c>
      <c r="T893" s="25">
        <v>8132.42</v>
      </c>
      <c r="U893" s="25">
        <v>0</v>
      </c>
      <c r="V893" s="25">
        <v>0</v>
      </c>
      <c r="W893" s="25">
        <v>100</v>
      </c>
      <c r="X893" s="25">
        <v>6791.88</v>
      </c>
      <c r="Y893" s="25">
        <v>1102.7</v>
      </c>
      <c r="Z893" s="17" t="e">
        <f t="shared" si="289"/>
        <v>#DIV/0!</v>
      </c>
      <c r="AA893" s="18">
        <v>7.4999999999999997E-2</v>
      </c>
      <c r="AB893" s="16">
        <f>(AA893*X893)</f>
        <v>509.39099999999996</v>
      </c>
      <c r="AC893" s="16">
        <v>0</v>
      </c>
      <c r="AD893" s="16">
        <v>0</v>
      </c>
      <c r="AE893" s="16">
        <v>0</v>
      </c>
      <c r="AF893" s="16">
        <f t="shared" si="290"/>
        <v>509.39099999999996</v>
      </c>
      <c r="AG893" s="16">
        <f t="shared" si="306"/>
        <v>81.502560000000003</v>
      </c>
      <c r="AH893" s="16">
        <f t="shared" si="291"/>
        <v>590.89355999999998</v>
      </c>
      <c r="AI893" s="16">
        <f t="shared" si="304"/>
        <v>10.18782</v>
      </c>
      <c r="AJ893" s="16">
        <v>0</v>
      </c>
      <c r="AK893" s="16">
        <f t="shared" si="292"/>
        <v>10.18782</v>
      </c>
      <c r="AL893" s="19"/>
      <c r="AM893" s="16">
        <f t="shared" si="301"/>
        <v>499.20317999999997</v>
      </c>
      <c r="AN893" s="16" t="s">
        <v>195</v>
      </c>
      <c r="AO893" s="20">
        <v>0.3</v>
      </c>
      <c r="AP893" s="16">
        <f t="shared" si="299"/>
        <v>149.760954</v>
      </c>
      <c r="AQ893" s="16"/>
      <c r="AR893" s="15"/>
      <c r="AS893" s="16">
        <f t="shared" si="303"/>
        <v>149.760954</v>
      </c>
      <c r="AT893" s="16"/>
      <c r="AU893" s="16">
        <v>590.89355999999998</v>
      </c>
      <c r="AV893" s="16">
        <f t="shared" si="307"/>
        <v>590.89355999999998</v>
      </c>
      <c r="AW893" s="16">
        <f t="shared" si="293"/>
        <v>0</v>
      </c>
      <c r="AX893" s="16" t="str">
        <f t="shared" si="302"/>
        <v>MAYFAIR</v>
      </c>
      <c r="AY893" s="22">
        <v>45231</v>
      </c>
      <c r="BA893" s="1"/>
      <c r="BB893" s="22"/>
      <c r="BC893" s="1"/>
      <c r="BD893" s="1"/>
      <c r="BE893" s="1"/>
    </row>
    <row r="894" spans="1:57" ht="15.75" customHeight="1">
      <c r="A894" s="2" t="s">
        <v>1005</v>
      </c>
      <c r="B894" s="1" t="s">
        <v>169</v>
      </c>
      <c r="C894" s="27">
        <v>45087</v>
      </c>
      <c r="D894" s="27">
        <v>45220</v>
      </c>
      <c r="E894" s="27">
        <v>45220</v>
      </c>
      <c r="F894" s="27">
        <v>45585</v>
      </c>
      <c r="G894" s="13" t="str">
        <f t="shared" si="297"/>
        <v>000-893/AIB RDC/2023</v>
      </c>
      <c r="H894" s="1">
        <v>1</v>
      </c>
      <c r="I894" s="1" t="s">
        <v>68</v>
      </c>
      <c r="J894" s="29" t="s">
        <v>1121</v>
      </c>
      <c r="K894" s="2" t="s">
        <v>1122</v>
      </c>
      <c r="L894" s="1"/>
      <c r="M894" s="1" t="s">
        <v>63</v>
      </c>
      <c r="N894" s="1" t="s">
        <v>71</v>
      </c>
      <c r="O894" s="1" t="s">
        <v>107</v>
      </c>
      <c r="P894" s="1" t="s">
        <v>108</v>
      </c>
      <c r="Q894" s="1" t="s">
        <v>117</v>
      </c>
      <c r="R894" s="1" t="s">
        <v>117</v>
      </c>
      <c r="S894" s="25">
        <v>0</v>
      </c>
      <c r="T894" s="25">
        <v>15287.65</v>
      </c>
      <c r="U894" s="25">
        <v>0</v>
      </c>
      <c r="V894" s="25">
        <v>0</v>
      </c>
      <c r="W894" s="25">
        <v>130.47999999999999</v>
      </c>
      <c r="X894" s="25">
        <v>13048.53</v>
      </c>
      <c r="Y894" s="25">
        <v>2108.64</v>
      </c>
      <c r="Z894" s="17" t="e">
        <f t="shared" si="289"/>
        <v>#DIV/0!</v>
      </c>
      <c r="AA894" s="18">
        <v>0.15</v>
      </c>
      <c r="AB894" s="16">
        <f t="shared" ref="AB894:AB903" si="308">AA894*X894</f>
        <v>1957.2795000000001</v>
      </c>
      <c r="AC894" s="16">
        <f>30%*U894</f>
        <v>0</v>
      </c>
      <c r="AD894" s="16">
        <v>0</v>
      </c>
      <c r="AE894" s="16">
        <v>0</v>
      </c>
      <c r="AF894" s="16">
        <f t="shared" si="290"/>
        <v>1957.2795000000001</v>
      </c>
      <c r="AG894" s="16">
        <f t="shared" si="306"/>
        <v>313.16472000000005</v>
      </c>
      <c r="AH894" s="16">
        <f t="shared" si="291"/>
        <v>2270.4442200000003</v>
      </c>
      <c r="AI894" s="16">
        <f t="shared" si="304"/>
        <v>39.145590000000006</v>
      </c>
      <c r="AJ894" s="16">
        <v>0</v>
      </c>
      <c r="AK894" s="16">
        <f t="shared" si="292"/>
        <v>39.145590000000006</v>
      </c>
      <c r="AL894" s="19"/>
      <c r="AM894" s="16">
        <f t="shared" si="301"/>
        <v>1918.13391</v>
      </c>
      <c r="AN894" s="16" t="s">
        <v>206</v>
      </c>
      <c r="AO894" s="20">
        <v>0.5</v>
      </c>
      <c r="AP894" s="16">
        <f t="shared" si="299"/>
        <v>959.06695500000001</v>
      </c>
      <c r="AQ894" s="16"/>
      <c r="AR894" s="15"/>
      <c r="AS894" s="16">
        <f t="shared" si="303"/>
        <v>959.06695500000001</v>
      </c>
      <c r="AT894" s="16"/>
      <c r="AU894" s="16"/>
      <c r="AV894" s="16">
        <f t="shared" si="307"/>
        <v>2270.4442200000003</v>
      </c>
      <c r="AW894" s="60">
        <f t="shared" si="293"/>
        <v>2270.4442200000003</v>
      </c>
      <c r="AX894" s="16" t="str">
        <f t="shared" si="302"/>
        <v>SUNU</v>
      </c>
      <c r="AY894" s="22"/>
      <c r="BA894" s="1"/>
      <c r="BB894" s="22" t="str">
        <f>O894</f>
        <v>FIRE</v>
      </c>
      <c r="BC894" s="1"/>
      <c r="BD894" s="1"/>
      <c r="BE894" s="1"/>
    </row>
    <row r="895" spans="1:57" ht="15.75" customHeight="1">
      <c r="A895" s="2" t="s">
        <v>212</v>
      </c>
      <c r="B895" s="1" t="s">
        <v>58</v>
      </c>
      <c r="C895" s="27">
        <v>45113</v>
      </c>
      <c r="D895" s="27">
        <v>45096</v>
      </c>
      <c r="E895" s="27">
        <v>45095</v>
      </c>
      <c r="F895" s="27">
        <v>45460</v>
      </c>
      <c r="G895" s="13" t="str">
        <f t="shared" si="297"/>
        <v>000-894/AIB RDC/2023</v>
      </c>
      <c r="H895" s="1">
        <v>0</v>
      </c>
      <c r="I895" s="1" t="s">
        <v>83</v>
      </c>
      <c r="J895" s="2" t="s">
        <v>820</v>
      </c>
      <c r="K895" s="2" t="s">
        <v>638</v>
      </c>
      <c r="L895" s="1"/>
      <c r="M895" s="1" t="s">
        <v>95</v>
      </c>
      <c r="N895" s="1" t="s">
        <v>434</v>
      </c>
      <c r="O895" s="1" t="s">
        <v>250</v>
      </c>
      <c r="P895" s="1" t="s">
        <v>251</v>
      </c>
      <c r="Q895" s="1" t="s">
        <v>66</v>
      </c>
      <c r="R895" s="1" t="s">
        <v>66</v>
      </c>
      <c r="S895" s="25">
        <v>0</v>
      </c>
      <c r="T895" s="25">
        <v>252429.73</v>
      </c>
      <c r="U895" s="25">
        <v>19038.580000000002</v>
      </c>
      <c r="V895" s="25">
        <v>-12963.16</v>
      </c>
      <c r="W895" s="25">
        <v>4266.8999999999996</v>
      </c>
      <c r="X895" s="25">
        <v>181343.2</v>
      </c>
      <c r="Y895" s="25">
        <v>34817.89</v>
      </c>
      <c r="Z895" s="17" t="e">
        <f t="shared" si="289"/>
        <v>#DIV/0!</v>
      </c>
      <c r="AA895" s="18">
        <v>7.6209088623118995E-2</v>
      </c>
      <c r="AB895" s="16">
        <f t="shared" si="308"/>
        <v>13819.999999999993</v>
      </c>
      <c r="AC895" s="16">
        <f>30%*U895</f>
        <v>5711.5740000000005</v>
      </c>
      <c r="AD895" s="16">
        <f>7.6209088623119%*X895</f>
        <v>13819.999999999993</v>
      </c>
      <c r="AE895" s="16">
        <v>0</v>
      </c>
      <c r="AF895" s="16">
        <f t="shared" si="290"/>
        <v>33351.573999999986</v>
      </c>
      <c r="AG895" s="16">
        <f t="shared" si="306"/>
        <v>5336.2518399999981</v>
      </c>
      <c r="AH895" s="16">
        <f t="shared" si="291"/>
        <v>38687.825839999983</v>
      </c>
      <c r="AI895" s="16">
        <f t="shared" si="304"/>
        <v>667.03147999999976</v>
      </c>
      <c r="AJ895" s="16">
        <v>0</v>
      </c>
      <c r="AK895" s="16">
        <f t="shared" si="292"/>
        <v>667.03147999999976</v>
      </c>
      <c r="AL895" s="19"/>
      <c r="AM895" s="16">
        <f t="shared" si="301"/>
        <v>32684.542519999985</v>
      </c>
      <c r="AN895" s="16"/>
      <c r="AO895" s="20"/>
      <c r="AP895" s="16">
        <f t="shared" si="299"/>
        <v>0</v>
      </c>
      <c r="AQ895" s="16"/>
      <c r="AR895" s="15"/>
      <c r="AS895" s="16">
        <f t="shared" si="303"/>
        <v>0</v>
      </c>
      <c r="AT895" s="16"/>
      <c r="AU895" s="16">
        <f>828.18+4007.8+828.18+4007.8</f>
        <v>9671.9600000000009</v>
      </c>
      <c r="AV895" s="16">
        <f t="shared" si="307"/>
        <v>38687.825839999983</v>
      </c>
      <c r="AW895" s="60">
        <f t="shared" si="293"/>
        <v>29015.865839999984</v>
      </c>
      <c r="AX895" s="16" t="str">
        <f t="shared" si="302"/>
        <v>SFA</v>
      </c>
      <c r="AY895" s="22">
        <v>45229</v>
      </c>
      <c r="AZ895" s="22"/>
      <c r="BA895" s="1"/>
      <c r="BB895" s="22"/>
      <c r="BC895" s="1"/>
      <c r="BD895" s="1"/>
      <c r="BE895" s="1"/>
    </row>
    <row r="896" spans="1:57" ht="15.75" customHeight="1">
      <c r="A896" s="2" t="s">
        <v>212</v>
      </c>
      <c r="B896" s="1" t="s">
        <v>169</v>
      </c>
      <c r="C896" s="27">
        <v>45190</v>
      </c>
      <c r="D896" s="27">
        <v>45116</v>
      </c>
      <c r="E896" s="27">
        <v>45086</v>
      </c>
      <c r="F896" s="27">
        <v>45391</v>
      </c>
      <c r="G896" s="13" t="str">
        <f t="shared" si="297"/>
        <v>000-895/AIB RDC/2023</v>
      </c>
      <c r="H896" s="1">
        <v>0</v>
      </c>
      <c r="I896" s="1" t="s">
        <v>83</v>
      </c>
      <c r="J896" s="2" t="s">
        <v>1040</v>
      </c>
      <c r="K896" s="1" t="s">
        <v>163</v>
      </c>
      <c r="L896" s="1"/>
      <c r="M896" s="1" t="s">
        <v>95</v>
      </c>
      <c r="N896" s="1" t="s">
        <v>836</v>
      </c>
      <c r="O896" s="1" t="s">
        <v>104</v>
      </c>
      <c r="P896" s="1" t="s">
        <v>105</v>
      </c>
      <c r="Q896" s="1" t="s">
        <v>66</v>
      </c>
      <c r="R896" s="1" t="s">
        <v>66</v>
      </c>
      <c r="S896" s="25">
        <v>831662.9</v>
      </c>
      <c r="T896" s="25">
        <v>1727.68</v>
      </c>
      <c r="U896" s="25">
        <v>0</v>
      </c>
      <c r="V896" s="25">
        <v>0</v>
      </c>
      <c r="W896" s="25">
        <v>0</v>
      </c>
      <c r="X896" s="25">
        <v>1297.4000000000001</v>
      </c>
      <c r="Y896" s="25">
        <v>214.35</v>
      </c>
      <c r="Z896" s="17">
        <f t="shared" si="289"/>
        <v>1.5600070653626608E-3</v>
      </c>
      <c r="AA896" s="18">
        <v>0.15</v>
      </c>
      <c r="AB896" s="16">
        <f t="shared" si="308"/>
        <v>194.61</v>
      </c>
      <c r="AC896" s="16">
        <v>0</v>
      </c>
      <c r="AD896" s="16">
        <v>0</v>
      </c>
      <c r="AE896" s="16">
        <v>0</v>
      </c>
      <c r="AF896" s="16">
        <f t="shared" si="290"/>
        <v>194.61</v>
      </c>
      <c r="AG896" s="16">
        <f t="shared" si="306"/>
        <v>31.137600000000003</v>
      </c>
      <c r="AH896" s="16">
        <f t="shared" si="291"/>
        <v>225.74760000000001</v>
      </c>
      <c r="AI896" s="16">
        <f t="shared" si="304"/>
        <v>3.8922000000000003</v>
      </c>
      <c r="AJ896" s="16">
        <v>0</v>
      </c>
      <c r="AK896" s="16">
        <f t="shared" si="292"/>
        <v>3.8922000000000003</v>
      </c>
      <c r="AL896" s="19"/>
      <c r="AM896" s="16">
        <f t="shared" si="301"/>
        <v>190.71780000000001</v>
      </c>
      <c r="AN896" s="16" t="s">
        <v>147</v>
      </c>
      <c r="AO896" s="20">
        <v>0.4</v>
      </c>
      <c r="AP896" s="16">
        <f t="shared" si="299"/>
        <v>76.287120000000002</v>
      </c>
      <c r="AQ896" s="16"/>
      <c r="AR896" s="15"/>
      <c r="AS896" s="16">
        <f t="shared" si="303"/>
        <v>76.287120000000002</v>
      </c>
      <c r="AT896" s="16"/>
      <c r="AU896" s="16"/>
      <c r="AV896" s="16">
        <f t="shared" si="307"/>
        <v>225.74760000000001</v>
      </c>
      <c r="AW896" s="60">
        <f t="shared" si="293"/>
        <v>225.74760000000001</v>
      </c>
      <c r="AX896" s="16" t="str">
        <f t="shared" ref="AX896:AX903" si="309">Q896</f>
        <v>SFA</v>
      </c>
      <c r="AY896" s="22"/>
      <c r="BA896" s="1"/>
      <c r="BB896" s="22"/>
      <c r="BC896" s="1"/>
      <c r="BD896" s="1"/>
      <c r="BE896" s="1"/>
    </row>
    <row r="897" spans="1:57" ht="15.75" customHeight="1">
      <c r="A897" s="2" t="s">
        <v>871</v>
      </c>
      <c r="B897" s="1" t="s">
        <v>169</v>
      </c>
      <c r="C897" s="27">
        <v>45202</v>
      </c>
      <c r="D897" s="27">
        <v>45189</v>
      </c>
      <c r="E897" s="27">
        <v>45168</v>
      </c>
      <c r="F897" s="27">
        <v>45533</v>
      </c>
      <c r="G897" s="13" t="str">
        <f t="shared" si="297"/>
        <v>000-896/AIB RDC/2023</v>
      </c>
      <c r="H897" s="1">
        <v>0</v>
      </c>
      <c r="I897" s="1" t="s">
        <v>83</v>
      </c>
      <c r="J897" s="2" t="s">
        <v>1080</v>
      </c>
      <c r="K897" s="1" t="s">
        <v>163</v>
      </c>
      <c r="L897" s="1"/>
      <c r="M897" s="1" t="s">
        <v>95</v>
      </c>
      <c r="N897" s="1" t="s">
        <v>836</v>
      </c>
      <c r="O897" s="1" t="s">
        <v>104</v>
      </c>
      <c r="P897" s="1" t="s">
        <v>105</v>
      </c>
      <c r="Q897" s="1" t="s">
        <v>66</v>
      </c>
      <c r="R897" s="1" t="s">
        <v>66</v>
      </c>
      <c r="S897" s="25">
        <v>7813.09</v>
      </c>
      <c r="T897" s="25">
        <v>49.85</v>
      </c>
      <c r="U897" s="25">
        <v>0</v>
      </c>
      <c r="V897" s="25">
        <v>0</v>
      </c>
      <c r="W897" s="25">
        <v>6.42</v>
      </c>
      <c r="X897" s="25">
        <v>15</v>
      </c>
      <c r="Y897" s="25">
        <v>3.43</v>
      </c>
      <c r="Z897" s="17">
        <f t="shared" si="289"/>
        <v>1.9198550125494522E-3</v>
      </c>
      <c r="AA897" s="18">
        <v>0.15</v>
      </c>
      <c r="AB897" s="16">
        <f t="shared" si="308"/>
        <v>2.25</v>
      </c>
      <c r="AC897" s="16">
        <v>0</v>
      </c>
      <c r="AD897" s="16">
        <v>0</v>
      </c>
      <c r="AE897" s="16">
        <v>0</v>
      </c>
      <c r="AF897" s="16">
        <f t="shared" si="290"/>
        <v>2.25</v>
      </c>
      <c r="AG897" s="16">
        <f t="shared" si="306"/>
        <v>0.36</v>
      </c>
      <c r="AH897" s="16">
        <f t="shared" si="291"/>
        <v>2.61</v>
      </c>
      <c r="AI897" s="16">
        <f t="shared" si="304"/>
        <v>4.4999999999999998E-2</v>
      </c>
      <c r="AJ897" s="16">
        <v>0</v>
      </c>
      <c r="AK897" s="16">
        <f t="shared" si="292"/>
        <v>4.4999999999999998E-2</v>
      </c>
      <c r="AL897" s="19"/>
      <c r="AM897" s="16">
        <f t="shared" si="301"/>
        <v>2.2050000000000001</v>
      </c>
      <c r="AN897" s="16" t="s">
        <v>147</v>
      </c>
      <c r="AO897" s="20">
        <v>0.4</v>
      </c>
      <c r="AP897" s="16">
        <f t="shared" si="299"/>
        <v>0.88200000000000012</v>
      </c>
      <c r="AQ897" s="16"/>
      <c r="AR897" s="15"/>
      <c r="AS897" s="16">
        <f t="shared" si="303"/>
        <v>0.88200000000000012</v>
      </c>
      <c r="AT897" s="16"/>
      <c r="AU897" s="16"/>
      <c r="AV897" s="16">
        <f t="shared" si="307"/>
        <v>2.61</v>
      </c>
      <c r="AW897" s="60">
        <f t="shared" si="293"/>
        <v>2.61</v>
      </c>
      <c r="AX897" s="16" t="str">
        <f t="shared" si="309"/>
        <v>SFA</v>
      </c>
      <c r="AY897" s="22"/>
      <c r="BA897" s="1"/>
      <c r="BB897" s="22"/>
      <c r="BC897" s="1"/>
      <c r="BD897" s="1"/>
      <c r="BE897" s="1"/>
    </row>
    <row r="898" spans="1:57" ht="15.75" customHeight="1">
      <c r="A898" s="2" t="s">
        <v>784</v>
      </c>
      <c r="B898" s="1" t="s">
        <v>169</v>
      </c>
      <c r="C898" s="27">
        <v>45202</v>
      </c>
      <c r="D898" s="27">
        <v>45197</v>
      </c>
      <c r="E898" s="27">
        <v>45197</v>
      </c>
      <c r="F898" s="27">
        <v>45562</v>
      </c>
      <c r="G898" s="13" t="str">
        <f t="shared" si="297"/>
        <v>000-897/AIB RDC/2023</v>
      </c>
      <c r="H898" s="1">
        <v>0</v>
      </c>
      <c r="I898" s="1" t="s">
        <v>83</v>
      </c>
      <c r="J898" s="2" t="s">
        <v>1084</v>
      </c>
      <c r="K898" s="1" t="s">
        <v>163</v>
      </c>
      <c r="L898" s="1"/>
      <c r="M898" s="1" t="s">
        <v>95</v>
      </c>
      <c r="N898" s="1" t="s">
        <v>836</v>
      </c>
      <c r="O898" s="1" t="s">
        <v>104</v>
      </c>
      <c r="P898" s="1" t="s">
        <v>105</v>
      </c>
      <c r="Q898" s="1" t="s">
        <v>66</v>
      </c>
      <c r="R898" s="1" t="s">
        <v>66</v>
      </c>
      <c r="S898" s="25">
        <v>137650.39000000001</v>
      </c>
      <c r="T898" s="25">
        <v>410.77</v>
      </c>
      <c r="U898" s="25">
        <v>0</v>
      </c>
      <c r="V898" s="25">
        <v>0</v>
      </c>
      <c r="W898" s="25">
        <v>12.52</v>
      </c>
      <c r="X898" s="25">
        <v>320.04000000000002</v>
      </c>
      <c r="Y898" s="25">
        <v>53.21</v>
      </c>
      <c r="Z898" s="17">
        <f t="shared" si="289"/>
        <v>2.3250206555898607E-3</v>
      </c>
      <c r="AA898" s="18">
        <v>0.15</v>
      </c>
      <c r="AB898" s="16">
        <f t="shared" si="308"/>
        <v>48.006</v>
      </c>
      <c r="AC898" s="16">
        <v>0</v>
      </c>
      <c r="AD898" s="16">
        <v>0</v>
      </c>
      <c r="AE898" s="16">
        <v>0</v>
      </c>
      <c r="AF898" s="16">
        <f t="shared" si="290"/>
        <v>48.006</v>
      </c>
      <c r="AG898" s="16">
        <f t="shared" si="306"/>
        <v>7.6809599999999998</v>
      </c>
      <c r="AH898" s="16">
        <f t="shared" si="291"/>
        <v>55.686959999999999</v>
      </c>
      <c r="AI898" s="16">
        <f t="shared" si="304"/>
        <v>0.96011999999999997</v>
      </c>
      <c r="AJ898" s="16">
        <v>0</v>
      </c>
      <c r="AK898" s="16">
        <f t="shared" si="292"/>
        <v>0.96011999999999997</v>
      </c>
      <c r="AL898" s="19"/>
      <c r="AM898" s="16">
        <f t="shared" si="301"/>
        <v>47.045879999999997</v>
      </c>
      <c r="AN898" s="16" t="s">
        <v>147</v>
      </c>
      <c r="AO898" s="20">
        <v>0.4</v>
      </c>
      <c r="AP898" s="16">
        <f t="shared" si="299"/>
        <v>18.818352000000001</v>
      </c>
      <c r="AQ898" s="16"/>
      <c r="AR898" s="15"/>
      <c r="AS898" s="16">
        <f t="shared" si="303"/>
        <v>18.818352000000001</v>
      </c>
      <c r="AT898" s="16"/>
      <c r="AU898" s="16"/>
      <c r="AV898" s="16">
        <f t="shared" si="307"/>
        <v>55.686959999999999</v>
      </c>
      <c r="AW898" s="60">
        <f t="shared" si="293"/>
        <v>55.686959999999999</v>
      </c>
      <c r="AX898" s="16" t="str">
        <f t="shared" si="309"/>
        <v>SFA</v>
      </c>
      <c r="AY898" s="22"/>
      <c r="BA898" s="1"/>
      <c r="BB898" s="22"/>
      <c r="BC898" s="1"/>
      <c r="BD898" s="1"/>
      <c r="BE898" s="1"/>
    </row>
    <row r="899" spans="1:57" ht="15.75" customHeight="1">
      <c r="A899" s="2" t="s">
        <v>784</v>
      </c>
      <c r="B899" s="1" t="s">
        <v>169</v>
      </c>
      <c r="C899" s="27">
        <v>45203</v>
      </c>
      <c r="D899" s="27"/>
      <c r="E899" s="27"/>
      <c r="F899" s="27"/>
      <c r="G899" s="13" t="str">
        <f t="shared" si="297"/>
        <v>000-898/AIB RDC/2023</v>
      </c>
      <c r="H899" s="1">
        <v>0</v>
      </c>
      <c r="I899" s="1" t="s">
        <v>83</v>
      </c>
      <c r="J899" s="2" t="s">
        <v>1091</v>
      </c>
      <c r="K899" s="1" t="s">
        <v>163</v>
      </c>
      <c r="L899" s="1"/>
      <c r="M899" s="1" t="s">
        <v>95</v>
      </c>
      <c r="N899" s="1" t="s">
        <v>836</v>
      </c>
      <c r="O899" s="1" t="s">
        <v>104</v>
      </c>
      <c r="P899" s="1" t="s">
        <v>105</v>
      </c>
      <c r="Q899" s="1" t="s">
        <v>66</v>
      </c>
      <c r="R899" s="1" t="s">
        <v>66</v>
      </c>
      <c r="S899" s="25">
        <v>108782.03</v>
      </c>
      <c r="T899" s="25">
        <v>232.88</v>
      </c>
      <c r="U899" s="25">
        <v>0</v>
      </c>
      <c r="V899" s="25">
        <v>0</v>
      </c>
      <c r="W899" s="25">
        <v>9.51</v>
      </c>
      <c r="X899" s="25">
        <v>169.7</v>
      </c>
      <c r="Y899" s="25">
        <v>28.67</v>
      </c>
      <c r="Z899" s="17">
        <f t="shared" si="289"/>
        <v>1.5600003051974669E-3</v>
      </c>
      <c r="AA899" s="18">
        <v>0.15</v>
      </c>
      <c r="AB899" s="16">
        <f t="shared" si="308"/>
        <v>25.454999999999998</v>
      </c>
      <c r="AC899" s="16">
        <v>0</v>
      </c>
      <c r="AD899" s="16">
        <v>0</v>
      </c>
      <c r="AE899" s="16">
        <v>0</v>
      </c>
      <c r="AF899" s="16">
        <f t="shared" si="290"/>
        <v>25.454999999999998</v>
      </c>
      <c r="AG899" s="16">
        <f t="shared" si="306"/>
        <v>4.0728</v>
      </c>
      <c r="AH899" s="16">
        <f t="shared" si="291"/>
        <v>29.527799999999999</v>
      </c>
      <c r="AI899" s="16">
        <f t="shared" si="304"/>
        <v>0.5091</v>
      </c>
      <c r="AJ899" s="16">
        <v>0</v>
      </c>
      <c r="AK899" s="16">
        <f t="shared" si="292"/>
        <v>0.5091</v>
      </c>
      <c r="AL899" s="19"/>
      <c r="AM899" s="16">
        <f t="shared" si="301"/>
        <v>24.945899999999998</v>
      </c>
      <c r="AN899" s="16" t="s">
        <v>147</v>
      </c>
      <c r="AO899" s="20">
        <v>0.4</v>
      </c>
      <c r="AP899" s="16">
        <f t="shared" si="299"/>
        <v>9.9783600000000003</v>
      </c>
      <c r="AQ899" s="16"/>
      <c r="AR899" s="15"/>
      <c r="AS899" s="16">
        <f t="shared" si="303"/>
        <v>9.9783600000000003</v>
      </c>
      <c r="AT899" s="16"/>
      <c r="AU899" s="16"/>
      <c r="AV899" s="16">
        <f t="shared" si="307"/>
        <v>29.527799999999999</v>
      </c>
      <c r="AW899" s="60">
        <f t="shared" si="293"/>
        <v>29.527799999999999</v>
      </c>
      <c r="AX899" s="16" t="str">
        <f t="shared" si="309"/>
        <v>SFA</v>
      </c>
      <c r="AY899" s="22"/>
      <c r="BA899" s="1"/>
      <c r="BB899" s="22" t="str">
        <f>O899</f>
        <v>MARINE CARGO / GIT</v>
      </c>
      <c r="BC899" s="1"/>
      <c r="BD899" s="1"/>
      <c r="BE899" s="1"/>
    </row>
    <row r="900" spans="1:57" ht="15.75" hidden="1" customHeight="1">
      <c r="A900" s="2" t="s">
        <v>165</v>
      </c>
      <c r="B900" s="1" t="s">
        <v>58</v>
      </c>
      <c r="C900" s="27">
        <v>45081</v>
      </c>
      <c r="D900" s="27">
        <v>45078</v>
      </c>
      <c r="E900" s="27">
        <v>45078</v>
      </c>
      <c r="F900" s="27">
        <v>45169</v>
      </c>
      <c r="G900" s="13" t="str">
        <f t="shared" si="297"/>
        <v>000-899/AIB RDC/2023</v>
      </c>
      <c r="H900" s="1">
        <v>2</v>
      </c>
      <c r="I900" s="1" t="s">
        <v>189</v>
      </c>
      <c r="J900" s="2" t="s">
        <v>1134</v>
      </c>
      <c r="K900" s="2" t="s">
        <v>988</v>
      </c>
      <c r="L900" s="1"/>
      <c r="M900" s="2" t="s">
        <v>74</v>
      </c>
      <c r="N900" s="2" t="s">
        <v>724</v>
      </c>
      <c r="O900" s="2" t="s">
        <v>80</v>
      </c>
      <c r="P900" s="2" t="s">
        <v>81</v>
      </c>
      <c r="Q900" s="2" t="s">
        <v>135</v>
      </c>
      <c r="R900" s="2" t="s">
        <v>1135</v>
      </c>
      <c r="S900" s="25">
        <v>0</v>
      </c>
      <c r="T900" s="25">
        <v>86393.89</v>
      </c>
      <c r="U900" s="25">
        <v>0</v>
      </c>
      <c r="V900" s="25">
        <v>0</v>
      </c>
      <c r="W900" s="25">
        <v>0</v>
      </c>
      <c r="X900" s="25">
        <v>84699.89</v>
      </c>
      <c r="Y900" s="25">
        <v>0</v>
      </c>
      <c r="Z900" s="17" t="e">
        <f t="shared" si="289"/>
        <v>#DIV/0!</v>
      </c>
      <c r="AA900" s="18">
        <v>0.1</v>
      </c>
      <c r="AB900" s="16">
        <f t="shared" si="308"/>
        <v>8469.9889999999996</v>
      </c>
      <c r="AC900" s="16">
        <v>0</v>
      </c>
      <c r="AD900" s="16">
        <v>0</v>
      </c>
      <c r="AE900" s="16">
        <v>0</v>
      </c>
      <c r="AF900" s="16">
        <f t="shared" si="290"/>
        <v>8469.9889999999996</v>
      </c>
      <c r="AG900" s="16">
        <f t="shared" si="306"/>
        <v>1355.1982399999999</v>
      </c>
      <c r="AH900" s="16">
        <f t="shared" si="291"/>
        <v>9825.1872399999993</v>
      </c>
      <c r="AI900" s="16">
        <f t="shared" si="304"/>
        <v>169.39977999999999</v>
      </c>
      <c r="AJ900" s="16">
        <v>0</v>
      </c>
      <c r="AK900" s="16">
        <f t="shared" si="292"/>
        <v>169.39977999999999</v>
      </c>
      <c r="AL900" s="19"/>
      <c r="AM900" s="16">
        <f t="shared" si="301"/>
        <v>8300.5892199999998</v>
      </c>
      <c r="AN900" s="16" t="s">
        <v>91</v>
      </c>
      <c r="AO900" s="20">
        <v>0.7</v>
      </c>
      <c r="AP900" s="16">
        <f t="shared" si="299"/>
        <v>5810.4124539999993</v>
      </c>
      <c r="AQ900" s="16"/>
      <c r="AR900" s="15"/>
      <c r="AS900" s="16">
        <f t="shared" si="303"/>
        <v>5810.4124539999993</v>
      </c>
      <c r="AT900" s="16"/>
      <c r="AU900" s="16">
        <v>9825.1872399999993</v>
      </c>
      <c r="AV900" s="16">
        <f t="shared" si="307"/>
        <v>9825.1872399999993</v>
      </c>
      <c r="AW900" s="16">
        <f t="shared" si="293"/>
        <v>0</v>
      </c>
      <c r="AX900" s="16" t="str">
        <f t="shared" si="309"/>
        <v>RAWSUR</v>
      </c>
      <c r="AY900" s="22">
        <v>45175</v>
      </c>
      <c r="AZ900" t="s">
        <v>1136</v>
      </c>
      <c r="BA900" s="1"/>
      <c r="BB900" s="22"/>
      <c r="BC900" s="1"/>
      <c r="BD900" s="1"/>
      <c r="BE900" s="1"/>
    </row>
    <row r="901" spans="1:57" ht="15.75" hidden="1" customHeight="1">
      <c r="A901" s="2" t="s">
        <v>871</v>
      </c>
      <c r="B901" s="1" t="s">
        <v>169</v>
      </c>
      <c r="C901" s="27">
        <v>45156</v>
      </c>
      <c r="D901" s="27">
        <v>45202</v>
      </c>
      <c r="E901" s="27">
        <v>44986</v>
      </c>
      <c r="F901" s="27">
        <v>45138</v>
      </c>
      <c r="G901" s="13" t="str">
        <f t="shared" si="297"/>
        <v>000-900/AIB RDC/2023</v>
      </c>
      <c r="H901" s="1">
        <v>3</v>
      </c>
      <c r="I901" s="1" t="s">
        <v>59</v>
      </c>
      <c r="J901" s="2" t="s">
        <v>950</v>
      </c>
      <c r="K901" s="2" t="s">
        <v>61</v>
      </c>
      <c r="L901" s="1" t="s">
        <v>62</v>
      </c>
      <c r="M901" s="1" t="s">
        <v>63</v>
      </c>
      <c r="N901" s="1" t="s">
        <v>64</v>
      </c>
      <c r="O901" s="1" t="s">
        <v>101</v>
      </c>
      <c r="P901" s="1" t="s">
        <v>81</v>
      </c>
      <c r="Q901" s="1" t="s">
        <v>135</v>
      </c>
      <c r="R901" s="1" t="s">
        <v>1137</v>
      </c>
      <c r="S901" s="25">
        <v>0</v>
      </c>
      <c r="T901" s="25">
        <v>107821.36</v>
      </c>
      <c r="U901" s="25">
        <v>13706.11</v>
      </c>
      <c r="V901" s="25">
        <v>-6396.18</v>
      </c>
      <c r="W901" s="25">
        <v>0</v>
      </c>
      <c r="X901" s="25">
        <v>77667.929999999993</v>
      </c>
      <c r="Y901" s="25">
        <v>14619.85</v>
      </c>
      <c r="Z901" s="17" t="e">
        <f t="shared" si="289"/>
        <v>#DIV/0!</v>
      </c>
      <c r="AA901" s="18">
        <v>0</v>
      </c>
      <c r="AB901" s="16">
        <f t="shared" si="308"/>
        <v>0</v>
      </c>
      <c r="AC901" s="16">
        <f>30%*(U901+V901)</f>
        <v>2192.9789999999998</v>
      </c>
      <c r="AD901" s="16">
        <v>0</v>
      </c>
      <c r="AE901" s="16">
        <v>0</v>
      </c>
      <c r="AF901" s="16">
        <f t="shared" si="290"/>
        <v>2192.9789999999998</v>
      </c>
      <c r="AG901" s="16">
        <f t="shared" si="306"/>
        <v>350.87663999999995</v>
      </c>
      <c r="AH901" s="16">
        <f t="shared" si="291"/>
        <v>2543.8556399999998</v>
      </c>
      <c r="AI901" s="16">
        <f t="shared" si="304"/>
        <v>43.859579999999994</v>
      </c>
      <c r="AJ901" s="16">
        <v>0</v>
      </c>
      <c r="AK901" s="16">
        <f t="shared" si="292"/>
        <v>43.859579999999994</v>
      </c>
      <c r="AL901" s="19"/>
      <c r="AM901" s="16">
        <f t="shared" si="301"/>
        <v>2149.11942</v>
      </c>
      <c r="AN901" s="16"/>
      <c r="AO901" s="20"/>
      <c r="AP901" s="16">
        <f t="shared" si="299"/>
        <v>0</v>
      </c>
      <c r="AQ901" s="16"/>
      <c r="AR901" s="15"/>
      <c r="AS901" s="16">
        <f t="shared" si="303"/>
        <v>0</v>
      </c>
      <c r="AT901" s="16"/>
      <c r="AU901" s="16">
        <v>2543.8556399999998</v>
      </c>
      <c r="AV901" s="16">
        <f t="shared" si="307"/>
        <v>2543.8556399999998</v>
      </c>
      <c r="AW901" s="16">
        <f t="shared" si="293"/>
        <v>0</v>
      </c>
      <c r="AX901" s="16" t="str">
        <f t="shared" si="309"/>
        <v>RAWSUR</v>
      </c>
      <c r="AY901" s="22">
        <v>45240</v>
      </c>
      <c r="BA901" s="1"/>
      <c r="BB901" s="22"/>
      <c r="BC901" s="1"/>
      <c r="BD901" s="1"/>
      <c r="BE901" s="1"/>
    </row>
    <row r="902" spans="1:57" ht="15.75" customHeight="1">
      <c r="A902" s="2" t="s">
        <v>784</v>
      </c>
      <c r="B902" s="1" t="s">
        <v>169</v>
      </c>
      <c r="C902" s="27">
        <v>45204</v>
      </c>
      <c r="D902" s="27">
        <v>45197</v>
      </c>
      <c r="E902" s="27">
        <v>45197</v>
      </c>
      <c r="F902" s="27">
        <v>45561</v>
      </c>
      <c r="G902" s="13" t="str">
        <f t="shared" si="297"/>
        <v>000-901/AIB RDC/2023</v>
      </c>
      <c r="H902" s="1">
        <v>0</v>
      </c>
      <c r="I902" s="1" t="s">
        <v>83</v>
      </c>
      <c r="J902" s="2" t="s">
        <v>1096</v>
      </c>
      <c r="K902" s="1" t="s">
        <v>163</v>
      </c>
      <c r="L902" s="1"/>
      <c r="M902" s="1" t="s">
        <v>95</v>
      </c>
      <c r="N902" s="1" t="s">
        <v>836</v>
      </c>
      <c r="O902" s="1" t="s">
        <v>104</v>
      </c>
      <c r="P902" s="1" t="s">
        <v>105</v>
      </c>
      <c r="Q902" s="1" t="s">
        <v>66</v>
      </c>
      <c r="R902" s="1" t="s">
        <v>66</v>
      </c>
      <c r="S902" s="25">
        <v>468500.92</v>
      </c>
      <c r="T902" s="25">
        <v>1158.29</v>
      </c>
      <c r="U902" s="25">
        <v>0</v>
      </c>
      <c r="V902" s="25">
        <v>0</v>
      </c>
      <c r="W902" s="25">
        <v>47.47</v>
      </c>
      <c r="X902" s="25">
        <v>843.3</v>
      </c>
      <c r="Y902" s="25">
        <v>142.52000000000001</v>
      </c>
      <c r="Z902" s="17">
        <f t="shared" si="289"/>
        <v>1.7999964653217756E-3</v>
      </c>
      <c r="AA902" s="18">
        <v>0.15</v>
      </c>
      <c r="AB902" s="16">
        <f t="shared" si="308"/>
        <v>126.49499999999999</v>
      </c>
      <c r="AC902" s="16">
        <v>0</v>
      </c>
      <c r="AD902" s="16">
        <v>0</v>
      </c>
      <c r="AE902" s="16">
        <v>0</v>
      </c>
      <c r="AF902" s="16">
        <f t="shared" ref="AF902:AF965" si="310">SUM(AB902:AE902)</f>
        <v>126.49499999999999</v>
      </c>
      <c r="AG902" s="16">
        <f t="shared" si="306"/>
        <v>20.2392</v>
      </c>
      <c r="AH902" s="16">
        <f t="shared" ref="AH902:AH965" si="311">AF902+AG902</f>
        <v>146.73419999999999</v>
      </c>
      <c r="AI902" s="16">
        <f t="shared" si="304"/>
        <v>2.5299</v>
      </c>
      <c r="AJ902" s="16">
        <v>0</v>
      </c>
      <c r="AK902" s="16">
        <f t="shared" ref="AK902:AK965" si="312">AI902-AJ902</f>
        <v>2.5299</v>
      </c>
      <c r="AL902" s="19"/>
      <c r="AM902" s="16">
        <f t="shared" si="301"/>
        <v>123.96509999999999</v>
      </c>
      <c r="AN902" s="16" t="s">
        <v>147</v>
      </c>
      <c r="AO902" s="20">
        <v>0.4</v>
      </c>
      <c r="AP902" s="16">
        <f t="shared" si="299"/>
        <v>49.586039999999997</v>
      </c>
      <c r="AQ902" s="16"/>
      <c r="AR902" s="15"/>
      <c r="AS902" s="16">
        <f t="shared" si="303"/>
        <v>49.586039999999997</v>
      </c>
      <c r="AT902" s="16"/>
      <c r="AU902" s="16"/>
      <c r="AV902" s="16">
        <f t="shared" si="307"/>
        <v>146.73419999999999</v>
      </c>
      <c r="AW902" s="60">
        <f t="shared" ref="AW902:AW965" si="313">AV902-AU902</f>
        <v>146.73419999999999</v>
      </c>
      <c r="AX902" s="16" t="str">
        <f t="shared" si="309"/>
        <v>SFA</v>
      </c>
      <c r="AY902" s="22"/>
      <c r="BA902" s="1"/>
      <c r="BB902" s="22"/>
      <c r="BC902" s="1"/>
      <c r="BD902" s="1"/>
      <c r="BE902" s="1"/>
    </row>
    <row r="903" spans="1:57" ht="15.75" customHeight="1">
      <c r="A903" s="2" t="s">
        <v>770</v>
      </c>
      <c r="B903" s="1" t="s">
        <v>169</v>
      </c>
      <c r="C903" s="27">
        <v>45180</v>
      </c>
      <c r="D903" s="27">
        <v>45124</v>
      </c>
      <c r="E903" s="27">
        <v>45124</v>
      </c>
      <c r="F903" s="21">
        <v>45489</v>
      </c>
      <c r="G903" s="13" t="str">
        <f t="shared" si="297"/>
        <v>000-902/AIB RDC/2023</v>
      </c>
      <c r="H903" s="1">
        <v>1</v>
      </c>
      <c r="I903" s="1" t="s">
        <v>68</v>
      </c>
      <c r="J903" s="2" t="s">
        <v>998</v>
      </c>
      <c r="K903" s="1" t="s">
        <v>999</v>
      </c>
      <c r="L903" s="1"/>
      <c r="M903" s="2" t="s">
        <v>99</v>
      </c>
      <c r="N903" s="1" t="s">
        <v>100</v>
      </c>
      <c r="O903" s="2" t="s">
        <v>284</v>
      </c>
      <c r="P903" s="2" t="s">
        <v>285</v>
      </c>
      <c r="Q903" s="2" t="s">
        <v>127</v>
      </c>
      <c r="R903" s="2" t="s">
        <v>127</v>
      </c>
      <c r="S903" s="25">
        <v>0</v>
      </c>
      <c r="T903" s="25">
        <v>12334.47</v>
      </c>
      <c r="U903" s="25">
        <v>0</v>
      </c>
      <c r="V903" s="25">
        <v>0</v>
      </c>
      <c r="W903" s="25">
        <v>100</v>
      </c>
      <c r="X903" s="25">
        <v>10352.94</v>
      </c>
      <c r="Y903" s="25">
        <v>1672.47</v>
      </c>
      <c r="Z903" s="17" t="e">
        <f t="shared" si="289"/>
        <v>#DIV/0!</v>
      </c>
      <c r="AA903" s="18">
        <v>0.15</v>
      </c>
      <c r="AB903" s="16">
        <f t="shared" si="308"/>
        <v>1552.941</v>
      </c>
      <c r="AC903" s="16">
        <v>0</v>
      </c>
      <c r="AD903" s="16">
        <v>0</v>
      </c>
      <c r="AE903" s="16">
        <v>0</v>
      </c>
      <c r="AF903" s="16">
        <f t="shared" si="310"/>
        <v>1552.941</v>
      </c>
      <c r="AG903" s="16">
        <f t="shared" si="306"/>
        <v>248.47056000000001</v>
      </c>
      <c r="AH903" s="16">
        <f t="shared" si="311"/>
        <v>1801.41156</v>
      </c>
      <c r="AI903" s="16">
        <f t="shared" si="304"/>
        <v>31.058820000000001</v>
      </c>
      <c r="AJ903" s="16">
        <v>0</v>
      </c>
      <c r="AK903" s="16">
        <f t="shared" si="312"/>
        <v>31.058820000000001</v>
      </c>
      <c r="AL903" s="19"/>
      <c r="AM903" s="16">
        <f t="shared" si="301"/>
        <v>1521.8821800000001</v>
      </c>
      <c r="AN903" s="16"/>
      <c r="AO903" s="20"/>
      <c r="AP903" s="16">
        <f t="shared" si="299"/>
        <v>0</v>
      </c>
      <c r="AQ903" s="16"/>
      <c r="AR903" s="15"/>
      <c r="AS903" s="16">
        <f t="shared" si="303"/>
        <v>0</v>
      </c>
      <c r="AT903" s="16"/>
      <c r="AU903" s="16"/>
      <c r="AV903" s="16">
        <f t="shared" si="307"/>
        <v>1801.41156</v>
      </c>
      <c r="AW903" s="60">
        <f t="shared" si="313"/>
        <v>1801.41156</v>
      </c>
      <c r="AX903" s="16" t="str">
        <f t="shared" si="309"/>
        <v>MAYFAIR</v>
      </c>
      <c r="AY903" s="22"/>
      <c r="AZ903" s="22"/>
      <c r="BA903" s="1"/>
      <c r="BB903" s="22"/>
      <c r="BC903" s="1"/>
      <c r="BD903" s="1"/>
      <c r="BE903" s="1"/>
    </row>
    <row r="904" spans="1:57" ht="15.75" hidden="1" customHeight="1">
      <c r="A904" s="2" t="s">
        <v>356</v>
      </c>
      <c r="B904" s="1" t="s">
        <v>169</v>
      </c>
      <c r="C904" s="27">
        <v>45246</v>
      </c>
      <c r="D904" s="27">
        <v>45220</v>
      </c>
      <c r="E904" s="27">
        <v>45231</v>
      </c>
      <c r="F904" s="27">
        <v>45596</v>
      </c>
      <c r="G904" s="13" t="str">
        <f t="shared" ref="G904" si="314">TEXT(ROW(G904)-1,"000-000") &amp; "/AIB RDC/2023"</f>
        <v>000-903/AIB RDC/2023</v>
      </c>
      <c r="H904" s="1">
        <v>1</v>
      </c>
      <c r="I904" s="1" t="s">
        <v>68</v>
      </c>
      <c r="J904" s="29"/>
      <c r="K904" s="2" t="s">
        <v>986</v>
      </c>
      <c r="L904" s="2" t="s">
        <v>1140</v>
      </c>
      <c r="M904" s="2" t="s">
        <v>74</v>
      </c>
      <c r="N904" s="2" t="s">
        <v>724</v>
      </c>
      <c r="O904" s="2" t="s">
        <v>152</v>
      </c>
      <c r="P904" s="2" t="s">
        <v>108</v>
      </c>
      <c r="Q904" s="2" t="s">
        <v>76</v>
      </c>
      <c r="R904" s="2" t="s">
        <v>76</v>
      </c>
      <c r="S904" s="25">
        <v>40000000</v>
      </c>
      <c r="T904" s="25"/>
      <c r="U904" s="25"/>
      <c r="V904" s="25"/>
      <c r="W904" s="25"/>
      <c r="X904" s="25"/>
      <c r="Y904" s="25"/>
      <c r="Z904" s="17">
        <f t="shared" ref="Z904" si="315">X904/S904</f>
        <v>0</v>
      </c>
      <c r="AA904" s="58">
        <v>0</v>
      </c>
      <c r="AB904" s="16">
        <f t="shared" ref="AB904" si="316">AA904*X904</f>
        <v>0</v>
      </c>
      <c r="AC904" s="16">
        <v>0</v>
      </c>
      <c r="AD904" s="16">
        <v>41744</v>
      </c>
      <c r="AE904" s="16">
        <v>0</v>
      </c>
      <c r="AF904" s="16">
        <f t="shared" ref="AF904" si="317">SUM(AB904:AE904)</f>
        <v>41744</v>
      </c>
      <c r="AG904" s="16">
        <f t="shared" ref="AG904" si="318">16%*AF904</f>
        <v>6679.04</v>
      </c>
      <c r="AH904" s="16">
        <f t="shared" ref="AH904" si="319">AF904+AG904</f>
        <v>48423.040000000001</v>
      </c>
      <c r="AI904" s="16">
        <f t="shared" ref="AI904" si="320">2%*(AB904+AC904+AD904)</f>
        <v>834.88</v>
      </c>
      <c r="AJ904" s="16">
        <v>0</v>
      </c>
      <c r="AK904" s="16">
        <f t="shared" ref="AK904" si="321">AI904-AJ904</f>
        <v>834.88</v>
      </c>
      <c r="AL904" s="19"/>
      <c r="AM904" s="16">
        <f t="shared" ref="AM904" si="322">AF904-AI904</f>
        <v>40909.120000000003</v>
      </c>
      <c r="AN904" s="16"/>
      <c r="AO904" s="20"/>
      <c r="AP904" s="16">
        <f t="shared" ref="AP904" si="323">AO904*AM904</f>
        <v>0</v>
      </c>
      <c r="AQ904" s="16"/>
      <c r="AR904" s="15"/>
      <c r="AS904" s="16">
        <f t="shared" ref="AS904" si="324">AP904-AQ904</f>
        <v>0</v>
      </c>
      <c r="AT904" s="16"/>
      <c r="AU904" s="16"/>
      <c r="AV904" s="16">
        <f t="shared" ref="AV904" si="325">AH904</f>
        <v>48423.040000000001</v>
      </c>
      <c r="AW904" s="16">
        <f t="shared" ref="AW904" si="326">AV904-AU904</f>
        <v>48423.040000000001</v>
      </c>
      <c r="AX904" s="16" t="str">
        <f t="shared" ref="AX904" si="327">Q904</f>
        <v>ACTIVA</v>
      </c>
      <c r="AY904" s="22"/>
      <c r="BA904" s="1"/>
      <c r="BB904" s="22"/>
      <c r="BC904" s="1"/>
      <c r="BD904" s="1"/>
      <c r="BE904" s="1"/>
    </row>
    <row r="905" spans="1:57" ht="15.75" customHeight="1">
      <c r="A905" s="2" t="s">
        <v>1171</v>
      </c>
      <c r="B905" s="1"/>
      <c r="C905" s="37"/>
      <c r="D905" s="37"/>
      <c r="E905" s="37"/>
      <c r="F905" s="37"/>
      <c r="G905" s="1"/>
      <c r="H905" s="1"/>
      <c r="I905" s="1"/>
      <c r="J905" s="29"/>
      <c r="K905" s="2"/>
      <c r="L905" s="1"/>
      <c r="M905" s="1"/>
      <c r="N905" s="1"/>
      <c r="O905" s="1"/>
      <c r="P905" s="1"/>
      <c r="Q905" s="1"/>
      <c r="R905" s="1"/>
      <c r="S905" s="37"/>
      <c r="T905" s="37"/>
      <c r="U905" s="37"/>
      <c r="V905" s="37"/>
      <c r="W905" s="37"/>
      <c r="X905" s="37"/>
      <c r="Y905" s="37"/>
      <c r="Z905" s="1"/>
      <c r="AA905" s="59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60">
        <f>SUBTOTAL(109,Tableau1[BALANCE DUE TO AIB])</f>
        <v>395346.06678737618</v>
      </c>
      <c r="AX905" s="1"/>
      <c r="AY905" s="1"/>
      <c r="BA905" s="1"/>
      <c r="BB905" s="1"/>
      <c r="BC905" s="1"/>
      <c r="BD905" s="1"/>
      <c r="BE905" s="1">
        <f>SUBTOTAL(103,Tableau1[COMMENTS])</f>
        <v>24</v>
      </c>
    </row>
  </sheetData>
  <customSheetViews>
    <customSheetView guid="{EAEBF2C7-B300-4F54-97CE-9EFD9CAE3BF7}" filter="1" showAutoFilter="1">
      <pageMargins left="0.7" right="0.7" top="0.75" bottom="0.75" header="0.3" footer="0.3"/>
      <autoFilter ref="A1:BE878" xr:uid="{3C538204-072D-4927-9592-2D190BC911C1}"/>
    </customSheetView>
    <customSheetView guid="{01F26D4B-224A-419B-98BF-3DEB33719D22}" filter="1" showAutoFilter="1">
      <pageMargins left="0.7" right="0.7" top="0.75" bottom="0.75" header="0.3" footer="0.3"/>
      <autoFilter ref="A1:BD212" xr:uid="{5A565278-52FF-494A-AEF1-AA49FB469DB9}"/>
    </customSheetView>
    <customSheetView guid="{07893D41-8ADC-4F43-8F94-28AD7FD31C48}" filter="1" showAutoFilter="1">
      <pageMargins left="0.7" right="0.7" top="0.75" bottom="0.75" header="0.3" footer="0.3"/>
      <autoFilter ref="A1:BD10" xr:uid="{EC03A691-4037-4E32-A676-E946115F49F0}"/>
    </customSheetView>
    <customSheetView guid="{E30F4EE2-C421-47D4-A4AC-ED91630EA366}" filter="1" showAutoFilter="1">
      <pageMargins left="0.7" right="0.7" top="0.75" bottom="0.75" header="0.3" footer="0.3"/>
      <autoFilter ref="A1:BD904" xr:uid="{17CEB804-BD31-4BB9-BA21-241DC6EAA76F}">
        <filterColumn colId="10">
          <filters>
            <filter val="Bolloré Transport &amp; logistics"/>
            <filter val="IVANHOE / Kipushi Corporation"/>
            <filter val="Teichmann Group / T3 projects"/>
          </filters>
        </filterColumn>
      </autoFilter>
    </customSheetView>
    <customSheetView guid="{09F1376D-7B4A-48C1-8FD9-F1C3EB8D72A7}" filter="1" showAutoFilter="1">
      <pageMargins left="0.7" right="0.7" top="0.75" bottom="0.75" header="0.3" footer="0.3"/>
      <autoFilter ref="A1:BE660" xr:uid="{17F0D48A-A74D-4B95-BD53-A36D268A38E6}">
        <filterColumn colId="10">
          <filters>
            <filter val="All Terrain DRC Service ( ATS)"/>
            <filter val="CMA CGM RDC SA"/>
            <filter val="Compagnie Africaine d'Aviation / CAA - LUBUMBASHI"/>
            <filter val="ERG / Boss Mining ( Metalkol)"/>
            <filter val="ERG / Metalkol ( Boss mining)"/>
            <filter val="FOURTUNE CONSTRUCTION CONGO (Group LAXMAN)"/>
            <filter val="Glencore / Mutanda Mining"/>
            <filter val="GROUP VIVENDI AFRICA RDC ( GVA RDC)"/>
            <filter val="GROUPE  EUROPEEN DE DEVELOPPEMENT CONGO SARLU"/>
            <filter val="HAVAS AFRICA RDC"/>
            <filter val="MASULUKA NDAMBAKASA Francis"/>
            <filter val="Optorg / Tractafric Equipement - Katanga Motors - Tractafric Motor Corporation"/>
            <filter val="ORANGE COMPUTERS"/>
            <filter val="SERVICE MAINTENANCE SOLUTION ( SMS)"/>
            <filter val="SOCIÉTÉ FINANCIERE D’ASSURANCES CONGO ( SFA CONGO)"/>
          </filters>
        </filterColumn>
      </autoFilter>
    </customSheetView>
    <customSheetView guid="{01F26D4B-224A-419B-98BF-3DEB33719D22}" filter="1" showAutoFilter="1">
      <pageMargins left="0.7" right="0.7" top="0.75" bottom="0.75" header="0.3" footer="0.3"/>
      <autoFilter ref="A1:BE904" xr:uid="{90BDD051-42A6-419A-968C-0F5A04AF431F}">
        <filterColumn colId="10">
          <filters>
            <filter val="Bolloré Transport &amp; logistics"/>
            <filter val="IVANHOE / Kipushi Corporation"/>
            <filter val="Teichmann Group / T3 projects"/>
          </filters>
        </filterColumn>
      </autoFilter>
    </customSheetView>
    <customSheetView guid="{2B29265B-8CFE-4AE1-B3F3-5832C5D2C800}" filter="1" showAutoFilter="1">
      <pageMargins left="0.7" right="0.7" top="0.75" bottom="0.75" header="0.3" footer="0.3"/>
      <autoFilter ref="A1:BE670" xr:uid="{ACFA13A3-2438-482C-9FE2-6728B01BED3F}">
        <filterColumn colId="10">
          <filters>
            <filter val="All Terrain DRC Service ( ATS)"/>
            <filter val="CMA CGM RDC SA"/>
            <filter val="Compagnie Africaine d'Aviation / CAA - LUBUMBASHI"/>
            <filter val="ERG / Boss Mining ( Metalkol)"/>
            <filter val="ERG / Metalkol ( Boss mining)"/>
            <filter val="Glencore / Mutanda Mining"/>
            <filter val="GROUP VIVENDI AFRICA RDC ( GVA RDC)"/>
            <filter val="GROUPE  EUROPEEN DE DEVELOPPEMENT CONGO SARLU"/>
            <filter val="MASULUKA NDAMBAKASA Francis"/>
            <filter val="Optorg / Tractafric Equipement - Katanga Motors - Tractafric Motor Corporation"/>
            <filter val="ORANGE COMPUTERS"/>
            <filter val="SOCIÉTÉ FINANCIERE D’ASSURANCES CONGO ( SFA CONGO)"/>
          </filters>
        </filterColumn>
      </autoFilter>
    </customSheetView>
  </customSheetViews>
  <printOptions horizontalCentered="1"/>
  <pageMargins left="0.70866141732283472" right="0.70866141732283472" top="0.74803149606299213" bottom="0.74803149606299213" header="0" footer="0"/>
  <pageSetup orientation="landscape"/>
  <colBreaks count="1" manualBreakCount="1">
    <brk id="34" man="1"/>
  </colBreaks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00000000-0002-0000-0000-000000000000}">
          <x14:formula1>
            <xm:f>Params!$H$4:$H$15</xm:f>
          </x14:formula1>
          <xm:sqref>Q2:R657 R658:R664 Q665:R671 R672:R673 Q674:R742 R743 Q744:R748 R749:R750 Q751:R755 Q758:R802 R803 Q804:R890 R891:R900 Q901 Q902:R903 R904</xm:sqref>
        </x14:dataValidation>
        <x14:dataValidation type="list" allowBlank="1" showErrorMessage="1" xr:uid="{00000000-0002-0000-0000-000001000000}">
          <x14:formula1>
            <xm:f>Params!$G$4:$G$31</xm:f>
          </x14:formula1>
          <xm:sqref>O59 O83:O89 O141:O143 O277 O280:O281 O289:O295 O327:O328 O361:O364 O369 O463:O469 O476:O478 O485 O511:O514 O517:O524 O529 O589 O591:O593 O658:O663 O665:O666 O672:O673 O743 O749:O750 O752:O757 O803 O891:O900 O904</xm:sqref>
        </x14:dataValidation>
        <x14:dataValidation type="list" allowBlank="1" xr:uid="{00000000-0002-0000-0000-000002000000}">
          <x14:formula1>
            <xm:f>Params!$D$4:$D$15</xm:f>
          </x14:formula1>
          <xm:sqref>AN2:AN904</xm:sqref>
        </x14:dataValidation>
        <x14:dataValidation type="list" allowBlank="1" xr:uid="{00000000-0002-0000-0000-000003000000}">
          <x14:formula1>
            <xm:f>Params!$L$4:$L$9</xm:f>
          </x14:formula1>
          <xm:sqref>BA2:BA904</xm:sqref>
        </x14:dataValidation>
        <x14:dataValidation type="list" allowBlank="1" showErrorMessage="1" xr:uid="{00000000-0002-0000-0000-000004000000}">
          <x14:formula1>
            <xm:f>Params!$A$1:$A$2</xm:f>
          </x14:formula1>
          <xm:sqref>B2:B904</xm:sqref>
        </x14:dataValidation>
        <x14:dataValidation type="list" allowBlank="1" showErrorMessage="1" xr:uid="{00000000-0002-0000-0000-000005000000}">
          <x14:formula1>
            <xm:f>Params!$I$4:$I$9</xm:f>
          </x14:formula1>
          <xm:sqref>M2:M904</xm:sqref>
        </x14:dataValidation>
        <x14:dataValidation type="list" allowBlank="1" showErrorMessage="1" xr:uid="{00000000-0002-0000-0000-000006000000}">
          <x14:formula1>
            <xm:f>Params!$F$4:$F$13</xm:f>
          </x14:formula1>
          <xm:sqref>P2:P904</xm:sqref>
        </x14:dataValidation>
        <x14:dataValidation type="list" allowBlank="1" showErrorMessage="1" xr:uid="{00000000-0002-0000-0000-000007000000}">
          <x14:formula1>
            <xm:f>Params!$E$4:$E$15</xm:f>
          </x14:formula1>
          <xm:sqref>A2:A904</xm:sqref>
        </x14:dataValidation>
        <x14:dataValidation type="list" allowBlank="1" xr:uid="{00000000-0002-0000-0000-000008000000}">
          <x14:formula1>
            <xm:f>Params!$K$4:$K$11</xm:f>
          </x14:formula1>
          <xm:sqref>I2:I904</xm:sqref>
        </x14:dataValidation>
        <x14:dataValidation type="list" allowBlank="1" showErrorMessage="1" xr:uid="{00000000-0002-0000-0000-000009000000}">
          <x14:formula1>
            <xm:f>Params!$H$4:$H$14</xm:f>
          </x14:formula1>
          <xm:sqref>Q658:Q664 Q672:Q673 Q743 Q749:Q750 Q756:R757 Q803 Q891:Q900 R901 Q904</xm:sqref>
        </x14:dataValidation>
        <x14:dataValidation type="list" allowBlank="1" showErrorMessage="1" xr:uid="{00000000-0002-0000-0000-00000A000000}">
          <x14:formula1>
            <xm:f>Params!$G$4:$G$30</xm:f>
          </x14:formula1>
          <xm:sqref>O2:O58 O60:O82 O90:O140 O144:O276 O278:O279 O282:O288 O296:O326 O329:O360 O365:O368 O370:O462 O470:O475 O479:O484 O486:O510 O515:O516 O525:O528 O530:O588 O590 O594:O657 O664 O667:O671 O674:O742 O744:O748 O751 O758:O802 O804:O890 O901:O903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0FC6-092C-4A3A-9CC5-F8AE3C63077F}">
  <sheetPr>
    <pageSetUpPr fitToPage="1"/>
  </sheetPr>
  <dimension ref="A1:H70"/>
  <sheetViews>
    <sheetView tabSelected="1" topLeftCell="A34" zoomScale="80" zoomScaleNormal="80" workbookViewId="0">
      <selection activeCell="K42" sqref="K42"/>
    </sheetView>
  </sheetViews>
  <sheetFormatPr baseColWidth="10" defaultRowHeight="12.75"/>
  <cols>
    <col min="1" max="1" width="21.42578125" bestFit="1" customWidth="1"/>
    <col min="2" max="2" width="20.42578125" customWidth="1"/>
    <col min="3" max="3" width="16.85546875" customWidth="1"/>
    <col min="4" max="4" width="15.28515625" customWidth="1"/>
    <col min="5" max="5" width="19.5703125" customWidth="1"/>
    <col min="6" max="6" width="15.5703125" customWidth="1"/>
    <col min="7" max="7" width="17.85546875" customWidth="1"/>
    <col min="8" max="8" width="15.42578125" customWidth="1"/>
  </cols>
  <sheetData>
    <row r="1" spans="1:8">
      <c r="A1" s="7" t="s">
        <v>1163</v>
      </c>
      <c r="B1" s="8" t="s">
        <v>1164</v>
      </c>
      <c r="C1" s="8" t="s">
        <v>1165</v>
      </c>
      <c r="D1" s="8" t="s">
        <v>1166</v>
      </c>
      <c r="E1" s="11" t="s">
        <v>1168</v>
      </c>
      <c r="F1" s="8" t="s">
        <v>1167</v>
      </c>
      <c r="G1" s="8" t="s">
        <v>1169</v>
      </c>
      <c r="H1" s="8" t="s">
        <v>1170</v>
      </c>
    </row>
    <row r="2" spans="1:8">
      <c r="A2" s="9" t="s">
        <v>57</v>
      </c>
      <c r="B2" s="8">
        <v>5760031.9479999999</v>
      </c>
      <c r="C2" s="8">
        <v>312325.72158240969</v>
      </c>
      <c r="D2" s="8">
        <v>44942.364093185563</v>
      </c>
      <c r="E2" s="11">
        <v>306209.28354076145</v>
      </c>
      <c r="F2" s="8">
        <v>357268.08567559533</v>
      </c>
      <c r="G2" s="8">
        <v>330768.15542226203</v>
      </c>
      <c r="H2" s="8">
        <v>26499.827919999992</v>
      </c>
    </row>
    <row r="3" spans="1:8">
      <c r="A3" s="10" t="s">
        <v>76</v>
      </c>
      <c r="B3" s="8">
        <v>553347.90799999994</v>
      </c>
      <c r="C3" s="8">
        <v>48201.297376375216</v>
      </c>
      <c r="D3" s="8">
        <v>7712.2075802200352</v>
      </c>
      <c r="E3" s="11">
        <v>47237.271428847707</v>
      </c>
      <c r="F3" s="8">
        <v>55913.504956595243</v>
      </c>
      <c r="G3" s="8">
        <v>54410.043623261903</v>
      </c>
      <c r="H3" s="8">
        <v>1503.3542</v>
      </c>
    </row>
    <row r="4" spans="1:8">
      <c r="A4" s="10" t="s">
        <v>86</v>
      </c>
      <c r="B4" s="8">
        <v>43570</v>
      </c>
      <c r="C4" s="8">
        <v>1543.02</v>
      </c>
      <c r="D4" s="8">
        <v>0</v>
      </c>
      <c r="E4" s="11">
        <v>1512.1596</v>
      </c>
      <c r="F4" s="8">
        <v>1543.02</v>
      </c>
      <c r="G4" s="8">
        <v>1543.02</v>
      </c>
      <c r="H4" s="8">
        <v>0</v>
      </c>
    </row>
    <row r="5" spans="1:8">
      <c r="A5" s="10" t="s">
        <v>127</v>
      </c>
      <c r="B5" s="8">
        <v>53668.45</v>
      </c>
      <c r="C5" s="8">
        <v>7250.2614999999996</v>
      </c>
      <c r="D5" s="8">
        <v>724.69992000000013</v>
      </c>
      <c r="E5" s="11">
        <v>7105.2562699999999</v>
      </c>
      <c r="F5" s="8">
        <v>7974.9614200000005</v>
      </c>
      <c r="G5" s="8">
        <v>7974.9614200000005</v>
      </c>
      <c r="H5" s="8">
        <v>0</v>
      </c>
    </row>
    <row r="6" spans="1:8">
      <c r="A6" s="10" t="s">
        <v>135</v>
      </c>
      <c r="B6" s="8">
        <v>555946.10000000009</v>
      </c>
      <c r="C6" s="8">
        <v>78419.693856034457</v>
      </c>
      <c r="D6" s="8">
        <v>10280.847016965517</v>
      </c>
      <c r="E6" s="11">
        <v>76851.299978913783</v>
      </c>
      <c r="F6" s="8">
        <v>88700.540872999991</v>
      </c>
      <c r="G6" s="8">
        <v>88700.545672999986</v>
      </c>
      <c r="H6" s="8">
        <v>0</v>
      </c>
    </row>
    <row r="7" spans="1:8">
      <c r="A7" s="10" t="s">
        <v>90</v>
      </c>
      <c r="B7" s="8">
        <v>243723.98</v>
      </c>
      <c r="C7" s="8">
        <v>13007.639000000001</v>
      </c>
      <c r="D7" s="8">
        <v>0</v>
      </c>
      <c r="E7" s="11">
        <v>12877.562610000001</v>
      </c>
      <c r="F7" s="8">
        <v>13007.639000000001</v>
      </c>
      <c r="G7" s="8">
        <v>10608.184000000001</v>
      </c>
      <c r="H7" s="8">
        <v>2399.4550000000004</v>
      </c>
    </row>
    <row r="8" spans="1:8">
      <c r="A8" s="10" t="s">
        <v>66</v>
      </c>
      <c r="B8" s="8">
        <v>4252179.1399999997</v>
      </c>
      <c r="C8" s="8">
        <v>156762.11235000001</v>
      </c>
      <c r="D8" s="8">
        <v>25081.937976000012</v>
      </c>
      <c r="E8" s="11">
        <v>153626.87010299999</v>
      </c>
      <c r="F8" s="8">
        <v>181844.05032600006</v>
      </c>
      <c r="G8" s="8">
        <v>159247.03160600009</v>
      </c>
      <c r="H8" s="8">
        <v>22597.018719999993</v>
      </c>
    </row>
    <row r="9" spans="1:8">
      <c r="A9" s="10" t="s">
        <v>117</v>
      </c>
      <c r="B9" s="8">
        <v>57596.37</v>
      </c>
      <c r="C9" s="8">
        <v>7141.6975000000002</v>
      </c>
      <c r="D9" s="8">
        <v>1142.6716000000001</v>
      </c>
      <c r="E9" s="11">
        <v>6998.8635499999991</v>
      </c>
      <c r="F9" s="8">
        <v>8284.3690999999999</v>
      </c>
      <c r="G9" s="8">
        <v>8284.3690999999999</v>
      </c>
      <c r="H9" s="8">
        <v>0</v>
      </c>
    </row>
    <row r="10" spans="1:8">
      <c r="A10" s="9" t="s">
        <v>157</v>
      </c>
      <c r="B10" s="8">
        <v>682247.15999999992</v>
      </c>
      <c r="C10" s="8">
        <v>88771.255663433301</v>
      </c>
      <c r="D10" s="8">
        <v>14203.400906149331</v>
      </c>
      <c r="E10" s="11">
        <v>87151.930438164651</v>
      </c>
      <c r="F10" s="8">
        <v>102974.65656958263</v>
      </c>
      <c r="G10" s="8">
        <v>99907.364577269487</v>
      </c>
      <c r="H10" s="8">
        <v>3067.2911399999998</v>
      </c>
    </row>
    <row r="11" spans="1:8">
      <c r="A11" s="10" t="s">
        <v>76</v>
      </c>
      <c r="B11" s="8">
        <v>344167.43000000005</v>
      </c>
      <c r="C11" s="8">
        <v>48297.498127433304</v>
      </c>
      <c r="D11" s="8">
        <v>7727.5997003893308</v>
      </c>
      <c r="E11" s="11">
        <v>47487.648052884644</v>
      </c>
      <c r="F11" s="8">
        <v>56025.097827822632</v>
      </c>
      <c r="G11" s="8">
        <v>56025.096975509485</v>
      </c>
      <c r="H11" s="8">
        <v>0</v>
      </c>
    </row>
    <row r="12" spans="1:8">
      <c r="A12" s="10" t="s">
        <v>127</v>
      </c>
      <c r="B12" s="8">
        <v>52368.480000000003</v>
      </c>
      <c r="C12" s="8">
        <v>7758.4309999999987</v>
      </c>
      <c r="D12" s="8">
        <v>1241.34896</v>
      </c>
      <c r="E12" s="11">
        <v>7603.2623799999992</v>
      </c>
      <c r="F12" s="8">
        <v>8999.7799599999998</v>
      </c>
      <c r="G12" s="8">
        <v>6461.2678599999999</v>
      </c>
      <c r="H12" s="8">
        <v>2538.5120999999999</v>
      </c>
    </row>
    <row r="13" spans="1:8">
      <c r="A13" s="10" t="s">
        <v>135</v>
      </c>
      <c r="B13" s="8">
        <v>54823.39</v>
      </c>
      <c r="C13" s="8">
        <v>4506.5320000000002</v>
      </c>
      <c r="D13" s="8">
        <v>721.04512</v>
      </c>
      <c r="E13" s="11">
        <v>4416.4013599999998</v>
      </c>
      <c r="F13" s="8">
        <v>5227.577119999999</v>
      </c>
      <c r="G13" s="8">
        <v>5007.0924399999994</v>
      </c>
      <c r="H13" s="8">
        <v>220.48468000000003</v>
      </c>
    </row>
    <row r="14" spans="1:8">
      <c r="A14" s="10" t="s">
        <v>66</v>
      </c>
      <c r="B14" s="8">
        <v>175882.91999999998</v>
      </c>
      <c r="C14" s="8">
        <v>21852.414000000001</v>
      </c>
      <c r="D14" s="8">
        <v>3496.3862399999998</v>
      </c>
      <c r="E14" s="11">
        <v>21415.365720000002</v>
      </c>
      <c r="F14" s="8">
        <v>25348.80024</v>
      </c>
      <c r="G14" s="8">
        <v>25265.168880000001</v>
      </c>
      <c r="H14" s="8">
        <v>83.631359999999987</v>
      </c>
    </row>
    <row r="15" spans="1:8">
      <c r="A15" s="10" t="s">
        <v>117</v>
      </c>
      <c r="B15" s="8">
        <v>55004.94</v>
      </c>
      <c r="C15" s="8">
        <v>6356.3805360000006</v>
      </c>
      <c r="D15" s="8">
        <v>1017.0208857600001</v>
      </c>
      <c r="E15" s="11">
        <v>6229.2529252799995</v>
      </c>
      <c r="F15" s="8">
        <v>7373.4014217599997</v>
      </c>
      <c r="G15" s="8">
        <v>7148.7384217600002</v>
      </c>
      <c r="H15" s="8">
        <v>224.66300000000001</v>
      </c>
    </row>
    <row r="16" spans="1:8">
      <c r="A16" s="9" t="s">
        <v>165</v>
      </c>
      <c r="B16" s="8">
        <v>1599162.3400000003</v>
      </c>
      <c r="C16" s="8">
        <v>137703.5275823446</v>
      </c>
      <c r="D16" s="8">
        <v>18202.883133175143</v>
      </c>
      <c r="E16" s="11">
        <v>135073.70766269771</v>
      </c>
      <c r="F16" s="8">
        <v>155906.41071551974</v>
      </c>
      <c r="G16" s="8">
        <v>134327.14355068494</v>
      </c>
      <c r="H16" s="8">
        <v>21579.271439999997</v>
      </c>
    </row>
    <row r="17" spans="1:8">
      <c r="A17" s="10" t="s">
        <v>76</v>
      </c>
      <c r="B17" s="8">
        <v>66673.05</v>
      </c>
      <c r="C17" s="8">
        <v>9487.6180133791022</v>
      </c>
      <c r="D17" s="8">
        <v>1518.0188821406564</v>
      </c>
      <c r="E17" s="11">
        <v>9306.7440451115199</v>
      </c>
      <c r="F17" s="8">
        <v>11005.636895519758</v>
      </c>
      <c r="G17" s="8">
        <v>9710.6583506849438</v>
      </c>
      <c r="H17" s="8">
        <v>1294.9828199999997</v>
      </c>
    </row>
    <row r="18" spans="1:8">
      <c r="A18" s="10" t="s">
        <v>508</v>
      </c>
      <c r="B18" s="8">
        <v>15145</v>
      </c>
      <c r="C18" s="8">
        <v>645</v>
      </c>
      <c r="D18" s="8">
        <v>103.2</v>
      </c>
      <c r="E18" s="11">
        <v>632.1</v>
      </c>
      <c r="F18" s="8">
        <v>748.2</v>
      </c>
      <c r="G18" s="8">
        <v>748.2</v>
      </c>
      <c r="H18" s="8">
        <v>0</v>
      </c>
    </row>
    <row r="19" spans="1:8">
      <c r="A19" s="10" t="s">
        <v>127</v>
      </c>
      <c r="B19" s="8">
        <v>35317.130000000005</v>
      </c>
      <c r="C19" s="8">
        <v>3420.9305000000004</v>
      </c>
      <c r="D19" s="8">
        <v>547.34888000000001</v>
      </c>
      <c r="E19" s="11">
        <v>3352.5118899999998</v>
      </c>
      <c r="F19" s="8">
        <v>3968.2793799999995</v>
      </c>
      <c r="G19" s="8">
        <v>4002.6664199999996</v>
      </c>
      <c r="H19" s="8">
        <v>-34.387039999999999</v>
      </c>
    </row>
    <row r="20" spans="1:8">
      <c r="A20" s="10" t="s">
        <v>135</v>
      </c>
      <c r="B20" s="8">
        <v>522283.9</v>
      </c>
      <c r="C20" s="8">
        <v>43422.258500000004</v>
      </c>
      <c r="D20" s="8">
        <v>4963.8359200000004</v>
      </c>
      <c r="E20" s="11">
        <v>42553.813329999997</v>
      </c>
      <c r="F20" s="8">
        <v>48386.094419999994</v>
      </c>
      <c r="G20" s="8">
        <v>35984.54617999999</v>
      </c>
      <c r="H20" s="8">
        <v>12401.54824</v>
      </c>
    </row>
    <row r="21" spans="1:8">
      <c r="A21" s="10" t="s">
        <v>90</v>
      </c>
      <c r="B21" s="8">
        <v>116530</v>
      </c>
      <c r="C21" s="8">
        <v>11537.224000000002</v>
      </c>
      <c r="D21" s="8">
        <v>0</v>
      </c>
      <c r="E21" s="11">
        <v>11421.85176</v>
      </c>
      <c r="F21" s="8">
        <v>11537.224000000002</v>
      </c>
      <c r="G21" s="8">
        <v>11537.224000000002</v>
      </c>
      <c r="H21" s="8">
        <v>0</v>
      </c>
    </row>
    <row r="22" spans="1:8">
      <c r="A22" s="10" t="s">
        <v>66</v>
      </c>
      <c r="B22" s="8">
        <v>605890.36000000022</v>
      </c>
      <c r="C22" s="8">
        <v>32127.30191379309</v>
      </c>
      <c r="D22" s="8">
        <v>5140.3683062068967</v>
      </c>
      <c r="E22" s="11">
        <v>31484.755875517232</v>
      </c>
      <c r="F22" s="8">
        <v>37267.67022</v>
      </c>
      <c r="G22" s="8">
        <v>33349.447840000001</v>
      </c>
      <c r="H22" s="8">
        <v>3918.2223799999992</v>
      </c>
    </row>
    <row r="23" spans="1:8">
      <c r="A23" s="10" t="s">
        <v>117</v>
      </c>
      <c r="B23" s="8">
        <v>237322.89999999997</v>
      </c>
      <c r="C23" s="8">
        <v>37063.19465517241</v>
      </c>
      <c r="D23" s="8">
        <v>5930.111144827586</v>
      </c>
      <c r="E23" s="11">
        <v>36321.930762068965</v>
      </c>
      <c r="F23" s="8">
        <v>42993.305799999995</v>
      </c>
      <c r="G23" s="8">
        <v>38994.400759999997</v>
      </c>
      <c r="H23" s="8">
        <v>3998.9050399999987</v>
      </c>
    </row>
    <row r="24" spans="1:8">
      <c r="A24" s="9" t="s">
        <v>406</v>
      </c>
      <c r="B24" s="8">
        <v>1480284.0899999999</v>
      </c>
      <c r="C24" s="8">
        <v>173815.48702499995</v>
      </c>
      <c r="D24" s="8">
        <v>27768.768083999992</v>
      </c>
      <c r="E24" s="11">
        <v>168036.17728449995</v>
      </c>
      <c r="F24" s="8">
        <v>201584.25510899993</v>
      </c>
      <c r="G24" s="8">
        <v>135439.59990899998</v>
      </c>
      <c r="H24" s="8">
        <v>66144.65519999995</v>
      </c>
    </row>
    <row r="25" spans="1:8">
      <c r="A25" s="10" t="s">
        <v>76</v>
      </c>
      <c r="B25" s="8">
        <v>80125.259999999995</v>
      </c>
      <c r="C25" s="8">
        <v>6980.759</v>
      </c>
      <c r="D25" s="8">
        <v>1116.9214400000001</v>
      </c>
      <c r="E25" s="11">
        <v>6841.1438200000002</v>
      </c>
      <c r="F25" s="8">
        <v>8097.680440000001</v>
      </c>
      <c r="G25" s="8">
        <v>7105.0034800000012</v>
      </c>
      <c r="H25" s="8">
        <v>992.67696000000001</v>
      </c>
    </row>
    <row r="26" spans="1:8">
      <c r="A26" s="10" t="s">
        <v>127</v>
      </c>
      <c r="B26" s="8">
        <v>202544.65</v>
      </c>
      <c r="C26" s="8">
        <v>25514.483</v>
      </c>
      <c r="D26" s="8">
        <v>4082.3172799999998</v>
      </c>
      <c r="E26" s="11">
        <v>25004.193340000002</v>
      </c>
      <c r="F26" s="8">
        <v>29596.800279999996</v>
      </c>
      <c r="G26" s="8">
        <v>29260.289679999998</v>
      </c>
      <c r="H26" s="8">
        <v>336.51060000000001</v>
      </c>
    </row>
    <row r="27" spans="1:8">
      <c r="A27" s="10" t="s">
        <v>135</v>
      </c>
      <c r="B27" s="8">
        <v>690291.01</v>
      </c>
      <c r="C27" s="8">
        <v>93131.91552499996</v>
      </c>
      <c r="D27" s="8">
        <v>14859.396643999993</v>
      </c>
      <c r="E27" s="11">
        <v>91269.277214499976</v>
      </c>
      <c r="F27" s="8">
        <v>107991.31216899995</v>
      </c>
      <c r="G27" s="8">
        <v>42880.993409000002</v>
      </c>
      <c r="H27" s="8">
        <v>65110.318759999958</v>
      </c>
    </row>
    <row r="28" spans="1:8">
      <c r="A28" s="10" t="s">
        <v>66</v>
      </c>
      <c r="B28" s="8">
        <v>485532.03</v>
      </c>
      <c r="C28" s="8">
        <v>46258.63</v>
      </c>
      <c r="D28" s="8">
        <v>7401.380799999999</v>
      </c>
      <c r="E28" s="11">
        <v>43030.457399999999</v>
      </c>
      <c r="F28" s="8">
        <v>53660.010799999989</v>
      </c>
      <c r="G28" s="8">
        <v>53954.861919999988</v>
      </c>
      <c r="H28" s="8">
        <v>-294.85112000000015</v>
      </c>
    </row>
    <row r="29" spans="1:8">
      <c r="A29" s="10" t="s">
        <v>117</v>
      </c>
      <c r="B29" s="8">
        <v>21791.14</v>
      </c>
      <c r="C29" s="8">
        <v>1929.6994999999999</v>
      </c>
      <c r="D29" s="8">
        <v>308.75192000000004</v>
      </c>
      <c r="E29" s="11">
        <v>1891.1055100000001</v>
      </c>
      <c r="F29" s="8">
        <v>2238.4514199999999</v>
      </c>
      <c r="G29" s="8">
        <v>2238.4514199999999</v>
      </c>
      <c r="H29" s="8">
        <v>0</v>
      </c>
    </row>
    <row r="30" spans="1:8">
      <c r="A30" s="9" t="s">
        <v>230</v>
      </c>
      <c r="B30" s="8">
        <v>5081145.76</v>
      </c>
      <c r="C30" s="8">
        <v>309360.63414799998</v>
      </c>
      <c r="D30" s="8">
        <v>42181.841943679996</v>
      </c>
      <c r="E30" s="11">
        <v>303275.07675903995</v>
      </c>
      <c r="F30" s="8">
        <v>351542.47609167994</v>
      </c>
      <c r="G30" s="8">
        <v>334960.27267967997</v>
      </c>
      <c r="H30" s="8">
        <v>16582.202892000001</v>
      </c>
    </row>
    <row r="31" spans="1:8">
      <c r="A31" s="10" t="s">
        <v>76</v>
      </c>
      <c r="B31" s="8">
        <v>351573.14000000007</v>
      </c>
      <c r="C31" s="8">
        <v>44790.757699999995</v>
      </c>
      <c r="D31" s="8">
        <v>7166.5212320000001</v>
      </c>
      <c r="E31" s="11">
        <v>43897.587939999998</v>
      </c>
      <c r="F31" s="8">
        <v>51957.278932000001</v>
      </c>
      <c r="G31" s="8">
        <v>52122.441319999998</v>
      </c>
      <c r="H31" s="8">
        <v>-165.16238799999996</v>
      </c>
    </row>
    <row r="32" spans="1:8">
      <c r="A32" s="10" t="s">
        <v>127</v>
      </c>
      <c r="B32" s="8">
        <v>111764.36</v>
      </c>
      <c r="C32" s="8">
        <v>13536.3115</v>
      </c>
      <c r="D32" s="8">
        <v>2165.8098399999999</v>
      </c>
      <c r="E32" s="11">
        <v>13265.585270000001</v>
      </c>
      <c r="F32" s="8">
        <v>15702.121340000002</v>
      </c>
      <c r="G32" s="8">
        <v>11270.949340000001</v>
      </c>
      <c r="H32" s="8">
        <v>4431.1720000000005</v>
      </c>
    </row>
    <row r="33" spans="1:8">
      <c r="A33" s="10" t="s">
        <v>135</v>
      </c>
      <c r="B33" s="8">
        <v>670415.72000000009</v>
      </c>
      <c r="C33" s="8">
        <v>69300.076499999996</v>
      </c>
      <c r="D33" s="8">
        <v>5356.3111200000003</v>
      </c>
      <c r="E33" s="11">
        <v>67914.074970000016</v>
      </c>
      <c r="F33" s="8">
        <v>74656.387619999994</v>
      </c>
      <c r="G33" s="8">
        <v>63584.878980000001</v>
      </c>
      <c r="H33" s="8">
        <v>11071.50864</v>
      </c>
    </row>
    <row r="34" spans="1:8">
      <c r="A34" s="10" t="s">
        <v>90</v>
      </c>
      <c r="B34" s="8">
        <v>100000</v>
      </c>
      <c r="C34" s="8">
        <v>9900.99</v>
      </c>
      <c r="D34" s="8">
        <v>0</v>
      </c>
      <c r="E34" s="11">
        <v>9801.9801000000007</v>
      </c>
      <c r="F34" s="8">
        <v>9900.99</v>
      </c>
      <c r="G34" s="8">
        <v>9900.99</v>
      </c>
      <c r="H34" s="8">
        <v>0</v>
      </c>
    </row>
    <row r="35" spans="1:8">
      <c r="A35" s="10" t="s">
        <v>66</v>
      </c>
      <c r="B35" s="8">
        <v>3762604.6299999994</v>
      </c>
      <c r="C35" s="8">
        <v>161234.92694799998</v>
      </c>
      <c r="D35" s="8">
        <v>25797.588311679992</v>
      </c>
      <c r="E35" s="11">
        <v>158010.22840903993</v>
      </c>
      <c r="F35" s="8">
        <v>187032.51525967993</v>
      </c>
      <c r="G35" s="8">
        <v>185787.83009967994</v>
      </c>
      <c r="H35" s="8">
        <v>1244.6846399999999</v>
      </c>
    </row>
    <row r="36" spans="1:8">
      <c r="A36" s="10" t="s">
        <v>117</v>
      </c>
      <c r="B36" s="8">
        <v>84787.909999999989</v>
      </c>
      <c r="C36" s="8">
        <v>10597.571500000002</v>
      </c>
      <c r="D36" s="8">
        <v>1695.6114399999999</v>
      </c>
      <c r="E36" s="11">
        <v>10385.620070000003</v>
      </c>
      <c r="F36" s="8">
        <v>12293.182940000001</v>
      </c>
      <c r="G36" s="8">
        <v>12293.182940000001</v>
      </c>
      <c r="H36" s="8">
        <v>0</v>
      </c>
    </row>
    <row r="37" spans="1:8">
      <c r="A37" s="9" t="s">
        <v>212</v>
      </c>
      <c r="B37" s="8">
        <v>1700990.89</v>
      </c>
      <c r="C37" s="8">
        <v>112043.13101396651</v>
      </c>
      <c r="D37" s="8">
        <v>17926.900962234646</v>
      </c>
      <c r="E37" s="11">
        <v>109909.9667896872</v>
      </c>
      <c r="F37" s="8">
        <v>129970.03197620118</v>
      </c>
      <c r="G37" s="8">
        <v>95757.821089400008</v>
      </c>
      <c r="H37" s="8">
        <v>34212.202319999989</v>
      </c>
    </row>
    <row r="38" spans="1:8">
      <c r="A38" s="10" t="s">
        <v>76</v>
      </c>
      <c r="B38" s="8">
        <v>16317.130000000001</v>
      </c>
      <c r="C38" s="8">
        <v>2405.6852989665385</v>
      </c>
      <c r="D38" s="8">
        <v>384.90964783464614</v>
      </c>
      <c r="E38" s="11">
        <v>2365.2699889872079</v>
      </c>
      <c r="F38" s="8">
        <v>2790.5949468011854</v>
      </c>
      <c r="G38" s="8">
        <v>2790.5863800000006</v>
      </c>
      <c r="H38" s="8">
        <v>0</v>
      </c>
    </row>
    <row r="39" spans="1:8">
      <c r="A39" s="10" t="s">
        <v>127</v>
      </c>
      <c r="B39" s="8">
        <v>12707.87</v>
      </c>
      <c r="C39" s="8">
        <v>1166.6205000000002</v>
      </c>
      <c r="D39" s="8">
        <v>186.65928000000002</v>
      </c>
      <c r="E39" s="11">
        <v>1143.2880899999996</v>
      </c>
      <c r="F39" s="8">
        <v>1353.2797800000003</v>
      </c>
      <c r="G39" s="8">
        <v>1333.6757800000003</v>
      </c>
      <c r="H39" s="8">
        <v>19.604000000000003</v>
      </c>
    </row>
    <row r="40" spans="1:8">
      <c r="A40" s="10" t="s">
        <v>135</v>
      </c>
      <c r="B40" s="8">
        <v>1186037.17</v>
      </c>
      <c r="C40" s="8">
        <v>48013.526964999997</v>
      </c>
      <c r="D40" s="8">
        <v>7682.1643144</v>
      </c>
      <c r="E40" s="11">
        <v>47153.256425699998</v>
      </c>
      <c r="F40" s="8">
        <v>55695.691279399995</v>
      </c>
      <c r="G40" s="8">
        <v>55708.229719399998</v>
      </c>
      <c r="H40" s="8">
        <v>-12.53844</v>
      </c>
    </row>
    <row r="41" spans="1:8">
      <c r="A41" s="10" t="s">
        <v>66</v>
      </c>
      <c r="B41" s="8">
        <v>467818.60999999993</v>
      </c>
      <c r="C41" s="8">
        <v>58137.667249999984</v>
      </c>
      <c r="D41" s="8">
        <v>9302.0267599999988</v>
      </c>
      <c r="E41" s="11">
        <v>56974.913904999994</v>
      </c>
      <c r="F41" s="8">
        <v>67439.694009999992</v>
      </c>
      <c r="G41" s="8">
        <v>33316.312790000004</v>
      </c>
      <c r="H41" s="8">
        <v>34123.381219999988</v>
      </c>
    </row>
    <row r="42" spans="1:8">
      <c r="A42" s="10" t="s">
        <v>117</v>
      </c>
      <c r="B42" s="8">
        <v>18110.109999999997</v>
      </c>
      <c r="C42" s="8">
        <v>2319.6309999999999</v>
      </c>
      <c r="D42" s="8">
        <v>371.14096000000006</v>
      </c>
      <c r="E42" s="11">
        <v>2273.2383800000002</v>
      </c>
      <c r="F42" s="8">
        <v>2690.77196</v>
      </c>
      <c r="G42" s="8">
        <v>2609.0164199999999</v>
      </c>
      <c r="H42" s="8">
        <v>81.755539999999982</v>
      </c>
    </row>
    <row r="43" spans="1:8">
      <c r="A43" s="9" t="s">
        <v>770</v>
      </c>
      <c r="B43" s="8">
        <v>6358724.6199999973</v>
      </c>
      <c r="C43" s="8">
        <v>255801.89486323687</v>
      </c>
      <c r="D43" s="8">
        <v>40235.828618117906</v>
      </c>
      <c r="E43" s="11">
        <v>250735.55412997218</v>
      </c>
      <c r="F43" s="8">
        <v>296037.72348135483</v>
      </c>
      <c r="G43" s="8">
        <v>188882.6811534508</v>
      </c>
      <c r="H43" s="8">
        <v>107155.04232790397</v>
      </c>
    </row>
    <row r="44" spans="1:8">
      <c r="A44" s="10" t="s">
        <v>76</v>
      </c>
      <c r="B44" s="8">
        <v>31103.41</v>
      </c>
      <c r="C44" s="8">
        <v>3921.8406952369355</v>
      </c>
      <c r="D44" s="8">
        <v>627.49451123790971</v>
      </c>
      <c r="E44" s="11">
        <v>3849.8213853321968</v>
      </c>
      <c r="F44" s="8">
        <v>4549.3352064748442</v>
      </c>
      <c r="G44" s="8">
        <v>4331.1438464748417</v>
      </c>
      <c r="H44" s="8">
        <v>218.19136</v>
      </c>
    </row>
    <row r="45" spans="1:8">
      <c r="A45" s="10" t="s">
        <v>984</v>
      </c>
      <c r="B45" s="8">
        <v>43359.66</v>
      </c>
      <c r="C45" s="8">
        <v>4327.9660000000003</v>
      </c>
      <c r="D45" s="8">
        <v>0</v>
      </c>
      <c r="E45" s="11">
        <v>4284.6863400000002</v>
      </c>
      <c r="F45" s="8">
        <v>4327.9660000000003</v>
      </c>
      <c r="G45" s="8"/>
      <c r="H45" s="8">
        <v>4327.9660000000003</v>
      </c>
    </row>
    <row r="46" spans="1:8">
      <c r="A46" s="10" t="s">
        <v>127</v>
      </c>
      <c r="B46" s="8">
        <v>128323.03000000001</v>
      </c>
      <c r="C46" s="8">
        <v>16082.02</v>
      </c>
      <c r="D46" s="8">
        <v>2573.1232</v>
      </c>
      <c r="E46" s="11">
        <v>15760.379599999998</v>
      </c>
      <c r="F46" s="8">
        <v>18655.143199999999</v>
      </c>
      <c r="G46" s="8">
        <v>5271.6849599999987</v>
      </c>
      <c r="H46" s="8">
        <v>13383.45824</v>
      </c>
    </row>
    <row r="47" spans="1:8">
      <c r="A47" s="10" t="s">
        <v>135</v>
      </c>
      <c r="B47" s="8">
        <v>5527612.6099999985</v>
      </c>
      <c r="C47" s="8">
        <v>191381.48299999995</v>
      </c>
      <c r="D47" s="8">
        <v>30621.037279999993</v>
      </c>
      <c r="E47" s="11">
        <v>187553.85334</v>
      </c>
      <c r="F47" s="8">
        <v>222002.52027999997</v>
      </c>
      <c r="G47" s="8">
        <v>156192.89975999997</v>
      </c>
      <c r="H47" s="8">
        <v>65809.620519999968</v>
      </c>
    </row>
    <row r="48" spans="1:8">
      <c r="A48" s="10" t="s">
        <v>66</v>
      </c>
      <c r="B48" s="8">
        <v>443182.51999999996</v>
      </c>
      <c r="C48" s="8">
        <v>30985.194168000002</v>
      </c>
      <c r="D48" s="8">
        <v>4957.6310668800006</v>
      </c>
      <c r="E48" s="11">
        <v>30365.490284639996</v>
      </c>
      <c r="F48" s="8">
        <v>35942.825234880002</v>
      </c>
      <c r="G48" s="8">
        <v>16007.019026975999</v>
      </c>
      <c r="H48" s="8">
        <v>19935.806207903999</v>
      </c>
    </row>
    <row r="49" spans="1:8">
      <c r="A49" s="10" t="s">
        <v>117</v>
      </c>
      <c r="B49" s="8">
        <v>185143.38999999998</v>
      </c>
      <c r="C49" s="8">
        <v>9103.3909999999996</v>
      </c>
      <c r="D49" s="8">
        <v>1456.5425599999999</v>
      </c>
      <c r="E49" s="11">
        <v>8921.3231799999994</v>
      </c>
      <c r="F49" s="8">
        <v>10559.933559999999</v>
      </c>
      <c r="G49" s="8">
        <v>7079.9335599999995</v>
      </c>
      <c r="H49" s="8">
        <v>3480</v>
      </c>
    </row>
    <row r="50" spans="1:8">
      <c r="A50" s="9" t="s">
        <v>871</v>
      </c>
      <c r="B50" s="8">
        <v>4328104.5600000005</v>
      </c>
      <c r="C50" s="8">
        <v>140404.11918899353</v>
      </c>
      <c r="D50" s="8">
        <v>22443.970590238961</v>
      </c>
      <c r="E50" s="11">
        <v>137598.70408721364</v>
      </c>
      <c r="F50" s="8">
        <v>162848.08977923245</v>
      </c>
      <c r="G50" s="8">
        <v>147315.34912999999</v>
      </c>
      <c r="H50" s="8">
        <v>15532.74064923247</v>
      </c>
    </row>
    <row r="51" spans="1:8">
      <c r="A51" s="10" t="s">
        <v>76</v>
      </c>
      <c r="B51" s="8">
        <v>46961.61</v>
      </c>
      <c r="C51" s="8">
        <v>8258.8001252003996</v>
      </c>
      <c r="D51" s="8">
        <v>1321.4080200320639</v>
      </c>
      <c r="E51" s="11">
        <v>8094.9983746963935</v>
      </c>
      <c r="F51" s="8">
        <v>9580.2081452324655</v>
      </c>
      <c r="G51" s="8">
        <v>9482.8161799999998</v>
      </c>
      <c r="H51" s="8">
        <v>97.391965232463122</v>
      </c>
    </row>
    <row r="52" spans="1:8">
      <c r="A52" s="10" t="s">
        <v>1014</v>
      </c>
      <c r="B52" s="8">
        <v>437.01</v>
      </c>
      <c r="C52" s="8">
        <v>129.303</v>
      </c>
      <c r="D52" s="8">
        <v>0</v>
      </c>
      <c r="E52" s="11">
        <v>128.00997000000001</v>
      </c>
      <c r="F52" s="8">
        <v>129.303</v>
      </c>
      <c r="G52" s="8"/>
      <c r="H52" s="8">
        <v>129.303</v>
      </c>
    </row>
    <row r="53" spans="1:8">
      <c r="A53" s="10" t="s">
        <v>127</v>
      </c>
      <c r="B53" s="8">
        <v>57497.38</v>
      </c>
      <c r="C53" s="8">
        <v>6801.5057500000003</v>
      </c>
      <c r="D53" s="8">
        <v>1088.24092</v>
      </c>
      <c r="E53" s="11">
        <v>6665.4756349999998</v>
      </c>
      <c r="F53" s="8">
        <v>7889.7466700000004</v>
      </c>
      <c r="G53" s="8">
        <v>7825.4803500000007</v>
      </c>
      <c r="H53" s="8">
        <v>64.266320000000007</v>
      </c>
    </row>
    <row r="54" spans="1:8">
      <c r="A54" s="10" t="s">
        <v>135</v>
      </c>
      <c r="B54" s="8">
        <v>2117819.64</v>
      </c>
      <c r="C54" s="8">
        <v>77186.48000000001</v>
      </c>
      <c r="D54" s="8">
        <v>12349.836800000001</v>
      </c>
      <c r="E54" s="11">
        <v>75642.75039999999</v>
      </c>
      <c r="F54" s="8">
        <v>89536.316799999971</v>
      </c>
      <c r="G54" s="8">
        <v>88834.976159999991</v>
      </c>
      <c r="H54" s="8">
        <v>701.34064000000001</v>
      </c>
    </row>
    <row r="55" spans="1:8">
      <c r="A55" s="10" t="s">
        <v>66</v>
      </c>
      <c r="B55" s="8">
        <v>2072852.5100000002</v>
      </c>
      <c r="C55" s="8">
        <v>45156.134413793116</v>
      </c>
      <c r="D55" s="8">
        <v>7224.9815062068956</v>
      </c>
      <c r="E55" s="11">
        <v>44253.011725517252</v>
      </c>
      <c r="F55" s="8">
        <v>52381.115920000004</v>
      </c>
      <c r="G55" s="8">
        <v>38957.537120000001</v>
      </c>
      <c r="H55" s="8">
        <v>13423.578800000007</v>
      </c>
    </row>
    <row r="56" spans="1:8">
      <c r="A56" s="10" t="s">
        <v>117</v>
      </c>
      <c r="B56" s="8">
        <v>32536.41</v>
      </c>
      <c r="C56" s="8">
        <v>2871.8959</v>
      </c>
      <c r="D56" s="8">
        <v>459.50334400000003</v>
      </c>
      <c r="E56" s="11">
        <v>2814.4579819999994</v>
      </c>
      <c r="F56" s="8">
        <v>3331.3992439999997</v>
      </c>
      <c r="G56" s="8">
        <v>2214.5393199999999</v>
      </c>
      <c r="H56" s="8">
        <v>1116.8599239999996</v>
      </c>
    </row>
    <row r="57" spans="1:8">
      <c r="A57" s="9" t="s">
        <v>784</v>
      </c>
      <c r="B57" s="8">
        <v>1126079.82</v>
      </c>
      <c r="C57" s="8">
        <v>135897.52596399988</v>
      </c>
      <c r="D57" s="8">
        <v>21331.140154239987</v>
      </c>
      <c r="E57" s="11">
        <v>133208.13769471989</v>
      </c>
      <c r="F57" s="8">
        <v>157228.6661182399</v>
      </c>
      <c r="G57" s="8">
        <v>69033.777560000002</v>
      </c>
      <c r="H57" s="8">
        <v>88194.88855823988</v>
      </c>
    </row>
    <row r="58" spans="1:8">
      <c r="A58" s="10" t="s">
        <v>76</v>
      </c>
      <c r="B58" s="8">
        <v>12419.21</v>
      </c>
      <c r="C58" s="8">
        <v>1414.1409639999997</v>
      </c>
      <c r="D58" s="8">
        <v>226.26255423999993</v>
      </c>
      <c r="E58" s="11">
        <v>1388.6413947199994</v>
      </c>
      <c r="F58" s="8">
        <v>1640.4035182399994</v>
      </c>
      <c r="G58" s="8">
        <v>196.93261999999953</v>
      </c>
      <c r="H58" s="8">
        <v>1443.4708982399998</v>
      </c>
    </row>
    <row r="59" spans="1:8">
      <c r="A59" s="10" t="s">
        <v>127</v>
      </c>
      <c r="B59" s="8">
        <v>86750.489999999991</v>
      </c>
      <c r="C59" s="8">
        <v>9887.3860000000004</v>
      </c>
      <c r="D59" s="8">
        <v>1581.9817600000001</v>
      </c>
      <c r="E59" s="11">
        <v>9689.638280000001</v>
      </c>
      <c r="F59" s="8">
        <v>11469.367759999999</v>
      </c>
      <c r="G59" s="8">
        <v>1391.39276</v>
      </c>
      <c r="H59" s="8">
        <v>10077.975</v>
      </c>
    </row>
    <row r="60" spans="1:8">
      <c r="A60" s="10" t="s">
        <v>135</v>
      </c>
      <c r="B60" s="8">
        <v>436753.35</v>
      </c>
      <c r="C60" s="8">
        <v>46993.574499999995</v>
      </c>
      <c r="D60" s="8">
        <v>7518.97192</v>
      </c>
      <c r="E60" s="11">
        <v>46053.703009999997</v>
      </c>
      <c r="F60" s="8">
        <v>54512.546420000006</v>
      </c>
      <c r="G60" s="8">
        <v>27911.367999999999</v>
      </c>
      <c r="H60" s="8">
        <v>26601.17842</v>
      </c>
    </row>
    <row r="61" spans="1:8">
      <c r="A61" s="10" t="s">
        <v>90</v>
      </c>
      <c r="B61" s="8">
        <v>26036.79</v>
      </c>
      <c r="C61" s="8">
        <v>2577.9</v>
      </c>
      <c r="D61" s="8">
        <v>0</v>
      </c>
      <c r="E61" s="11">
        <v>2552.1210000000001</v>
      </c>
      <c r="F61" s="8">
        <v>2577.9</v>
      </c>
      <c r="G61" s="8">
        <v>2577.9</v>
      </c>
      <c r="H61" s="8">
        <v>0</v>
      </c>
    </row>
    <row r="62" spans="1:8">
      <c r="A62" s="10" t="s">
        <v>66</v>
      </c>
      <c r="B62" s="8">
        <v>547398.3400000002</v>
      </c>
      <c r="C62" s="8">
        <v>72903.867499999891</v>
      </c>
      <c r="D62" s="8">
        <v>11664.618799999984</v>
      </c>
      <c r="E62" s="11">
        <v>71445.790149999913</v>
      </c>
      <c r="F62" s="8">
        <v>84568.486299999888</v>
      </c>
      <c r="G62" s="8">
        <v>34964.686460000012</v>
      </c>
      <c r="H62" s="8">
        <v>49603.799839999891</v>
      </c>
    </row>
    <row r="63" spans="1:8">
      <c r="A63" s="10" t="s">
        <v>117</v>
      </c>
      <c r="B63" s="8">
        <v>16721.64</v>
      </c>
      <c r="C63" s="8">
        <v>2120.6570000000002</v>
      </c>
      <c r="D63" s="8">
        <v>339.30511999999999</v>
      </c>
      <c r="E63" s="11">
        <v>2078.24386</v>
      </c>
      <c r="F63" s="8">
        <v>2459.9621199999997</v>
      </c>
      <c r="G63" s="8">
        <v>1991.4977199999998</v>
      </c>
      <c r="H63" s="8">
        <v>468.46439999999996</v>
      </c>
    </row>
    <row r="64" spans="1:8">
      <c r="A64" s="9" t="s">
        <v>1005</v>
      </c>
      <c r="B64" s="8">
        <v>141118.94</v>
      </c>
      <c r="C64" s="8">
        <v>14879.977500000001</v>
      </c>
      <c r="D64" s="8">
        <v>2380.7964000000002</v>
      </c>
      <c r="E64" s="11">
        <v>14582.37795</v>
      </c>
      <c r="F64" s="8">
        <v>17260.7739</v>
      </c>
      <c r="G64" s="8">
        <v>882.8287600000001</v>
      </c>
      <c r="H64" s="8">
        <v>16377.94514</v>
      </c>
    </row>
    <row r="65" spans="1:8">
      <c r="A65" s="10" t="s">
        <v>76</v>
      </c>
      <c r="B65" s="8">
        <v>1510.91</v>
      </c>
      <c r="C65" s="8">
        <v>130.94</v>
      </c>
      <c r="D65" s="8">
        <v>20.950399999999998</v>
      </c>
      <c r="E65" s="11">
        <v>128.3212</v>
      </c>
      <c r="F65" s="8">
        <v>151.8904</v>
      </c>
      <c r="G65" s="8"/>
      <c r="H65" s="8">
        <v>151.8904</v>
      </c>
    </row>
    <row r="66" spans="1:8">
      <c r="A66" s="10" t="s">
        <v>127</v>
      </c>
      <c r="B66" s="8">
        <v>7215.2000000000007</v>
      </c>
      <c r="C66" s="8">
        <v>870.05</v>
      </c>
      <c r="D66" s="8">
        <v>139.208</v>
      </c>
      <c r="E66" s="11">
        <v>852.64899999999989</v>
      </c>
      <c r="F66" s="8">
        <v>1009.2579999999999</v>
      </c>
      <c r="G66" s="8">
        <v>522.404</v>
      </c>
      <c r="H66" s="8">
        <v>486.85399999999993</v>
      </c>
    </row>
    <row r="67" spans="1:8">
      <c r="A67" s="10" t="s">
        <v>135</v>
      </c>
      <c r="B67" s="8">
        <v>45.2</v>
      </c>
      <c r="C67" s="8">
        <v>7.26</v>
      </c>
      <c r="D67" s="8">
        <v>1.1616</v>
      </c>
      <c r="E67" s="11">
        <v>7.1147999999999998</v>
      </c>
      <c r="F67" s="8">
        <v>8.4215999999999998</v>
      </c>
      <c r="G67" s="8">
        <v>8.4215999999999998</v>
      </c>
      <c r="H67" s="8">
        <v>0</v>
      </c>
    </row>
    <row r="68" spans="1:8">
      <c r="A68" s="10" t="s">
        <v>66</v>
      </c>
      <c r="B68" s="8">
        <v>4067.1</v>
      </c>
      <c r="C68" s="8">
        <v>303.45100000000002</v>
      </c>
      <c r="D68" s="8">
        <v>48.552160000000001</v>
      </c>
      <c r="E68" s="11">
        <v>297.38198</v>
      </c>
      <c r="F68" s="8">
        <v>352.00316000000004</v>
      </c>
      <c r="G68" s="8">
        <v>352.00316000000004</v>
      </c>
      <c r="H68" s="8">
        <v>0</v>
      </c>
    </row>
    <row r="69" spans="1:8">
      <c r="A69" s="10" t="s">
        <v>117</v>
      </c>
      <c r="B69" s="8">
        <v>128280.53</v>
      </c>
      <c r="C69" s="8">
        <v>13568.2765</v>
      </c>
      <c r="D69" s="8">
        <v>2170.9242400000003</v>
      </c>
      <c r="E69" s="11">
        <v>13296.910970000001</v>
      </c>
      <c r="F69" s="8">
        <v>15739.20074</v>
      </c>
      <c r="G69" s="8"/>
      <c r="H69" s="8">
        <v>15739.20074</v>
      </c>
    </row>
    <row r="70" spans="1:8">
      <c r="A70" s="9" t="s">
        <v>1141</v>
      </c>
      <c r="B70" s="8">
        <v>28257890.128000002</v>
      </c>
      <c r="C70" s="8">
        <v>1681003.2745313842</v>
      </c>
      <c r="D70" s="8">
        <v>251617.89488502158</v>
      </c>
      <c r="E70" s="11">
        <v>1645780.9163367574</v>
      </c>
      <c r="F70" s="8">
        <v>1932621.169416406</v>
      </c>
      <c r="G70" s="8">
        <v>1537274.9938317479</v>
      </c>
      <c r="H70" s="8">
        <v>395346.06758737616</v>
      </c>
    </row>
  </sheetData>
  <pageMargins left="0.70866141732283472" right="0.70866141732283472" top="0.74803149606299213" bottom="0.74803149606299213" header="0.31496062992125984" footer="0.31496062992125984"/>
  <pageSetup paperSize="9" scale="76" orientation="portrait" r:id="rId2"/>
  <headerFooter>
    <oddHeader xml:space="preserve">&amp;CProduction-2023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2"/>
  <sheetViews>
    <sheetView workbookViewId="0"/>
  </sheetViews>
  <sheetFormatPr baseColWidth="10" defaultColWidth="14.42578125" defaultRowHeight="15.75" customHeight="1"/>
  <cols>
    <col min="1" max="1" width="11.42578125" customWidth="1"/>
    <col min="2" max="2" width="21.28515625" customWidth="1"/>
    <col min="3" max="3" width="13.85546875" customWidth="1"/>
    <col min="4" max="4" width="15.42578125" customWidth="1"/>
    <col min="5" max="5" width="12" customWidth="1"/>
    <col min="6" max="6" width="18.7109375" customWidth="1"/>
    <col min="7" max="7" width="22.5703125" customWidth="1"/>
    <col min="8" max="8" width="12.5703125" customWidth="1"/>
    <col min="9" max="9" width="23.28515625" customWidth="1"/>
    <col min="10" max="10" width="14.28515625" customWidth="1"/>
    <col min="11" max="12" width="23.85546875" customWidth="1"/>
    <col min="13" max="26" width="11.42578125" customWidth="1"/>
  </cols>
  <sheetData>
    <row r="1" spans="1:12" ht="14.25" customHeight="1">
      <c r="A1" s="1" t="s">
        <v>58</v>
      </c>
    </row>
    <row r="2" spans="1:12" ht="14.25" customHeight="1">
      <c r="A2" s="1" t="s">
        <v>169</v>
      </c>
    </row>
    <row r="3" spans="1:12" ht="14.25" customHeight="1">
      <c r="D3" s="3" t="s">
        <v>39</v>
      </c>
      <c r="E3" s="3" t="s">
        <v>1142</v>
      </c>
      <c r="F3" s="3" t="s">
        <v>1143</v>
      </c>
      <c r="G3" s="3" t="s">
        <v>1144</v>
      </c>
      <c r="H3" s="3" t="s">
        <v>16</v>
      </c>
      <c r="I3" s="3" t="s">
        <v>1145</v>
      </c>
      <c r="J3" s="3" t="s">
        <v>1146</v>
      </c>
      <c r="K3" s="4" t="s">
        <v>8</v>
      </c>
      <c r="L3" s="4" t="s">
        <v>52</v>
      </c>
    </row>
    <row r="4" spans="1:12" ht="14.25" customHeight="1">
      <c r="D4" s="1" t="s">
        <v>77</v>
      </c>
      <c r="E4" s="1" t="s">
        <v>57</v>
      </c>
      <c r="F4" s="5" t="s">
        <v>108</v>
      </c>
      <c r="G4" s="1" t="s">
        <v>250</v>
      </c>
      <c r="H4" s="1" t="s">
        <v>76</v>
      </c>
      <c r="I4" s="1" t="s">
        <v>74</v>
      </c>
      <c r="J4" s="1" t="s">
        <v>1147</v>
      </c>
      <c r="K4" s="2" t="s">
        <v>83</v>
      </c>
      <c r="L4" s="2" t="s">
        <v>207</v>
      </c>
    </row>
    <row r="5" spans="1:12" ht="14.25" customHeight="1">
      <c r="D5" s="1" t="s">
        <v>195</v>
      </c>
      <c r="E5" s="1" t="s">
        <v>157</v>
      </c>
      <c r="F5" s="5" t="s">
        <v>112</v>
      </c>
      <c r="G5" s="1" t="s">
        <v>152</v>
      </c>
      <c r="H5" s="1" t="s">
        <v>984</v>
      </c>
      <c r="I5" s="1" t="s">
        <v>63</v>
      </c>
      <c r="J5" s="1" t="s">
        <v>99</v>
      </c>
      <c r="K5" s="2" t="s">
        <v>68</v>
      </c>
      <c r="L5" s="2" t="s">
        <v>1148</v>
      </c>
    </row>
    <row r="6" spans="1:12" ht="14.25" customHeight="1">
      <c r="D6" s="1" t="s">
        <v>147</v>
      </c>
      <c r="E6" s="1" t="s">
        <v>230</v>
      </c>
      <c r="F6" s="5" t="s">
        <v>234</v>
      </c>
      <c r="G6" s="1" t="s">
        <v>133</v>
      </c>
      <c r="H6" s="1" t="s">
        <v>86</v>
      </c>
      <c r="I6" s="1" t="s">
        <v>99</v>
      </c>
      <c r="J6" s="1" t="s">
        <v>1149</v>
      </c>
      <c r="K6" s="2" t="s">
        <v>59</v>
      </c>
      <c r="L6" s="1" t="s">
        <v>1150</v>
      </c>
    </row>
    <row r="7" spans="1:12" ht="14.25" customHeight="1">
      <c r="D7" s="1" t="s">
        <v>1151</v>
      </c>
      <c r="E7" s="1" t="s">
        <v>212</v>
      </c>
      <c r="F7" s="5" t="s">
        <v>105</v>
      </c>
      <c r="G7" s="1" t="s">
        <v>1152</v>
      </c>
      <c r="H7" s="1" t="s">
        <v>127</v>
      </c>
      <c r="I7" s="1" t="s">
        <v>1153</v>
      </c>
      <c r="K7" s="2" t="s">
        <v>443</v>
      </c>
      <c r="L7" s="2" t="s">
        <v>275</v>
      </c>
    </row>
    <row r="8" spans="1:12" ht="14.25" customHeight="1">
      <c r="D8" s="1" t="s">
        <v>215</v>
      </c>
      <c r="E8" s="1" t="s">
        <v>165</v>
      </c>
      <c r="F8" s="5" t="s">
        <v>65</v>
      </c>
      <c r="G8" s="1" t="s">
        <v>233</v>
      </c>
      <c r="H8" s="1" t="s">
        <v>135</v>
      </c>
      <c r="I8" s="1" t="s">
        <v>1154</v>
      </c>
      <c r="J8" s="1" t="s">
        <v>1155</v>
      </c>
      <c r="K8" s="1" t="s">
        <v>189</v>
      </c>
      <c r="L8" s="2" t="s">
        <v>148</v>
      </c>
    </row>
    <row r="9" spans="1:12" ht="14.25" customHeight="1">
      <c r="D9" s="1" t="s">
        <v>1156</v>
      </c>
      <c r="E9" s="1" t="s">
        <v>770</v>
      </c>
      <c r="F9" s="5" t="s">
        <v>251</v>
      </c>
      <c r="G9" s="1" t="s">
        <v>879</v>
      </c>
      <c r="H9" s="1" t="s">
        <v>1014</v>
      </c>
      <c r="I9" s="1" t="s">
        <v>95</v>
      </c>
      <c r="K9" s="1" t="s">
        <v>918</v>
      </c>
      <c r="L9" s="6" t="s">
        <v>235</v>
      </c>
    </row>
    <row r="10" spans="1:12" ht="14.25" customHeight="1">
      <c r="D10" s="1" t="s">
        <v>206</v>
      </c>
      <c r="E10" s="1" t="s">
        <v>406</v>
      </c>
      <c r="F10" s="5" t="s">
        <v>134</v>
      </c>
      <c r="G10" s="1" t="s">
        <v>441</v>
      </c>
      <c r="H10" s="1" t="s">
        <v>90</v>
      </c>
      <c r="K10" s="1" t="s">
        <v>860</v>
      </c>
    </row>
    <row r="11" spans="1:12" ht="14.25" customHeight="1">
      <c r="D11" s="1" t="s">
        <v>1157</v>
      </c>
      <c r="E11" s="1" t="s">
        <v>784</v>
      </c>
      <c r="F11" s="5" t="s">
        <v>89</v>
      </c>
      <c r="G11" s="1" t="s">
        <v>107</v>
      </c>
      <c r="H11" s="1" t="s">
        <v>508</v>
      </c>
      <c r="K11" s="1" t="s">
        <v>989</v>
      </c>
    </row>
    <row r="12" spans="1:12" ht="14.25" customHeight="1">
      <c r="D12" s="1" t="s">
        <v>91</v>
      </c>
      <c r="E12" s="1" t="s">
        <v>871</v>
      </c>
      <c r="F12" s="5" t="s">
        <v>285</v>
      </c>
      <c r="G12" s="1" t="s">
        <v>129</v>
      </c>
      <c r="H12" s="1" t="s">
        <v>66</v>
      </c>
    </row>
    <row r="13" spans="1:12" ht="14.25" customHeight="1">
      <c r="D13" s="1" t="s">
        <v>1158</v>
      </c>
      <c r="E13" s="1" t="s">
        <v>1005</v>
      </c>
      <c r="F13" s="5" t="s">
        <v>81</v>
      </c>
      <c r="G13" s="1" t="s">
        <v>790</v>
      </c>
      <c r="H13" s="1" t="s">
        <v>1159</v>
      </c>
    </row>
    <row r="14" spans="1:12" ht="14.25" customHeight="1">
      <c r="D14" s="1" t="s">
        <v>381</v>
      </c>
      <c r="E14" s="1" t="s">
        <v>356</v>
      </c>
      <c r="F14" s="5"/>
      <c r="G14" s="1" t="s">
        <v>111</v>
      </c>
      <c r="H14" s="1" t="s">
        <v>247</v>
      </c>
    </row>
    <row r="15" spans="1:12" ht="14.25" customHeight="1">
      <c r="D15" s="1" t="s">
        <v>228</v>
      </c>
      <c r="E15" s="1" t="s">
        <v>1160</v>
      </c>
      <c r="F15" s="5"/>
      <c r="G15" s="1" t="s">
        <v>101</v>
      </c>
      <c r="H15" s="1" t="s">
        <v>117</v>
      </c>
    </row>
    <row r="16" spans="1:12" ht="14.25" customHeight="1">
      <c r="F16" s="5"/>
      <c r="G16" s="1" t="s">
        <v>89</v>
      </c>
      <c r="H16" s="2" t="s">
        <v>1161</v>
      </c>
    </row>
    <row r="17" spans="7:7" ht="14.25" customHeight="1">
      <c r="G17" s="1" t="s">
        <v>804</v>
      </c>
    </row>
    <row r="18" spans="7:7" ht="14.25" customHeight="1">
      <c r="G18" s="1" t="s">
        <v>246</v>
      </c>
    </row>
    <row r="19" spans="7:7" ht="14.25" customHeight="1">
      <c r="G19" s="1" t="s">
        <v>104</v>
      </c>
    </row>
    <row r="20" spans="7:7" ht="14.25" customHeight="1">
      <c r="G20" s="1" t="s">
        <v>80</v>
      </c>
    </row>
    <row r="21" spans="7:7" ht="14.25" customHeight="1">
      <c r="G21" s="1" t="s">
        <v>65</v>
      </c>
    </row>
    <row r="22" spans="7:7" ht="14.25" customHeight="1">
      <c r="G22" s="1" t="s">
        <v>894</v>
      </c>
    </row>
    <row r="23" spans="7:7" ht="14.25" customHeight="1">
      <c r="G23" s="1" t="s">
        <v>781</v>
      </c>
    </row>
    <row r="24" spans="7:7" ht="14.25" customHeight="1">
      <c r="G24" s="1" t="s">
        <v>194</v>
      </c>
    </row>
    <row r="25" spans="7:7" ht="14.25" customHeight="1">
      <c r="G25" s="1" t="s">
        <v>1162</v>
      </c>
    </row>
    <row r="26" spans="7:7" ht="14.25" customHeight="1">
      <c r="G26" s="1" t="s">
        <v>385</v>
      </c>
    </row>
    <row r="27" spans="7:7" ht="14.25" customHeight="1">
      <c r="G27" s="1" t="s">
        <v>284</v>
      </c>
    </row>
    <row r="28" spans="7:7" ht="14.25" customHeight="1">
      <c r="G28" s="1" t="s">
        <v>921</v>
      </c>
    </row>
    <row r="29" spans="7:7" ht="14.25" customHeight="1">
      <c r="G29" s="1" t="s">
        <v>302</v>
      </c>
    </row>
    <row r="30" spans="7:7" ht="14.25" customHeight="1">
      <c r="G30" s="1" t="s">
        <v>309</v>
      </c>
    </row>
    <row r="31" spans="7:7" ht="14.25" customHeight="1"/>
    <row r="32" spans="7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autoFilter ref="D3:L30" xr:uid="{00000000-0009-0000-0000-000002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BDM 2023</vt:lpstr>
      <vt:lpstr>Synthèse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2023-11-20T09:46:11Z</cp:lastPrinted>
  <dcterms:modified xsi:type="dcterms:W3CDTF">2023-11-26T20:28:18Z</dcterms:modified>
</cp:coreProperties>
</file>