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ad accidents comparisson" sheetId="1" r:id="rId4"/>
    <sheet state="visible" name="3 scenarious of road accidents " sheetId="2" r:id="rId5"/>
    <sheet state="visible" name="Сравнение России с ключевыми ст" sheetId="3" r:id="rId6"/>
    <sheet state="visible" name="Сценарии смертности в ДТП" sheetId="4" r:id="rId7"/>
    <sheet state="visible" name="ДТП в регионах" sheetId="5" r:id="rId8"/>
    <sheet state="visible" name="Доп инфа (неактуально)" sheetId="6" r:id="rId9"/>
  </sheets>
  <definedNames>
    <definedName name="_xlchart.v1.2">'Доп инфа (неактуально)'!$B$29:$B$38</definedName>
    <definedName name="_xlchart.v1.3">'Доп инфа (неактуально)'!$C$29:$C$38</definedName>
    <definedName name="_xlchart.v1.0">'Доп инфа (неактуально)'!$B$29:$B$38</definedName>
    <definedName name="_xlchart.v1.1">'Доп инфа (неактуально)'!$C$29:$C$38</definedName>
  </definedNames>
  <calcPr/>
  <extLst>
    <ext uri="GoogleSheetsCustomDataVersion1">
      <go:sheetsCustomData xmlns:go="http://customooxmlschemas.google.com/" r:id="rId10" roundtripDataSignature="AMtx7mjJZggIoMlfxxzOQ6h2ynW+4L4O4A=="/>
    </ext>
  </extLst>
</workbook>
</file>

<file path=xl/comments1.xml><?xml version="1.0" encoding="utf-8"?>
<comments xmlns:r="http://schemas.openxmlformats.org/officeDocument/2006/relationships" xmlns="http://schemas.openxmlformats.org/spreadsheetml/2006/main">
  <authors>
    <author/>
  </authors>
  <commentList>
    <comment authorId="0" ref="B1">
      <text>
        <t xml:space="preserve">======
ID#AAAAN2gqBsM
Sergei Kabatskii    (2021-08-12 09:20:25)
Уровень смертности РФ был в Великобритании в 1977 году. 
1) Великобритания прошла до уровня в 5 за 15 лет
2) Норвегия до 5 прошла за 10
3) Франция до 5 за N лет
4) Сценарий самый утопический - но все равно это долго
Нарисовать кривые трех стран - не по всем годам, а по пятилетиям. 
"Если мы не перейдем к каким-то мерам, то потеряем сотни тысяч людей"</t>
      </text>
    </comment>
  </commentList>
  <extLst>
    <ext uri="GoogleSheetsCustomDataVersion1">
      <go:sheetsCustomData xmlns:go="http://customooxmlschemas.google.com/" r:id="rId1" roundtripDataSignature="AMtx7mhzVIxT2TKujFuh8sPd8wxeinq+Lg=="/>
    </ext>
  </extLst>
</comments>
</file>

<file path=xl/sharedStrings.xml><?xml version="1.0" encoding="utf-8"?>
<sst xmlns="http://schemas.openxmlformats.org/spreadsheetml/2006/main" count="143" uniqueCount="107">
  <si>
    <r>
      <rPr>
        <rFont val="Roboto"/>
        <b/>
        <color theme="1"/>
      </rPr>
      <t>Ключевые мысли:</t>
    </r>
    <r>
      <rPr>
        <rFont val="Roboto"/>
        <color theme="1"/>
      </rPr>
      <t xml:space="preserve"> одним из ключевых факторов высокой смертности в РФ можно считать неоправданно высокий порог максимально-допустимой скорости и отсутствие должного наказания за пьяное вождение (а не его максимальное допустимое содержание в крови). Несмотря на то, что связь между низкой смертностью и развитой экономикой присутствует, есть ряд более бедных или аналогичных России стран, где смертность на дорогах ниже. </t>
    </r>
  </si>
  <si>
    <t>Для сравнения берутся 4  страны со схожим экономическим развитием (Турция, Бразилия, Румыния и Малайзия), 2 сверх-державы (США и Китай), две страны из Западной Европы (Франция и Великобритания) и бедная страна из Восточной - Молдавия. В качестве исследуемых параметров берется допустимая скорость и влияние/регулирование алкоголя, которые сопостовляется со смертностью.</t>
  </si>
  <si>
    <r>
      <rPr>
        <rFont val="Roboto"/>
        <b/>
        <color theme="1"/>
        <sz val="14.0"/>
      </rPr>
      <t xml:space="preserve">Связь смертности в ДТП на душу населения с благосостоянием, скоростным режимом и алкоголем (все </t>
    </r>
    <r>
      <rPr>
        <rFont val="Roboto"/>
        <b/>
        <i/>
        <color theme="1"/>
        <sz val="14.0"/>
      </rPr>
      <t>данные за 2016 год</t>
    </r>
    <r>
      <rPr>
        <rFont val="Roboto"/>
        <b/>
        <color theme="1"/>
        <sz val="14.0"/>
      </rPr>
      <t>)</t>
    </r>
  </si>
  <si>
    <t xml:space="preserve">№ </t>
  </si>
  <si>
    <t>Показатель/Страна</t>
  </si>
  <si>
    <t>Russia</t>
  </si>
  <si>
    <t>Turkey</t>
  </si>
  <si>
    <t>Brazil</t>
  </si>
  <si>
    <t>Romania</t>
  </si>
  <si>
    <t>Malaysia</t>
  </si>
  <si>
    <t>France</t>
  </si>
  <si>
    <t>United Kingdom</t>
  </si>
  <si>
    <t>USA</t>
  </si>
  <si>
    <t>China</t>
  </si>
  <si>
    <t>Moldova</t>
  </si>
  <si>
    <t>Погибших на дорогах 
 на 100 тыс населения</t>
  </si>
  <si>
    <t xml:space="preserve">ВНД* на душу населения </t>
  </si>
  <si>
    <t>Коэффициент корреляции Пирсона</t>
  </si>
  <si>
    <t>Интерпретация</t>
  </si>
  <si>
    <t>Значение выше +/- 0,5 относится к категории "заметной" корреляции, что означает наличие взаимозависимости между экономическим благосостоянием и безопастностью на дорогах, однако оно далеко не всегда является определяющим. Отрицательный коэффициент означает, что, когда значения одной переменной убывают, значения другой возрастают. То есть, чем выше благосостояние населения, тем ниже смертность на дорогах, и наоборот.</t>
  </si>
  <si>
    <t>Средняя макимальная скорость для города (с учетом нештрафуемого максимального порога)</t>
  </si>
  <si>
    <t>Коэф-нт корреляции Пирсона</t>
  </si>
  <si>
    <t>Удивительным образом, коэффициент корреляции между смертностью и реальной разрешенной скоростью в выбранных странах оказался одинаковым и также относится к категории "заметной". Только в данном случае значения одной переменной возрастают, когда значения другой возрастают - то есть, чем выше разрешенная скорость, тем выше смертность на дорогах, и наоборот.</t>
  </si>
  <si>
    <t>Россия</t>
  </si>
  <si>
    <t>Турция</t>
  </si>
  <si>
    <t>Бразилия</t>
  </si>
  <si>
    <t>Румыния</t>
  </si>
  <si>
    <t>Малайзия</t>
  </si>
  <si>
    <t>Франция</t>
  </si>
  <si>
    <t>Великобритания</t>
  </si>
  <si>
    <t>США</t>
  </si>
  <si>
    <t>Китай</t>
  </si>
  <si>
    <t>Молдавия</t>
  </si>
  <si>
    <t>Смертельные ДТП в алкогольном опьянении в % от общего ДТП с летальным исходом</t>
  </si>
  <si>
    <t>Значение выше +/- 0,3 относится к категории "умеренной" корреляции, что означает условное наличие небольшой взаимозависимости между количеством разрешенного алкоголя в крови и вызванным им смертностью в ДТП. Отрицательный коэффициент означает, что, когда значения одной переменной убывают, значения другой возрастают. Парадоксально, но чем выше планка разрешенного алкоголя в крови, тем ниже смертность, связанная с ним. Но из-за слабого коэффициента корреляции, большого разброса данных и малой выборки нельзя утверждать, что это связь не случайна</t>
  </si>
  <si>
    <t>Максимальное разрешенное количество алкоголя в крови (g/dl)</t>
  </si>
  <si>
    <r>
      <rPr>
        <rFont val="Roboto"/>
        <b/>
      </rPr>
      <t xml:space="preserve">Источники:
</t>
    </r>
    <r>
      <rPr>
        <rFont val="Roboto"/>
      </rPr>
      <t>1) The World Bank:</t>
    </r>
    <r>
      <rPr>
        <rFont val="Roboto"/>
        <color rgb="FF000000"/>
      </rPr>
      <t xml:space="preserve"> </t>
    </r>
    <r>
      <rPr>
        <rFont val="Roboto"/>
        <color rgb="FF1155CC"/>
        <u/>
      </rPr>
      <t xml:space="preserve">https://data.worldbank.org/indicator/NY.GNP.PCAP.CD
</t>
    </r>
    <r>
      <rPr>
        <rFont val="Roboto"/>
      </rPr>
      <t xml:space="preserve">2) Global status report on road safety 2018: </t>
    </r>
    <r>
      <rPr>
        <rFont val="Roboto"/>
        <color rgb="FF1155CC"/>
        <u/>
      </rPr>
      <t>https://www.who.int/publications/i/item/9789241565684</t>
    </r>
    <r>
      <rPr>
        <rFont val="Roboto"/>
      </rPr>
      <t xml:space="preserve"> 
3) Speed limits by country </t>
    </r>
    <r>
      <rPr>
        <rFont val="Roboto"/>
        <color rgb="FF1155CC"/>
        <u/>
      </rPr>
      <t>https://en.wikipedia.org/wiki/Speed_limits_by_country</t>
    </r>
    <r>
      <rPr>
        <rFont val="Roboto"/>
      </rPr>
      <t xml:space="preserve"> </t>
    </r>
  </si>
  <si>
    <t xml:space="preserve">Корреляция между разрешенным количеством алкоголя в крови и смертностью на дорогах относится к категории "слабой", поэтому в данном случае нельзя говорить о зависимости этих параметров. Куда более значимым представляется наказание, предусмотренное за вождение внетрезвом виде. Сравнить в цифрах это не представляется возможным, но, к примеру, в России за пьяную езду с постадавшими в легкой или средней форме не предусмотрено уголовной ответственности, что может объяснять распространненость данного явления. </t>
  </si>
  <si>
    <r>
      <rPr>
        <rFont val="Roboto"/>
        <color theme="1"/>
      </rPr>
      <t>*</t>
    </r>
    <r>
      <rPr>
        <rFont val="Roboto"/>
        <b/>
        <color theme="1"/>
      </rPr>
      <t>Валовой национальный доход (ВНД) / Gross National Income (GNI)</t>
    </r>
    <r>
      <rPr>
        <rFont val="Roboto"/>
        <color theme="1"/>
      </rPr>
      <t xml:space="preserve"> — это совокупная ценность всех товаров и услуг, произведенных в течение года на территории государства (то есть ВВП), плюс доходы, полученные гражданами и организациями этой страны из-за рубежа, минус доходы, вывезенные из страны иностранными гражданами и организациями. </t>
    </r>
  </si>
  <si>
    <r>
      <rPr>
        <rFont val="Calibri"/>
        <color theme="1"/>
        <sz val="18.0"/>
      </rPr>
      <t xml:space="preserve">Сценарии для России на 10 лет (и 20 лет)
</t>
    </r>
    <r>
      <rPr>
        <rFont val="Calibri"/>
        <color theme="1"/>
        <sz val="14.0"/>
      </rPr>
      <t>На 2020 год смертность в ДТП в РФ составила 11,04 погибших на 100 тыс. человек. Аналогичная летальность в Норвегии была в 1977 году, в Великобритании в 1979, а во Франции в 2003. Возьмем усредненные показатели в 5-5,3 жертвы на 100 тыс. населения и проверим, сколько времени этим трем странам понадобилось для их достижения; на базе этого составим три сценария для современной России.</t>
    </r>
    <r>
      <rPr>
        <rFont val="Calibri"/>
        <i/>
        <color theme="1"/>
        <sz val="12.0"/>
      </rPr>
      <t xml:space="preserve">
</t>
    </r>
    <r>
      <rPr>
        <rFont val="Calibri"/>
        <b/>
        <color theme="1"/>
        <sz val="12.0"/>
      </rPr>
      <t xml:space="preserve">- Оптимистичный сценарий (Франция): </t>
    </r>
    <r>
      <rPr>
        <rFont val="Calibri"/>
        <color theme="1"/>
        <sz val="12.0"/>
      </rPr>
      <t xml:space="preserve">через 10 лет Россия достигнет уровня смертности на дорогах Франции в 5 чел. на 100 тыс. населения (необходимы кардинальные реформы)  </t>
    </r>
    <r>
      <rPr>
        <rFont val="Calibri"/>
        <b/>
        <color theme="1"/>
        <sz val="12.0"/>
      </rPr>
      <t xml:space="preserve">
</t>
    </r>
    <r>
      <rPr>
        <rFont val="Calibri"/>
        <color theme="1"/>
        <sz val="12.0"/>
      </rPr>
      <t xml:space="preserve">- </t>
    </r>
    <r>
      <rPr>
        <rFont val="Calibri"/>
        <b/>
        <color theme="1"/>
        <sz val="12.0"/>
      </rPr>
      <t>Пессимистический (Великобритания):</t>
    </r>
    <r>
      <rPr>
        <rFont val="Calibri"/>
        <color theme="1"/>
        <sz val="12.0"/>
      </rPr>
      <t xml:space="preserve"> через 28 лет Россия достигнет уровня смерности на дорогах Великобритания в 2007 году в 5,1 чел. на 100 тыс. населения(при отсутствии реформ)  </t>
    </r>
    <r>
      <rPr>
        <rFont val="Calibri"/>
        <b/>
        <color theme="1"/>
        <sz val="12.0"/>
      </rPr>
      <t xml:space="preserve">
</t>
    </r>
    <r>
      <rPr>
        <rFont val="Calibri"/>
        <color theme="1"/>
        <sz val="12.0"/>
      </rPr>
      <t xml:space="preserve">- </t>
    </r>
    <r>
      <rPr>
        <rFont val="Calibri"/>
        <b/>
        <color theme="1"/>
        <sz val="12.0"/>
      </rPr>
      <t xml:space="preserve">Базовый (Норвегия): через 19 лет </t>
    </r>
    <r>
      <rPr>
        <rFont val="Calibri"/>
        <color theme="1"/>
        <sz val="12.0"/>
      </rPr>
      <t xml:space="preserve">Россия достигнет уровня смерности на дорогах Норвегии в 1996 году в 5,5 чел. на 100 тыс. населения (при недостаточных реформах)  </t>
    </r>
  </si>
  <si>
    <t>Three scenarios of mortality reduction on roads in Russia</t>
  </si>
  <si>
    <t>Year</t>
  </si>
  <si>
    <t>optimistic</t>
  </si>
  <si>
    <t>pessimistic</t>
  </si>
  <si>
    <t>base</t>
  </si>
  <si>
    <t>Аналогичная удельная смертность</t>
  </si>
  <si>
    <t>Россия 2020</t>
  </si>
  <si>
    <t>Великобритания в 1979</t>
  </si>
  <si>
    <t>Норвегия в 1977</t>
  </si>
  <si>
    <t>Франция 2003</t>
  </si>
  <si>
    <t>Великобритания в 2007</t>
  </si>
  <si>
    <t>Норвегия в 1996</t>
  </si>
  <si>
    <t>Франция 2013</t>
  </si>
  <si>
    <t>Допущение: к 2045 году население России снизится на 10%</t>
  </si>
  <si>
    <r>
      <rPr>
        <rFont val="Calibri"/>
        <color theme="1"/>
        <sz val="14.0"/>
      </rPr>
      <t xml:space="preserve">Разница между оптимичестичным и пессимистичным сценарием составляет тысячи потерянных жизней ежегодно, что в совокупности может превысить избыточную смертность на </t>
    </r>
    <r>
      <rPr>
        <rFont val="Calibri"/>
        <b/>
        <color theme="1"/>
        <sz val="14.0"/>
      </rPr>
      <t>100 тыс. человек за следующие 28 лет</t>
    </r>
  </si>
  <si>
    <t xml:space="preserve"> </t>
  </si>
  <si>
    <r>
      <rPr>
        <color rgb="FF202122"/>
        <sz val="10.0"/>
      </rPr>
      <t xml:space="preserve">Источники: </t>
    </r>
    <r>
      <rPr>
        <color rgb="FF202122"/>
        <sz val="10.0"/>
      </rPr>
      <t xml:space="preserve">WHO Global status report on road safety 2018: https://www.who.int/publications/i/item/9789241565684 
https://norwaytoday.info/news/95-norwegians-died-in-traffic-accidents-in-norway-last-year-82-of-them-were-men/ 
</t>
    </r>
    <r>
      <rPr>
        <color rgb="FF202122"/>
        <sz val="10.0"/>
      </rPr>
      <t>https://roadtraffic.dft.gov.uk/custom-downloads/road-accidents/reports/a77c2793-7170-4d9f-9cc2-8d27faf5d285
https://www.statista.com/statistics/437961/number-of-road-deaths-in-norway/</t>
    </r>
    <r>
      <rPr>
        <color rgb="FF202122"/>
        <sz val="10.0"/>
      </rPr>
      <t xml:space="preserve">
</t>
    </r>
    <r>
      <rPr>
        <color rgb="FF1155CC"/>
        <sz val="10.0"/>
        <u/>
      </rPr>
      <t>https://www.ssb.no/en/statbank/table/12044/tableViewLayout1</t>
    </r>
    <r>
      <rPr>
        <color rgb="FF1155CC"/>
        <sz val="10.0"/>
        <u/>
      </rPr>
      <t xml:space="preserve">/ </t>
    </r>
    <r>
      <rPr>
        <color rgb="FF202122"/>
        <sz val="10.0"/>
      </rPr>
      <t xml:space="preserve">
https://www.gov.uk/government/statistics/reported-road-casualties-great-britain-provisional-results-2020/reported-road-casualties-great-britain-provisional-results-2020#:~:text=There%20were%201%2C472%20fatalities%20in,and%202019%20was%20broadly%20flat. </t>
    </r>
    <r>
      <rPr>
        <color rgb="FF202122"/>
        <sz val="10.0"/>
      </rPr>
      <t xml:space="preserve">
</t>
    </r>
    <r>
      <rPr>
        <color rgb="FF1155CC"/>
        <sz val="10.0"/>
        <u/>
      </rPr>
      <t>https://www.quora.com/Why-are-there-so-few-road-fatalities-in-Norway</t>
    </r>
  </si>
  <si>
    <t>Статистика ДТП за 2020 год в разных регионах РФ</t>
  </si>
  <si>
    <r>
      <rPr>
        <rFont val="Roboto"/>
        <b/>
        <color theme="1"/>
        <sz val="14.0"/>
      </rPr>
      <t>Ключевая мысль</t>
    </r>
    <r>
      <rPr>
        <rFont val="Roboto"/>
        <color theme="1"/>
        <sz val="14.0"/>
      </rPr>
      <t>: по выбранным случайным образом представителям федеральных округов видно, что в России очень большой между регионами в статистике ДТП. Отдельные вопросы вызывает ее достоверность</t>
    </r>
  </si>
  <si>
    <r>
      <rPr>
        <rFont val="Calibri"/>
        <b/>
        <color theme="1"/>
      </rPr>
      <t>Источник</t>
    </r>
    <r>
      <rPr>
        <rFont val="Calibri"/>
        <color theme="1"/>
      </rPr>
      <t>: данные ГИБДД stat.gibdd.ru</t>
    </r>
  </si>
  <si>
    <t>Федеральный округ</t>
  </si>
  <si>
    <t>Представитель 
федерального округа</t>
  </si>
  <si>
    <t>ДТП на 100 тыс. чел</t>
  </si>
  <si>
    <t>Погибло на 100 тыс. чел</t>
  </si>
  <si>
    <t>Ранено на 100 тыс. чел</t>
  </si>
  <si>
    <t xml:space="preserve">Население </t>
  </si>
  <si>
    <t>г.Москва</t>
  </si>
  <si>
    <t>г.Санкт-Петербург</t>
  </si>
  <si>
    <t xml:space="preserve">Центральный </t>
  </si>
  <si>
    <t>Владимирская область</t>
  </si>
  <si>
    <t xml:space="preserve">Южный </t>
  </si>
  <si>
    <t>Краснодарский край</t>
  </si>
  <si>
    <t>Северо-Западный</t>
  </si>
  <si>
    <t>Калининградская область</t>
  </si>
  <si>
    <t xml:space="preserve">Северо-Кавказский </t>
  </si>
  <si>
    <t>Чеченская Республика</t>
  </si>
  <si>
    <t xml:space="preserve">Приволжский </t>
  </si>
  <si>
    <t>Пермский край</t>
  </si>
  <si>
    <t xml:space="preserve">Уральский </t>
  </si>
  <si>
    <t>Свердловская область</t>
  </si>
  <si>
    <t xml:space="preserve">Сибирский </t>
  </si>
  <si>
    <t>Новосибирская область</t>
  </si>
  <si>
    <t xml:space="preserve">Дальневосточный </t>
  </si>
  <si>
    <t>Хабаровский край</t>
  </si>
  <si>
    <t xml:space="preserve">Автомобилизация на 2020 год </t>
  </si>
  <si>
    <t>Страна</t>
  </si>
  <si>
    <t>Машин на 1000 человек</t>
  </si>
  <si>
    <t>2000 Норвегия</t>
  </si>
  <si>
    <t>Пострадавших на 100 тыс.</t>
  </si>
  <si>
    <t>Магаданская область</t>
  </si>
  <si>
    <t>Республика Калмыкия</t>
  </si>
  <si>
    <t>Тюменская область</t>
  </si>
  <si>
    <t>Республика Тыва</t>
  </si>
  <si>
    <t>Рязанская область</t>
  </si>
  <si>
    <t>Новгородская область</t>
  </si>
  <si>
    <t>Нижегородская область</t>
  </si>
  <si>
    <t>Амурская область</t>
  </si>
  <si>
    <t>Ленинградская область</t>
  </si>
  <si>
    <t>Погибших на 1000 пострадавших</t>
  </si>
  <si>
    <t>Чеченская республика</t>
  </si>
  <si>
    <t>Республика Ингушетия</t>
  </si>
  <si>
    <t>Кабардино-Балкария</t>
  </si>
  <si>
    <t>Республика Дагестан</t>
  </si>
  <si>
    <t>Забайкальский край</t>
  </si>
  <si>
    <t>Республика Адыгея</t>
  </si>
  <si>
    <t>Москвоская область</t>
  </si>
  <si>
    <t>Томская область</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</si>
</sst>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38">
    <font>
      <sz val="12.0"/>
      <color theme="1"/>
      <name val="Calibri"/>
      <scheme val="minor"/>
    </font>
    <font>
      <b/>
      <sz val="14.0"/>
      <color theme="1"/>
      <name val="Calibri"/>
      <scheme val="minor"/>
    </font>
    <font>
      <color theme="1"/>
      <name val="Calibri"/>
      <scheme val="minor"/>
    </font>
    <font>
      <b/>
      <color theme="1"/>
      <name val="Calibri"/>
      <scheme val="minor"/>
    </font>
    <font/>
    <font>
      <i/>
      <color theme="1"/>
      <name val="Calibri"/>
      <scheme val="minor"/>
    </font>
    <font>
      <color rgb="FF38761D"/>
      <name val="Calibri"/>
      <scheme val="minor"/>
    </font>
    <font>
      <color theme="1"/>
      <name val="Roboto"/>
    </font>
    <font>
      <sz val="12.0"/>
      <color theme="1"/>
      <name val="Roboto"/>
    </font>
    <font>
      <b/>
      <sz val="18.0"/>
      <color theme="1"/>
      <name val="Roboto"/>
    </font>
    <font>
      <b/>
      <sz val="12.0"/>
      <color theme="1"/>
      <name val="Roboto"/>
    </font>
    <font>
      <b/>
      <sz val="12.0"/>
      <color rgb="FF000000"/>
      <name val="Roboto"/>
    </font>
    <font>
      <sz val="18.0"/>
      <color theme="1"/>
      <name val="Roboto"/>
    </font>
    <font>
      <b/>
      <color theme="1"/>
      <name val="Roboto"/>
    </font>
    <font>
      <sz val="11.0"/>
      <color rgb="FF000000"/>
      <name val="Roboto"/>
    </font>
    <font>
      <sz val="24.0"/>
      <color theme="1"/>
      <name val="Roboto"/>
    </font>
    <font>
      <i/>
      <color theme="1"/>
      <name val="Roboto"/>
    </font>
    <font>
      <i/>
      <sz val="12.0"/>
      <color theme="1"/>
      <name val="Roboto"/>
    </font>
    <font>
      <u/>
      <color rgb="FF0000FF"/>
      <name val="Roboto"/>
    </font>
    <font>
      <b/>
      <sz val="18.0"/>
      <color theme="1"/>
      <name val="Calibri"/>
      <scheme val="minor"/>
    </font>
    <font>
      <b/>
      <sz val="12.0"/>
      <color theme="1"/>
      <name val="Calibri"/>
      <scheme val="minor"/>
    </font>
    <font>
      <sz val="14.0"/>
      <color theme="1"/>
      <name val="Calibri"/>
      <scheme val="minor"/>
    </font>
    <font>
      <sz val="14.0"/>
      <color rgb="FF000000"/>
      <name val="Calibri"/>
      <scheme val="minor"/>
    </font>
    <font>
      <sz val="14.0"/>
      <color rgb="FFAEABAB"/>
      <name val="Calibri"/>
      <scheme val="minor"/>
    </font>
    <font>
      <sz val="14.0"/>
      <color rgb="FF93C47D"/>
      <name val="Calibri"/>
      <scheme val="minor"/>
    </font>
    <font>
      <i/>
      <sz val="12.0"/>
      <color rgb="FF000000"/>
      <name val="Calibri"/>
      <scheme val="minor"/>
    </font>
    <font>
      <sz val="14.0"/>
      <color rgb="FFFFD966"/>
      <name val="Calibri"/>
      <scheme val="minor"/>
    </font>
    <font>
      <b/>
      <sz val="12.0"/>
      <color rgb="FF000000"/>
      <name val="Calibri"/>
      <scheme val="minor"/>
    </font>
    <font>
      <sz val="14.0"/>
      <color rgb="FFCC4125"/>
      <name val="Calibri"/>
      <scheme val="minor"/>
    </font>
    <font>
      <b/>
      <sz val="14.0"/>
      <color rgb="FF202122"/>
      <name val="Calibri"/>
      <scheme val="minor"/>
    </font>
    <font>
      <u/>
      <sz val="10.0"/>
      <color rgb="FF202122"/>
    </font>
    <font>
      <sz val="14.0"/>
      <color rgb="FFFF0000"/>
      <name val="Calibri"/>
      <scheme val="minor"/>
    </font>
    <font>
      <sz val="14.0"/>
      <color theme="1"/>
      <name val="Roboto"/>
    </font>
    <font>
      <i/>
      <sz val="14.0"/>
      <color theme="1"/>
      <name val="Roboto"/>
    </font>
    <font>
      <i/>
      <sz val="14.0"/>
      <color rgb="FF000000"/>
      <name val="Roboto"/>
    </font>
    <font>
      <b/>
      <sz val="14.0"/>
      <color theme="1"/>
      <name val="Roboto"/>
    </font>
    <font>
      <sz val="14.0"/>
      <color rgb="FF000000"/>
      <name val="Roboto"/>
    </font>
    <font>
      <sz val="14.0"/>
      <color rgb="FF000000"/>
      <name val="Arial"/>
    </font>
  </fonts>
  <fills count="3">
    <fill>
      <patternFill patternType="none"/>
    </fill>
    <fill>
      <patternFill patternType="lightGray"/>
    </fill>
    <fill>
      <patternFill patternType="solid">
        <fgColor rgb="FFFFFFFF"/>
        <bgColor rgb="FFFFFFFF"/>
      </patternFill>
    </fill>
  </fills>
  <borders count="3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ck">
        <color rgb="FF000000"/>
      </left>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ttom style="medium">
        <color rgb="FF000000"/>
      </bottom>
    </border>
    <border>
      <left style="thick">
        <color rgb="FF000000"/>
      </left>
    </border>
    <border>
      <left style="thin">
        <color rgb="FF000000"/>
      </left>
      <right style="thin">
        <color rgb="FF000000"/>
      </right>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dotted">
        <color rgb="FF000000"/>
      </top>
    </border>
    <border>
      <right style="dotted">
        <color rgb="FF000000"/>
      </right>
      <top style="dotted">
        <color rgb="FF000000"/>
      </top>
    </border>
    <border>
      <left style="medium">
        <color rgb="FF000000"/>
      </left>
      <right style="medium">
        <color rgb="FF000000"/>
      </right>
      <top style="medium">
        <color rgb="FF000000"/>
      </top>
      <bottom style="medium">
        <color rgb="FF000000"/>
      </bottom>
    </border>
    <border>
      <left style="dotted">
        <color rgb="FF000000"/>
      </left>
    </border>
    <border>
      <right style="dotted">
        <color rgb="FF000000"/>
      </right>
    </border>
    <border>
      <right style="hair">
        <color rgb="FF000000"/>
      </right>
    </border>
    <border>
      <left style="medium">
        <color rgb="FF000000"/>
      </left>
      <right style="medium">
        <color rgb="FF000000"/>
      </right>
      <top style="medium">
        <color rgb="FF000000"/>
      </top>
    </border>
    <border>
      <left style="medium">
        <color rgb="FF000000"/>
      </left>
      <top style="medium">
        <color rgb="FF000000"/>
      </top>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wrapText="1"/>
    </xf>
    <xf borderId="2" fillId="0" fontId="3" numFmtId="0" xfId="0" applyAlignment="1" applyBorder="1" applyFont="1">
      <alignment shrinkToFit="0" wrapText="1"/>
    </xf>
    <xf borderId="3" fillId="0" fontId="4" numFmtId="0" xfId="0" applyBorder="1" applyFont="1"/>
    <xf borderId="4" fillId="0" fontId="4" numFmtId="0" xfId="0" applyBorder="1" applyFont="1"/>
    <xf borderId="1" fillId="0" fontId="2" numFmtId="49" xfId="0" applyAlignment="1" applyBorder="1" applyFont="1" applyNumberFormat="1">
      <alignment shrinkToFit="0" wrapText="1"/>
    </xf>
    <xf borderId="1" fillId="0" fontId="2" numFmtId="0" xfId="0" applyAlignment="1" applyBorder="1" applyFont="1">
      <alignment readingOrder="0"/>
    </xf>
    <xf borderId="1" fillId="0" fontId="2" numFmtId="164" xfId="0" applyAlignment="1" applyBorder="1" applyFont="1" applyNumberFormat="1">
      <alignment readingOrder="0" shrinkToFit="0" wrapText="1"/>
    </xf>
    <xf borderId="1" fillId="0" fontId="2" numFmtId="3" xfId="0" applyAlignment="1" applyBorder="1" applyFont="1" applyNumberFormat="1">
      <alignment readingOrder="0" shrinkToFit="0" wrapText="1"/>
    </xf>
    <xf borderId="1" fillId="0" fontId="2" numFmtId="0" xfId="0" applyBorder="1" applyFont="1"/>
    <xf borderId="2" fillId="0" fontId="2" numFmtId="0" xfId="0" applyAlignment="1" applyBorder="1" applyFont="1">
      <alignment shrinkToFit="0" wrapText="1"/>
    </xf>
    <xf borderId="1" fillId="0" fontId="2" numFmtId="0" xfId="0" applyAlignment="1" applyBorder="1" applyFont="1">
      <alignment readingOrder="0" shrinkToFit="0" wrapText="1"/>
    </xf>
    <xf borderId="0" fillId="0" fontId="2" numFmtId="0" xfId="0" applyAlignment="1" applyFont="1">
      <alignment shrinkToFit="0" wrapText="1"/>
    </xf>
    <xf borderId="0" fillId="0" fontId="5" numFmtId="0" xfId="0" applyAlignment="1" applyFont="1">
      <alignment shrinkToFit="0" wrapText="1"/>
    </xf>
    <xf borderId="0" fillId="0" fontId="6" numFmtId="0" xfId="0" applyAlignment="1" applyFont="1">
      <alignment shrinkToFit="0" wrapText="1"/>
    </xf>
    <xf borderId="1" fillId="0" fontId="3" numFmtId="0" xfId="0" applyBorder="1" applyFont="1"/>
    <xf borderId="1" fillId="0" fontId="2" numFmtId="0" xfId="0" applyAlignment="1" applyBorder="1" applyFont="1">
      <alignment shrinkToFit="0" vertical="center" wrapText="1"/>
    </xf>
    <xf borderId="2" fillId="0" fontId="2" numFmtId="0" xfId="0" applyAlignment="1" applyBorder="1" applyFont="1">
      <alignment shrinkToFit="0" vertical="center" wrapText="1"/>
    </xf>
    <xf borderId="2" fillId="0" fontId="3" numFmtId="0" xfId="0" applyBorder="1" applyFont="1"/>
    <xf borderId="0" fillId="0" fontId="2" numFmtId="0" xfId="0" applyFont="1"/>
    <xf borderId="0" fillId="0" fontId="7" numFmtId="0" xfId="0" applyAlignment="1" applyFont="1">
      <alignment readingOrder="0" shrinkToFit="0" wrapText="1"/>
    </xf>
    <xf borderId="0" fillId="0" fontId="7" numFmtId="0" xfId="0" applyFont="1"/>
    <xf borderId="0" fillId="0" fontId="8" numFmtId="0" xfId="0" applyAlignment="1" applyFont="1">
      <alignment readingOrder="0" shrinkToFit="0" vertical="center" wrapText="1"/>
    </xf>
    <xf borderId="0" fillId="0" fontId="8" numFmtId="0" xfId="0" applyAlignment="1" applyFont="1">
      <alignment readingOrder="0" shrinkToFit="0" wrapText="1"/>
    </xf>
    <xf borderId="0" fillId="0" fontId="9" numFmtId="0" xfId="0" applyAlignment="1" applyFont="1">
      <alignment readingOrder="0"/>
    </xf>
    <xf borderId="1" fillId="0" fontId="7" numFmtId="0" xfId="0" applyAlignment="1" applyBorder="1" applyFont="1">
      <alignment readingOrder="0"/>
    </xf>
    <xf borderId="4" fillId="0" fontId="10" numFmtId="0" xfId="0" applyAlignment="1" applyBorder="1" applyFont="1">
      <alignment readingOrder="0"/>
    </xf>
    <xf borderId="1" fillId="0" fontId="10" numFmtId="0" xfId="0" applyAlignment="1" applyBorder="1" applyFont="1">
      <alignment readingOrder="0"/>
    </xf>
    <xf borderId="1" fillId="2" fontId="11" numFmtId="0" xfId="0" applyAlignment="1" applyBorder="1" applyFill="1" applyFont="1">
      <alignment horizontal="left" readingOrder="0"/>
    </xf>
    <xf borderId="0" fillId="0" fontId="7" numFmtId="0" xfId="0" applyAlignment="1" applyFont="1">
      <alignment readingOrder="0"/>
    </xf>
    <xf borderId="5" fillId="0" fontId="7" numFmtId="0" xfId="0" applyAlignment="1" applyBorder="1" applyFont="1">
      <alignment readingOrder="0"/>
    </xf>
    <xf borderId="4" fillId="0" fontId="12" numFmtId="0" xfId="0" applyAlignment="1" applyBorder="1" applyFont="1">
      <alignment readingOrder="0"/>
    </xf>
    <xf borderId="1" fillId="0" fontId="12" numFmtId="164" xfId="0" applyAlignment="1" applyBorder="1" applyFont="1" applyNumberFormat="1">
      <alignment readingOrder="0"/>
    </xf>
    <xf borderId="6" fillId="0" fontId="13" numFmtId="0" xfId="0" applyAlignment="1" applyBorder="1" applyFont="1">
      <alignment readingOrder="0"/>
    </xf>
    <xf borderId="7" fillId="0" fontId="7" numFmtId="3" xfId="0" applyAlignment="1" applyBorder="1" applyFont="1" applyNumberFormat="1">
      <alignment readingOrder="0"/>
    </xf>
    <xf borderId="1" fillId="0" fontId="7" numFmtId="3" xfId="0" applyAlignment="1" applyBorder="1" applyFont="1" applyNumberFormat="1">
      <alignment readingOrder="0"/>
    </xf>
    <xf borderId="1" fillId="0" fontId="14" numFmtId="3" xfId="0" applyAlignment="1" applyBorder="1" applyFont="1" applyNumberFormat="1">
      <alignment horizontal="right" readingOrder="0" shrinkToFit="0" vertical="bottom" wrapText="0"/>
    </xf>
    <xf borderId="0" fillId="0" fontId="15" numFmtId="0" xfId="0" applyFont="1"/>
    <xf borderId="8" fillId="0" fontId="16" numFmtId="0" xfId="0" applyAlignment="1" applyBorder="1" applyFont="1">
      <alignment readingOrder="0"/>
    </xf>
    <xf borderId="9" fillId="0" fontId="16" numFmtId="0" xfId="0" applyAlignment="1" applyBorder="1" applyFont="1">
      <alignment readingOrder="0"/>
    </xf>
    <xf borderId="10" fillId="0" fontId="4" numFmtId="0" xfId="0" applyBorder="1" applyFont="1"/>
    <xf borderId="11" fillId="0" fontId="4" numFmtId="0" xfId="0" applyBorder="1" applyFont="1"/>
    <xf borderId="8" fillId="0" fontId="13" numFmtId="2" xfId="0" applyBorder="1" applyFont="1" applyNumberFormat="1"/>
    <xf borderId="12" fillId="0" fontId="7" numFmtId="0" xfId="0" applyAlignment="1" applyBorder="1" applyFont="1">
      <alignment readingOrder="0" shrinkToFit="0" wrapText="1"/>
    </xf>
    <xf borderId="13" fillId="0" fontId="4" numFmtId="0" xfId="0" applyBorder="1" applyFont="1"/>
    <xf borderId="14" fillId="0" fontId="4" numFmtId="0" xfId="0" applyBorder="1" applyFont="1"/>
    <xf borderId="1" fillId="0" fontId="8" numFmtId="0" xfId="0" applyAlignment="1" applyBorder="1" applyFont="1">
      <alignment readingOrder="0"/>
    </xf>
    <xf borderId="15" fillId="0" fontId="13" numFmtId="0" xfId="0" applyAlignment="1" applyBorder="1" applyFont="1">
      <alignment readingOrder="0" shrinkToFit="0" wrapText="1"/>
    </xf>
    <xf borderId="6" fillId="0" fontId="7" numFmtId="0" xfId="0" applyAlignment="1" applyBorder="1" applyFont="1">
      <alignment readingOrder="0"/>
    </xf>
    <xf borderId="7" fillId="0" fontId="7" numFmtId="0" xfId="0" applyAlignment="1" applyBorder="1" applyFont="1">
      <alignment readingOrder="0"/>
    </xf>
    <xf borderId="16" fillId="0" fontId="16" numFmtId="0" xfId="0" applyAlignment="1" applyBorder="1" applyFont="1">
      <alignment readingOrder="0"/>
    </xf>
    <xf borderId="12" fillId="0" fontId="16" numFmtId="0" xfId="0" applyAlignment="1" applyBorder="1" applyFont="1">
      <alignment readingOrder="0"/>
    </xf>
    <xf borderId="8" fillId="0" fontId="13" numFmtId="2" xfId="0" applyAlignment="1" applyBorder="1" applyFont="1" applyNumberFormat="1">
      <alignment readingOrder="0"/>
    </xf>
    <xf borderId="1" fillId="0" fontId="13" numFmtId="0" xfId="0" applyAlignment="1" applyBorder="1" applyFont="1">
      <alignment readingOrder="0" shrinkToFit="0" wrapText="1"/>
    </xf>
    <xf borderId="13" fillId="0" fontId="7" numFmtId="0" xfId="0" applyAlignment="1" applyBorder="1" applyFont="1">
      <alignment readingOrder="0" shrinkToFit="0" wrapText="1"/>
    </xf>
    <xf borderId="17" fillId="0" fontId="7" numFmtId="0" xfId="0" applyAlignment="1" applyBorder="1" applyFont="1">
      <alignment readingOrder="0" shrinkToFit="0" wrapText="1"/>
    </xf>
    <xf borderId="17" fillId="0" fontId="7" numFmtId="4" xfId="0" applyAlignment="1" applyBorder="1" applyFont="1" applyNumberFormat="1">
      <alignment readingOrder="0"/>
    </xf>
    <xf borderId="12" fillId="0" fontId="17" numFmtId="0" xfId="0" applyAlignment="1" applyBorder="1" applyFont="1">
      <alignment readingOrder="0"/>
    </xf>
    <xf borderId="18" fillId="0" fontId="18" numFmtId="0" xfId="0" applyAlignment="1" applyBorder="1" applyFont="1">
      <alignment readingOrder="0"/>
    </xf>
    <xf borderId="19" fillId="0" fontId="4" numFmtId="0" xfId="0" applyBorder="1" applyFont="1"/>
    <xf borderId="20" fillId="0" fontId="4" numFmtId="0" xfId="0" applyBorder="1" applyFont="1"/>
    <xf borderId="8" fillId="0" fontId="13" numFmtId="165" xfId="0" applyBorder="1" applyFont="1" applyNumberFormat="1"/>
    <xf borderId="0" fillId="0" fontId="0" numFmtId="0" xfId="0" applyAlignment="1" applyFont="1">
      <alignment readingOrder="0" shrinkToFit="0" vertical="center" wrapText="1"/>
    </xf>
    <xf borderId="0" fillId="0" fontId="0" numFmtId="0" xfId="0" applyAlignment="1" applyFont="1">
      <alignment readingOrder="0"/>
    </xf>
    <xf borderId="0" fillId="0" fontId="2" numFmtId="0" xfId="0" applyAlignment="1" applyFont="1">
      <alignment readingOrder="0"/>
    </xf>
    <xf borderId="21" fillId="0" fontId="19" numFmtId="0" xfId="0" applyAlignment="1" applyBorder="1" applyFont="1">
      <alignment readingOrder="0" shrinkToFit="0" wrapText="1"/>
    </xf>
    <xf borderId="22" fillId="0" fontId="4" numFmtId="0" xfId="0" applyBorder="1" applyFont="1"/>
    <xf borderId="23" fillId="0" fontId="4" numFmtId="0" xfId="0" applyBorder="1" applyFont="1"/>
    <xf borderId="24" fillId="0" fontId="2" numFmtId="0" xfId="0" applyBorder="1" applyFont="1"/>
    <xf borderId="25" fillId="0" fontId="20" numFmtId="0" xfId="0" applyAlignment="1" applyBorder="1" applyFont="1">
      <alignment readingOrder="0"/>
    </xf>
    <xf borderId="26" fillId="0" fontId="1" numFmtId="0" xfId="0" applyAlignment="1" applyBorder="1" applyFont="1">
      <alignment readingOrder="0"/>
    </xf>
    <xf borderId="21" fillId="0" fontId="1" numFmtId="0" xfId="0" applyAlignment="1" applyBorder="1" applyFont="1">
      <alignment readingOrder="0"/>
    </xf>
    <xf borderId="27" fillId="0" fontId="2" numFmtId="0" xfId="0" applyAlignment="1" applyBorder="1" applyFont="1">
      <alignment readingOrder="0"/>
    </xf>
    <xf borderId="28" fillId="0" fontId="2" numFmtId="0" xfId="0" applyBorder="1" applyFont="1"/>
    <xf borderId="26" fillId="0" fontId="21" numFmtId="0" xfId="0" applyBorder="1" applyFont="1"/>
    <xf borderId="26" fillId="0" fontId="21" numFmtId="3" xfId="0" applyBorder="1" applyFont="1" applyNumberFormat="1"/>
    <xf borderId="21" fillId="0" fontId="21" numFmtId="3" xfId="0" applyBorder="1" applyFont="1" applyNumberFormat="1"/>
    <xf borderId="27" fillId="0" fontId="22" numFmtId="0" xfId="0" applyAlignment="1" applyBorder="1" applyFont="1">
      <alignment horizontal="right" readingOrder="0" shrinkToFit="0" vertical="bottom" wrapText="0"/>
    </xf>
    <xf borderId="28" fillId="0" fontId="21" numFmtId="0" xfId="0" applyAlignment="1" applyBorder="1" applyFont="1">
      <alignment readingOrder="0"/>
    </xf>
    <xf borderId="21" fillId="0" fontId="21" numFmtId="3" xfId="0" applyAlignment="1" applyBorder="1" applyFont="1" applyNumberFormat="1">
      <alignment shrinkToFit="0" wrapText="1"/>
    </xf>
    <xf borderId="0" fillId="0" fontId="21" numFmtId="0" xfId="0" applyAlignment="1" applyFont="1">
      <alignment readingOrder="0"/>
    </xf>
    <xf borderId="0" fillId="0" fontId="21" numFmtId="0" xfId="0" applyFont="1"/>
    <xf borderId="1" fillId="0" fontId="1" numFmtId="0" xfId="0" applyAlignment="1" applyBorder="1" applyFont="1">
      <alignment horizontal="center" readingOrder="0" vertical="center"/>
    </xf>
    <xf borderId="1" fillId="0" fontId="21" numFmtId="0" xfId="0" applyAlignment="1" applyBorder="1" applyFont="1">
      <alignment horizontal="center" readingOrder="0" vertical="center"/>
    </xf>
    <xf borderId="1" fillId="0" fontId="21" numFmtId="0" xfId="0" applyAlignment="1" applyBorder="1" applyFont="1">
      <alignment horizontal="center" readingOrder="0" shrinkToFit="0" vertical="center" wrapText="1"/>
    </xf>
    <xf borderId="1" fillId="0" fontId="1" numFmtId="2" xfId="0" applyAlignment="1" applyBorder="1" applyFont="1" applyNumberFormat="1">
      <alignment horizontal="center" vertical="center"/>
    </xf>
    <xf borderId="1" fillId="0" fontId="21" numFmtId="165" xfId="0" applyAlignment="1" applyBorder="1" applyFont="1" applyNumberFormat="1">
      <alignment horizontal="center" vertical="center"/>
    </xf>
    <xf borderId="29" fillId="0" fontId="2" numFmtId="0" xfId="0" applyBorder="1" applyFont="1"/>
    <xf borderId="26" fillId="0" fontId="1" numFmtId="0" xfId="0" applyBorder="1" applyFont="1"/>
    <xf borderId="30" fillId="0" fontId="1" numFmtId="3" xfId="0" applyBorder="1" applyFont="1" applyNumberFormat="1"/>
    <xf borderId="31" fillId="0" fontId="1" numFmtId="3" xfId="0" applyBorder="1" applyFont="1" applyNumberFormat="1"/>
    <xf borderId="27" fillId="0" fontId="21" numFmtId="0" xfId="0" applyAlignment="1" applyBorder="1" applyFont="1">
      <alignment readingOrder="0"/>
    </xf>
    <xf borderId="1" fillId="0" fontId="21" numFmtId="0" xfId="0" applyAlignment="1" applyBorder="1" applyFont="1">
      <alignment horizontal="center" vertical="center"/>
    </xf>
    <xf borderId="21" fillId="0" fontId="23" numFmtId="0" xfId="0" applyAlignment="1" applyBorder="1" applyFont="1">
      <alignment readingOrder="0"/>
    </xf>
    <xf borderId="1" fillId="0" fontId="24" numFmtId="3" xfId="0" applyAlignment="1" applyBorder="1" applyFont="1" applyNumberFormat="1">
      <alignment readingOrder="0"/>
    </xf>
    <xf borderId="1" fillId="0" fontId="23" numFmtId="0" xfId="0" applyAlignment="1" applyBorder="1" applyFont="1">
      <alignment readingOrder="0"/>
    </xf>
    <xf borderId="19" fillId="2" fontId="25" numFmtId="0" xfId="0" applyAlignment="1" applyBorder="1" applyFont="1">
      <alignment horizontal="left" readingOrder="0"/>
    </xf>
    <xf borderId="19" fillId="0" fontId="2" numFmtId="0" xfId="0" applyBorder="1" applyFont="1"/>
    <xf borderId="1" fillId="0" fontId="23" numFmtId="3" xfId="0" applyAlignment="1" applyBorder="1" applyFont="1" applyNumberFormat="1">
      <alignment readingOrder="0"/>
    </xf>
    <xf borderId="1" fillId="0" fontId="26" numFmtId="3" xfId="0" applyAlignment="1" applyBorder="1" applyFont="1" applyNumberFormat="1">
      <alignment readingOrder="0"/>
    </xf>
    <xf borderId="0" fillId="2" fontId="27" numFmtId="0" xfId="0" applyAlignment="1" applyFont="1">
      <alignment horizontal="left" readingOrder="0"/>
    </xf>
    <xf borderId="0" fillId="0" fontId="2" numFmtId="165" xfId="0" applyFont="1" applyNumberFormat="1"/>
    <xf borderId="1" fillId="0" fontId="28" numFmtId="3" xfId="0" applyAlignment="1" applyBorder="1" applyFont="1" applyNumberFormat="1">
      <alignment readingOrder="0"/>
    </xf>
    <xf borderId="0" fillId="0" fontId="21" numFmtId="0" xfId="0" applyAlignment="1" applyFont="1">
      <alignment readingOrder="0" shrinkToFit="0" wrapText="1"/>
    </xf>
    <xf borderId="0" fillId="0" fontId="29" numFmtId="3" xfId="0" applyFont="1" applyNumberFormat="1"/>
    <xf borderId="18" fillId="0" fontId="30" numFmtId="3" xfId="0" applyAlignment="1" applyBorder="1" applyFont="1" applyNumberFormat="1">
      <alignment readingOrder="0" shrinkToFit="0" wrapText="1"/>
    </xf>
    <xf borderId="0" fillId="0" fontId="1" numFmtId="3" xfId="0" applyFont="1" applyNumberFormat="1"/>
    <xf borderId="0" fillId="0" fontId="31" numFmtId="3" xfId="0" applyFont="1" applyNumberFormat="1"/>
    <xf borderId="0" fillId="0" fontId="21" numFmtId="3" xfId="0" applyFont="1" applyNumberFormat="1"/>
    <xf borderId="0" fillId="0" fontId="15" numFmtId="0" xfId="0" applyAlignment="1" applyFont="1">
      <alignment readingOrder="0"/>
    </xf>
    <xf borderId="21" fillId="0" fontId="32" numFmtId="0" xfId="0" applyAlignment="1" applyBorder="1" applyFont="1">
      <alignment readingOrder="0" shrinkToFit="0" wrapText="1"/>
    </xf>
    <xf borderId="0" fillId="0" fontId="2" numFmtId="0" xfId="0" applyAlignment="1" applyFont="1">
      <alignment horizontal="left" readingOrder="0" shrinkToFit="0" wrapText="1"/>
    </xf>
    <xf borderId="5" fillId="0" fontId="33" numFmtId="0" xfId="0" applyAlignment="1" applyBorder="1" applyFont="1">
      <alignment readingOrder="0"/>
    </xf>
    <xf borderId="5" fillId="0" fontId="33" numFmtId="0" xfId="0" applyAlignment="1" applyBorder="1" applyFont="1">
      <alignment horizontal="center" readingOrder="0" shrinkToFit="0" wrapText="1"/>
    </xf>
    <xf borderId="5" fillId="0" fontId="34" numFmtId="0" xfId="0" applyAlignment="1" applyBorder="1" applyFont="1">
      <alignment horizontal="center" readingOrder="0" shrinkToFit="0" wrapText="1"/>
    </xf>
    <xf borderId="1" fillId="0" fontId="32" numFmtId="0" xfId="0" applyBorder="1" applyFont="1"/>
    <xf borderId="1" fillId="0" fontId="35" numFmtId="4" xfId="0" applyAlignment="1" applyBorder="1" applyFont="1" applyNumberFormat="1">
      <alignment vertical="bottom"/>
    </xf>
    <xf borderId="1" fillId="0" fontId="36" numFmtId="165" xfId="0" applyAlignment="1" applyBorder="1" applyFont="1" applyNumberFormat="1">
      <alignment horizontal="right" readingOrder="0" shrinkToFit="0" wrapText="0"/>
    </xf>
    <xf borderId="1" fillId="0" fontId="32" numFmtId="4" xfId="0" applyAlignment="1" applyBorder="1" applyFont="1" applyNumberFormat="1">
      <alignment horizontal="center" readingOrder="0" vertical="bottom"/>
    </xf>
    <xf borderId="1" fillId="2" fontId="37" numFmtId="4" xfId="0" applyAlignment="1" applyBorder="1" applyFont="1" applyNumberFormat="1">
      <alignment horizontal="center" readingOrder="0" vertical="bottom"/>
    </xf>
    <xf borderId="0" fillId="0" fontId="36" numFmtId="0" xfId="0" applyAlignment="1" applyFont="1">
      <alignment horizontal="right" readingOrder="0" shrinkToFit="0" wrapText="0"/>
    </xf>
    <xf borderId="1" fillId="0" fontId="35" numFmtId="4" xfId="0" applyAlignment="1" applyBorder="1" applyFont="1" applyNumberFormat="1">
      <alignment readingOrder="0" vertical="bottom"/>
    </xf>
    <xf borderId="1" fillId="2" fontId="37" numFmtId="4" xfId="0" applyAlignment="1" applyBorder="1" applyFont="1" applyNumberFormat="1">
      <alignment horizontal="center" readingOrder="0"/>
    </xf>
    <xf borderId="0" fillId="0" fontId="5" numFmtId="0" xfId="0" applyFont="1"/>
    <xf borderId="1" fillId="0" fontId="0" numFmtId="0" xfId="0" applyBorder="1" applyFont="1"/>
    <xf borderId="1" fillId="0" fontId="0"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Dead on the roads per 100 thousand population</a:t>
            </a:r>
          </a:p>
        </c:rich>
      </c:tx>
      <c:overlay val="0"/>
    </c:title>
    <c:plotArea>
      <c:layout>
        <c:manualLayout>
          <c:xMode val="edge"/>
          <c:yMode val="edge"/>
          <c:x val="0.07781827212199315"/>
          <c:y val="0.08149171270718232"/>
          <c:w val="0.9221817278780069"/>
          <c:h val="0.6719413557269521"/>
        </c:manualLayout>
      </c:layout>
      <c:barChart>
        <c:barDir val="col"/>
        <c:ser>
          <c:idx val="0"/>
          <c:order val="0"/>
          <c:tx>
            <c:strRef>
              <c:f>'Сравнение России с ключевыми ст'!$B$4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ст'!$C$3:$L$3</c:f>
            </c:strRef>
          </c:cat>
          <c:val>
            <c:numRef>
              <c:f>'Сравнение России с ключевыми ст'!$C$4:$L$4</c:f>
              <c:numCache/>
            </c:numRef>
          </c:val>
        </c:ser>
        <c:axId val="577556889"/>
        <c:axId val="528551318"/>
      </c:barChart>
      <c:catAx>
        <c:axId val="577556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8551318"/>
      </c:catAx>
      <c:valAx>
        <c:axId val="5285513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755688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Three scenarios of mortality reduction on roads in Russia</a:t>
            </a:r>
          </a:p>
        </c:rich>
      </c:tx>
      <c:overlay val="0"/>
    </c:title>
    <c:plotArea>
      <c:layout/>
      <c:lineChart>
        <c:ser>
          <c:idx val="0"/>
          <c:order val="0"/>
          <c:tx>
            <c:strRef>
              <c:f>'Сценарии смертности в ДТП'!$C$1:$C$3</c:f>
            </c:strRef>
          </c:tx>
          <c:spPr>
            <a:ln cmpd="sng">
              <a:solidFill>
                <a:srgbClr val="4472C4"/>
              </a:solidFill>
            </a:ln>
          </c:spPr>
          <c:marker>
            <c:symbol val="none"/>
          </c:marker>
          <c:cat>
            <c:strRef>
              <c:f>'Сценарии смертности в ДТП'!$B$4:$B$16</c:f>
            </c:strRef>
          </c:cat>
          <c:val>
            <c:numRef>
              <c:f>'Сценарии смертности в ДТП'!$C$4:$C$16</c:f>
              <c:numCache/>
            </c:numRef>
          </c:val>
          <c:smooth val="0"/>
        </c:ser>
        <c:ser>
          <c:idx val="1"/>
          <c:order val="1"/>
          <c:tx>
            <c:strRef>
              <c:f>'Сценарии смертности в ДТП'!$D$1:$D$3</c:f>
            </c:strRef>
          </c:tx>
          <c:spPr>
            <a:ln cmpd="sng">
              <a:solidFill>
                <a:srgbClr val="ED7D31"/>
              </a:solidFill>
            </a:ln>
          </c:spPr>
          <c:marker>
            <c:symbol val="none"/>
          </c:marker>
          <c:cat>
            <c:strRef>
              <c:f>'Сценарии смертности в ДТП'!$B$4:$B$16</c:f>
            </c:strRef>
          </c:cat>
          <c:val>
            <c:numRef>
              <c:f>'Сценарии смертности в ДТП'!$D$4:$D$16</c:f>
              <c:numCache/>
            </c:numRef>
          </c:val>
          <c:smooth val="0"/>
        </c:ser>
        <c:ser>
          <c:idx val="2"/>
          <c:order val="2"/>
          <c:tx>
            <c:strRef>
              <c:f>'Сценарии смертности в ДТП'!$E$1:$E$3</c:f>
            </c:strRef>
          </c:tx>
          <c:spPr>
            <a:ln cmpd="sng">
              <a:solidFill>
                <a:srgbClr val="A5A5A5"/>
              </a:solidFill>
            </a:ln>
          </c:spPr>
          <c:marker>
            <c:symbol val="none"/>
          </c:marker>
          <c:cat>
            <c:strRef>
              <c:f>'Сценарии смертности в ДТП'!$B$4:$B$16</c:f>
            </c:strRef>
          </c:cat>
          <c:val>
            <c:numRef>
              <c:f>'Сценарии смертности в ДТП'!$E$4:$E$16</c:f>
              <c:numCache/>
            </c:numRef>
          </c:val>
          <c:smooth val="0"/>
        </c:ser>
        <c:axId val="903596300"/>
        <c:axId val="175426445"/>
      </c:lineChart>
      <c:catAx>
        <c:axId val="903596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75426445"/>
      </c:catAx>
      <c:valAx>
        <c:axId val="1754264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359630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3000">
                <a:solidFill>
                  <a:srgbClr val="757575"/>
                </a:solidFill>
                <a:latin typeface="+mn-lt"/>
              </a:defRPr>
            </a:pPr>
            <a:r>
              <a:rPr b="0" sz="3000">
                <a:solidFill>
                  <a:srgbClr val="757575"/>
                </a:solidFill>
                <a:latin typeface="+mn-lt"/>
              </a:rPr>
              <a:t>Статистика ДТП за 2020 год в разных регионах РФ (всего человек)</a:t>
            </a:r>
          </a:p>
        </c:rich>
      </c:tx>
      <c:overlay val="0"/>
    </c:title>
    <c:plotArea>
      <c:layout/>
      <c:barChart>
        <c:barDir val="col"/>
        <c:ser>
          <c:idx val="0"/>
          <c:order val="0"/>
          <c:tx>
            <c:strRef>
              <c:f>'ДТП в регионах'!$C$3</c:f>
            </c:strRef>
          </c:tx>
          <c:spPr>
            <a:solidFill>
              <a:schemeClr val="accent1"/>
            </a:solidFill>
            <a:ln cmpd="sng">
              <a:solidFill>
                <a:srgbClr val="000000"/>
              </a:solidFill>
            </a:ln>
          </c:spPr>
          <c:cat>
            <c:strRef>
              <c:f>'ДТП в регионах'!$B$4:$B$13</c:f>
            </c:strRef>
          </c:cat>
          <c:val>
            <c:numRef>
              <c:f>'ДТП в регионах'!$C$4:$C$13</c:f>
              <c:numCache/>
            </c:numRef>
          </c:val>
        </c:ser>
        <c:ser>
          <c:idx val="1"/>
          <c:order val="1"/>
          <c:tx>
            <c:strRef>
              <c:f>'ДТП в регионах'!$D$3</c:f>
            </c:strRef>
          </c:tx>
          <c:spPr>
            <a:solidFill>
              <a:schemeClr val="accent2"/>
            </a:solidFill>
            <a:ln cmpd="sng">
              <a:solidFill>
                <a:srgbClr val="000000"/>
              </a:solidFill>
            </a:ln>
          </c:spPr>
          <c:cat>
            <c:strRef>
              <c:f>'ДТП в регионах'!$B$4:$B$13</c:f>
            </c:strRef>
          </c:cat>
          <c:val>
            <c:numRef>
              <c:f>'ДТП в регионах'!$D$4:$D$13</c:f>
              <c:numCache/>
            </c:numRef>
          </c:val>
        </c:ser>
        <c:ser>
          <c:idx val="2"/>
          <c:order val="2"/>
          <c:tx>
            <c:strRef>
              <c:f>'ДТП в регионах'!$E$3</c:f>
            </c:strRef>
          </c:tx>
          <c:spPr>
            <a:solidFill>
              <a:schemeClr val="accent3"/>
            </a:solidFill>
            <a:ln cmpd="sng">
              <a:solidFill>
                <a:srgbClr val="000000"/>
              </a:solidFill>
            </a:ln>
          </c:spPr>
          <c:cat>
            <c:strRef>
              <c:f>'ДТП в регионах'!$B$4:$B$13</c:f>
            </c:strRef>
          </c:cat>
          <c:val>
            <c:numRef>
              <c:f>'ДТП в регионах'!$E$4:$E$13</c:f>
              <c:numCache/>
            </c:numRef>
          </c:val>
        </c:ser>
        <c:axId val="1399849545"/>
        <c:axId val="1675339154"/>
      </c:barChart>
      <c:catAx>
        <c:axId val="13998495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Представитель федерального округа</a:t>
                </a:r>
              </a:p>
            </c:rich>
          </c:tx>
          <c:overlay val="0"/>
        </c:title>
        <c:numFmt formatCode="General" sourceLinked="1"/>
        <c:majorTickMark val="none"/>
        <c:minorTickMark val="none"/>
        <c:spPr/>
        <c:txPr>
          <a:bodyPr/>
          <a:lstStyle/>
          <a:p>
            <a:pPr lvl="0">
              <a:defRPr b="0">
                <a:solidFill>
                  <a:srgbClr val="000000"/>
                </a:solidFill>
                <a:latin typeface="+mn-lt"/>
              </a:defRPr>
            </a:pPr>
          </a:p>
        </c:txPr>
        <c:crossAx val="1675339154"/>
      </c:catAx>
      <c:valAx>
        <c:axId val="1675339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984954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Автомобилизация на 2020 год </a:t>
            </a:r>
          </a:p>
        </c:rich>
      </c:tx>
      <c:overlay val="0"/>
    </c:title>
    <c:plotArea>
      <c:layout/>
      <c:barChart>
        <c:barDir val="col"/>
        <c:ser>
          <c:idx val="0"/>
          <c:order val="0"/>
          <c:tx>
            <c:strRef>
              <c:f>'Доп инфа (неактуально)'!$B$4</c:f>
            </c:strRef>
          </c:tx>
          <c:spPr>
            <a:solidFill>
              <a:schemeClr val="accent1"/>
            </a:solidFill>
            <a:ln cmpd="sng">
              <a:solidFill>
                <a:srgbClr val="000000"/>
              </a:solidFill>
            </a:ln>
          </c:spPr>
          <c:cat>
            <c:strRef>
              <c:f>'Доп инфа (неактуально)'!$C$3:$G$3</c:f>
            </c:strRef>
          </c:cat>
          <c:val>
            <c:numRef>
              <c:f>'Доп инфа (неактуально)'!$C$4:$G$4</c:f>
              <c:numCache/>
            </c:numRef>
          </c:val>
        </c:ser>
        <c:axId val="642205220"/>
        <c:axId val="943699106"/>
      </c:barChart>
      <c:catAx>
        <c:axId val="642205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Страна</a:t>
                </a:r>
              </a:p>
            </c:rich>
          </c:tx>
          <c:overlay val="0"/>
        </c:title>
        <c:numFmt formatCode="General" sourceLinked="1"/>
        <c:majorTickMark val="none"/>
        <c:minorTickMark val="none"/>
        <c:spPr/>
        <c:txPr>
          <a:bodyPr/>
          <a:lstStyle/>
          <a:p>
            <a:pPr lvl="0">
              <a:defRPr b="0">
                <a:solidFill>
                  <a:srgbClr val="000000"/>
                </a:solidFill>
                <a:latin typeface="+mn-lt"/>
              </a:defRPr>
            </a:pPr>
          </a:p>
        </c:txPr>
        <c:crossAx val="943699106"/>
      </c:catAx>
      <c:valAx>
        <c:axId val="9436991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Машин на 1000 человек</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2205220"/>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'Доп инфа (неактуально)'!$B$29:$B$38</c:f>
            </c:strRef>
          </c:cat>
          <c:val>
            <c:numRef>
              <c:f>'Доп инфа (неактуально)'!$C$29:$C$38</c:f>
              <c:numCache/>
            </c:numRef>
          </c:val>
        </c:ser>
        <c:axId val="407273829"/>
        <c:axId val="1240300445"/>
      </c:barChart>
      <c:catAx>
        <c:axId val="407273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Пострадавших на 100 тыс.</a:t>
                </a:r>
              </a:p>
            </c:rich>
          </c:tx>
          <c:overlay val="0"/>
        </c:title>
        <c:numFmt formatCode="General" sourceLinked="1"/>
        <c:majorTickMark val="none"/>
        <c:minorTickMark val="none"/>
        <c:spPr/>
        <c:txPr>
          <a:bodyPr/>
          <a:lstStyle/>
          <a:p>
            <a:pPr lvl="0">
              <a:defRPr b="0">
                <a:solidFill>
                  <a:srgbClr val="000000"/>
                </a:solidFill>
                <a:latin typeface="+mn-lt"/>
              </a:defRPr>
            </a:pPr>
          </a:p>
        </c:txPr>
        <c:crossAx val="1240300445"/>
      </c:catAx>
      <c:valAx>
        <c:axId val="12403004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727382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'Доп инфа (неактуально)'!$B$43:$B$52</c:f>
            </c:strRef>
          </c:cat>
          <c:val>
            <c:numRef>
              <c:f>'Доп инфа (неактуально)'!$C$43:$C$52</c:f>
              <c:numCache/>
            </c:numRef>
          </c:val>
        </c:ser>
        <c:axId val="2034692539"/>
        <c:axId val="1251491138"/>
      </c:barChart>
      <c:catAx>
        <c:axId val="20346925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Погибших на 100 тыс. пострадавших</a:t>
                </a:r>
              </a:p>
            </c:rich>
          </c:tx>
          <c:overlay val="0"/>
        </c:title>
        <c:numFmt formatCode="General" sourceLinked="1"/>
        <c:majorTickMark val="none"/>
        <c:minorTickMark val="none"/>
        <c:spPr/>
        <c:txPr>
          <a:bodyPr/>
          <a:lstStyle/>
          <a:p>
            <a:pPr lvl="0">
              <a:defRPr b="0">
                <a:solidFill>
                  <a:srgbClr val="000000"/>
                </a:solidFill>
                <a:latin typeface="+mn-lt"/>
              </a:defRPr>
            </a:pPr>
          </a:p>
        </c:txPr>
        <c:crossAx val="1251491138"/>
      </c:catAx>
      <c:valAx>
        <c:axId val="1251491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469253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202122"/>
                </a:solidFill>
                <a:latin typeface="+mn-lt"/>
              </a:defRPr>
            </a:pPr>
            <a:r>
              <a:rPr b="0">
                <a:solidFill>
                  <a:srgbClr val="202122"/>
                </a:solidFill>
                <a:latin typeface="+mn-lt"/>
              </a:rPr>
              <a:t>The average macimal speed for the city </a:t>
            </a:r>
          </a:p>
        </c:rich>
      </c:tx>
      <c:overlay val="0"/>
    </c:title>
    <c:plotArea>
      <c:layout/>
      <c:barChart>
        <c:barDir val="col"/>
        <c:ser>
          <c:idx val="0"/>
          <c:order val="0"/>
          <c:tx>
            <c:strRef>
              <c:f>'Сравнение России с ключевыми ст'!$B$9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ст'!$C$8:$L$8</c:f>
            </c:strRef>
          </c:cat>
          <c:val>
            <c:numRef>
              <c:f>'Сравнение России с ключевыми ст'!$C$9:$L$9</c:f>
              <c:numCache/>
            </c:numRef>
          </c:val>
        </c:ser>
        <c:axId val="1500848107"/>
        <c:axId val="527453462"/>
      </c:barChart>
      <c:catAx>
        <c:axId val="1500848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7453462"/>
      </c:catAx>
      <c:valAx>
        <c:axId val="527453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084810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202122"/>
                </a:solidFill>
                <a:latin typeface="Roboto"/>
              </a:defRPr>
            </a:pPr>
            <a:r>
              <a:rPr b="0" sz="2000">
                <a:solidFill>
                  <a:srgbClr val="202122"/>
                </a:solidFill>
                <a:latin typeface="Roboto"/>
              </a:rPr>
              <a:t>GNI* per capita</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ст'!$C$3:$L$3</c:f>
            </c:strRef>
          </c:cat>
          <c:val>
            <c:numRef>
              <c:f>'Сравнение России с ключевыми ст'!$C$5:$L$5</c:f>
              <c:numCache/>
            </c:numRef>
          </c:val>
        </c:ser>
        <c:axId val="936669369"/>
        <c:axId val="441119751"/>
      </c:barChart>
      <c:catAx>
        <c:axId val="936669369"/>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441119751"/>
      </c:catAx>
      <c:valAx>
        <c:axId val="441119751"/>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6669369"/>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ст'!$C$3:$L$3</c:f>
            </c:strRef>
          </c:cat>
          <c:val>
            <c:numRef>
              <c:f>'Сравнение России с ключевыми ст'!$C$13:$L$13</c:f>
              <c:numCache/>
            </c:numRef>
          </c:val>
        </c:ser>
        <c:axId val="166668366"/>
        <c:axId val="2145998169"/>
      </c:barChart>
      <c:catAx>
        <c:axId val="166668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5998169"/>
      </c:catAx>
      <c:valAx>
        <c:axId val="2145998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66836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Three scenarios of mortality reduction on roads in Russia</a:t>
            </a:r>
          </a:p>
        </c:rich>
      </c:tx>
      <c:overlay val="0"/>
    </c:title>
    <c:plotArea>
      <c:layout/>
      <c:lineChart>
        <c:ser>
          <c:idx val="0"/>
          <c:order val="0"/>
          <c:tx>
            <c:strRef>
              <c:f>'Сценарии смертности в ДТП'!$C$1:$C$3</c:f>
            </c:strRef>
          </c:tx>
          <c:spPr>
            <a:ln cmpd="sng">
              <a:solidFill>
                <a:srgbClr val="4472C4"/>
              </a:solidFill>
            </a:ln>
          </c:spPr>
          <c:marker>
            <c:symbol val="none"/>
          </c:marker>
          <c:cat>
            <c:strRef>
              <c:f>'Сценарии смертности в ДТП'!$B$4:$B$16</c:f>
            </c:strRef>
          </c:cat>
          <c:val>
            <c:numRef>
              <c:f>'Сценарии смертности в ДТП'!$C$4:$C$16</c:f>
              <c:numCache/>
            </c:numRef>
          </c:val>
          <c:smooth val="0"/>
        </c:ser>
        <c:ser>
          <c:idx val="1"/>
          <c:order val="1"/>
          <c:tx>
            <c:strRef>
              <c:f>'Сценарии смертности в ДТП'!$D$1:$D$3</c:f>
            </c:strRef>
          </c:tx>
          <c:spPr>
            <a:ln cmpd="sng">
              <a:solidFill>
                <a:srgbClr val="ED7D31"/>
              </a:solidFill>
            </a:ln>
          </c:spPr>
          <c:marker>
            <c:symbol val="none"/>
          </c:marker>
          <c:cat>
            <c:strRef>
              <c:f>'Сценарии смертности в ДТП'!$B$4:$B$16</c:f>
            </c:strRef>
          </c:cat>
          <c:val>
            <c:numRef>
              <c:f>'Сценарии смертности в ДТП'!$D$4:$D$16</c:f>
              <c:numCache/>
            </c:numRef>
          </c:val>
          <c:smooth val="0"/>
        </c:ser>
        <c:ser>
          <c:idx val="2"/>
          <c:order val="2"/>
          <c:tx>
            <c:strRef>
              <c:f>'Сценарии смертности в ДТП'!$E$1:$E$3</c:f>
            </c:strRef>
          </c:tx>
          <c:spPr>
            <a:ln cmpd="sng">
              <a:solidFill>
                <a:srgbClr val="A5A5A5"/>
              </a:solidFill>
            </a:ln>
          </c:spPr>
          <c:marker>
            <c:symbol val="none"/>
          </c:marker>
          <c:cat>
            <c:strRef>
              <c:f>'Сценарии смертности в ДТП'!$B$4:$B$16</c:f>
            </c:strRef>
          </c:cat>
          <c:val>
            <c:numRef>
              <c:f>'Сценарии смертности в ДТП'!$E$4:$E$16</c:f>
              <c:numCache/>
            </c:numRef>
          </c:val>
          <c:smooth val="0"/>
        </c:ser>
        <c:axId val="1536358286"/>
        <c:axId val="756045461"/>
      </c:lineChart>
      <c:catAx>
        <c:axId val="15363582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756045461"/>
      </c:catAx>
      <c:valAx>
        <c:axId val="7560454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635828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781827212199315"/>
          <c:y val="0.08149171270718232"/>
          <c:w val="0.9221817278780069"/>
          <c:h val="0.6719413557269521"/>
        </c:manualLayout>
      </c:layout>
      <c:barChart>
        <c:barDir val="col"/>
        <c:ser>
          <c:idx val="0"/>
          <c:order val="0"/>
          <c:tx>
            <c:strRef>
              <c:f>'Сравнение России с ключевыми ст'!$B$4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ст'!$C$3:$L$3</c:f>
            </c:strRef>
          </c:cat>
          <c:val>
            <c:numRef>
              <c:f>'Сравнение России с ключевыми ст'!$C$4:$L$4</c:f>
              <c:numCache/>
            </c:numRef>
          </c:val>
        </c:ser>
        <c:axId val="1631594903"/>
        <c:axId val="1126990606"/>
      </c:barChart>
      <c:catAx>
        <c:axId val="1631594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6990606"/>
      </c:catAx>
      <c:valAx>
        <c:axId val="11269906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159490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202122"/>
                </a:solidFill>
                <a:latin typeface="+mn-lt"/>
              </a:defRPr>
            </a:pPr>
            <a:r>
              <a:rPr b="0">
                <a:solidFill>
                  <a:srgbClr val="202122"/>
                </a:solidFill>
                <a:latin typeface="+mn-lt"/>
              </a:rPr>
              <a:t>Максимальная реальная скорость в черте города</a:t>
            </a:r>
          </a:p>
        </c:rich>
      </c:tx>
      <c:overlay val="0"/>
    </c:title>
    <c:plotArea>
      <c:layout/>
      <c:barChart>
        <c:barDir val="col"/>
        <c:ser>
          <c:idx val="0"/>
          <c:order val="0"/>
          <c:tx>
            <c:strRef>
              <c:f>'Сравнение России с ключевыми ст'!$B$9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ст'!$C$8:$L$8</c:f>
            </c:strRef>
          </c:cat>
          <c:val>
            <c:numRef>
              <c:f>'Сравнение России с ключевыми ст'!$C$9:$L$9</c:f>
              <c:numCache/>
            </c:numRef>
          </c:val>
        </c:ser>
        <c:axId val="178229183"/>
        <c:axId val="1486117420"/>
      </c:barChart>
      <c:catAx>
        <c:axId val="1782291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6117420"/>
      </c:catAx>
      <c:valAx>
        <c:axId val="14861174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22918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202122"/>
                </a:solidFill>
                <a:latin typeface="Roboto"/>
              </a:defRPr>
            </a:pPr>
            <a:r>
              <a:rPr b="0" sz="2000">
                <a:solidFill>
                  <a:srgbClr val="202122"/>
                </a:solidFill>
                <a:latin typeface="Roboto"/>
              </a:rPr>
              <a:t>ВНД на душу населения </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ст'!$C$3:$L$3</c:f>
            </c:strRef>
          </c:cat>
          <c:val>
            <c:numRef>
              <c:f>'Сравнение России с ключевыми ст'!$C$5:$L$5</c:f>
              <c:numCache/>
            </c:numRef>
          </c:val>
        </c:ser>
        <c:axId val="621446264"/>
        <c:axId val="471766620"/>
      </c:barChart>
      <c:catAx>
        <c:axId val="621446264"/>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471766620"/>
      </c:catAx>
      <c:valAx>
        <c:axId val="4717666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1446264"/>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'Сравнение России с ключевыми ст'!$C$3:$L$3</c:f>
            </c:strRef>
          </c:cat>
          <c:val>
            <c:numRef>
              <c:f>'Сравнение России с ключевыми ст'!$C$13:$L$13</c:f>
              <c:numCache/>
            </c:numRef>
          </c:val>
        </c:ser>
        <c:axId val="622575296"/>
        <c:axId val="1555801050"/>
      </c:barChart>
      <c:catAx>
        <c:axId val="622575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5801050"/>
      </c:catAx>
      <c:valAx>
        <c:axId val="15558010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257529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342900</xdr:colOff>
      <xdr:row>0</xdr:row>
      <xdr:rowOff>333375</xdr:rowOff>
    </xdr:from>
    <xdr:ext cx="5619750" cy="3467100"/>
    <xdr:graphicFrame>
      <xdr:nvGraphicFramePr>
        <xdr:cNvPr id="8331622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9525</xdr:colOff>
      <xdr:row>0</xdr:row>
      <xdr:rowOff>314325</xdr:rowOff>
    </xdr:from>
    <xdr:ext cx="5657850" cy="3371850"/>
    <xdr:graphicFrame>
      <xdr:nvGraphicFramePr>
        <xdr:cNvPr id="127436090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342900</xdr:colOff>
      <xdr:row>8</xdr:row>
      <xdr:rowOff>666750</xdr:rowOff>
    </xdr:from>
    <xdr:ext cx="5619750" cy="3514725"/>
    <xdr:graphicFrame>
      <xdr:nvGraphicFramePr>
        <xdr:cNvPr id="107478551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19</xdr:col>
      <xdr:colOff>9525</xdr:colOff>
      <xdr:row>8</xdr:row>
      <xdr:rowOff>685800</xdr:rowOff>
    </xdr:from>
    <xdr:ext cx="5657850" cy="3514725"/>
    <xdr:graphicFrame>
      <xdr:nvGraphicFramePr>
        <xdr:cNvPr id="1958381146"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1</xdr:row>
      <xdr:rowOff>38100</xdr:rowOff>
    </xdr:from>
    <xdr:ext cx="6286500" cy="3886200"/>
    <xdr:graphicFrame>
      <xdr:nvGraphicFramePr>
        <xdr:cNvPr id="1665222972"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266700</xdr:colOff>
      <xdr:row>3</xdr:row>
      <xdr:rowOff>0</xdr:rowOff>
    </xdr:from>
    <xdr:ext cx="5362575" cy="3324225"/>
    <xdr:graphicFrame>
      <xdr:nvGraphicFramePr>
        <xdr:cNvPr id="1486324774" name="Chart 6"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923925</xdr:colOff>
      <xdr:row>3</xdr:row>
      <xdr:rowOff>0</xdr:rowOff>
    </xdr:from>
    <xdr:ext cx="5362575" cy="3324225"/>
    <xdr:graphicFrame>
      <xdr:nvGraphicFramePr>
        <xdr:cNvPr id="1723491023" name="Chart 7"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266700</xdr:colOff>
      <xdr:row>10</xdr:row>
      <xdr:rowOff>400050</xdr:rowOff>
    </xdr:from>
    <xdr:ext cx="5400675" cy="3371850"/>
    <xdr:graphicFrame>
      <xdr:nvGraphicFramePr>
        <xdr:cNvPr id="191742906" name="Chart 8"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17</xdr:col>
      <xdr:colOff>923925</xdr:colOff>
      <xdr:row>10</xdr:row>
      <xdr:rowOff>400050</xdr:rowOff>
    </xdr:from>
    <xdr:ext cx="5362575" cy="3371850"/>
    <xdr:graphicFrame>
      <xdr:nvGraphicFramePr>
        <xdr:cNvPr id="395210410" name="Chart 9"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0</xdr:row>
      <xdr:rowOff>600075</xdr:rowOff>
    </xdr:from>
    <xdr:ext cx="5715000" cy="3533775"/>
    <xdr:graphicFrame>
      <xdr:nvGraphicFramePr>
        <xdr:cNvPr id="1269722210" name="Chart 10"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180975</xdr:rowOff>
    </xdr:from>
    <xdr:ext cx="9401175" cy="5819775"/>
    <xdr:graphicFrame>
      <xdr:nvGraphicFramePr>
        <xdr:cNvPr id="1950445238" name="Chart 1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5</xdr:row>
      <xdr:rowOff>9525</xdr:rowOff>
    </xdr:from>
    <xdr:ext cx="5715000" cy="3533775"/>
    <xdr:graphicFrame>
      <xdr:nvGraphicFramePr>
        <xdr:cNvPr id="307900195" name="Chart 12"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600075</xdr:colOff>
      <xdr:row>27</xdr:row>
      <xdr:rowOff>38100</xdr:rowOff>
    </xdr:from>
    <xdr:ext cx="6143625" cy="2152650"/>
    <xdr:graphicFrame>
      <xdr:nvGraphicFramePr>
        <xdr:cNvPr id="1895537662" name="Chart 13"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666750</xdr:colOff>
      <xdr:row>40</xdr:row>
      <xdr:rowOff>47625</xdr:rowOff>
    </xdr:from>
    <xdr:ext cx="6086475" cy="2238375"/>
    <xdr:graphicFrame>
      <xdr:nvGraphicFramePr>
        <xdr:cNvPr id="1040754519" name="Chart 14"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NY.GNP.PCAP.C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ssb.no/en/statbank/table/12044/tableViewLayout1/" TargetMode="External"/><Relationship Id="rId3" Type="http://schemas.openxmlformats.org/officeDocument/2006/relationships/drawing" Target="../drawings/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4.56"/>
    <col customWidth="1" min="2" max="2" width="24.33"/>
    <col customWidth="1" min="3" max="3" width="11.44"/>
    <col customWidth="1" min="13" max="13" width="3.22"/>
  </cols>
  <sheetData>
    <row r="1" ht="62.25" customHeight="1">
      <c r="A1" s="1" t="str">
        <f>IFERROR(__xludf.DUMMYFUNCTION("GOOGLETRANSLATE('Сравнение России с ключевыми ст'!A1,""ru"",""en"")"),"Key thoughts: one of the key factors of high mortality in the Russian Federation can be considered an unreasonably high threshold of the maximum permissible speed and the lack of proper punishment for drunk driving (and not its maximum permissible blood c"&amp;"ontent). Despite the fact that the connection between low mortality and developed economies is present, there are a number of poorer or similar countries where mortality on roads below.")</f>
        <v>Key thoughts: one of the key factors of high mortality in the Russian Federation can be considered an unreasonably high threshold of the maximum permissible speed and the lack of proper punishment for drunk driving (and not its maximum permissible blood content). Despite the fact that the connection between low mortality and developed economies is present, there are a number of poorer or similar countries where mortality on roads below.</v>
      </c>
    </row>
    <row r="2">
      <c r="A2" s="2"/>
      <c r="B2" s="3" t="str">
        <f>IFERROR(__xludf.DUMMYFUNCTION("GOOGLETRANSLATE('Сравнение России с ключевыми ст'!B2,""ru"",""en"")"),"The relationship of mortality in an accident per capita with welfare, speed regime and alcohol (all data for 2016)")</f>
        <v>The relationship of mortality in an accident per capita with welfare, speed regime and alcohol (all data for 2016)</v>
      </c>
      <c r="C2" s="4"/>
      <c r="D2" s="4"/>
      <c r="E2" s="4"/>
      <c r="F2" s="4"/>
      <c r="G2" s="4"/>
      <c r="H2" s="4"/>
      <c r="I2" s="4"/>
      <c r="J2" s="4"/>
      <c r="K2" s="4"/>
      <c r="L2" s="5"/>
    </row>
    <row r="3">
      <c r="A3" s="2" t="str">
        <f>IFERROR(__xludf.DUMMYFUNCTION("GOOGLETRANSLATE('Сравнение России с ключевыми ст'!A3,""ru"",""en"")"),"No.")</f>
        <v>No.</v>
      </c>
      <c r="B3" s="6" t="str">
        <f>IFERROR(__xludf.DUMMYFUNCTION("GOOGLETRANSLATE('Сравнение России с ключевыми ст'!B3,""ru"",""en"")"),"Indicator/country")</f>
        <v>Indicator/country</v>
      </c>
      <c r="C3" s="6" t="str">
        <f>IFERROR(__xludf.DUMMYFUNCTION("GOOGLETRANSLATE('Сравнение России с ключевыми ст'!C3,""ru"",""en"")"),"Russia")</f>
        <v>Russia</v>
      </c>
      <c r="D3" s="6" t="str">
        <f>IFERROR(__xludf.DUMMYFUNCTION("GOOGLETRANSLATE('Сравнение России с ключевыми ст'!D3,""ru"",""en"")"),"Turkey")</f>
        <v>Turkey</v>
      </c>
      <c r="E3" s="6" t="str">
        <f>IFERROR(__xludf.DUMMYFUNCTION("GOOGLETRANSLATE('Сравнение России с ключевыми ст'!E3,""ru"",""en"")"),"Brazil")</f>
        <v>Brazil</v>
      </c>
      <c r="F3" s="6" t="str">
        <f>IFERROR(__xludf.DUMMYFUNCTION("GOOGLETRANSLATE('Сравнение России с ключевыми ст'!F3,""ru"",""en"")"),"Romania")</f>
        <v>Romania</v>
      </c>
      <c r="G3" s="6" t="str">
        <f>IFERROR(__xludf.DUMMYFUNCTION("GOOGLETRANSLATE('Сравнение России с ключевыми ст'!G3,""ru"",""en"")"),"Malaysia")</f>
        <v>Malaysia</v>
      </c>
      <c r="H3" s="6" t="str">
        <f>IFERROR(__xludf.DUMMYFUNCTION("GOOGLETRANSLATE('Сравнение России с ключевыми ст'!H3,""ru"",""en"")"),"France")</f>
        <v>France</v>
      </c>
      <c r="I3" s="6" t="str">
        <f>IFERROR(__xludf.DUMMYFUNCTION("GOOGLETRANSLATE('Сравнение России с ключевыми ст'!I3,""ru"",""en"")"),"United Kingdom")</f>
        <v>United Kingdom</v>
      </c>
      <c r="J3" s="6" t="str">
        <f>IFERROR(__xludf.DUMMYFUNCTION("GOOGLETRANSLATE('Сравнение России с ключевыми ст'!J3,""ru"",""en"")"),"USA")</f>
        <v>USA</v>
      </c>
      <c r="K3" s="6" t="str">
        <f>IFERROR(__xludf.DUMMYFUNCTION("GOOGLETRANSLATE('Сравнение России с ключевыми ст'!K3,""ru"",""en"")"),"China")</f>
        <v>China</v>
      </c>
      <c r="L3" s="6" t="str">
        <f>IFERROR(__xludf.DUMMYFUNCTION("GOOGLETRANSLATE('Сравнение России с ключевыми ст'!L3,""ru"",""en"")"),"Moldova")</f>
        <v>Moldova</v>
      </c>
    </row>
    <row r="4">
      <c r="A4" s="7">
        <v>1.0</v>
      </c>
      <c r="B4" s="6" t="str">
        <f>IFERROR(__xludf.DUMMYFUNCTION("GOOGLETRANSLATE('Сравнение России с ключевыми ст'!B4,""ru"",""en"")"),"Dead on the roads
 per 100 thousand population")</f>
        <v>Dead on the roads
 per 100 thousand population</v>
      </c>
      <c r="C4" s="8">
        <v>18.0</v>
      </c>
      <c r="D4" s="8">
        <v>12.3</v>
      </c>
      <c r="E4" s="8">
        <v>19.7</v>
      </c>
      <c r="F4" s="8">
        <v>10.3</v>
      </c>
      <c r="G4" s="8">
        <v>23.6</v>
      </c>
      <c r="H4" s="8">
        <v>5.5</v>
      </c>
      <c r="I4" s="8">
        <v>3.1</v>
      </c>
      <c r="J4" s="8">
        <v>12.4</v>
      </c>
      <c r="K4" s="8">
        <v>18.2</v>
      </c>
      <c r="L4" s="8">
        <v>9.7</v>
      </c>
    </row>
    <row r="5">
      <c r="A5" s="7">
        <v>2.0</v>
      </c>
      <c r="B5" s="6" t="str">
        <f>IFERROR(__xludf.DUMMYFUNCTION("GOOGLETRANSLATE('Сравнение России с ключевыми ст'!B5,""ru"",""en"")"),"GNI* per capita")</f>
        <v>GNI* per capita</v>
      </c>
      <c r="C5" s="9">
        <v>9730.0</v>
      </c>
      <c r="D5" s="9">
        <v>11260.0</v>
      </c>
      <c r="E5" s="9">
        <v>8920.0</v>
      </c>
      <c r="F5" s="9">
        <v>9620.0</v>
      </c>
      <c r="G5" s="9">
        <v>10150.0</v>
      </c>
      <c r="H5" s="9">
        <v>39070.0</v>
      </c>
      <c r="I5" s="9">
        <v>42940.0</v>
      </c>
      <c r="J5" s="9">
        <v>57270.0</v>
      </c>
      <c r="K5" s="9">
        <v>8270.0</v>
      </c>
      <c r="L5" s="9">
        <v>3180.0</v>
      </c>
    </row>
    <row r="6">
      <c r="A6" s="10"/>
      <c r="B6" s="2" t="str">
        <f>IFERROR(__xludf.DUMMYFUNCTION("GOOGLETRANSLATE('Сравнение России с ключевыми ст'!B6,""ru"",""en"")"),"Pieron correlation coefficient")</f>
        <v>Pieron correlation coefficient</v>
      </c>
      <c r="C6" s="11" t="str">
        <f>IFERROR(__xludf.DUMMYFUNCTION("GOOGLETRANSLATE('Сравнение России с ключевыми ст'!C6,""ru"",""en"")"),"Interpretation")</f>
        <v>Interpretation</v>
      </c>
      <c r="D6" s="4"/>
      <c r="E6" s="4"/>
      <c r="F6" s="4"/>
      <c r="G6" s="4"/>
      <c r="H6" s="4"/>
      <c r="I6" s="4"/>
      <c r="J6" s="4"/>
      <c r="K6" s="4"/>
      <c r="L6" s="5"/>
    </row>
    <row r="7">
      <c r="A7" s="10"/>
      <c r="B7" s="2" t="str">
        <f>IFERROR(__xludf.DUMMYFUNCTION("GOOGLETRANSLATE('Сравнение России с ключевыми ст'!B7,""ru"",""en"")"),"-0.54")</f>
        <v>-0.54</v>
      </c>
      <c r="C7" s="11" t="str">
        <f>IFERROR(__xludf.DUMMYFUNCTION("GOOGLETRANSLATE('Сравнение России с ключевыми ст'!C7,""ru"",""en"")"),"The value above +/- 0.5 belongs to the category of “noticeable” correlation, which means the presence of interdependence between economic well-being and safety on the roads, but it is far from always determining. A negative coefficient means that when the"&amp;" values ​​of one variable decrease, the values ​​of the other increase. That is, the higher the well -being of the population, the lower the mortality on the roads, and vice versa.")</f>
        <v>The value above +/- 0.5 belongs to the category of “noticeable” correlation, which means the presence of interdependence between economic well-being and safety on the roads, but it is far from always determining. A negative coefficient means that when the values ​​of one variable decrease, the values ​​of the other increase. That is, the higher the well -being of the population, the lower the mortality on the roads, and vice versa.</v>
      </c>
      <c r="D7" s="4"/>
      <c r="E7" s="4"/>
      <c r="F7" s="4"/>
      <c r="G7" s="4"/>
      <c r="H7" s="4"/>
      <c r="I7" s="4"/>
      <c r="J7" s="4"/>
      <c r="K7" s="4"/>
      <c r="L7" s="5"/>
    </row>
    <row r="8">
      <c r="A8" s="10"/>
      <c r="B8" s="2" t="str">
        <f>IFERROR(__xludf.DUMMYFUNCTION("GOOGLETRANSLATE('Сравнение России с ключевыми ст'!B8,""ru"",""en"")"),"Indicator/country")</f>
        <v>Indicator/country</v>
      </c>
      <c r="C8" s="2" t="str">
        <f>IFERROR(__xludf.DUMMYFUNCTION("GOOGLETRANSLATE('Сравнение России с ключевыми ст'!C8,""ru"",""en"")"),"Russia")</f>
        <v>Russia</v>
      </c>
      <c r="D8" s="2" t="str">
        <f>IFERROR(__xludf.DUMMYFUNCTION("GOOGLETRANSLATE('Сравнение России с ключевыми ст'!D8,""ru"",""en"")"),"Turkey")</f>
        <v>Turkey</v>
      </c>
      <c r="E8" s="2" t="str">
        <f>IFERROR(__xludf.DUMMYFUNCTION("GOOGLETRANSLATE('Сравнение России с ключевыми ст'!E8,""ru"",""en"")"),"Brazil")</f>
        <v>Brazil</v>
      </c>
      <c r="F8" s="2" t="str">
        <f>IFERROR(__xludf.DUMMYFUNCTION("GOOGLETRANSLATE('Сравнение России с ключевыми ст'!F8,""ru"",""en"")"),"Romania")</f>
        <v>Romania</v>
      </c>
      <c r="G8" s="2" t="str">
        <f>IFERROR(__xludf.DUMMYFUNCTION("GOOGLETRANSLATE('Сравнение России с ключевыми ст'!G8,""ru"",""en"")"),"Malaysia")</f>
        <v>Malaysia</v>
      </c>
      <c r="H8" s="2" t="str">
        <f>IFERROR(__xludf.DUMMYFUNCTION("GOOGLETRANSLATE('Сравнение России с ключевыми ст'!H8,""ru"",""en"")"),"France")</f>
        <v>France</v>
      </c>
      <c r="I8" s="2" t="str">
        <f>IFERROR(__xludf.DUMMYFUNCTION("GOOGLETRANSLATE('Сравнение России с ключевыми ст'!I8,""ru"",""en"")"),"United Kingdom")</f>
        <v>United Kingdom</v>
      </c>
      <c r="J8" s="2" t="str">
        <f>IFERROR(__xludf.DUMMYFUNCTION("GOOGLETRANSLATE('Сравнение России с ключевыми ст'!J8,""ru"",""en"")"),"USA")</f>
        <v>USA</v>
      </c>
      <c r="K8" s="2" t="str">
        <f>IFERROR(__xludf.DUMMYFUNCTION("GOOGLETRANSLATE('Сравнение России с ключевыми ст'!K8,""ru"",""en"")"),"China")</f>
        <v>China</v>
      </c>
      <c r="L8" s="2" t="str">
        <f>IFERROR(__xludf.DUMMYFUNCTION("GOOGLETRANSLATE('Сравнение России с ключевыми ст'!L8,""ru"",""en"")"),"Moldova")</f>
        <v>Moldova</v>
      </c>
    </row>
    <row r="9">
      <c r="A9" s="7">
        <v>3.0</v>
      </c>
      <c r="B9" s="2" t="str">
        <f>IFERROR(__xludf.DUMMYFUNCTION("GOOGLETRANSLATE('Сравнение России с ключевыми ст'!B9,""ru"",""en"")"),"The average macimal speed for the city (taking into account the unexplored maximum threshold)")</f>
        <v>The average macimal speed for the city (taking into account the unexplored maximum threshold)</v>
      </c>
      <c r="C9" s="2" t="str">
        <f>IFERROR(__xludf.DUMMYFUNCTION("GOOGLETRANSLATE('Сравнение России с ключевыми ст'!C9,""ru"",""en"")"),"80")</f>
        <v>80</v>
      </c>
      <c r="D9" s="2" t="str">
        <f>IFERROR(__xludf.DUMMYFUNCTION("GOOGLETRANSLATE('Сравнение России с ключевыми ст'!D9,""ru"",""en"")"),"55")</f>
        <v>55</v>
      </c>
      <c r="E9" s="2" t="str">
        <f>IFERROR(__xludf.DUMMYFUNCTION("GOOGLETRANSLATE('Сравнение России с ключевыми ст'!E9,""ru"",""en"")"),"67")</f>
        <v>67</v>
      </c>
      <c r="F9" s="2" t="str">
        <f>IFERROR(__xludf.DUMMYFUNCTION("GOOGLETRANSLATE('Сравнение России с ключевыми ст'!F9,""ru"",""en"")"),"60")</f>
        <v>60</v>
      </c>
      <c r="G9" s="2" t="str">
        <f>IFERROR(__xludf.DUMMYFUNCTION("GOOGLETRANSLATE('Сравнение России с ключевыми ст'!G9,""ru"",""en"")"),"70")</f>
        <v>70</v>
      </c>
      <c r="H9" s="2" t="str">
        <f>IFERROR(__xludf.DUMMYFUNCTION("GOOGLETRANSLATE('Сравнение России с ключевыми ст'!H9,""ru"",""en"")"),"55")</f>
        <v>55</v>
      </c>
      <c r="I9" s="2" t="str">
        <f>IFERROR(__xludf.DUMMYFUNCTION("GOOGLETRANSLATE('Сравнение России с ключевыми ст'!I9,""ru"",""en"")"),"56")</f>
        <v>56</v>
      </c>
      <c r="J9" s="2" t="str">
        <f>IFERROR(__xludf.DUMMYFUNCTION("GOOGLETRANSLATE('Сравнение России с ключевыми ст'!J9,""ru"",""en"")"),"56")</f>
        <v>56</v>
      </c>
      <c r="K9" s="2" t="str">
        <f>IFERROR(__xludf.DUMMYFUNCTION("GOOGLETRANSLATE('Сравнение России с ключевыми ст'!K9,""ru"",""en"")"),"50")</f>
        <v>50</v>
      </c>
      <c r="L9" s="2" t="str">
        <f>IFERROR(__xludf.DUMMYFUNCTION("GOOGLETRANSLATE('Сравнение России с ключевыми ст'!L9,""ru"",""en"")"),"60")</f>
        <v>60</v>
      </c>
    </row>
    <row r="10">
      <c r="A10" s="10"/>
      <c r="B10" s="2" t="str">
        <f>IFERROR(__xludf.DUMMYFUNCTION("GOOGLETRANSLATE('Сравнение России с ключевыми ст'!B10,""ru"",""en"")"),"Coer of the correlation of Pieron")</f>
        <v>Coer of the correlation of Pieron</v>
      </c>
      <c r="C10" s="11" t="str">
        <f>IFERROR(__xludf.DUMMYFUNCTION("GOOGLETRANSLATE('Сравнение России с ключевыми ст'!C10,""ru"",""en"")"),"Interpretation")</f>
        <v>Interpretation</v>
      </c>
      <c r="D10" s="4"/>
      <c r="E10" s="4"/>
      <c r="F10" s="4"/>
      <c r="G10" s="4"/>
      <c r="H10" s="4"/>
      <c r="I10" s="4"/>
      <c r="J10" s="4"/>
      <c r="K10" s="4"/>
      <c r="L10" s="5"/>
    </row>
    <row r="11">
      <c r="A11" s="10"/>
      <c r="B11" s="2" t="str">
        <f>IFERROR(__xludf.DUMMYFUNCTION("GOOGLETRANSLATE('Сравнение России с ключевыми ст'!B11,""ru"",""en"")"),"0.54")</f>
        <v>0.54</v>
      </c>
      <c r="C11" s="11" t="str">
        <f>IFERROR(__xludf.DUMMYFUNCTION("GOOGLETRANSLATE('Сравнение России с ключевыми ст'!C11,""ru"",""en"")"),"Surprisingly, the correlation coefficient between mortality and the real permitted speed in the selected countries was the same and also belongs to the category of “noticeable”. Only in this case, the values ​​of one variable increase when the values ​​of"&amp;" the other increase - that is, the higher the permitted speed, the higher the mortality on the roads, and vice versa.")</f>
        <v>Surprisingly, the correlation coefficient between mortality and the real permitted speed in the selected countries was the same and also belongs to the category of “noticeable”. Only in this case, the values ​​of one variable increase when the values ​​of the other increase - that is, the higher the permitted speed, the higher the mortality on the roads, and vice versa.</v>
      </c>
      <c r="D11" s="4"/>
      <c r="E11" s="4"/>
      <c r="F11" s="4"/>
      <c r="G11" s="4"/>
      <c r="H11" s="4"/>
      <c r="I11" s="4"/>
      <c r="J11" s="4"/>
      <c r="K11" s="4"/>
      <c r="L11" s="5"/>
    </row>
    <row r="12">
      <c r="A12" s="10"/>
      <c r="B12" s="2" t="str">
        <f>IFERROR(__xludf.DUMMYFUNCTION("GOOGLETRANSLATE('Сравнение России с ключевыми ст'!B12,""ru"",""en"")"),"Indicator/country")</f>
        <v>Indicator/country</v>
      </c>
      <c r="C12" s="2" t="str">
        <f>IFERROR(__xludf.DUMMYFUNCTION("GOOGLETRANSLATE('Сравнение России с ключевыми ст'!C12,""ru"",""en"")"),"Russia")</f>
        <v>Russia</v>
      </c>
      <c r="D12" s="2" t="str">
        <f>IFERROR(__xludf.DUMMYFUNCTION("GOOGLETRANSLATE('Сравнение России с ключевыми ст'!D12,""ru"",""en"")"),"Turkey")</f>
        <v>Turkey</v>
      </c>
      <c r="E12" s="2" t="str">
        <f>IFERROR(__xludf.DUMMYFUNCTION("GOOGLETRANSLATE('Сравнение России с ключевыми ст'!E12,""ru"",""en"")"),"Brazil")</f>
        <v>Brazil</v>
      </c>
      <c r="F12" s="2" t="str">
        <f>IFERROR(__xludf.DUMMYFUNCTION("GOOGLETRANSLATE('Сравнение России с ключевыми ст'!F12,""ru"",""en"")"),"Romania")</f>
        <v>Romania</v>
      </c>
      <c r="G12" s="2" t="str">
        <f>IFERROR(__xludf.DUMMYFUNCTION("GOOGLETRANSLATE('Сравнение России с ключевыми ст'!G12,""ru"",""en"")"),"Malaysia")</f>
        <v>Malaysia</v>
      </c>
      <c r="H12" s="2" t="str">
        <f>IFERROR(__xludf.DUMMYFUNCTION("GOOGLETRANSLATE('Сравнение России с ключевыми ст'!H12,""ru"",""en"")"),"France")</f>
        <v>France</v>
      </c>
      <c r="I12" s="2" t="str">
        <f>IFERROR(__xludf.DUMMYFUNCTION("GOOGLETRANSLATE('Сравнение России с ключевыми ст'!I12,""ru"",""en"")"),"United Kingdom")</f>
        <v>United Kingdom</v>
      </c>
      <c r="J12" s="2" t="str">
        <f>IFERROR(__xludf.DUMMYFUNCTION("GOOGLETRANSLATE('Сравнение России с ключевыми ст'!J12,""ru"",""en"")"),"USA")</f>
        <v>USA</v>
      </c>
      <c r="K12" s="2" t="str">
        <f>IFERROR(__xludf.DUMMYFUNCTION("GOOGLETRANSLATE('Сравнение России с ключевыми ст'!K12,""ru"",""en"")"),"China")</f>
        <v>China</v>
      </c>
      <c r="L12" s="2" t="str">
        <f>IFERROR(__xludf.DUMMYFUNCTION("GOOGLETRANSLATE('Сравнение России с ключевыми ст'!L12,""ru"",""en"")"),"Moldova")</f>
        <v>Moldova</v>
      </c>
    </row>
    <row r="13">
      <c r="A13" s="7">
        <v>4.0</v>
      </c>
      <c r="B13" s="2" t="str">
        <f>IFERROR(__xludf.DUMMYFUNCTION("GOOGLETRANSLATE('Сравнение России с ключевыми ст'!B13,""ru"",""en"")"),"Deadly accident in alcohol intoxication in % of the total accident with death")</f>
        <v>Deadly accident in alcohol intoxication in % of the total accident with death</v>
      </c>
      <c r="C13" s="2" t="str">
        <f>IFERROR(__xludf.DUMMYFUNCTION("GOOGLETRANSLATE('Сравнение России с ключевыми ст'!C13,""ru"",""en"")"),"23")</f>
        <v>23</v>
      </c>
      <c r="D13" s="2" t="str">
        <f>IFERROR(__xludf.DUMMYFUNCTION("GOOGLETRANSLATE('Сравнение России с ключевыми ст'!D13,""ru"",""en"")"),"3")</f>
        <v>3</v>
      </c>
      <c r="E13" s="2" t="str">
        <f>IFERROR(__xludf.DUMMYFUNCTION("GOOGLETRANSLATE('Сравнение России с ключевыми ст'!E13,""ru"",""en"")"),"17")</f>
        <v>17</v>
      </c>
      <c r="F13" s="2" t="str">
        <f>IFERROR(__xludf.DUMMYFUNCTION("GOOGLETRANSLATE('Сравнение России с ключевыми ст'!F13,""ru"",""en"")"),"6")</f>
        <v>6</v>
      </c>
      <c r="G13" s="2" t="str">
        <f>IFERROR(__xludf.DUMMYFUNCTION("GOOGLETRANSLATE('Сравнение России с ключевыми ст'!G13,""ru"",""en"")"),"1")</f>
        <v>1</v>
      </c>
      <c r="H13" s="2" t="str">
        <f>IFERROR(__xludf.DUMMYFUNCTION("GOOGLETRANSLATE('Сравнение России с ключевыми ст'!H13,""ru"",""en"")"),"29")</f>
        <v>29</v>
      </c>
      <c r="I13" s="2" t="str">
        <f>IFERROR(__xludf.DUMMYFUNCTION("GOOGLETRANSLATE('Сравнение России с ключевыми ст'!I13,""ru"",""en"")"),"13")</f>
        <v>13</v>
      </c>
      <c r="J13" s="2" t="str">
        <f>IFERROR(__xludf.DUMMYFUNCTION("GOOGLETRANSLATE('Сравнение России с ключевыми ст'!J13,""ru"",""en"")"),"29")</f>
        <v>29</v>
      </c>
      <c r="K13" s="2" t="str">
        <f>IFERROR(__xludf.DUMMYFUNCTION("GOOGLETRANSLATE('Сравнение России с ключевыми ст'!K13,""ru"",""en"")"),"1")</f>
        <v>1</v>
      </c>
      <c r="L13" s="12">
        <v>9.0</v>
      </c>
    </row>
    <row r="14">
      <c r="A14" s="10"/>
      <c r="B14" s="2" t="str">
        <f>IFERROR(__xludf.DUMMYFUNCTION("GOOGLETRANSLATE('Сравнение России с ключевыми ст'!B14,""ru"",""en"")"),"Coer of the correlation of Pieron")</f>
        <v>Coer of the correlation of Pieron</v>
      </c>
      <c r="C14" s="11" t="str">
        <f>IFERROR(__xludf.DUMMYFUNCTION("GOOGLETRANSLATE('Сравнение России с ключевыми ст'!C14,""ru"",""en"")"),"Interpretation")</f>
        <v>Interpretation</v>
      </c>
      <c r="D14" s="4"/>
      <c r="E14" s="4"/>
      <c r="F14" s="4"/>
      <c r="G14" s="4"/>
      <c r="H14" s="4"/>
      <c r="I14" s="4"/>
      <c r="J14" s="4"/>
      <c r="K14" s="4"/>
      <c r="L14" s="5"/>
    </row>
    <row r="15">
      <c r="A15" s="10"/>
      <c r="B15" s="2" t="str">
        <f>IFERROR(__xludf.DUMMYFUNCTION("GOOGLETRANSLATE('Сравнение России с ключевыми ст'!B15,""ru"",""en"")"),"-0.32")</f>
        <v>-0.32</v>
      </c>
      <c r="C15" s="11" t="str">
        <f>IFERROR(__xludf.DUMMYFUNCTION("GOOGLETRANSLATE('Сравнение России с ключевыми ст'!C15,""ru"",""en"")"),"The value above +/- 0.3 belongs to the category of ""moderate"" correlation, which means the conditional presence of a small interdependence between the amount of allowed alcohol in the blood and the mortality in the accident caused by it. A negative coef"&amp;"ficient means that when the values ​​of one variable decrease, the values ​​of the other increase. Paradoxically, the higher the level of the permitted alcohol in the blood, the lower the mortality associated with it. But due to a weak correlation coeffic"&amp;"ient, a large scatter of data and a small sample, it cannot be argued that this connection is not accidental")</f>
        <v>The value above +/- 0.3 belongs to the category of "moderate" correlation, which means the conditional presence of a small interdependence between the amount of allowed alcohol in the blood and the mortality in the accident caused by it. A negative coefficient means that when the values ​​of one variable decrease, the values ​​of the other increase. Paradoxically, the higher the level of the permitted alcohol in the blood, the lower the mortality associated with it. But due to a weak correlation coefficient, a large scatter of data and a small sample, it cannot be argued that this connection is not accidental</v>
      </c>
      <c r="D15" s="4"/>
      <c r="E15" s="4"/>
      <c r="F15" s="4"/>
      <c r="G15" s="4"/>
      <c r="H15" s="4"/>
      <c r="I15" s="4"/>
      <c r="J15" s="4"/>
      <c r="K15" s="4"/>
      <c r="L15" s="5"/>
    </row>
    <row r="16">
      <c r="A16" s="10"/>
      <c r="B16" s="2" t="str">
        <f>IFERROR(__xludf.DUMMYFUNCTION("GOOGLETRANSLATE('Сравнение России с ключевыми ст'!B16,""ru"",""en"")"),"Indicator/country")</f>
        <v>Indicator/country</v>
      </c>
      <c r="C16" s="2" t="str">
        <f>IFERROR(__xludf.DUMMYFUNCTION("GOOGLETRANSLATE('Сравнение России с ключевыми ст'!C16,""ru"",""en"")"),"Russia")</f>
        <v>Russia</v>
      </c>
      <c r="D16" s="2" t="str">
        <f>IFERROR(__xludf.DUMMYFUNCTION("GOOGLETRANSLATE('Сравнение России с ключевыми ст'!D16,""ru"",""en"")"),"Turkey")</f>
        <v>Turkey</v>
      </c>
      <c r="E16" s="2" t="str">
        <f>IFERROR(__xludf.DUMMYFUNCTION("GOOGLETRANSLATE('Сравнение России с ключевыми ст'!E16,""ru"",""en"")"),"Brazil")</f>
        <v>Brazil</v>
      </c>
      <c r="F16" s="2" t="str">
        <f>IFERROR(__xludf.DUMMYFUNCTION("GOOGLETRANSLATE('Сравнение России с ключевыми ст'!F16,""ru"",""en"")"),"Romania")</f>
        <v>Romania</v>
      </c>
      <c r="G16" s="2" t="str">
        <f>IFERROR(__xludf.DUMMYFUNCTION("GOOGLETRANSLATE('Сравнение России с ключевыми ст'!G16,""ru"",""en"")"),"Malaysia")</f>
        <v>Malaysia</v>
      </c>
      <c r="H16" s="2" t="str">
        <f>IFERROR(__xludf.DUMMYFUNCTION("GOOGLETRANSLATE('Сравнение России с ключевыми ст'!H16,""ru"",""en"")"),"France")</f>
        <v>France</v>
      </c>
      <c r="I16" s="2" t="str">
        <f>IFERROR(__xludf.DUMMYFUNCTION("GOOGLETRANSLATE('Сравнение России с ключевыми ст'!I16,""ru"",""en"")"),"United Kingdom")</f>
        <v>United Kingdom</v>
      </c>
      <c r="J16" s="2" t="str">
        <f>IFERROR(__xludf.DUMMYFUNCTION("GOOGLETRANSLATE('Сравнение России с ключевыми ст'!J16,""ru"",""en"")"),"USA")</f>
        <v>USA</v>
      </c>
      <c r="K16" s="2" t="str">
        <f>IFERROR(__xludf.DUMMYFUNCTION("GOOGLETRANSLATE('Сравнение России с ключевыми ст'!K16,""ru"",""en"")"),"China")</f>
        <v>China</v>
      </c>
      <c r="L16" s="2" t="str">
        <f>IFERROR(__xludf.DUMMYFUNCTION("GOOGLETRANSLATE('Сравнение России с ключевыми ст'!L16,""ru"",""en"")"),"Moldova")</f>
        <v>Moldova</v>
      </c>
    </row>
    <row r="17">
      <c r="A17" s="7">
        <v>5.0</v>
      </c>
      <c r="B17" s="2" t="str">
        <f>IFERROR(__xludf.DUMMYFUNCTION("GOOGLETRANSLATE('Сравнение России с ключевыми ст'!B17,""ru"",""en"")"),"The maximum allowed amount of alcohol in the blood (G/DL)")</f>
        <v>The maximum allowed amount of alcohol in the blood (G/DL)</v>
      </c>
      <c r="C17" s="2" t="str">
        <f>IFERROR(__xludf.DUMMYFUNCTION("GOOGLETRANSLATE('Сравнение России с ключевыми ст'!C17,""ru"",""en"")"),"0.03")</f>
        <v>0.03</v>
      </c>
      <c r="D17" s="2" t="str">
        <f>IFERROR(__xludf.DUMMYFUNCTION("GOOGLETRANSLATE('Сравнение России с ключевыми ст'!D17,""ru"",""en"")"),"0.05")</f>
        <v>0.05</v>
      </c>
      <c r="E17" s="2" t="str">
        <f>IFERROR(__xludf.DUMMYFUNCTION("GOOGLETRANSLATE('Сравнение России с ключевыми ст'!E17,""ru"",""en"")"),"0.05")</f>
        <v>0.05</v>
      </c>
      <c r="F17" s="2" t="str">
        <f>IFERROR(__xludf.DUMMYFUNCTION("GOOGLETRANSLATE('Сравнение России с ключевыми ст'!F17,""ru"",""en"")"),"0.08")</f>
        <v>0.08</v>
      </c>
      <c r="G17" s="2" t="str">
        <f>IFERROR(__xludf.DUMMYFUNCTION("GOOGLETRANSLATE('Сравнение России с ключевыми ст'!G17,""ru"",""en"")"),"0.08")</f>
        <v>0.08</v>
      </c>
      <c r="H17" s="2" t="str">
        <f>IFERROR(__xludf.DUMMYFUNCTION("GOOGLETRANSLATE('Сравнение России с ключевыми ст'!H17,""ru"",""en"")"),"0.05")</f>
        <v>0.05</v>
      </c>
      <c r="I17" s="2" t="str">
        <f>IFERROR(__xludf.DUMMYFUNCTION("GOOGLETRANSLATE('Сравнение России с ключевыми ст'!I17,""ru"",""en"")"),"0.08")</f>
        <v>0.08</v>
      </c>
      <c r="J17" s="2" t="str">
        <f>IFERROR(__xludf.DUMMYFUNCTION("GOOGLETRANSLATE('Сравнение России с ключевыми ст'!J17,""ru"",""en"")"),"0.08")</f>
        <v>0.08</v>
      </c>
      <c r="K17" s="2" t="str">
        <f>IFERROR(__xludf.DUMMYFUNCTION("GOOGLETRANSLATE('Сравнение России с ключевыми ст'!K17,""ru"",""en"")"),"0.02")</f>
        <v>0.02</v>
      </c>
      <c r="L17" s="2" t="str">
        <f>IFERROR(__xludf.DUMMYFUNCTION("GOOGLETRANSLATE('Сравнение России с ключевыми ст'!L17,""ru"",""en"")"),"0.03")</f>
        <v>0.03</v>
      </c>
      <c r="N17" s="13"/>
      <c r="O17" s="13"/>
      <c r="P17" s="13"/>
      <c r="Q17" s="13"/>
      <c r="R17" s="13"/>
      <c r="S17" s="13"/>
      <c r="T17" s="13"/>
    </row>
    <row r="18">
      <c r="A18" s="10"/>
      <c r="B18" s="2" t="str">
        <f>IFERROR(__xludf.DUMMYFUNCTION("GOOGLETRANSLATE('Сравнение России с ключевыми ст'!B18,""ru"",""en"")"),"Coer of the correlation of Pieron")</f>
        <v>Coer of the correlation of Pieron</v>
      </c>
      <c r="C18" s="2" t="str">
        <f>IFERROR(__xludf.DUMMYFUNCTION("GOOGLETRANSLATE('Сравнение России с ключевыми ст'!C18,""ru"",""en"")"),"Interpretation")</f>
        <v>Interpretation</v>
      </c>
      <c r="D18" s="2"/>
      <c r="E18" s="10"/>
      <c r="F18" s="10"/>
      <c r="G18" s="10"/>
      <c r="H18" s="10"/>
      <c r="I18" s="10"/>
      <c r="J18" s="10"/>
      <c r="K18" s="10"/>
      <c r="L18" s="10"/>
      <c r="N18" s="13"/>
      <c r="O18" s="13"/>
      <c r="P18" s="13"/>
      <c r="Q18" s="13"/>
      <c r="R18" s="13"/>
      <c r="S18" s="13"/>
      <c r="T18" s="13"/>
    </row>
    <row r="19">
      <c r="A19" s="10"/>
      <c r="B19" s="2" t="str">
        <f>IFERROR(__xludf.DUMMYFUNCTION("GOOGLETRANSLATE('Сравнение России с ключевыми ст'!B19,""ru"",""en"")"),"-0.2")</f>
        <v>-0.2</v>
      </c>
      <c r="C19" s="11" t="str">
        <f>IFERROR(__xludf.DUMMYFUNCTION("GOOGLETRANSLATE('Сравнение России с ключевыми ст'!C19,""ru"",""en"")"),"The correlation between the permitted amount of alcohol in the blood and mortality on the roads belongs to the category of ""weak"", so in this case it is impossible to talk about the dependence of these parameters. The punishment provided for driving res"&amp;"traint is much more significant. It is not possible to compare in numbers, but, for example, in Russia, for a drunken ride with mild or medium -sized forms, there is no criminal liability, which can explain the prevalence of this phenomenon.")</f>
        <v>The correlation between the permitted amount of alcohol in the blood and mortality on the roads belongs to the category of "weak", so in this case it is impossible to talk about the dependence of these parameters. The punishment provided for driving restraint is much more significant. It is not possible to compare in numbers, but, for example, in Russia, for a drunken ride with mild or medium -sized forms, there is no criminal liability, which can explain the prevalence of this phenomenon.</v>
      </c>
      <c r="D19" s="4"/>
      <c r="E19" s="4"/>
      <c r="F19" s="4"/>
      <c r="G19" s="4"/>
      <c r="H19" s="4"/>
      <c r="I19" s="4"/>
      <c r="J19" s="4"/>
      <c r="K19" s="4"/>
      <c r="L19" s="5"/>
      <c r="N19" s="13" t="str">
        <f>IFERROR(__xludf.DUMMYFUNCTION("GOOGLETRANSLATE('Сравнение России с ключевыми ст'!N1,""ru"",""en"")"),"For comparison, 4 countries with similar economic development are taken (Turkey, Brazil, Romania and Malaysia), 2 super -support (USA and China), two countries from Western Europe (France and Great Britain) and a poor country from East - Moldova. As the s"&amp;"tudied parameters, permissible speed and influence/regulation of alcohol, which are comparable to mortality, are taken.")</f>
        <v>For comparison, 4 countries with similar economic development are taken (Turkey, Brazil, Romania and Malaysia), 2 super -support (USA and China), two countries from Western Europe (France and Great Britain) and a poor country from East - Moldova. As the studied parameters, permissible speed and influence/regulation of alcohol, which are comparable to mortality, are taken.</v>
      </c>
    </row>
    <row r="20">
      <c r="B20" s="14" t="str">
        <f>IFERROR(__xludf.DUMMYFUNCTION("GOOGLETRANSLATE('Сравнение России с ключевыми ст'!B20,""ru"",""en"")"),"*Gross National income (GNI) / GROSS National Income (GNI) is the total value of all goods and services produced during the year in the territory of the state (that is, GDP), plus income received by citizens and organizations of this country from abroad, "&amp;"Minus income taken out of the country by foreign citizens and organizations.")</f>
        <v>*Gross National income (GNI) / GROSS National Income (GNI) is the total value of all goods and services produced during the year in the territory of the state (that is, GDP), plus income received by citizens and organizations of this country from abroad, Minus income taken out of the country by foreign citizens and organizations.</v>
      </c>
      <c r="N20" s="13" t="str">
        <f>IFERROR(__xludf.DUMMYFUNCTION("GOOGLETRANSLATE('Сравнение России с ключевыми ст'!N18,""ru"",""en"")"),"Sources:
1) The World Bank: https://data.worldbank.org/indicator/ny.gnp.pcap.cd
2) Global Status Report on Road Safety 2018: https://www.who.int/publications/i/item/9789241565684
3) Speed ​​Limits by Country https://en.wikipedia.org/wiki/speed_limits_by_c"&amp;"ountry")</f>
        <v>Sources:
1) The World Bank: https://data.worldbank.org/indicator/ny.gnp.pcap.cd
2) Global Status Report on Road Safety 2018: https://www.who.int/publications/i/item/9789241565684
3) Speed ​​Limits by Country https://en.wikipedia.org/wiki/speed_limits_by_country</v>
      </c>
    </row>
  </sheetData>
  <mergeCells count="12">
    <mergeCell ref="C15:L15"/>
    <mergeCell ref="C19:L19"/>
    <mergeCell ref="N19:W19"/>
    <mergeCell ref="B20:L20"/>
    <mergeCell ref="N20:T20"/>
    <mergeCell ref="A1:L1"/>
    <mergeCell ref="B2:L2"/>
    <mergeCell ref="C6:L6"/>
    <mergeCell ref="C7:L7"/>
    <mergeCell ref="C10:L10"/>
    <mergeCell ref="C11:L11"/>
    <mergeCell ref="C14:L1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15.67"/>
    <col customWidth="1" min="2" max="2" width="16.67"/>
    <col customWidth="1" min="3" max="3" width="15.33"/>
    <col customWidth="1" min="4" max="4" width="16.0"/>
    <col customWidth="1" min="6" max="6" width="18.89"/>
    <col customWidth="1" min="7" max="7" width="19.0"/>
    <col customWidth="1" min="8" max="8" width="17.0"/>
    <col customWidth="1" min="9" max="9" width="9.56"/>
  </cols>
  <sheetData>
    <row r="1" ht="103.5" customHeight="1">
      <c r="A1" s="15" t="str">
        <f>IFERROR(__xludf.DUMMYFUNCTION("GOOGLETRANSLATE('Сценарии смертности в ДТП'!B1,""ru"",""en"")"),"Scenarios for Russia for 10 years (and 20 years)
In 2020, mortality in an accident in the Russian Federation amounted to 11.04 dead per 100 thousand people. Similar mortality in Norway was in 1977, in the UK in 1979, and in France in 2003. We take the ave"&amp;"rage indicators of 5-5.3 victims per 100 thousand people and check how much time these three countries were needed to achieve them; On the basis of this, we will compose three scenarios for modern Russia.
- Optimistic scenario (France): After 10 years, Ru"&amp;"ssia will reach the level of mortality on France's roads in 5 people. per 100 thousand population (radical reforms are needed)
- Pessimistic (Great Britain): After 28 years, Russia will reach the level of frights on the roads of Great Britain in 2007 in 5"&amp;".1 people. per 100 thousand population (in the absence of reforms)
- Basic (Norway): in 19 years, Russia will reach the level of frills on the roads of Norway in 1996 in 5.5 people. per 100 thousand population (with insufficient reforms)")</f>
        <v>Scenarios for Russia for 10 years (and 20 years)
In 2020, mortality in an accident in the Russian Federation amounted to 11.04 dead per 100 thousand people. Similar mortality in Norway was in 1977, in the UK in 1979, and in France in 2003. We take the average indicators of 5-5.3 victims per 100 thousand people and check how much time these three countries were needed to achieve them; On the basis of this, we will compose three scenarios for modern Russia.
- Optimistic scenario (France): After 10 years, Russia will reach the level of mortality on France's roads in 5 people. per 100 thousand population (radical reforms are needed)
- Pessimistic (Great Britain): After 28 years, Russia will reach the level of frights on the roads of Great Britain in 2007 in 5.1 people. per 100 thousand population (in the absence of reforms)
- Basic (Norway): in 19 years, Russia will reach the level of frills on the roads of Norway in 1996 in 5.5 people. per 100 thousand population (with insufficient reforms)</v>
      </c>
    </row>
    <row r="2">
      <c r="A2" s="16" t="str">
        <f>IFERROR(__xludf.DUMMYFUNCTION("GOOGLETRANSLATE('Сценарии смертности в ДТП'!B2,""ru"",""en"")"),"Three Scenarios of Mortality Reduction On Roads in Russia")</f>
        <v>Three Scenarios of Mortality Reduction On Roads in Russia</v>
      </c>
      <c r="B2" s="10"/>
      <c r="C2" s="10"/>
      <c r="D2" s="10"/>
    </row>
    <row r="3">
      <c r="A3" s="10" t="str">
        <f>IFERROR(__xludf.DUMMYFUNCTION("GOOGLETRANSLATE('Сценарии смертности в ДТП'!B3,""ru"",""en"")"),"Year")</f>
        <v>Year</v>
      </c>
      <c r="B3" s="10" t="str">
        <f>IFERROR(__xludf.DUMMYFUNCTION("GOOGLETRANSLATE('Сценарии смертности в ДТП'!C3,""ru"",""en"")"),"Optimistic")</f>
        <v>Optimistic</v>
      </c>
      <c r="C3" s="10" t="str">
        <f>IFERROR(__xludf.DUMMYFUNCTION("GOOGLETRANSLATE('Сценарии смертности в ДТП'!D3,""ru"",""en"")"),"Pessimistic")</f>
        <v>Pessimistic</v>
      </c>
      <c r="D3" s="10" t="str">
        <f>IFERROR(__xludf.DUMMYFUNCTION("GOOGLETRANSLATE('Сценарии смертности в ДТП'!E3,""ru"",""en"")"),"Base")</f>
        <v>Base</v>
      </c>
    </row>
    <row r="4">
      <c r="A4" s="10" t="str">
        <f>IFERROR(__xludf.DUMMYFUNCTION("GOOGLETRANSLATE('Сценарии смертности в ДТП'!B4,""ru"",""en"")"),"2011")</f>
        <v>2011</v>
      </c>
      <c r="B4" s="10" t="str">
        <f>IFERROR(__xludf.DUMMYFUNCTION("GOOGLETRANSLATE('Сценарии смертности в ДТП'!C4,""ru"",""en"")"),"27 953")</f>
        <v>27 953</v>
      </c>
      <c r="C4" s="10" t="str">
        <f>IFERROR(__xludf.DUMMYFUNCTION("GOOGLETRANSLATE('Сценарии смертности в ДТП'!D4,""ru"",""en"")"),"27 953")</f>
        <v>27 953</v>
      </c>
      <c r="D4" s="10" t="str">
        <f>IFERROR(__xludf.DUMMYFUNCTION("GOOGLETRANSLATE('Сценарии смертности в ДТП'!E4,""ru"",""en"")"),"27 953")</f>
        <v>27 953</v>
      </c>
    </row>
    <row r="5">
      <c r="A5" s="10" t="str">
        <f>IFERROR(__xludf.DUMMYFUNCTION("GOOGLETRANSLATE('Сценарии смертности в ДТП'!B5,""ru"",""en"")"),"2012")</f>
        <v>2012</v>
      </c>
      <c r="B5" s="10" t="str">
        <f>IFERROR(__xludf.DUMMYFUNCTION("GOOGLETRANSLATE('Сценарии смертности в ДТП'!C5,""ru"",""en"")"),"27 991")</f>
        <v>27 991</v>
      </c>
      <c r="C5" s="10" t="str">
        <f>IFERROR(__xludf.DUMMYFUNCTION("GOOGLETRANSLATE('Сценарии смертности в ДТП'!D5,""ru"",""en"")"),"27 991")</f>
        <v>27 991</v>
      </c>
      <c r="D5" s="10" t="str">
        <f>IFERROR(__xludf.DUMMYFUNCTION("GOOGLETRANSLATE('Сценарии смертности в ДТП'!E5,""ru"",""en"")"),"27 991")</f>
        <v>27 991</v>
      </c>
    </row>
    <row r="6">
      <c r="A6" s="10" t="str">
        <f>IFERROR(__xludf.DUMMYFUNCTION("GOOGLETRANSLATE('Сценарии смертности в ДТП'!B6,""ru"",""en"")"),"2013")</f>
        <v>2013</v>
      </c>
      <c r="B6" s="10" t="str">
        <f>IFERROR(__xludf.DUMMYFUNCTION("GOOGLETRANSLATE('Сценарии смертности в ДТП'!C6,""ru"",""en"")"),"27 025")</f>
        <v>27 025</v>
      </c>
      <c r="C6" s="10" t="str">
        <f>IFERROR(__xludf.DUMMYFUNCTION("GOOGLETRANSLATE('Сценарии смертности в ДТП'!D6,""ru"",""en"")"),"27 025")</f>
        <v>27 025</v>
      </c>
      <c r="D6" s="10" t="str">
        <f>IFERROR(__xludf.DUMMYFUNCTION("GOOGLETRANSLATE('Сценарии смертности в ДТП'!E6,""ru"",""en"")"),"27 025")</f>
        <v>27 025</v>
      </c>
    </row>
    <row r="7">
      <c r="A7" s="10" t="str">
        <f>IFERROR(__xludf.DUMMYFUNCTION("GOOGLETRANSLATE('Сценарии смертности в ДТП'!B7,""ru"",""en"")"),"2014")</f>
        <v>2014</v>
      </c>
      <c r="B7" s="10" t="str">
        <f>IFERROR(__xludf.DUMMYFUNCTION("GOOGLETRANSLATE('Сценарии смертности в ДТП'!C7,""ru"",""en"")"),"26 963")</f>
        <v>26 963</v>
      </c>
      <c r="C7" s="10" t="str">
        <f>IFERROR(__xludf.DUMMYFUNCTION("GOOGLETRANSLATE('Сценарии смертности в ДТП'!D7,""ru"",""en"")"),"26 963")</f>
        <v>26 963</v>
      </c>
      <c r="D7" s="10" t="str">
        <f>IFERROR(__xludf.DUMMYFUNCTION("GOOGLETRANSLATE('Сценарии смертности в ДТП'!E7,""ru"",""en"")"),"26 963")</f>
        <v>26 963</v>
      </c>
    </row>
    <row r="8">
      <c r="A8" s="10" t="str">
        <f>IFERROR(__xludf.DUMMYFUNCTION("GOOGLETRANSLATE('Сценарии смертности в ДТП'!B8,""ru"",""en"")"),"2015")</f>
        <v>2015</v>
      </c>
      <c r="B8" s="10" t="str">
        <f>IFERROR(__xludf.DUMMYFUNCTION("GOOGLETRANSLATE('Сценарии смертности в ДТП'!C8,""ru"",""en"")"),"23 114")</f>
        <v>23 114</v>
      </c>
      <c r="C8" s="10" t="str">
        <f>IFERROR(__xludf.DUMMYFUNCTION("GOOGLETRANSLATE('Сценарии смертности в ДТП'!D8,""ru"",""en"")"),"23 114")</f>
        <v>23 114</v>
      </c>
      <c r="D8" s="10" t="str">
        <f>IFERROR(__xludf.DUMMYFUNCTION("GOOGLETRANSLATE('Сценарии смертности в ДТП'!E8,""ru"",""en"")"),"23 114")</f>
        <v>23 114</v>
      </c>
    </row>
    <row r="9">
      <c r="A9" s="10" t="str">
        <f>IFERROR(__xludf.DUMMYFUNCTION("GOOGLETRANSLATE('Сценарии смертности в ДТП'!B9,""ru"",""en"")"),"2016")</f>
        <v>2016</v>
      </c>
      <c r="B9" s="10" t="str">
        <f>IFERROR(__xludf.DUMMYFUNCTION("GOOGLETRANSLATE('Сценарии смертности в ДТП'!C9,""ru"",""en"")"),"20 308")</f>
        <v>20 308</v>
      </c>
      <c r="C9" s="10" t="str">
        <f>IFERROR(__xludf.DUMMYFUNCTION("GOOGLETRANSLATE('Сценарии смертности в ДТП'!D9,""ru"",""en"")"),"20 308")</f>
        <v>20 308</v>
      </c>
      <c r="D9" s="10" t="str">
        <f>IFERROR(__xludf.DUMMYFUNCTION("GOOGLETRANSLATE('Сценарии смертности в ДТП'!E9,""ru"",""en"")"),"20 308")</f>
        <v>20 308</v>
      </c>
    </row>
    <row r="10">
      <c r="A10" s="10" t="str">
        <f>IFERROR(__xludf.DUMMYFUNCTION("GOOGLETRANSLATE('Сценарии смертности в ДТП'!B10,""ru"",""en"")"),"2017")</f>
        <v>2017</v>
      </c>
      <c r="B10" s="10" t="str">
        <f>IFERROR(__xludf.DUMMYFUNCTION("GOOGLETRANSLATE('Сценарии смертности в ДТП'!C10,""ru"",""en"")"),"19 088")</f>
        <v>19 088</v>
      </c>
      <c r="C10" s="10" t="str">
        <f>IFERROR(__xludf.DUMMYFUNCTION("GOOGLETRANSLATE('Сценарии смертности в ДТП'!D10,""ru"",""en"")"),"19 088")</f>
        <v>19 088</v>
      </c>
      <c r="D10" s="10" t="str">
        <f>IFERROR(__xludf.DUMMYFUNCTION("GOOGLETRANSLATE('Сценарии смертности в ДТП'!E10,""ru"",""en"")"),"19 088")</f>
        <v>19 088</v>
      </c>
    </row>
    <row r="11">
      <c r="A11" s="10" t="str">
        <f>IFERROR(__xludf.DUMMYFUNCTION("GOOGLETRANSLATE('Сценарии смертности в ДТП'!B11,""ru"",""en"")"),"2018")</f>
        <v>2018</v>
      </c>
      <c r="B11" s="10" t="str">
        <f>IFERROR(__xludf.DUMMYFUNCTION("GOOGLETRANSLATE('Сценарии смертности в ДТП'!C11,""ru"",""en"")"),"18 214")</f>
        <v>18 214</v>
      </c>
      <c r="C11" s="10" t="str">
        <f>IFERROR(__xludf.DUMMYFUNCTION("GOOGLETRANSLATE('Сценарии смертности в ДТП'!D11,""ru"",""en"")"),"18 214")</f>
        <v>18 214</v>
      </c>
      <c r="D11" s="10" t="str">
        <f>IFERROR(__xludf.DUMMYFUNCTION("GOOGLETRANSLATE('Сценарии смертности в ДТП'!E11,""ru"",""en"")"),"18 214")</f>
        <v>18 214</v>
      </c>
    </row>
    <row r="12">
      <c r="A12" s="10" t="str">
        <f>IFERROR(__xludf.DUMMYFUNCTION("GOOGLETRANSLATE('Сценарии смертности в ДТП'!B12,""ru"",""en"")"),"2019")</f>
        <v>2019</v>
      </c>
      <c r="B12" s="10" t="str">
        <f>IFERROR(__xludf.DUMMYFUNCTION("GOOGLETRANSLATE('Сценарии смертности в ДТП'!C12,""ru"",""en"")"),"16 981")</f>
        <v>16 981</v>
      </c>
      <c r="C12" s="10" t="str">
        <f>IFERROR(__xludf.DUMMYFUNCTION("GOOGLETRANSLATE('Сценарии смертности в ДТП'!D12,""ru"",""en"")"),"16 981")</f>
        <v>16 981</v>
      </c>
      <c r="D12" s="17" t="str">
        <f>IFERROR(__xludf.DUMMYFUNCTION("GOOGLETRANSLATE('Сценарии смертности в ДТП'!E12,""ru"",""en"")"),"16 981")</f>
        <v>16 981</v>
      </c>
    </row>
    <row r="13">
      <c r="A13" s="10" t="str">
        <f>IFERROR(__xludf.DUMMYFUNCTION("GOOGLETRANSLATE('Сценарии смертности в ДТП'!B13,""ru"",""en"")"),"2020")</f>
        <v>2020</v>
      </c>
      <c r="B13" s="10" t="str">
        <f>IFERROR(__xludf.DUMMYFUNCTION("GOOGLETRANSLATE('Сценарии смертности в ДТП'!C13,""ru"",""en"")"),"16 152")</f>
        <v>16 152</v>
      </c>
      <c r="C13" s="10" t="str">
        <f>IFERROR(__xludf.DUMMYFUNCTION("GOOGLETRANSLATE('Сценарии смертности в ДТП'!D13,""ru"",""en"")"),"16 152")</f>
        <v>16 152</v>
      </c>
      <c r="D13" s="10" t="str">
        <f>IFERROR(__xludf.DUMMYFUNCTION("GOOGLETRANSLATE('Сценарии смертности в ДТП'!E13,""ru"",""en"")"),"16 152")</f>
        <v>16 152</v>
      </c>
    </row>
    <row r="14">
      <c r="A14" s="10" t="str">
        <f>IFERROR(__xludf.DUMMYFUNCTION("GOOGLETRANSLATE('Сценарии смертности в ДТП'!B14,""ru"",""en"")"),"2030")</f>
        <v>2030</v>
      </c>
      <c r="B14" s="10" t="str">
        <f>IFERROR(__xludf.DUMMYFUNCTION("GOOGLETRANSLATE('Сценарии смертности в ДТП'!C14,""ru"",""en"")"),"6 581")</f>
        <v>6 581</v>
      </c>
      <c r="C14" s="10" t="str">
        <f>IFERROR(__xludf.DUMMYFUNCTION("GOOGLETRANSLATE('Сценарии смертности в ДТП'!D14,""ru"",""en"")"),"13006")</f>
        <v>13006</v>
      </c>
      <c r="D14" s="10" t="str">
        <f>IFERROR(__xludf.DUMMYFUNCTION("GOOGLETRANSLATE('Сценарии смертности в ДТП'!E14,""ru"",""en"")"),"11564")</f>
        <v>11564</v>
      </c>
    </row>
    <row r="15">
      <c r="A15" s="10" t="str">
        <f>IFERROR(__xludf.DUMMYFUNCTION("GOOGLETRANSLATE('Сценарии смертности в ДТП'!B15,""ru"",""en"")"),"2039")</f>
        <v>2039</v>
      </c>
      <c r="B15" s="10" t="str">
        <f>IFERROR(__xludf.DUMMYFUNCTION("GOOGLETRANSLATE('Сценарии смертности в ДТП'!C15,""ru"",""en"")"),"2 632")</f>
        <v>2 632</v>
      </c>
      <c r="C15" s="10" t="str">
        <f>IFERROR(__xludf.DUMMYFUNCTION("GOOGLETRANSLATE('Сценарии смертности в ДТП'!D15,""ru"",""en"")"),"9860")</f>
        <v>9860</v>
      </c>
      <c r="D15" s="10" t="str">
        <f>IFERROR(__xludf.DUMMYFUNCTION("GOOGLETRANSLATE('Сценарии смертности в ДТП'!E15,""ru"",""en"")"),"6 976")</f>
        <v>6 976</v>
      </c>
    </row>
    <row r="16">
      <c r="A16" s="10" t="str">
        <f>IFERROR(__xludf.DUMMYFUNCTION("GOOGLETRANSLATE('Сценарии смертности в ДТП'!B16,""ru"",""en"")"),"2048")</f>
        <v>2048</v>
      </c>
      <c r="B16" s="10" t="str">
        <f>IFERROR(__xludf.DUMMYFUNCTION("GOOGLETRANSLATE('Сценарии смертности в ДТП'!C16,""ru"",""en"")"),"1052")</f>
        <v>1052</v>
      </c>
      <c r="C16" s="10" t="str">
        <f>IFERROR(__xludf.DUMMYFUNCTION("GOOGLETRANSLATE('Сценарии смертности в ДТП'!D16,""ru"",""en"")"),"6 712")</f>
        <v>6 712</v>
      </c>
      <c r="D16" s="10" t="str">
        <f>IFERROR(__xludf.DUMMYFUNCTION("GOOGLETRANSLATE('Сценарии смертности в ДТП'!E16,""ru"",""en"")"),"2 388")</f>
        <v>2 388</v>
      </c>
    </row>
    <row r="17" ht="57.75" customHeight="1">
      <c r="A17" s="18" t="str">
        <f>IFERROR(__xludf.DUMMYFUNCTION("GOOGLETRANSLATE('Сценарии смертности в ДТП'!B17,""ru"",""en"")"),"The difference between an optimistic and pessimistic scenario is thousands of lost lives annually, which together can exceed excess mortality by 100 thousand people over the next 28 years")</f>
        <v>The difference between an optimistic and pessimistic scenario is thousands of lost lives annually, which together can exceed excess mortality by 100 thousand people over the next 28 years</v>
      </c>
      <c r="B17" s="4"/>
      <c r="C17" s="4"/>
      <c r="D17" s="5"/>
    </row>
    <row r="18" ht="36.75" customHeight="1">
      <c r="A18" s="14" t="str">
        <f>IFERROR(__xludf.DUMMYFUNCTION("GOOGLETRANSLATE('Сценарии смертности в ДТП'!F14,""ru"",""en"")"),"Assumption: by 2045, the population of Russia will decrease by 10%")</f>
        <v>Assumption: by 2045, the population of Russia will decrease by 10%</v>
      </c>
    </row>
    <row r="19" ht="39.0" customHeight="1">
      <c r="A19" s="19" t="str">
        <f>IFERROR(__xludf.DUMMYFUNCTION("GOOGLETRANSLATE('Сценарии смертности в ДТП'!H10,""ru"",""en"")"),"Similar specific mortality")</f>
        <v>Similar specific mortality</v>
      </c>
      <c r="B19" s="4"/>
      <c r="C19" s="4"/>
      <c r="D19" s="5"/>
      <c r="E19" s="20" t="str">
        <f>IFERROR(__xludf.DUMMYFUNCTION("GOOGLETRANSLATE('Сценарии смертности в ДТП'!B19,""ru"",""en"")"),"Sources: WHO Global Status Report on Road Safety 2018: https://www.who.int/publications/i/item/9789241565684
https://norwaytode.info/news/95-norwegians-died-in-traffic-in-norway-last-year- 82-off-them-were-men/
https://roadtraffic.dft.gov.uk/custom-downlo"&amp;"ads/road-ccents/reports/a77c2793-7170-4D9F-9CC2-8D27FAF5D285
https://www.statista.com/statistics/437961/number-of-roads-in-norway/
https://www.ssb.no/en/statbank/table/12044/tableViewlayout1/
https://www.gov.uk/govenment/statistics/rePorted-roads-gritis-b"&amp;"ritin-provisional-Results-2020/rePorted-Od-Great-britin-provisional- 2020 &lt;:h = There%20were%201%2C472%20FATALITIES%20in, and%202019%20was%20broadly%20flat.
https://www.quora.com/why-ara-there-so-few-road-ind-in-norway")</f>
        <v>Sources: WHO Global Status Report on Road Safety 2018: https://www.who.int/publications/i/item/9789241565684
https://norwaytode.info/news/95-norwegians-died-in-traffic-in-norway-last-year- 82-off-them-were-men/
https://roadtraffic.dft.gov.uk/custom-downloads/road-ccents/reports/a77c2793-7170-4D9F-9CC2-8D27FAF5D285
https://www.statista.com/statistics/437961/number-of-roads-in-norway/
https://www.ssb.no/en/statbank/table/12044/tableViewlayout1/
https://www.gov.uk/govenment/statistics/rePorted-roads-gritis-britin-provisional-Results-2020/rePorted-Od-Great-britin-provisional- 2020 &lt;:h = There%20were%201%2C472%20FATALITIES%20in, and%202019%20was%20broadly%20flat.
https://www.quora.com/why-ara-there-so-few-road-ind-in-norway</v>
      </c>
    </row>
    <row r="20">
      <c r="A20" s="10" t="str">
        <f>IFERROR(__xludf.DUMMYFUNCTION("GOOGLETRANSLATE('Сценарии смертности в ДТП'!H11,""ru"",""en"")"),"Russia 2020")</f>
        <v>Russia 2020</v>
      </c>
      <c r="B20" s="10" t="str">
        <f>IFERROR(__xludf.DUMMYFUNCTION("GOOGLETRANSLATE('Сценарии смертности в ДТП'!I11,""ru"",""en"")"),"Great Britain in 1979")</f>
        <v>Great Britain in 1979</v>
      </c>
      <c r="C20" s="10" t="str">
        <f>IFERROR(__xludf.DUMMYFUNCTION("GOOGLETRANSLATE('Сценарии смертности в ДТП'!J11,""ru"",""en"")"),"Norway in 1977")</f>
        <v>Norway in 1977</v>
      </c>
      <c r="D20" s="10" t="str">
        <f>IFERROR(__xludf.DUMMYFUNCTION("GOOGLETRANSLATE('Сценарии смертности в ДТП'!K11,""ru"",""en"")"),"France 2003")</f>
        <v>France 2003</v>
      </c>
    </row>
    <row r="21">
      <c r="A21" s="10" t="str">
        <f>IFERROR(__xludf.DUMMYFUNCTION("GOOGLETRANSLATE('Сценарии смертности в ДТП'!H12,""ru"",""en"")"),"11.04")</f>
        <v>11.04</v>
      </c>
      <c r="B21" s="10" t="str">
        <f>IFERROR(__xludf.DUMMYFUNCTION("GOOGLETRANSLATE('Сценарии смертности в ДТП'!I12,""ru"",""en"")"),"11.3")</f>
        <v>11.3</v>
      </c>
      <c r="C21" s="10" t="str">
        <f>IFERROR(__xludf.DUMMYFUNCTION("GOOGLETRANSLATE('Сценарии смертности в ДТП'!J12,""ru"",""en"")"),"11.0")</f>
        <v>11.0</v>
      </c>
      <c r="D21" s="10" t="str">
        <f>IFERROR(__xludf.DUMMYFUNCTION("GOOGLETRANSLATE('Сценарии смертности в ДТП'!K12,""ru"",""en"")"),"11.2")</f>
        <v>11.2</v>
      </c>
    </row>
    <row r="22">
      <c r="A22" s="10"/>
      <c r="B22" s="10" t="str">
        <f>IFERROR(__xludf.DUMMYFUNCTION("GOOGLETRANSLATE('Сценарии смертности в ДТП'!I13,""ru"",""en"")"),"Great Britain in 2007")</f>
        <v>Great Britain in 2007</v>
      </c>
      <c r="C22" s="10" t="str">
        <f>IFERROR(__xludf.DUMMYFUNCTION("GOOGLETRANSLATE('Сценарии смертности в ДТП'!J13,""ru"",""en"")"),"Norway in 1996")</f>
        <v>Norway in 1996</v>
      </c>
      <c r="D22" s="10" t="str">
        <f>IFERROR(__xludf.DUMMYFUNCTION("GOOGLETRANSLATE('Сценарии смертности в ДТП'!K13,""ru"",""en"")"),"France 2013")</f>
        <v>France 2013</v>
      </c>
    </row>
    <row r="23">
      <c r="A23" s="10"/>
      <c r="B23" s="10" t="str">
        <f>IFERROR(__xludf.DUMMYFUNCTION("GOOGLETRANSLATE('Сценарии смертности в ДТП'!I14,""ru"",""en"")"),"5.1")</f>
        <v>5.1</v>
      </c>
      <c r="C23" s="10" t="str">
        <f>IFERROR(__xludf.DUMMYFUNCTION("GOOGLETRANSLATE('Сценарии смертности в ДТП'!J14,""ru"",""en"")"),"5.3")</f>
        <v>5.3</v>
      </c>
      <c r="D23" s="10" t="str">
        <f>IFERROR(__xludf.DUMMYFUNCTION("GOOGLETRANSLATE('Сценарии смертности в ДТП'!K14,""ru"",""en"")"),"5.0")</f>
        <v>5.0</v>
      </c>
    </row>
  </sheetData>
  <mergeCells count="5">
    <mergeCell ref="A1:I1"/>
    <mergeCell ref="A17:D17"/>
    <mergeCell ref="A18:D18"/>
    <mergeCell ref="A19:D19"/>
    <mergeCell ref="E19:I23"/>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1.22" defaultRowHeight="15.0"/>
  <cols>
    <col customWidth="1" min="1" max="1" width="9.67"/>
    <col customWidth="1" min="2" max="2" width="30.89"/>
    <col customWidth="1" min="3" max="3" width="9.33"/>
    <col customWidth="1" min="4" max="4" width="8.33"/>
    <col customWidth="1" min="5" max="5" width="9.89"/>
    <col customWidth="1" min="6" max="7" width="10.33"/>
    <col customWidth="1" min="8" max="8" width="10.0"/>
    <col customWidth="1" min="9" max="9" width="16.33"/>
    <col customWidth="1" min="10" max="10" width="7.56"/>
    <col customWidth="1" min="11" max="11" width="7.11"/>
    <col customWidth="1" min="12" max="12" width="11.11"/>
    <col customWidth="1" min="13" max="13" width="4.33"/>
    <col customWidth="1" min="14" max="14" width="19.44"/>
  </cols>
  <sheetData>
    <row r="1" ht="45.75" customHeight="1">
      <c r="A1" s="21" t="s">
        <v>0</v>
      </c>
      <c r="M1" s="22"/>
      <c r="N1" s="23" t="s">
        <v>1</v>
      </c>
      <c r="S1" s="24"/>
      <c r="T1" s="24"/>
      <c r="U1" s="24"/>
      <c r="V1" s="24"/>
      <c r="W1" s="22"/>
      <c r="X1" s="22"/>
      <c r="Y1" s="22"/>
      <c r="Z1" s="22"/>
      <c r="AA1" s="22"/>
      <c r="AB1" s="22"/>
      <c r="AC1" s="22"/>
      <c r="AD1" s="22"/>
      <c r="AE1" s="22"/>
    </row>
    <row r="2" ht="31.5" customHeight="1">
      <c r="A2" s="22"/>
      <c r="B2" s="25" t="s">
        <v>2</v>
      </c>
      <c r="M2" s="22"/>
      <c r="S2" s="24"/>
      <c r="T2" s="24"/>
      <c r="U2" s="24"/>
      <c r="V2" s="24"/>
      <c r="W2" s="22"/>
      <c r="X2" s="22"/>
      <c r="Y2" s="22"/>
      <c r="Z2" s="22"/>
      <c r="AA2" s="22"/>
      <c r="AB2" s="22"/>
      <c r="AC2" s="22"/>
      <c r="AD2" s="22"/>
      <c r="AE2" s="22"/>
    </row>
    <row r="3" ht="28.5" customHeight="1">
      <c r="A3" s="26" t="s">
        <v>3</v>
      </c>
      <c r="B3" s="27" t="s">
        <v>4</v>
      </c>
      <c r="C3" s="28" t="s">
        <v>5</v>
      </c>
      <c r="D3" s="28" t="s">
        <v>6</v>
      </c>
      <c r="E3" s="28" t="s">
        <v>7</v>
      </c>
      <c r="F3" s="28" t="s">
        <v>8</v>
      </c>
      <c r="G3" s="28" t="s">
        <v>9</v>
      </c>
      <c r="H3" s="28" t="s">
        <v>10</v>
      </c>
      <c r="I3" s="29" t="s">
        <v>11</v>
      </c>
      <c r="J3" s="28" t="s">
        <v>12</v>
      </c>
      <c r="K3" s="28" t="s">
        <v>13</v>
      </c>
      <c r="L3" s="28" t="s">
        <v>14</v>
      </c>
      <c r="M3" s="30"/>
      <c r="S3" s="24"/>
      <c r="T3" s="24"/>
      <c r="U3" s="24"/>
      <c r="V3" s="24"/>
      <c r="W3" s="22"/>
      <c r="X3" s="22"/>
      <c r="Y3" s="22"/>
      <c r="Z3" s="22"/>
      <c r="AA3" s="22"/>
      <c r="AB3" s="22"/>
      <c r="AC3" s="22"/>
      <c r="AD3" s="22"/>
      <c r="AE3" s="22"/>
    </row>
    <row r="4">
      <c r="A4" s="31">
        <v>1.0</v>
      </c>
      <c r="B4" s="32" t="s">
        <v>15</v>
      </c>
      <c r="C4" s="33">
        <v>18.0</v>
      </c>
      <c r="D4" s="33">
        <v>12.3</v>
      </c>
      <c r="E4" s="33">
        <v>19.7</v>
      </c>
      <c r="F4" s="33">
        <v>10.3</v>
      </c>
      <c r="G4" s="33">
        <v>23.6</v>
      </c>
      <c r="H4" s="33">
        <v>5.5</v>
      </c>
      <c r="I4" s="33">
        <v>3.1</v>
      </c>
      <c r="J4" s="33">
        <v>12.4</v>
      </c>
      <c r="K4" s="33">
        <v>18.2</v>
      </c>
      <c r="L4" s="33">
        <v>9.7</v>
      </c>
      <c r="M4" s="22"/>
      <c r="N4" s="21"/>
      <c r="O4" s="30"/>
      <c r="P4" s="30"/>
      <c r="Q4" s="30"/>
      <c r="R4" s="30"/>
      <c r="S4" s="30"/>
      <c r="T4" s="22"/>
      <c r="U4" s="22"/>
      <c r="V4" s="22"/>
      <c r="W4" s="22"/>
      <c r="X4" s="22"/>
      <c r="Y4" s="22"/>
      <c r="Z4" s="22"/>
      <c r="AA4" s="22"/>
      <c r="AB4" s="22"/>
      <c r="AC4" s="22"/>
      <c r="AD4" s="22"/>
      <c r="AE4" s="22"/>
    </row>
    <row r="5">
      <c r="A5" s="26">
        <v>2.0</v>
      </c>
      <c r="B5" s="34" t="s">
        <v>16</v>
      </c>
      <c r="C5" s="35">
        <v>9730.0</v>
      </c>
      <c r="D5" s="35">
        <v>11260.0</v>
      </c>
      <c r="E5" s="35">
        <v>8920.0</v>
      </c>
      <c r="F5" s="35">
        <v>9620.0</v>
      </c>
      <c r="G5" s="36">
        <v>10150.0</v>
      </c>
      <c r="H5" s="36">
        <v>39070.0</v>
      </c>
      <c r="I5" s="36">
        <v>42940.0</v>
      </c>
      <c r="J5" s="36">
        <v>57270.0</v>
      </c>
      <c r="K5" s="36">
        <v>8270.0</v>
      </c>
      <c r="L5" s="37">
        <v>3180.0</v>
      </c>
      <c r="M5" s="22"/>
      <c r="N5" s="30"/>
      <c r="O5" s="22"/>
      <c r="P5" s="22"/>
      <c r="Q5" s="22"/>
      <c r="R5" s="22"/>
      <c r="S5" s="22"/>
      <c r="T5" s="22"/>
      <c r="U5" s="22"/>
      <c r="V5" s="22"/>
      <c r="W5" s="22"/>
      <c r="X5" s="22"/>
      <c r="Y5" s="22"/>
      <c r="Z5" s="22"/>
      <c r="AA5" s="22"/>
      <c r="AB5" s="22"/>
      <c r="AC5" s="22"/>
      <c r="AD5" s="22"/>
      <c r="AE5" s="22"/>
    </row>
    <row r="6">
      <c r="A6" s="38"/>
      <c r="B6" s="39" t="s">
        <v>17</v>
      </c>
      <c r="C6" s="40" t="s">
        <v>18</v>
      </c>
      <c r="D6" s="41"/>
      <c r="E6" s="41"/>
      <c r="F6" s="41"/>
      <c r="G6" s="41"/>
      <c r="H6" s="41"/>
      <c r="I6" s="41"/>
      <c r="J6" s="41"/>
      <c r="K6" s="41"/>
      <c r="L6" s="42"/>
      <c r="M6" s="22"/>
      <c r="N6" s="22"/>
      <c r="O6" s="22"/>
      <c r="P6" s="22"/>
      <c r="Q6" s="22"/>
      <c r="R6" s="22"/>
      <c r="S6" s="22"/>
      <c r="T6" s="22"/>
      <c r="U6" s="22"/>
      <c r="V6" s="22"/>
      <c r="W6" s="22"/>
      <c r="X6" s="22"/>
      <c r="Y6" s="22"/>
      <c r="Z6" s="22"/>
      <c r="AA6" s="22"/>
      <c r="AB6" s="22"/>
      <c r="AC6" s="22"/>
      <c r="AD6" s="22"/>
      <c r="AE6" s="22"/>
    </row>
    <row r="7" ht="78.0" customHeight="1">
      <c r="A7" s="22"/>
      <c r="B7" s="43">
        <f>CORREL(C4:L4, C5:L5)</f>
        <v>-0.5366112487</v>
      </c>
      <c r="C7" s="44" t="s">
        <v>19</v>
      </c>
      <c r="D7" s="45"/>
      <c r="E7" s="45"/>
      <c r="F7" s="45"/>
      <c r="G7" s="45"/>
      <c r="H7" s="45"/>
      <c r="I7" s="45"/>
      <c r="J7" s="45"/>
      <c r="K7" s="45"/>
      <c r="L7" s="46"/>
      <c r="M7" s="22"/>
      <c r="N7" s="22"/>
      <c r="O7" s="22"/>
      <c r="P7" s="22"/>
      <c r="Q7" s="22"/>
      <c r="R7" s="22"/>
      <c r="S7" s="22"/>
      <c r="T7" s="22"/>
      <c r="U7" s="22"/>
      <c r="V7" s="22"/>
      <c r="W7" s="22"/>
      <c r="X7" s="22"/>
      <c r="Y7" s="22"/>
      <c r="Z7" s="22"/>
      <c r="AA7" s="22"/>
      <c r="AB7" s="22"/>
      <c r="AC7" s="22"/>
      <c r="AD7" s="22"/>
      <c r="AE7" s="22"/>
    </row>
    <row r="8">
      <c r="A8" s="22"/>
      <c r="B8" s="47" t="s">
        <v>4</v>
      </c>
      <c r="C8" s="28" t="s">
        <v>5</v>
      </c>
      <c r="D8" s="28" t="s">
        <v>6</v>
      </c>
      <c r="E8" s="28" t="s">
        <v>7</v>
      </c>
      <c r="F8" s="28" t="s">
        <v>8</v>
      </c>
      <c r="G8" s="28" t="s">
        <v>9</v>
      </c>
      <c r="H8" s="28" t="s">
        <v>10</v>
      </c>
      <c r="I8" s="29" t="s">
        <v>11</v>
      </c>
      <c r="J8" s="28" t="s">
        <v>12</v>
      </c>
      <c r="K8" s="28" t="s">
        <v>13</v>
      </c>
      <c r="L8" s="28" t="s">
        <v>14</v>
      </c>
      <c r="M8" s="22"/>
      <c r="N8" s="22"/>
      <c r="O8" s="22"/>
      <c r="P8" s="22"/>
      <c r="Q8" s="22"/>
      <c r="R8" s="22"/>
      <c r="S8" s="22"/>
      <c r="T8" s="22"/>
      <c r="U8" s="22"/>
      <c r="V8" s="22"/>
      <c r="W8" s="22"/>
      <c r="X8" s="22"/>
      <c r="Y8" s="22"/>
      <c r="Z8" s="22"/>
      <c r="AA8" s="22"/>
      <c r="AB8" s="22"/>
      <c r="AC8" s="22"/>
      <c r="AD8" s="22"/>
      <c r="AE8" s="22"/>
    </row>
    <row r="9">
      <c r="A9" s="26">
        <v>3.0</v>
      </c>
      <c r="B9" s="48" t="s">
        <v>20</v>
      </c>
      <c r="C9" s="49">
        <v>80.0</v>
      </c>
      <c r="D9" s="50">
        <v>55.0</v>
      </c>
      <c r="E9" s="50">
        <v>67.0</v>
      </c>
      <c r="F9" s="50">
        <v>60.0</v>
      </c>
      <c r="G9" s="50">
        <v>70.0</v>
      </c>
      <c r="H9" s="50">
        <v>55.0</v>
      </c>
      <c r="I9" s="50">
        <v>56.0</v>
      </c>
      <c r="J9" s="50">
        <v>56.0</v>
      </c>
      <c r="K9" s="50">
        <v>50.0</v>
      </c>
      <c r="L9" s="50">
        <v>60.0</v>
      </c>
      <c r="M9" s="22"/>
      <c r="N9" s="22"/>
      <c r="O9" s="22"/>
      <c r="P9" s="22"/>
      <c r="Q9" s="22"/>
      <c r="R9" s="22"/>
      <c r="S9" s="22"/>
      <c r="T9" s="22"/>
      <c r="U9" s="22"/>
      <c r="V9" s="22"/>
      <c r="W9" s="22"/>
      <c r="X9" s="22"/>
      <c r="Y9" s="22"/>
      <c r="Z9" s="22"/>
      <c r="AA9" s="22"/>
      <c r="AB9" s="22"/>
      <c r="AC9" s="22"/>
      <c r="AD9" s="22"/>
      <c r="AE9" s="22"/>
    </row>
    <row r="10">
      <c r="A10" s="22"/>
      <c r="B10" s="51" t="s">
        <v>21</v>
      </c>
      <c r="C10" s="52" t="s">
        <v>18</v>
      </c>
      <c r="D10" s="45"/>
      <c r="E10" s="45"/>
      <c r="F10" s="45"/>
      <c r="G10" s="45"/>
      <c r="H10" s="45"/>
      <c r="I10" s="45"/>
      <c r="J10" s="45"/>
      <c r="K10" s="45"/>
      <c r="L10" s="46"/>
      <c r="M10" s="22"/>
      <c r="N10" s="22"/>
      <c r="O10" s="22"/>
      <c r="P10" s="22"/>
      <c r="Q10" s="22"/>
      <c r="R10" s="22"/>
      <c r="S10" s="22"/>
      <c r="T10" s="22"/>
      <c r="U10" s="22"/>
      <c r="V10" s="22"/>
      <c r="W10" s="22"/>
      <c r="X10" s="22"/>
      <c r="Y10" s="22"/>
      <c r="Z10" s="22"/>
      <c r="AA10" s="22"/>
      <c r="AB10" s="22"/>
      <c r="AC10" s="22"/>
      <c r="AD10" s="22"/>
      <c r="AE10" s="22"/>
    </row>
    <row r="11" ht="84.75" customHeight="1">
      <c r="A11" s="22"/>
      <c r="B11" s="53">
        <f>CORREL(C4:L4, C9:L9)</f>
        <v>0.5355973578</v>
      </c>
      <c r="C11" s="44" t="s">
        <v>22</v>
      </c>
      <c r="D11" s="45"/>
      <c r="E11" s="45"/>
      <c r="F11" s="45"/>
      <c r="G11" s="45"/>
      <c r="H11" s="45"/>
      <c r="I11" s="45"/>
      <c r="J11" s="45"/>
      <c r="K11" s="45"/>
      <c r="L11" s="46"/>
      <c r="M11" s="22"/>
      <c r="N11" s="22"/>
      <c r="O11" s="22"/>
      <c r="P11" s="22"/>
      <c r="Q11" s="22"/>
      <c r="R11" s="22"/>
      <c r="S11" s="22"/>
      <c r="T11" s="22"/>
      <c r="U11" s="22"/>
      <c r="V11" s="22"/>
      <c r="W11" s="22"/>
      <c r="X11" s="22"/>
      <c r="Y11" s="22"/>
      <c r="Z11" s="22"/>
      <c r="AA11" s="22"/>
      <c r="AB11" s="22"/>
      <c r="AC11" s="22"/>
      <c r="AD11" s="22"/>
      <c r="AE11" s="22"/>
    </row>
    <row r="12">
      <c r="A12" s="22"/>
      <c r="B12" s="47" t="s">
        <v>4</v>
      </c>
      <c r="C12" s="28" t="s">
        <v>23</v>
      </c>
      <c r="D12" s="28" t="s">
        <v>24</v>
      </c>
      <c r="E12" s="28" t="s">
        <v>25</v>
      </c>
      <c r="F12" s="28" t="s">
        <v>26</v>
      </c>
      <c r="G12" s="28" t="s">
        <v>27</v>
      </c>
      <c r="H12" s="28" t="s">
        <v>28</v>
      </c>
      <c r="I12" s="29" t="s">
        <v>29</v>
      </c>
      <c r="J12" s="28" t="s">
        <v>30</v>
      </c>
      <c r="K12" s="28" t="s">
        <v>31</v>
      </c>
      <c r="L12" s="28" t="s">
        <v>32</v>
      </c>
      <c r="M12" s="22"/>
      <c r="N12" s="22"/>
      <c r="O12" s="22"/>
      <c r="P12" s="22"/>
      <c r="Q12" s="22"/>
      <c r="R12" s="22"/>
      <c r="S12" s="22"/>
      <c r="T12" s="22"/>
      <c r="U12" s="22"/>
      <c r="V12" s="22"/>
      <c r="W12" s="22"/>
      <c r="X12" s="22"/>
      <c r="Y12" s="22"/>
      <c r="Z12" s="22"/>
      <c r="AA12" s="22"/>
      <c r="AB12" s="22"/>
      <c r="AC12" s="22"/>
      <c r="AD12" s="22"/>
      <c r="AE12" s="22"/>
    </row>
    <row r="13" ht="48.0" customHeight="1">
      <c r="A13" s="26">
        <v>4.0</v>
      </c>
      <c r="B13" s="54" t="s">
        <v>33</v>
      </c>
      <c r="C13" s="26">
        <v>23.0</v>
      </c>
      <c r="D13" s="26">
        <v>3.0</v>
      </c>
      <c r="E13" s="26">
        <v>17.0</v>
      </c>
      <c r="F13" s="26">
        <v>6.0</v>
      </c>
      <c r="G13" s="26">
        <v>1.0</v>
      </c>
      <c r="H13" s="26">
        <v>29.0</v>
      </c>
      <c r="I13" s="26">
        <v>13.0</v>
      </c>
      <c r="J13" s="26">
        <v>29.0</v>
      </c>
      <c r="K13" s="26">
        <v>1.0</v>
      </c>
      <c r="L13" s="36">
        <v>9.0</v>
      </c>
      <c r="M13" s="22"/>
      <c r="N13" s="22"/>
      <c r="O13" s="22"/>
      <c r="P13" s="22"/>
      <c r="Q13" s="22"/>
      <c r="R13" s="22"/>
      <c r="S13" s="22"/>
      <c r="T13" s="22"/>
      <c r="U13" s="22"/>
      <c r="V13" s="22"/>
      <c r="W13" s="22"/>
      <c r="X13" s="22"/>
      <c r="Y13" s="22"/>
      <c r="Z13" s="22"/>
      <c r="AA13" s="22"/>
      <c r="AB13" s="22"/>
      <c r="AC13" s="22"/>
      <c r="AD13" s="22"/>
      <c r="AE13" s="22"/>
    </row>
    <row r="14">
      <c r="A14" s="22"/>
      <c r="B14" s="40" t="s">
        <v>21</v>
      </c>
      <c r="C14" s="52" t="s">
        <v>18</v>
      </c>
      <c r="D14" s="45"/>
      <c r="E14" s="45"/>
      <c r="F14" s="45"/>
      <c r="G14" s="45"/>
      <c r="H14" s="45"/>
      <c r="I14" s="45"/>
      <c r="J14" s="45"/>
      <c r="K14" s="45"/>
      <c r="L14" s="46"/>
      <c r="M14" s="22"/>
      <c r="N14" s="22"/>
      <c r="O14" s="22"/>
      <c r="P14" s="22"/>
      <c r="Q14" s="22"/>
      <c r="R14" s="22"/>
      <c r="S14" s="22"/>
      <c r="T14" s="22"/>
      <c r="U14" s="22"/>
      <c r="V14" s="22"/>
      <c r="W14" s="22"/>
      <c r="X14" s="22"/>
      <c r="Y14" s="22"/>
      <c r="Z14" s="22"/>
      <c r="AA14" s="22"/>
      <c r="AB14" s="22"/>
      <c r="AC14" s="22"/>
      <c r="AD14" s="22"/>
      <c r="AE14" s="22"/>
    </row>
    <row r="15" ht="95.25" customHeight="1">
      <c r="A15" s="22"/>
      <c r="B15" s="43">
        <f>CORREL(C4:L4, C13:L13)</f>
        <v>-0.3169032292</v>
      </c>
      <c r="C15" s="55" t="s">
        <v>34</v>
      </c>
      <c r="D15" s="45"/>
      <c r="E15" s="45"/>
      <c r="F15" s="45"/>
      <c r="G15" s="45"/>
      <c r="H15" s="45"/>
      <c r="I15" s="45"/>
      <c r="J15" s="45"/>
      <c r="K15" s="45"/>
      <c r="L15" s="46"/>
      <c r="M15" s="22"/>
      <c r="N15" s="22"/>
      <c r="O15" s="22"/>
      <c r="P15" s="22"/>
      <c r="Q15" s="22"/>
      <c r="R15" s="22"/>
      <c r="S15" s="22"/>
      <c r="T15" s="22"/>
      <c r="U15" s="22"/>
      <c r="V15" s="22"/>
      <c r="W15" s="22"/>
      <c r="X15" s="22"/>
      <c r="Y15" s="22"/>
      <c r="Z15" s="22"/>
      <c r="AA15" s="22"/>
      <c r="AB15" s="22"/>
      <c r="AC15" s="22"/>
      <c r="AD15" s="22"/>
      <c r="AE15" s="22"/>
    </row>
    <row r="16">
      <c r="A16" s="22"/>
      <c r="B16" s="47" t="s">
        <v>4</v>
      </c>
      <c r="C16" s="28" t="s">
        <v>23</v>
      </c>
      <c r="D16" s="28" t="s">
        <v>24</v>
      </c>
      <c r="E16" s="28" t="s">
        <v>25</v>
      </c>
      <c r="F16" s="28" t="s">
        <v>26</v>
      </c>
      <c r="G16" s="28" t="s">
        <v>27</v>
      </c>
      <c r="H16" s="28" t="s">
        <v>28</v>
      </c>
      <c r="I16" s="29" t="s">
        <v>29</v>
      </c>
      <c r="J16" s="28" t="s">
        <v>30</v>
      </c>
      <c r="K16" s="28" t="s">
        <v>31</v>
      </c>
      <c r="L16" s="28" t="s">
        <v>32</v>
      </c>
      <c r="M16" s="22"/>
      <c r="N16" s="22"/>
      <c r="O16" s="22"/>
      <c r="P16" s="22"/>
      <c r="Q16" s="22"/>
      <c r="R16" s="22"/>
      <c r="S16" s="22"/>
      <c r="T16" s="22"/>
      <c r="U16" s="22"/>
      <c r="V16" s="22"/>
      <c r="W16" s="22"/>
      <c r="X16" s="22"/>
      <c r="Y16" s="22"/>
      <c r="Z16" s="22"/>
      <c r="AA16" s="22"/>
      <c r="AB16" s="22"/>
      <c r="AC16" s="22"/>
      <c r="AD16" s="22"/>
      <c r="AE16" s="22"/>
    </row>
    <row r="17">
      <c r="A17" s="30">
        <v>5.0</v>
      </c>
      <c r="B17" s="56" t="s">
        <v>35</v>
      </c>
      <c r="C17" s="57">
        <v>0.03</v>
      </c>
      <c r="D17" s="57">
        <v>0.05</v>
      </c>
      <c r="E17" s="57">
        <v>0.05</v>
      </c>
      <c r="F17" s="57">
        <v>0.08</v>
      </c>
      <c r="G17" s="57">
        <v>0.08</v>
      </c>
      <c r="H17" s="57">
        <v>0.05</v>
      </c>
      <c r="I17" s="57">
        <v>0.08</v>
      </c>
      <c r="J17" s="57">
        <v>0.08</v>
      </c>
      <c r="K17" s="57">
        <v>0.02</v>
      </c>
      <c r="L17" s="57">
        <v>0.03</v>
      </c>
      <c r="M17" s="22"/>
      <c r="N17" s="22"/>
      <c r="O17" s="22"/>
      <c r="P17" s="22"/>
      <c r="Q17" s="22"/>
      <c r="R17" s="22"/>
      <c r="S17" s="22"/>
      <c r="T17" s="22"/>
      <c r="U17" s="22"/>
      <c r="V17" s="22"/>
      <c r="W17" s="22"/>
      <c r="X17" s="22"/>
      <c r="Y17" s="22"/>
      <c r="Z17" s="22"/>
      <c r="AA17" s="22"/>
      <c r="AB17" s="22"/>
      <c r="AC17" s="22"/>
      <c r="AD17" s="22"/>
      <c r="AE17" s="22"/>
    </row>
    <row r="18">
      <c r="A18" s="22"/>
      <c r="B18" s="52" t="s">
        <v>21</v>
      </c>
      <c r="C18" s="58" t="s">
        <v>18</v>
      </c>
      <c r="D18" s="45"/>
      <c r="E18" s="45"/>
      <c r="F18" s="45"/>
      <c r="G18" s="45"/>
      <c r="H18" s="45"/>
      <c r="I18" s="45"/>
      <c r="J18" s="45"/>
      <c r="K18" s="45"/>
      <c r="L18" s="46"/>
      <c r="M18" s="22"/>
      <c r="N18" s="59" t="s">
        <v>36</v>
      </c>
      <c r="O18" s="60"/>
      <c r="P18" s="60"/>
      <c r="Q18" s="60"/>
      <c r="R18" s="60"/>
      <c r="S18" s="60"/>
      <c r="T18" s="61"/>
      <c r="U18" s="22"/>
      <c r="V18" s="22"/>
      <c r="W18" s="22"/>
      <c r="X18" s="22"/>
      <c r="Y18" s="22"/>
      <c r="Z18" s="22"/>
      <c r="AA18" s="22"/>
      <c r="AB18" s="22"/>
      <c r="AC18" s="22"/>
      <c r="AD18" s="22"/>
      <c r="AE18" s="22"/>
    </row>
    <row r="19">
      <c r="A19" s="22"/>
      <c r="B19" s="62">
        <f>CORREL(C4:L4,C17:L17)</f>
        <v>-0.2030896224</v>
      </c>
      <c r="C19" s="44" t="s">
        <v>37</v>
      </c>
      <c r="D19" s="45"/>
      <c r="E19" s="45"/>
      <c r="F19" s="45"/>
      <c r="G19" s="45"/>
      <c r="H19" s="45"/>
      <c r="I19" s="45"/>
      <c r="J19" s="45"/>
      <c r="K19" s="45"/>
      <c r="L19" s="46"/>
      <c r="M19" s="22"/>
      <c r="N19" s="22"/>
      <c r="O19" s="22"/>
      <c r="P19" s="22"/>
      <c r="Q19" s="22"/>
      <c r="R19" s="22"/>
      <c r="S19" s="22"/>
      <c r="T19" s="22"/>
      <c r="U19" s="22"/>
      <c r="V19" s="22"/>
      <c r="W19" s="22"/>
      <c r="X19" s="22"/>
      <c r="Y19" s="22"/>
      <c r="Z19" s="22"/>
      <c r="AA19" s="22"/>
      <c r="AB19" s="22"/>
      <c r="AC19" s="22"/>
      <c r="AD19" s="22"/>
      <c r="AE19" s="22"/>
    </row>
    <row r="20" ht="48.0" customHeight="1">
      <c r="A20" s="22"/>
      <c r="B20" s="21" t="s">
        <v>38</v>
      </c>
      <c r="M20" s="22"/>
      <c r="N20" s="22"/>
      <c r="O20" s="22"/>
      <c r="P20" s="22"/>
      <c r="Q20" s="22"/>
      <c r="R20" s="22"/>
      <c r="S20" s="22"/>
      <c r="T20" s="22"/>
      <c r="U20" s="22"/>
      <c r="V20" s="22"/>
      <c r="W20" s="22"/>
      <c r="X20" s="22"/>
      <c r="Y20" s="22"/>
      <c r="Z20" s="22"/>
      <c r="AA20" s="22"/>
      <c r="AB20" s="22"/>
      <c r="AC20" s="22"/>
      <c r="AD20" s="22"/>
      <c r="AE20" s="22"/>
    </row>
    <row r="21" ht="77.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row>
  </sheetData>
  <mergeCells count="13">
    <mergeCell ref="C14:L14"/>
    <mergeCell ref="C15:L15"/>
    <mergeCell ref="C18:L18"/>
    <mergeCell ref="N18:T18"/>
    <mergeCell ref="C19:L19"/>
    <mergeCell ref="B20:L20"/>
    <mergeCell ref="A1:K1"/>
    <mergeCell ref="N1:R3"/>
    <mergeCell ref="B2:L2"/>
    <mergeCell ref="C6:L6"/>
    <mergeCell ref="C7:L7"/>
    <mergeCell ref="C10:L10"/>
    <mergeCell ref="C11:L11"/>
  </mergeCells>
  <hyperlinks>
    <hyperlink r:id="rId1" ref="N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3"/>
    <col customWidth="1" min="2" max="2" width="7.89"/>
    <col customWidth="1" min="3" max="3" width="16.22"/>
    <col customWidth="1" min="4" max="4" width="20.67"/>
    <col customWidth="1" min="5" max="5" width="15.67"/>
    <col customWidth="1" min="6" max="6" width="19.11"/>
    <col customWidth="1" min="7" max="7" width="28.0"/>
    <col customWidth="1" min="8" max="8" width="14.89"/>
    <col customWidth="1" min="9" max="9" width="21.56"/>
    <col customWidth="1" min="10" max="10" width="19.11"/>
    <col customWidth="1" min="11" max="11" width="21.11"/>
    <col customWidth="1" min="12" max="13" width="8.33"/>
    <col customWidth="1" min="14" max="14" width="9.22"/>
    <col customWidth="1" min="15" max="25" width="8.33"/>
  </cols>
  <sheetData>
    <row r="1" ht="193.5" customHeight="1">
      <c r="B1" s="63" t="s">
        <v>39</v>
      </c>
      <c r="H1" s="64"/>
      <c r="I1" s="64"/>
      <c r="J1" s="64"/>
      <c r="L1" s="64"/>
      <c r="M1" s="64"/>
      <c r="N1" s="64"/>
      <c r="O1" s="65"/>
    </row>
    <row r="2" ht="15.75" customHeight="1">
      <c r="B2" s="66" t="s">
        <v>40</v>
      </c>
      <c r="C2" s="67"/>
      <c r="D2" s="67"/>
      <c r="E2" s="68"/>
      <c r="F2" s="69"/>
      <c r="G2" s="70"/>
      <c r="H2" s="64"/>
      <c r="I2" s="64"/>
      <c r="J2" s="64"/>
      <c r="L2" s="64"/>
      <c r="M2" s="64"/>
      <c r="N2" s="64"/>
      <c r="O2" s="65"/>
    </row>
    <row r="3" ht="15.75" customHeight="1">
      <c r="B3" s="71" t="s">
        <v>41</v>
      </c>
      <c r="C3" s="71" t="s">
        <v>42</v>
      </c>
      <c r="D3" s="71" t="s">
        <v>43</v>
      </c>
      <c r="E3" s="72" t="s">
        <v>44</v>
      </c>
      <c r="F3" s="73"/>
      <c r="G3" s="74"/>
    </row>
    <row r="4" ht="15.75" customHeight="1">
      <c r="B4" s="75">
        <v>2011.0</v>
      </c>
      <c r="C4" s="76">
        <v>27953.0</v>
      </c>
      <c r="D4" s="76">
        <v>27953.0</v>
      </c>
      <c r="E4" s="77">
        <v>27953.0</v>
      </c>
      <c r="F4" s="78"/>
      <c r="G4" s="79"/>
    </row>
    <row r="5" ht="15.75" customHeight="1">
      <c r="B5" s="75">
        <v>2012.0</v>
      </c>
      <c r="C5" s="76">
        <v>27991.0</v>
      </c>
      <c r="D5" s="76">
        <v>27991.0</v>
      </c>
      <c r="E5" s="77">
        <v>27991.0</v>
      </c>
      <c r="F5" s="78"/>
      <c r="G5" s="79"/>
    </row>
    <row r="6" ht="15.75" customHeight="1">
      <c r="B6" s="75">
        <v>2013.0</v>
      </c>
      <c r="C6" s="76">
        <v>27025.0</v>
      </c>
      <c r="D6" s="76">
        <v>27025.0</v>
      </c>
      <c r="E6" s="77">
        <v>27025.0</v>
      </c>
      <c r="F6" s="78"/>
      <c r="G6" s="79"/>
    </row>
    <row r="7" ht="15.75" customHeight="1">
      <c r="B7" s="75">
        <v>2014.0</v>
      </c>
      <c r="C7" s="76">
        <v>26963.0</v>
      </c>
      <c r="D7" s="76">
        <v>26963.0</v>
      </c>
      <c r="E7" s="77">
        <v>26963.0</v>
      </c>
      <c r="F7" s="78"/>
      <c r="G7" s="79"/>
    </row>
    <row r="8" ht="15.75" customHeight="1">
      <c r="B8" s="75">
        <v>2015.0</v>
      </c>
      <c r="C8" s="76">
        <v>23114.0</v>
      </c>
      <c r="D8" s="76">
        <v>23114.0</v>
      </c>
      <c r="E8" s="77">
        <v>23114.0</v>
      </c>
      <c r="F8" s="78"/>
      <c r="G8" s="79"/>
    </row>
    <row r="9" ht="15.75" customHeight="1">
      <c r="B9" s="75">
        <v>2016.0</v>
      </c>
      <c r="C9" s="76">
        <v>20308.0</v>
      </c>
      <c r="D9" s="76">
        <v>20308.0</v>
      </c>
      <c r="E9" s="80">
        <v>20308.0</v>
      </c>
      <c r="F9" s="78"/>
      <c r="G9" s="79"/>
      <c r="I9" s="65"/>
      <c r="J9" s="65"/>
      <c r="L9" s="65"/>
      <c r="M9" s="65"/>
      <c r="N9" s="65"/>
      <c r="O9" s="65"/>
    </row>
    <row r="10" ht="15.75" customHeight="1">
      <c r="B10" s="75">
        <v>2017.0</v>
      </c>
      <c r="C10" s="76">
        <v>19088.0</v>
      </c>
      <c r="D10" s="76">
        <v>19088.0</v>
      </c>
      <c r="E10" s="77">
        <v>19088.0</v>
      </c>
      <c r="F10" s="78"/>
      <c r="G10" s="79"/>
      <c r="H10" s="81" t="s">
        <v>45</v>
      </c>
      <c r="I10" s="82"/>
      <c r="J10" s="82"/>
      <c r="K10" s="82"/>
    </row>
    <row r="11" ht="15.75" customHeight="1">
      <c r="B11" s="75">
        <v>2018.0</v>
      </c>
      <c r="C11" s="76">
        <v>18214.0</v>
      </c>
      <c r="D11" s="76">
        <v>18214.0</v>
      </c>
      <c r="E11" s="77">
        <v>18214.0</v>
      </c>
      <c r="F11" s="78"/>
      <c r="G11" s="81"/>
      <c r="H11" s="83" t="s">
        <v>46</v>
      </c>
      <c r="I11" s="84" t="s">
        <v>47</v>
      </c>
      <c r="J11" s="85" t="s">
        <v>48</v>
      </c>
      <c r="K11" s="84" t="s">
        <v>49</v>
      </c>
    </row>
    <row r="12" ht="15.75" customHeight="1">
      <c r="B12" s="75">
        <v>2019.0</v>
      </c>
      <c r="C12" s="76">
        <v>16981.0</v>
      </c>
      <c r="D12" s="76">
        <v>16981.0</v>
      </c>
      <c r="E12" s="77">
        <v>16981.0</v>
      </c>
      <c r="F12" s="78"/>
      <c r="G12" s="81"/>
      <c r="H12" s="86">
        <f>16152/(146240000/100000)</f>
        <v>11.04485777</v>
      </c>
      <c r="I12" s="87">
        <f>6352/(56210000/100000)</f>
        <v>11.30048034</v>
      </c>
      <c r="J12" s="87">
        <f>445/(4035000/100000)</f>
        <v>11.02850062</v>
      </c>
      <c r="K12" s="87">
        <f>7000/(62240000/100000)</f>
        <v>11.24678663</v>
      </c>
      <c r="O12" s="88"/>
    </row>
    <row r="13" ht="15.75" customHeight="1">
      <c r="B13" s="89">
        <v>2020.0</v>
      </c>
      <c r="C13" s="90">
        <v>16152.0</v>
      </c>
      <c r="D13" s="90">
        <v>16152.0</v>
      </c>
      <c r="E13" s="91">
        <v>16152.0</v>
      </c>
      <c r="F13" s="92"/>
      <c r="G13" s="81"/>
      <c r="H13" s="93"/>
      <c r="I13" s="84" t="s">
        <v>50</v>
      </c>
      <c r="J13" s="84" t="s">
        <v>51</v>
      </c>
      <c r="K13" s="84" t="s">
        <v>52</v>
      </c>
      <c r="O13" s="88"/>
    </row>
    <row r="14" ht="15.75" customHeight="1">
      <c r="B14" s="94">
        <v>2030.0</v>
      </c>
      <c r="C14" s="95">
        <f>(146240000*0.9)/100000*5</f>
        <v>6580.8</v>
      </c>
      <c r="D14" s="96">
        <v>13006.0</v>
      </c>
      <c r="E14" s="96">
        <v>11564.0</v>
      </c>
      <c r="F14" s="97" t="s">
        <v>53</v>
      </c>
      <c r="G14" s="98"/>
      <c r="H14" s="93"/>
      <c r="I14" s="87">
        <f>3100/(61070000/100000)</f>
        <v>5.076142132</v>
      </c>
      <c r="J14" s="87">
        <f>230/(4370000/100000)</f>
        <v>5.263157895</v>
      </c>
      <c r="K14" s="87">
        <f>3268/(66000000/100000)</f>
        <v>4.951515152</v>
      </c>
      <c r="O14" s="88"/>
    </row>
    <row r="15" ht="15.75" customHeight="1">
      <c r="B15" s="94">
        <v>2039.0</v>
      </c>
      <c r="C15" s="99">
        <v>2632.0</v>
      </c>
      <c r="D15" s="96">
        <v>9860.0</v>
      </c>
      <c r="E15" s="100">
        <f>(146240000*0.9)/100000*5.3</f>
        <v>6975.648</v>
      </c>
      <c r="F15" s="101"/>
      <c r="I15" s="102"/>
      <c r="J15" s="102"/>
      <c r="K15" s="102"/>
    </row>
    <row r="16" ht="15.75" customHeight="1">
      <c r="B16" s="94">
        <v>2048.0</v>
      </c>
      <c r="C16" s="96">
        <v>1052.0</v>
      </c>
      <c r="D16" s="103">
        <f>(146240000*0.9)/100000*5.1</f>
        <v>6712.416</v>
      </c>
      <c r="E16" s="99">
        <v>2388.0</v>
      </c>
      <c r="F16" s="101"/>
      <c r="I16" s="102"/>
      <c r="J16" s="102"/>
      <c r="K16" s="102"/>
    </row>
    <row r="17" ht="15.75" customHeight="1">
      <c r="B17" s="104" t="s">
        <v>54</v>
      </c>
      <c r="I17" s="65" t="s">
        <v>55</v>
      </c>
    </row>
    <row r="18" ht="15.75" customHeight="1">
      <c r="C18" s="105"/>
    </row>
    <row r="19" ht="117.75" customHeight="1">
      <c r="B19" s="106" t="s">
        <v>56</v>
      </c>
      <c r="C19" s="60"/>
      <c r="D19" s="60"/>
      <c r="E19" s="60"/>
      <c r="F19" s="60"/>
      <c r="G19" s="61"/>
    </row>
    <row r="20" ht="15.75" customHeight="1">
      <c r="C20" s="107"/>
    </row>
    <row r="21" ht="15.75" customHeight="1">
      <c r="C21" s="108"/>
    </row>
    <row r="22" ht="15.75" customHeight="1"/>
    <row r="23" ht="15.75" customHeight="1">
      <c r="B23" s="109"/>
    </row>
    <row r="24" ht="15.75" customHeight="1">
      <c r="B24" s="109"/>
    </row>
    <row r="25" ht="15.75" customHeight="1">
      <c r="B25" s="109"/>
    </row>
    <row r="26" ht="15.75" customHeight="1">
      <c r="B26" s="109"/>
    </row>
    <row r="27" ht="15.75" customHeight="1">
      <c r="B27" s="109"/>
    </row>
    <row r="28" ht="15.75" customHeight="1">
      <c r="B28" s="109"/>
    </row>
    <row r="29" ht="15.75" customHeight="1">
      <c r="B29" s="109"/>
    </row>
    <row r="30" ht="15.75" customHeight="1">
      <c r="B30" s="109"/>
    </row>
    <row r="31" ht="15.75" customHeight="1">
      <c r="B31" s="109"/>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4">
    <mergeCell ref="B1:G1"/>
    <mergeCell ref="B2:E2"/>
    <mergeCell ref="B17:G17"/>
    <mergeCell ref="B19:G19"/>
  </mergeCells>
  <hyperlinks>
    <hyperlink r:id="rId2" ref="B19"/>
  </hyperlinks>
  <printOptions/>
  <pageMargins bottom="0.75" footer="0.0" header="0.0" left="0.7" right="0.7" top="0.75"/>
  <pageSetup paperSize="9" orientation="portrait"/>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8.44"/>
    <col customWidth="1" min="2" max="2" width="27.56"/>
    <col customWidth="1" min="3" max="3" width="12.11"/>
    <col customWidth="1" min="6" max="6" width="19.67"/>
  </cols>
  <sheetData>
    <row r="1">
      <c r="A1" s="110" t="s">
        <v>57</v>
      </c>
      <c r="C1" s="22"/>
      <c r="D1" s="22"/>
      <c r="E1" s="22"/>
    </row>
    <row r="2" ht="45.0" customHeight="1">
      <c r="A2" s="111" t="s">
        <v>58</v>
      </c>
      <c r="B2" s="67"/>
      <c r="C2" s="67"/>
      <c r="D2" s="67"/>
      <c r="E2" s="67"/>
      <c r="F2" s="68"/>
      <c r="H2" s="112" t="s">
        <v>59</v>
      </c>
    </row>
    <row r="3">
      <c r="A3" s="113" t="s">
        <v>60</v>
      </c>
      <c r="B3" s="113" t="s">
        <v>61</v>
      </c>
      <c r="C3" s="114" t="s">
        <v>62</v>
      </c>
      <c r="D3" s="115" t="s">
        <v>63</v>
      </c>
      <c r="E3" s="115" t="s">
        <v>64</v>
      </c>
      <c r="F3" s="113" t="s">
        <v>65</v>
      </c>
    </row>
    <row r="4">
      <c r="A4" s="116"/>
      <c r="B4" s="117" t="s">
        <v>66</v>
      </c>
      <c r="C4" s="118">
        <f>7540/(F4/100000)</f>
        <v>59.5809578</v>
      </c>
      <c r="D4" s="118">
        <f>359/(F4/100000)</f>
        <v>2.836812182</v>
      </c>
      <c r="E4" s="118">
        <f>8552/(F4/100000)</f>
        <v>67.5777654</v>
      </c>
      <c r="F4" s="119">
        <f>12655050</f>
        <v>12655050</v>
      </c>
    </row>
    <row r="5">
      <c r="A5" s="116"/>
      <c r="B5" s="117" t="s">
        <v>67</v>
      </c>
      <c r="C5" s="118">
        <f>4870/(F5/100000)</f>
        <v>90.44744929</v>
      </c>
      <c r="D5" s="118">
        <f>214/(F5/100000)</f>
        <v>3.974487505</v>
      </c>
      <c r="E5" s="118">
        <f>5706/(F5/100000)</f>
        <v>105.9739519</v>
      </c>
      <c r="F5" s="120">
        <v>5384342.0</v>
      </c>
      <c r="G5" s="121"/>
    </row>
    <row r="6">
      <c r="A6" s="122" t="s">
        <v>68</v>
      </c>
      <c r="B6" s="117" t="s">
        <v>69</v>
      </c>
      <c r="C6" s="118">
        <f>1973/(F6/100000)</f>
        <v>144.456932</v>
      </c>
      <c r="D6" s="118">
        <f>227/(F6/100000)</f>
        <v>16.62023495</v>
      </c>
      <c r="E6" s="118">
        <f>2640/(F6/100000)</f>
        <v>193.2926003</v>
      </c>
      <c r="F6" s="123">
        <v>1365805.0</v>
      </c>
      <c r="G6" s="121"/>
    </row>
    <row r="7">
      <c r="A7" s="122" t="s">
        <v>70</v>
      </c>
      <c r="B7" s="117" t="s">
        <v>71</v>
      </c>
      <c r="C7" s="118">
        <f>6360/(F7/100000)</f>
        <v>111.8940764</v>
      </c>
      <c r="D7" s="118">
        <f>829/(F7/100000)</f>
        <v>14.58493543</v>
      </c>
      <c r="E7" s="118">
        <f>8016/(F7/100000)</f>
        <v>141.0287605</v>
      </c>
      <c r="F7" s="119">
        <v>5683947.0</v>
      </c>
      <c r="G7" s="121"/>
    </row>
    <row r="8">
      <c r="A8" s="122" t="s">
        <v>72</v>
      </c>
      <c r="B8" s="117" t="s">
        <v>73</v>
      </c>
      <c r="C8" s="118">
        <f>932/(F8/100000)</f>
        <v>92.9966164</v>
      </c>
      <c r="D8" s="118">
        <f>98/(F8/100000)</f>
        <v>9.778614171</v>
      </c>
      <c r="E8" s="118">
        <f>1100/(F8/100000)</f>
        <v>109.759955</v>
      </c>
      <c r="F8" s="119">
        <f>1002187</f>
        <v>1002187</v>
      </c>
      <c r="G8" s="121"/>
    </row>
    <row r="9">
      <c r="A9" s="122" t="s">
        <v>74</v>
      </c>
      <c r="B9" s="117" t="s">
        <v>75</v>
      </c>
      <c r="C9" s="118">
        <f>232/(F9/100000)</f>
        <v>15.48739913</v>
      </c>
      <c r="D9" s="118">
        <f>103/(F9/100000)</f>
        <v>6.875871166</v>
      </c>
      <c r="E9" s="118">
        <f>307/(F9/100000)</f>
        <v>20.49410144</v>
      </c>
      <c r="F9" s="119">
        <v>1497992.0</v>
      </c>
      <c r="G9" s="121"/>
    </row>
    <row r="10">
      <c r="A10" s="122" t="s">
        <v>76</v>
      </c>
      <c r="B10" s="117" t="s">
        <v>77</v>
      </c>
      <c r="C10" s="118">
        <f>2235/(F10/100000)</f>
        <v>86.65272727</v>
      </c>
      <c r="D10" s="118">
        <f>223/(F10/100000)</f>
        <v>8.64588733</v>
      </c>
      <c r="E10" s="118">
        <f>2922/(F10/100000)</f>
        <v>113.2882636</v>
      </c>
      <c r="F10" s="119">
        <v>2579261.0</v>
      </c>
      <c r="G10" s="121"/>
    </row>
    <row r="11">
      <c r="A11" s="122" t="s">
        <v>78</v>
      </c>
      <c r="B11" s="117" t="s">
        <v>79</v>
      </c>
      <c r="C11" s="118">
        <f>2619/(F11/100000)</f>
        <v>61.04799762</v>
      </c>
      <c r="D11" s="118">
        <f>350/(F11/100000)</f>
        <v>8.158380743</v>
      </c>
      <c r="E11" s="118">
        <f>1143/(F11/100000)</f>
        <v>26.64294054</v>
      </c>
      <c r="F11" s="119">
        <v>4290067.0</v>
      </c>
      <c r="G11" s="121"/>
    </row>
    <row r="12">
      <c r="A12" s="122" t="s">
        <v>80</v>
      </c>
      <c r="B12" s="117" t="s">
        <v>81</v>
      </c>
      <c r="C12" s="118">
        <f>2035/(F12/100000)</f>
        <v>73.04809041</v>
      </c>
      <c r="D12" s="118">
        <f>317/(F12/100000)</f>
        <v>11.37899001</v>
      </c>
      <c r="E12" s="118">
        <f>3369/(F12/100000)</f>
        <v>120.9331777</v>
      </c>
      <c r="F12" s="119">
        <v>2785836.0</v>
      </c>
      <c r="G12" s="121"/>
    </row>
    <row r="13">
      <c r="A13" s="122" t="s">
        <v>82</v>
      </c>
      <c r="B13" s="117" t="s">
        <v>83</v>
      </c>
      <c r="C13" s="118">
        <f>1612/(F13/100000)</f>
        <v>123.8925947</v>
      </c>
      <c r="D13" s="118">
        <f>173/(F13/100000)</f>
        <v>13.29616555</v>
      </c>
      <c r="E13" s="118">
        <f>2043/(F13/100000)</f>
        <v>157.0177239</v>
      </c>
      <c r="F13" s="119">
        <v>1301127.0</v>
      </c>
      <c r="G13" s="121"/>
    </row>
    <row r="28">
      <c r="H28" s="124"/>
    </row>
  </sheetData>
  <mergeCells count="3">
    <mergeCell ref="A2:F2"/>
    <mergeCell ref="H2:K2"/>
    <mergeCell ref="G3:K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4.0"/>
  </cols>
  <sheetData>
    <row r="2">
      <c r="B2" s="25" t="s">
        <v>84</v>
      </c>
      <c r="C2" s="22"/>
      <c r="D2" s="22"/>
      <c r="E2" s="22"/>
      <c r="F2" s="22"/>
      <c r="G2" s="22"/>
    </row>
    <row r="3">
      <c r="B3" s="26" t="s">
        <v>85</v>
      </c>
      <c r="C3" s="26" t="s">
        <v>23</v>
      </c>
      <c r="D3" s="26" t="s">
        <v>24</v>
      </c>
      <c r="E3" s="26" t="s">
        <v>25</v>
      </c>
      <c r="F3" s="26" t="s">
        <v>26</v>
      </c>
      <c r="G3" s="26" t="s">
        <v>27</v>
      </c>
    </row>
    <row r="4">
      <c r="B4" s="26" t="s">
        <v>86</v>
      </c>
      <c r="C4" s="26">
        <v>388.0</v>
      </c>
      <c r="D4" s="26">
        <v>306.0</v>
      </c>
      <c r="E4" s="26">
        <v>364.0</v>
      </c>
      <c r="F4" s="26">
        <v>450.0</v>
      </c>
      <c r="G4" s="26">
        <v>433.0</v>
      </c>
    </row>
    <row r="7">
      <c r="H7" s="20">
        <f>341/(4478000/100000)</f>
        <v>7.615006699</v>
      </c>
    </row>
    <row r="8">
      <c r="H8" s="65" t="s">
        <v>87</v>
      </c>
    </row>
    <row r="28">
      <c r="B28" s="20" t="s">
        <v>88</v>
      </c>
    </row>
    <row r="29">
      <c r="B29" s="10" t="s">
        <v>89</v>
      </c>
      <c r="C29" s="125">
        <v>280.0</v>
      </c>
    </row>
    <row r="30">
      <c r="B30" s="10" t="s">
        <v>90</v>
      </c>
      <c r="C30" s="125">
        <v>275.0</v>
      </c>
    </row>
    <row r="31">
      <c r="B31" s="10" t="s">
        <v>91</v>
      </c>
      <c r="C31" s="125">
        <v>265.0</v>
      </c>
    </row>
    <row r="32">
      <c r="B32" s="10" t="s">
        <v>92</v>
      </c>
      <c r="C32" s="125">
        <v>265.0</v>
      </c>
    </row>
    <row r="33">
      <c r="B33" s="10" t="s">
        <v>93</v>
      </c>
      <c r="C33" s="125">
        <v>246.0</v>
      </c>
    </row>
    <row r="34">
      <c r="B34" s="10" t="s">
        <v>69</v>
      </c>
      <c r="C34" s="125">
        <v>243.0</v>
      </c>
    </row>
    <row r="35">
      <c r="B35" s="10" t="s">
        <v>94</v>
      </c>
      <c r="C35" s="125">
        <v>238.0</v>
      </c>
    </row>
    <row r="36">
      <c r="B36" s="10" t="s">
        <v>95</v>
      </c>
      <c r="C36" s="125">
        <v>236.0</v>
      </c>
    </row>
    <row r="37">
      <c r="B37" s="10" t="s">
        <v>96</v>
      </c>
      <c r="C37" s="125">
        <v>232.0</v>
      </c>
    </row>
    <row r="38">
      <c r="B38" s="10" t="s">
        <v>97</v>
      </c>
      <c r="C38" s="125">
        <v>232.0</v>
      </c>
    </row>
    <row r="42">
      <c r="B42" s="65" t="s">
        <v>98</v>
      </c>
    </row>
    <row r="43">
      <c r="B43" s="10" t="s">
        <v>99</v>
      </c>
      <c r="C43" s="10">
        <v>251.0</v>
      </c>
    </row>
    <row r="44">
      <c r="B44" s="10" t="s">
        <v>100</v>
      </c>
      <c r="C44" s="10">
        <v>160.0</v>
      </c>
    </row>
    <row r="45">
      <c r="B45" s="126" t="s">
        <v>101</v>
      </c>
      <c r="C45" s="10">
        <v>136.0</v>
      </c>
    </row>
    <row r="46">
      <c r="B46" s="10" t="s">
        <v>102</v>
      </c>
      <c r="C46" s="10">
        <v>135.0</v>
      </c>
    </row>
    <row r="47">
      <c r="B47" s="10" t="s">
        <v>103</v>
      </c>
      <c r="C47" s="10">
        <v>130.0</v>
      </c>
    </row>
    <row r="48">
      <c r="B48" s="10" t="s">
        <v>104</v>
      </c>
      <c r="C48" s="10">
        <v>123.0</v>
      </c>
    </row>
    <row r="49">
      <c r="B49" s="10" t="s">
        <v>92</v>
      </c>
      <c r="C49" s="10">
        <v>121.0</v>
      </c>
    </row>
    <row r="50">
      <c r="B50" s="10" t="s">
        <v>105</v>
      </c>
      <c r="C50" s="10">
        <v>109.0</v>
      </c>
    </row>
    <row r="51">
      <c r="B51" s="10" t="s">
        <v>90</v>
      </c>
      <c r="C51" s="10">
        <v>107.0</v>
      </c>
    </row>
    <row r="52">
      <c r="B52" s="10" t="s">
        <v>106</v>
      </c>
      <c r="C52" s="10">
        <v>106.0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2021-04-06T12:13:21Z</dcterms:created>
  <dc:creator>Microsoft Office User</dc:creator>
</cp:coreProperties>
</file>